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288 ADS-B Data N733KP\"/>
    </mc:Choice>
  </mc:AlternateContent>
  <bookViews>
    <workbookView xWindow="0" yWindow="0" windowWidth="17256" windowHeight="5784"/>
  </bookViews>
  <sheets>
    <sheet name="20220324_A9D71F_479454281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W4" i="1"/>
  <c r="A5" i="1"/>
  <c r="C5" i="1"/>
  <c r="S5" i="1"/>
  <c r="T5" i="1"/>
  <c r="U5" i="1"/>
  <c r="BW5" i="1"/>
  <c r="A6" i="1"/>
  <c r="C6" i="1"/>
  <c r="S6" i="1"/>
  <c r="T6" i="1"/>
  <c r="U6" i="1"/>
  <c r="BW6" i="1"/>
  <c r="A7" i="1"/>
  <c r="C7" i="1"/>
  <c r="S7" i="1"/>
  <c r="T7" i="1"/>
  <c r="U7" i="1"/>
  <c r="BW7" i="1"/>
  <c r="A8" i="1"/>
  <c r="C8" i="1"/>
  <c r="S8" i="1"/>
  <c r="T8" i="1"/>
  <c r="U8" i="1"/>
  <c r="BW8" i="1"/>
  <c r="A9" i="1"/>
  <c r="C9" i="1"/>
  <c r="S9" i="1"/>
  <c r="T9" i="1"/>
  <c r="U9" i="1"/>
  <c r="BW9" i="1"/>
  <c r="A10" i="1"/>
  <c r="C10" i="1"/>
  <c r="S10" i="1"/>
  <c r="T10" i="1"/>
  <c r="U10" i="1"/>
  <c r="BW10" i="1"/>
  <c r="A11" i="1"/>
  <c r="C11" i="1"/>
  <c r="S11" i="1"/>
  <c r="T11" i="1"/>
  <c r="U11" i="1"/>
  <c r="BW11" i="1"/>
  <c r="A12" i="1"/>
  <c r="C12" i="1"/>
  <c r="S12" i="1"/>
  <c r="T12" i="1"/>
  <c r="U12" i="1"/>
  <c r="BW12" i="1"/>
  <c r="A13" i="1"/>
  <c r="C13" i="1"/>
  <c r="S13" i="1"/>
  <c r="T13" i="1"/>
  <c r="U13" i="1"/>
  <c r="BW13" i="1"/>
  <c r="A14" i="1"/>
  <c r="C14" i="1"/>
  <c r="S14" i="1"/>
  <c r="T14" i="1"/>
  <c r="U14" i="1"/>
  <c r="BW14" i="1"/>
  <c r="A15" i="1"/>
  <c r="C15" i="1"/>
  <c r="S15" i="1"/>
  <c r="T15" i="1"/>
  <c r="U15" i="1"/>
  <c r="BW15" i="1"/>
  <c r="A16" i="1"/>
  <c r="C16" i="1"/>
  <c r="S16" i="1"/>
  <c r="T16" i="1"/>
  <c r="U16" i="1"/>
  <c r="BW16" i="1"/>
  <c r="A17" i="1"/>
  <c r="C17" i="1"/>
  <c r="S17" i="1"/>
  <c r="T17" i="1"/>
  <c r="U17" i="1"/>
  <c r="BW17" i="1"/>
  <c r="A18" i="1"/>
  <c r="C18" i="1"/>
  <c r="S18" i="1"/>
  <c r="T18" i="1"/>
  <c r="U18" i="1"/>
  <c r="BW18" i="1"/>
  <c r="A19" i="1"/>
  <c r="C19" i="1"/>
  <c r="S19" i="1"/>
  <c r="T19" i="1"/>
  <c r="U19" i="1"/>
  <c r="BW19" i="1"/>
  <c r="A20" i="1"/>
  <c r="C20" i="1"/>
  <c r="S20" i="1"/>
  <c r="T20" i="1"/>
  <c r="U20" i="1"/>
  <c r="BW20" i="1"/>
  <c r="A21" i="1"/>
  <c r="C21" i="1"/>
  <c r="S21" i="1"/>
  <c r="T21" i="1"/>
  <c r="U21" i="1"/>
  <c r="BW21" i="1"/>
  <c r="A22" i="1"/>
  <c r="C22" i="1"/>
  <c r="S22" i="1"/>
  <c r="T22" i="1"/>
  <c r="U22" i="1"/>
  <c r="BW22" i="1"/>
  <c r="A23" i="1"/>
  <c r="C23" i="1"/>
  <c r="S23" i="1"/>
  <c r="T23" i="1"/>
  <c r="U23" i="1"/>
  <c r="BW23" i="1"/>
  <c r="A24" i="1"/>
  <c r="C24" i="1"/>
  <c r="S24" i="1"/>
  <c r="T24" i="1"/>
  <c r="U24" i="1"/>
  <c r="BW24" i="1"/>
  <c r="A25" i="1"/>
  <c r="C25" i="1"/>
  <c r="S25" i="1"/>
  <c r="T25" i="1"/>
  <c r="U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W62" i="1"/>
  <c r="A63" i="1"/>
  <c r="C63" i="1"/>
  <c r="S63" i="1"/>
  <c r="T63" i="1"/>
  <c r="U63" i="1"/>
  <c r="BW63" i="1"/>
  <c r="A64" i="1"/>
  <c r="C64" i="1"/>
  <c r="S64" i="1"/>
  <c r="T64" i="1"/>
  <c r="U64" i="1"/>
  <c r="BW64" i="1"/>
  <c r="A65" i="1"/>
  <c r="C65" i="1"/>
  <c r="S65" i="1"/>
  <c r="T65" i="1"/>
  <c r="U65" i="1"/>
  <c r="BW65" i="1"/>
  <c r="A66" i="1"/>
  <c r="C66" i="1"/>
  <c r="S66" i="1"/>
  <c r="T66" i="1"/>
  <c r="U66" i="1"/>
  <c r="BW66" i="1"/>
  <c r="A67" i="1"/>
  <c r="C67" i="1"/>
  <c r="S67" i="1"/>
  <c r="T67" i="1"/>
  <c r="U67" i="1"/>
  <c r="BW67" i="1"/>
  <c r="A68" i="1"/>
  <c r="C68" i="1"/>
  <c r="S68" i="1"/>
  <c r="T68" i="1"/>
  <c r="U68" i="1"/>
  <c r="BW68" i="1"/>
  <c r="A69" i="1"/>
  <c r="C69" i="1"/>
  <c r="S69" i="1"/>
  <c r="T69" i="1"/>
  <c r="U69" i="1"/>
  <c r="BW69" i="1"/>
  <c r="A70" i="1"/>
  <c r="C70" i="1"/>
  <c r="S70" i="1"/>
  <c r="T70" i="1"/>
  <c r="U70" i="1"/>
  <c r="BW70" i="1"/>
  <c r="A71" i="1"/>
  <c r="C71" i="1"/>
  <c r="S71" i="1"/>
  <c r="T71" i="1"/>
  <c r="U71" i="1"/>
  <c r="BW71" i="1"/>
  <c r="A72" i="1"/>
  <c r="C72" i="1"/>
  <c r="S72" i="1"/>
  <c r="T72" i="1"/>
  <c r="U72" i="1"/>
  <c r="BW72" i="1"/>
  <c r="A73" i="1"/>
  <c r="C73" i="1"/>
  <c r="S73" i="1"/>
  <c r="T73" i="1"/>
  <c r="U73" i="1"/>
  <c r="BW73" i="1"/>
  <c r="A74" i="1"/>
  <c r="C74" i="1"/>
  <c r="S74" i="1"/>
  <c r="T74" i="1"/>
  <c r="U74" i="1"/>
  <c r="BW74" i="1"/>
  <c r="A75" i="1"/>
  <c r="C75" i="1"/>
  <c r="S75" i="1"/>
  <c r="T75" i="1"/>
  <c r="U75" i="1"/>
  <c r="BW75" i="1"/>
  <c r="A76" i="1"/>
  <c r="C76" i="1"/>
  <c r="S76" i="1"/>
  <c r="T76" i="1"/>
  <c r="U76" i="1"/>
  <c r="BW76" i="1"/>
  <c r="A77" i="1"/>
  <c r="C77" i="1"/>
  <c r="S77" i="1"/>
  <c r="T77" i="1"/>
  <c r="U77" i="1"/>
  <c r="BW77" i="1"/>
  <c r="A78" i="1"/>
  <c r="C78" i="1"/>
  <c r="S78" i="1"/>
  <c r="T78" i="1"/>
  <c r="U78" i="1"/>
  <c r="BW78" i="1"/>
  <c r="A79" i="1"/>
  <c r="C79" i="1"/>
  <c r="S79" i="1"/>
  <c r="T79" i="1"/>
  <c r="U79" i="1"/>
  <c r="BW79" i="1"/>
  <c r="A80" i="1"/>
  <c r="C80" i="1"/>
  <c r="S80" i="1"/>
  <c r="T80" i="1"/>
  <c r="U80" i="1"/>
  <c r="BW80" i="1"/>
  <c r="A81" i="1"/>
  <c r="C81" i="1"/>
  <c r="S81" i="1"/>
  <c r="T81" i="1"/>
  <c r="U81" i="1"/>
  <c r="BW81" i="1"/>
  <c r="A82" i="1"/>
  <c r="C82" i="1"/>
  <c r="S82" i="1"/>
  <c r="T82" i="1"/>
  <c r="U82" i="1"/>
  <c r="BW82" i="1"/>
  <c r="A83" i="1"/>
  <c r="C83" i="1"/>
  <c r="S83" i="1"/>
  <c r="T83" i="1"/>
  <c r="U83" i="1"/>
  <c r="BW83" i="1"/>
  <c r="A84" i="1"/>
  <c r="C84" i="1"/>
  <c r="S84" i="1"/>
  <c r="T84" i="1"/>
  <c r="U84" i="1"/>
  <c r="BW84" i="1"/>
  <c r="A85" i="1"/>
  <c r="C85" i="1"/>
  <c r="S85" i="1"/>
  <c r="T85" i="1"/>
  <c r="U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</calcChain>
</file>

<file path=xl/sharedStrings.xml><?xml version="1.0" encoding="utf-8"?>
<sst xmlns="http://schemas.openxmlformats.org/spreadsheetml/2006/main" count="22596" uniqueCount="1567">
  <si>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</si>
  <si>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</si>
  <si>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</si>
  <si>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</si>
  <si>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</si>
  <si>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</si>
  <si>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</si>
  <si>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</si>
  <si>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</si>
  <si>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</si>
  <si>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</si>
  <si>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</si>
  <si>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</si>
  <si>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</si>
  <si>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</si>
  <si>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</si>
  <si>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</si>
  <si>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</si>
  <si>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</si>
  <si>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</si>
  <si>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</si>
  <si>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</si>
  <si>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</si>
  <si>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</si>
  <si>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</si>
  <si>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</si>
  <si>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</si>
  <si>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</si>
  <si>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</si>
  <si>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</si>
  <si>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</si>
  <si>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</si>
  <si>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</si>
  <si>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</si>
  <si>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</si>
  <si>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</si>
  <si>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</si>
  <si>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</si>
  <si>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</si>
  <si>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</si>
  <si>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</si>
  <si>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</si>
  <si>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</si>
  <si>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</si>
  <si>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</si>
  <si>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</si>
  <si>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</si>
  <si>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</si>
  <si>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</si>
  <si>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</si>
  <si>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</si>
  <si>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</si>
  <si>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</si>
  <si>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</si>
  <si>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</si>
  <si>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</si>
  <si>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</si>
  <si>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</si>
  <si>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</si>
  <si>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</si>
  <si>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</si>
  <si>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</si>
  <si>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</si>
  <si>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</si>
  <si>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</si>
  <si>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</si>
  <si>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</si>
  <si>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</si>
  <si>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</si>
  <si>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</si>
  <si>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</si>
  <si>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</si>
  <si>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</si>
  <si>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</si>
  <si>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</si>
  <si>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</si>
  <si>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</si>
  <si>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</si>
  <si>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</si>
  <si>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</si>
  <si>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</si>
  <si>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</si>
  <si>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</si>
  <si>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</si>
  <si>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</si>
  <si>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</si>
  <si>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</si>
  <si>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</si>
  <si>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</si>
  <si>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</si>
  <si>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</si>
  <si>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</si>
  <si>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</si>
  <si>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</si>
  <si>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</si>
  <si>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</si>
  <si>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</si>
  <si>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</si>
  <si>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</si>
  <si>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</si>
  <si>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</si>
  <si>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</si>
  <si>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</si>
  <si>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</si>
  <si>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</si>
  <si>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</si>
  <si>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</si>
  <si>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</si>
  <si>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</si>
  <si>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</si>
  <si>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</si>
  <si>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</si>
  <si>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</si>
  <si>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C2</t>
  </si>
  <si>
    <t>Dallas-Ft Worth TRACON CTV</t>
  </si>
  <si>
    <t>TerminalCTV</t>
  </si>
  <si>
    <t>033:10:17.33 N</t>
  </si>
  <si>
    <t>097:49:42.94 W</t>
  </si>
  <si>
    <t>GNSS</t>
  </si>
  <si>
    <t>RS - UAT Radio Channel</t>
  </si>
  <si>
    <t>C1</t>
  </si>
  <si>
    <t>Ft Worth</t>
  </si>
  <si>
    <t>EnrouteCTV</t>
  </si>
  <si>
    <t>DB</t>
  </si>
  <si>
    <t>Dallas / Ft. Worth</t>
  </si>
  <si>
    <t>Terminal</t>
  </si>
  <si>
    <t>DA</t>
  </si>
  <si>
    <t>Enroute</t>
  </si>
  <si>
    <t>033:10:18.56 N</t>
  </si>
  <si>
    <t>033:10:19.64 N</t>
  </si>
  <si>
    <t>097:49:42.87 W</t>
  </si>
  <si>
    <t>033:10:20.73 N</t>
  </si>
  <si>
    <t>097:49:42.79 W</t>
  </si>
  <si>
    <t>033:10:21.88 N</t>
  </si>
  <si>
    <t>033:10:24.51 N</t>
  </si>
  <si>
    <t>097:49:42.64 W</t>
  </si>
  <si>
    <t>033:10:23.97 N</t>
  </si>
  <si>
    <t>097:49:43.18 W</t>
  </si>
  <si>
    <t>033:10:28.37 N</t>
  </si>
  <si>
    <t>033:10:29.92 N</t>
  </si>
  <si>
    <t>097:49:42.71 W</t>
  </si>
  <si>
    <t>033:10:30.92 N</t>
  </si>
  <si>
    <t>033:10:32.70 N</t>
  </si>
  <si>
    <t>097:49:42.40 W</t>
  </si>
  <si>
    <t>033:10:34.40 N</t>
  </si>
  <si>
    <t>097:49:42.17 W</t>
  </si>
  <si>
    <t>033:10:54.64 N</t>
  </si>
  <si>
    <t>097:49:40.32 W</t>
  </si>
  <si>
    <t>033:10:56.41 N</t>
  </si>
  <si>
    <t>097:49:40.09 W</t>
  </si>
  <si>
    <t>033:10:58.04 N</t>
  </si>
  <si>
    <t>097:49:39.78 W</t>
  </si>
  <si>
    <t>033:11:13.56 N</t>
  </si>
  <si>
    <t>097:49:27.49 W</t>
  </si>
  <si>
    <t>033:11:14.64 N</t>
  </si>
  <si>
    <t>097:49:26.18 W</t>
  </si>
  <si>
    <t>033:11:15.34 N</t>
  </si>
  <si>
    <t>097:49:24.87 W</t>
  </si>
  <si>
    <t>033:11:16.27 N</t>
  </si>
  <si>
    <t>097:49:23.56 W</t>
  </si>
  <si>
    <t>033:11:16.81 N</t>
  </si>
  <si>
    <t>097:49:22.09 W</t>
  </si>
  <si>
    <t>033:11:17.50 N</t>
  </si>
  <si>
    <t>097:49:20.62 W</t>
  </si>
  <si>
    <t>033:11:17.97 N</t>
  </si>
  <si>
    <t>097:49:19.00 W</t>
  </si>
  <si>
    <t>033:11:18.43 N</t>
  </si>
  <si>
    <t>097:49:17.45 W</t>
  </si>
  <si>
    <t>033:11:19.28 N</t>
  </si>
  <si>
    <t>097:49:13.98 W</t>
  </si>
  <si>
    <t>033:11:19.51 N</t>
  </si>
  <si>
    <t>097:49:12.20 W</t>
  </si>
  <si>
    <t>033:11:19.59 N</t>
  </si>
  <si>
    <t>097:49:10.35 W</t>
  </si>
  <si>
    <t>033:11:19.74 N</t>
  </si>
  <si>
    <t>097:49:08.65 W</t>
  </si>
  <si>
    <t>097:49:06.95 W</t>
  </si>
  <si>
    <t>033:11:19.82 N</t>
  </si>
  <si>
    <t>097:49:05.17 W</t>
  </si>
  <si>
    <t>033:11:19.90 N</t>
  </si>
  <si>
    <t>097:49:03.47 W</t>
  </si>
  <si>
    <t>033:11:19.97 N</t>
  </si>
  <si>
    <t>097:49:01.85 W</t>
  </si>
  <si>
    <t>097:49:00.23 W</t>
  </si>
  <si>
    <t>033:11:20.21 N</t>
  </si>
  <si>
    <t>097:48:58.53 W</t>
  </si>
  <si>
    <t>033:11:20.13 N</t>
  </si>
  <si>
    <t>097:48:56.75 W</t>
  </si>
  <si>
    <t>097:48:53.35 W</t>
  </si>
  <si>
    <t>033:11:20.05 N</t>
  </si>
  <si>
    <t>097:48:51.57 W</t>
  </si>
  <si>
    <t>097:48:49.88 W</t>
  </si>
  <si>
    <t>097:48:48.18 W</t>
  </si>
  <si>
    <t>097:48:46.32 W</t>
  </si>
  <si>
    <t>097:48:44.55 W</t>
  </si>
  <si>
    <t>097:48:40.99 W</t>
  </si>
  <si>
    <t>097:48:39.14 W</t>
  </si>
  <si>
    <t>097:48:37.36 W</t>
  </si>
  <si>
    <t>097:48:35.51 W</t>
  </si>
  <si>
    <t>033:11:19.67 N</t>
  </si>
  <si>
    <t>097:48:33.65 W</t>
  </si>
  <si>
    <t>097:48:29.87 W</t>
  </si>
  <si>
    <t>097:48:31.72 W</t>
  </si>
  <si>
    <t>033:11:19.43 N</t>
  </si>
  <si>
    <t>097:48:28.17 W</t>
  </si>
  <si>
    <t>033:11:19.36 N</t>
  </si>
  <si>
    <t>097:48:26.31 W</t>
  </si>
  <si>
    <t>097:48:24.54 W</t>
  </si>
  <si>
    <t>033:11:19.20 N</t>
  </si>
  <si>
    <t>097:48:22.76 W</t>
  </si>
  <si>
    <t>033:11:19.13 N</t>
  </si>
  <si>
    <t>097:48:20.83 W</t>
  </si>
  <si>
    <t>033:11:19.05 N</t>
  </si>
  <si>
    <t>097:48:19.05 W</t>
  </si>
  <si>
    <t>033:11:18.97 N</t>
  </si>
  <si>
    <t>097:48:17.20 W</t>
  </si>
  <si>
    <t>033:11:18.82 N</t>
  </si>
  <si>
    <t>097:48:15.42 W</t>
  </si>
  <si>
    <t>033:11:18.66 N</t>
  </si>
  <si>
    <t>097:48:13.57 W</t>
  </si>
  <si>
    <t>033:11:18.51 N</t>
  </si>
  <si>
    <t>097:48:11.64 W</t>
  </si>
  <si>
    <t>097:48:09.78 W</t>
  </si>
  <si>
    <t>033:11:18.28 N</t>
  </si>
  <si>
    <t>097:48:07.93 W</t>
  </si>
  <si>
    <t>097:48:06.08 W</t>
  </si>
  <si>
    <t>033:11:18.04 N</t>
  </si>
  <si>
    <t>097:48:02.29 W</t>
  </si>
  <si>
    <t>097:48:00.51 W</t>
  </si>
  <si>
    <t>033:11:17.73 N</t>
  </si>
  <si>
    <t>097:47:56.73 W</t>
  </si>
  <si>
    <t>033:11:17.66 N</t>
  </si>
  <si>
    <t>097:47:54.87 W</t>
  </si>
  <si>
    <t>097:47:53.02 W</t>
  </si>
  <si>
    <t>033:11:17.43 N</t>
  </si>
  <si>
    <t>097:47:51.24 W</t>
  </si>
  <si>
    <t>033:11:17.19 N</t>
  </si>
  <si>
    <t>097:47:49.31 W</t>
  </si>
  <si>
    <t>097:47:47.46 W</t>
  </si>
  <si>
    <t>033:11:17.12 N</t>
  </si>
  <si>
    <t>097:47:45.68 W</t>
  </si>
  <si>
    <t>033:11:17.04 N</t>
  </si>
  <si>
    <t>097:47:43.83 W</t>
  </si>
  <si>
    <t>033:11:16.96 N</t>
  </si>
  <si>
    <t>097:47:42.05 W</t>
  </si>
  <si>
    <t>033:11:16.88 N</t>
  </si>
  <si>
    <t>097:47:40.20 W</t>
  </si>
  <si>
    <t>097:47:38.42 W</t>
  </si>
  <si>
    <t>097:47:36.57 W</t>
  </si>
  <si>
    <t>033:11:16.65 N</t>
  </si>
  <si>
    <t>097:47:34.71 W</t>
  </si>
  <si>
    <t>033:11:16.58 N</t>
  </si>
  <si>
    <t>097:47:32.94 W</t>
  </si>
  <si>
    <t>033:11:16.50 N</t>
  </si>
  <si>
    <t>097:47:31.08 W</t>
  </si>
  <si>
    <t>097:47:29.31 W</t>
  </si>
  <si>
    <t>097:47:27.53 W</t>
  </si>
  <si>
    <t>097:47:25.75 W</t>
  </si>
  <si>
    <t>097:47:24.05 W</t>
  </si>
  <si>
    <t>097:47:22.28 W</t>
  </si>
  <si>
    <t>097:47:20.50 W</t>
  </si>
  <si>
    <t>097:47:18.72 W</t>
  </si>
  <si>
    <t>097:47:15.32 W</t>
  </si>
  <si>
    <t>097:47:13.55 W</t>
  </si>
  <si>
    <t>097:47:11.77 W</t>
  </si>
  <si>
    <t>097:47:09.92 W</t>
  </si>
  <si>
    <t>097:47:08.14 W</t>
  </si>
  <si>
    <t>033:11:16.42 N</t>
  </si>
  <si>
    <t>097:47:06.36 W</t>
  </si>
  <si>
    <t>033:11:16.19 N</t>
  </si>
  <si>
    <t>097:47:04.59 W</t>
  </si>
  <si>
    <t>033:11:16.04 N</t>
  </si>
  <si>
    <t>097:47:02.81 W</t>
  </si>
  <si>
    <t>097:47:01.03 W</t>
  </si>
  <si>
    <t>097:46:59.26 W</t>
  </si>
  <si>
    <t>033:11:16.34 N</t>
  </si>
  <si>
    <t>097:46:57.48 W</t>
  </si>
  <si>
    <t>097:46:55.70 W</t>
  </si>
  <si>
    <t>097:46:53.85 W</t>
  </si>
  <si>
    <t>097:46:52.00 W</t>
  </si>
  <si>
    <t>097:46:50.14 W</t>
  </si>
  <si>
    <t>097:46:48.36 W</t>
  </si>
  <si>
    <t>097:46:44.73 W</t>
  </si>
  <si>
    <t>033:11:16.73 N</t>
  </si>
  <si>
    <t>097:46:42.96 W</t>
  </si>
  <si>
    <t>097:46:41.26 W</t>
  </si>
  <si>
    <t>097:46:39.48 W</t>
  </si>
  <si>
    <t>097:46:37.78 W</t>
  </si>
  <si>
    <t>097:46:35.93 W</t>
  </si>
  <si>
    <t>097:46:34.15 W</t>
  </si>
  <si>
    <t>097:46:32.37 W</t>
  </si>
  <si>
    <t>097:46:30.60 W</t>
  </si>
  <si>
    <t>097:46:28.90 W</t>
  </si>
  <si>
    <t>097:46:27.20 W</t>
  </si>
  <si>
    <t>033:11:17.27 N</t>
  </si>
  <si>
    <t>097:46:25.42 W</t>
  </si>
  <si>
    <t>097:46:23.65 W</t>
  </si>
  <si>
    <t>097:46:21.87 W</t>
  </si>
  <si>
    <t>097:46:20.09 W</t>
  </si>
  <si>
    <t>033:11:17.35 N</t>
  </si>
  <si>
    <t>097:46:18.39 W</t>
  </si>
  <si>
    <t>097:46:16.54 W</t>
  </si>
  <si>
    <t>097:46:14.76 W</t>
  </si>
  <si>
    <t>097:46:12.99 W</t>
  </si>
  <si>
    <t>097:46:11.29 W</t>
  </si>
  <si>
    <t>097:46:09.43 W</t>
  </si>
  <si>
    <t>097:46:07.66 W</t>
  </si>
  <si>
    <t>097:46:05.80 W</t>
  </si>
  <si>
    <t>097:46:04.02 W</t>
  </si>
  <si>
    <t>097:46:02.17 W</t>
  </si>
  <si>
    <t>097:46:00.32 W</t>
  </si>
  <si>
    <t>097:45:58.54 W</t>
  </si>
  <si>
    <t>097:45:54.91 W</t>
  </si>
  <si>
    <t>097:45:53.06 W</t>
  </si>
  <si>
    <t>097:45:51.28 W</t>
  </si>
  <si>
    <t>097:45:49.42 W</t>
  </si>
  <si>
    <t>097:45:47.73 W</t>
  </si>
  <si>
    <t>097:45:45.95 W</t>
  </si>
  <si>
    <t>097:45:42.32 W</t>
  </si>
  <si>
    <t>033:11:16.11 N</t>
  </si>
  <si>
    <t>097:45:40.54 W</t>
  </si>
  <si>
    <t>097:45:38.84 W</t>
  </si>
  <si>
    <t>097:45:37.07 W</t>
  </si>
  <si>
    <t>097:45:35.37 W</t>
  </si>
  <si>
    <t>033:11:15.73 N</t>
  </si>
  <si>
    <t>097:45:29.96 W</t>
  </si>
  <si>
    <t>033:11:15.57 N</t>
  </si>
  <si>
    <t>097:45:28.18 W</t>
  </si>
  <si>
    <t>033:11:15.49 N</t>
  </si>
  <si>
    <t>097:45:26.40 W</t>
  </si>
  <si>
    <t>097:45:24.63 W</t>
  </si>
  <si>
    <t>033:11:15.19 N</t>
  </si>
  <si>
    <t>097:45:22.77 W</t>
  </si>
  <si>
    <t>033:11:15.03 N</t>
  </si>
  <si>
    <t>097:45:21.00 W</t>
  </si>
  <si>
    <t>033:11:14.95 N</t>
  </si>
  <si>
    <t>097:45:19.14 W</t>
  </si>
  <si>
    <t>033:11:14.80 N</t>
  </si>
  <si>
    <t>097:45:17.37 W</t>
  </si>
  <si>
    <t>033:11:14.72 N</t>
  </si>
  <si>
    <t>097:45:15.59 W</t>
  </si>
  <si>
    <t>033:11:14.57 N</t>
  </si>
  <si>
    <t>097:45:13.81 W</t>
  </si>
  <si>
    <t>033:11:14.41 N</t>
  </si>
  <si>
    <t>097:45:12.11 W</t>
  </si>
  <si>
    <t>033:11:14.18 N</t>
  </si>
  <si>
    <t>097:45:10.41 W</t>
  </si>
  <si>
    <t>033:11:13.72 N</t>
  </si>
  <si>
    <t>097:45:08.64 W</t>
  </si>
  <si>
    <t>033:11:13.41 N</t>
  </si>
  <si>
    <t>097:45:06.86 W</t>
  </si>
  <si>
    <t>033:11:13.10 N</t>
  </si>
  <si>
    <t>097:45:05.39 W</t>
  </si>
  <si>
    <t>033:11:12.48 N</t>
  </si>
  <si>
    <t>097:45:03.62 W</t>
  </si>
  <si>
    <t>033:11:11.94 N</t>
  </si>
  <si>
    <t>097:45:01.92 W</t>
  </si>
  <si>
    <t>033:11:11.40 N</t>
  </si>
  <si>
    <t>097:45:00.30 W</t>
  </si>
  <si>
    <t>033:11:10.63 N</t>
  </si>
  <si>
    <t>097:44:58.67 W</t>
  </si>
  <si>
    <t>033:11:09.78 N</t>
  </si>
  <si>
    <t>097:44:57.05 W</t>
  </si>
  <si>
    <t>033:11:08.93 N</t>
  </si>
  <si>
    <t>097:44:55.43 W</t>
  </si>
  <si>
    <t>033:11:08.00 N</t>
  </si>
  <si>
    <t>097:44:53.81 W</t>
  </si>
  <si>
    <t>033:11:07.07 N</t>
  </si>
  <si>
    <t>097:44:52.42 W</t>
  </si>
  <si>
    <t>033:11:05.99 N</t>
  </si>
  <si>
    <t>097:44:50.95 W</t>
  </si>
  <si>
    <t>033:11:04.91 N</t>
  </si>
  <si>
    <t>097:44:49.48 W</t>
  </si>
  <si>
    <t>033:11:03.75 N</t>
  </si>
  <si>
    <t>097:44:48.09 W</t>
  </si>
  <si>
    <t>033:11:02.59 N</t>
  </si>
  <si>
    <t>097:44:46.78 W</t>
  </si>
  <si>
    <t>033:11:01.28 N</t>
  </si>
  <si>
    <t>097:44:45.62 W</t>
  </si>
  <si>
    <t>033:11:00.12 N</t>
  </si>
  <si>
    <t>097:44:44.46 W</t>
  </si>
  <si>
    <t>033:10:58.73 N</t>
  </si>
  <si>
    <t>097:44:43.30 W</t>
  </si>
  <si>
    <t>033:10:57.26 N</t>
  </si>
  <si>
    <t>097:44:42.14 W</t>
  </si>
  <si>
    <t>033:10:55.80 N</t>
  </si>
  <si>
    <t>097:44:41.06 W</t>
  </si>
  <si>
    <t>033:10:54.33 N</t>
  </si>
  <si>
    <t>097:44:40.06 W</t>
  </si>
  <si>
    <t>033:10:52.86 N</t>
  </si>
  <si>
    <t>097:44:39.13 W</t>
  </si>
  <si>
    <t>033:10:51.47 N</t>
  </si>
  <si>
    <t>097:44:38.20 W</t>
  </si>
  <si>
    <t>033:10:50.16 N</t>
  </si>
  <si>
    <t>097:44:37.35 W</t>
  </si>
  <si>
    <t>033:10:48.77 N</t>
  </si>
  <si>
    <t>097:44:36.43 W</t>
  </si>
  <si>
    <t>033:10:47.30 N</t>
  </si>
  <si>
    <t>097:44:35.42 W</t>
  </si>
  <si>
    <t>033:10:45.75 N</t>
  </si>
  <si>
    <t>097:44:34.34 W</t>
  </si>
  <si>
    <t>033:10:44.36 N</t>
  </si>
  <si>
    <t>097:44:33.34 W</t>
  </si>
  <si>
    <t>033:10:42.97 N</t>
  </si>
  <si>
    <t>097:44:32.41 W</t>
  </si>
  <si>
    <t>033:10:41.51 N</t>
  </si>
  <si>
    <t>097:44:31.40 W</t>
  </si>
  <si>
    <t>033:10:40.04 N</t>
  </si>
  <si>
    <t>097:44:30.32 W</t>
  </si>
  <si>
    <t>033:10:38.49 N</t>
  </si>
  <si>
    <t>097:44:29.09 W</t>
  </si>
  <si>
    <t>033:10:37.18 N</t>
  </si>
  <si>
    <t>097:44:28.08 W</t>
  </si>
  <si>
    <t>033:10:35.94 N</t>
  </si>
  <si>
    <t>097:44:27.16 W</t>
  </si>
  <si>
    <t>033:10:34.48 N</t>
  </si>
  <si>
    <t>097:44:26.07 W</t>
  </si>
  <si>
    <t>033:10:33.09 N</t>
  </si>
  <si>
    <t>097:44:25.07 W</t>
  </si>
  <si>
    <t>033:10:31.77 N</t>
  </si>
  <si>
    <t>097:44:24.07 W</t>
  </si>
  <si>
    <t>033:10:30.46 N</t>
  </si>
  <si>
    <t>097:44:23.06 W</t>
  </si>
  <si>
    <t>033:10:29.07 N</t>
  </si>
  <si>
    <t>097:44:22.06 W</t>
  </si>
  <si>
    <t>033:10:27.83 N</t>
  </si>
  <si>
    <t>097:44:20.98 W</t>
  </si>
  <si>
    <t>033:10:26.29 N</t>
  </si>
  <si>
    <t>097:44:19.89 W</t>
  </si>
  <si>
    <t>033:10:24.97 N</t>
  </si>
  <si>
    <t>097:44:18.74 W</t>
  </si>
  <si>
    <t>033:10:23.51 N</t>
  </si>
  <si>
    <t>097:44:17.65 W</t>
  </si>
  <si>
    <t>033:10:22.19 N</t>
  </si>
  <si>
    <t>097:44:16.65 W</t>
  </si>
  <si>
    <t>097:44:15.57 W</t>
  </si>
  <si>
    <t>033:10:19.34 N</t>
  </si>
  <si>
    <t>097:44:14.26 W</t>
  </si>
  <si>
    <t>033:10:17.87 N</t>
  </si>
  <si>
    <t>097:44:13.17 W</t>
  </si>
  <si>
    <t>033:10:16.32 N</t>
  </si>
  <si>
    <t>097:44:12.02 W</t>
  </si>
  <si>
    <t>033:10:14.93 N</t>
  </si>
  <si>
    <t>097:44:10.93 W</t>
  </si>
  <si>
    <t>033:10:13.31 N</t>
  </si>
  <si>
    <t>097:44:09.78 W</t>
  </si>
  <si>
    <t>033:10:11.92 N</t>
  </si>
  <si>
    <t>097:44:08.69 W</t>
  </si>
  <si>
    <t>033:10:10.53 N</t>
  </si>
  <si>
    <t>097:44:07.69 W</t>
  </si>
  <si>
    <t>033:10:09.06 N</t>
  </si>
  <si>
    <t>097:44:06.61 W</t>
  </si>
  <si>
    <t>033:10:07.59 N</t>
  </si>
  <si>
    <t>097:44:05.53 W</t>
  </si>
  <si>
    <t>033:10:06.13 N</t>
  </si>
  <si>
    <t>097:44:04.29 W</t>
  </si>
  <si>
    <t>033:10:04.74 N</t>
  </si>
  <si>
    <t>097:44:03.21 W</t>
  </si>
  <si>
    <t>033:10:03.35 N</t>
  </si>
  <si>
    <t>097:44:02.21 W</t>
  </si>
  <si>
    <t>033:10:01.88 N</t>
  </si>
  <si>
    <t>097:44:00.97 W</t>
  </si>
  <si>
    <t>033:10:00.41 N</t>
  </si>
  <si>
    <t>097:43:59.81 W</t>
  </si>
  <si>
    <t>033:09:59.02 N</t>
  </si>
  <si>
    <t>097:43:58.65 W</t>
  </si>
  <si>
    <t>033:09:57.47 N</t>
  </si>
  <si>
    <t>097:43:57.42 W</t>
  </si>
  <si>
    <t>033:09:56.16 N</t>
  </si>
  <si>
    <t>097:43:56.33 W</t>
  </si>
  <si>
    <t>033:09:54.54 N</t>
  </si>
  <si>
    <t>097:43:55.10 W</t>
  </si>
  <si>
    <t>033:09:53.15 N</t>
  </si>
  <si>
    <t>097:43:53.94 W</t>
  </si>
  <si>
    <t>033:09:51.76 N</t>
  </si>
  <si>
    <t>097:43:52.78 W</t>
  </si>
  <si>
    <t>033:09:50.29 N</t>
  </si>
  <si>
    <t>097:43:51.62 W</t>
  </si>
  <si>
    <t>033:09:48.90 N</t>
  </si>
  <si>
    <t>097:43:50.46 W</t>
  </si>
  <si>
    <t>033:09:47.35 N</t>
  </si>
  <si>
    <t>097:43:49.23 W</t>
  </si>
  <si>
    <t>033:09:45.96 N</t>
  </si>
  <si>
    <t>097:43:48.07 W</t>
  </si>
  <si>
    <t>033:09:44.50 N</t>
  </si>
  <si>
    <t>097:43:46.99 W</t>
  </si>
  <si>
    <t>033:09:43.11 N</t>
  </si>
  <si>
    <t>097:43:45.91 W</t>
  </si>
  <si>
    <t>033:09:41.72 N</t>
  </si>
  <si>
    <t>097:43:44.90 W</t>
  </si>
  <si>
    <t>033:09:40.25 N</t>
  </si>
  <si>
    <t>097:43:43.74 W</t>
  </si>
  <si>
    <t>033:09:38.78 N</t>
  </si>
  <si>
    <t>097:43:42.58 W</t>
  </si>
  <si>
    <t>033:09:37.39 N</t>
  </si>
  <si>
    <t>097:43:41.50 W</t>
  </si>
  <si>
    <t>033:09:35.92 N</t>
  </si>
  <si>
    <t>097:43:40.42 W</t>
  </si>
  <si>
    <t>033:09:34.45 N</t>
  </si>
  <si>
    <t>097:43:39.26 W</t>
  </si>
  <si>
    <t>033:09:32.99 N</t>
  </si>
  <si>
    <t>097:43:38.26 W</t>
  </si>
  <si>
    <t>033:09:31.52 N</t>
  </si>
  <si>
    <t>097:43:37.18 W</t>
  </si>
  <si>
    <t>033:09:29.97 N</t>
  </si>
  <si>
    <t>097:43:36.10 W</t>
  </si>
  <si>
    <t>033:09:28.43 N</t>
  </si>
  <si>
    <t>097:43:35.09 W</t>
  </si>
  <si>
    <t>033:09:27.04 N</t>
  </si>
  <si>
    <t>097:43:34.01 W</t>
  </si>
  <si>
    <t>033:09:25.57 N</t>
  </si>
  <si>
    <t>097:43:32.93 W</t>
  </si>
  <si>
    <t>033:09:24.03 N</t>
  </si>
  <si>
    <t>097:43:31.77 W</t>
  </si>
  <si>
    <t>033:09:22.48 N</t>
  </si>
  <si>
    <t>097:43:30.61 W</t>
  </si>
  <si>
    <t>033:09:21.01 N</t>
  </si>
  <si>
    <t>097:43:29.68 W</t>
  </si>
  <si>
    <t>033:09:19.55 N</t>
  </si>
  <si>
    <t>097:43:28.60 W</t>
  </si>
  <si>
    <t>033:09:18.00 N</t>
  </si>
  <si>
    <t>097:43:27.52 W</t>
  </si>
  <si>
    <t>033:09:16.53 N</t>
  </si>
  <si>
    <t>097:43:26.44 W</t>
  </si>
  <si>
    <t>033:09:15.14 N</t>
  </si>
  <si>
    <t>097:43:25.51 W</t>
  </si>
  <si>
    <t>033:09:13.67 N</t>
  </si>
  <si>
    <t>097:43:24.51 W</t>
  </si>
  <si>
    <t>033:09:12.13 N</t>
  </si>
  <si>
    <t>097:43:23.43 W</t>
  </si>
  <si>
    <t>033:09:10.58 N</t>
  </si>
  <si>
    <t>097:43:22.35 W</t>
  </si>
  <si>
    <t>033:09:09.04 N</t>
  </si>
  <si>
    <t>097:43:21.26 W</t>
  </si>
  <si>
    <t>033:09:07.65 N</t>
  </si>
  <si>
    <t>097:43:20.34 W</t>
  </si>
  <si>
    <t>033:09:06.18 N</t>
  </si>
  <si>
    <t>097:43:19.33 W</t>
  </si>
  <si>
    <t>033:09:04.56 N</t>
  </si>
  <si>
    <t>097:43:18.17 W</t>
  </si>
  <si>
    <t>033:09:02.94 N</t>
  </si>
  <si>
    <t>097:43:17.09 W</t>
  </si>
  <si>
    <t>033:09:01.47 N</t>
  </si>
  <si>
    <t>097:43:16.17 W</t>
  </si>
  <si>
    <t>033:08:59.92 N</t>
  </si>
  <si>
    <t>097:43:15.16 W</t>
  </si>
  <si>
    <t>033:08:58.30 N</t>
  </si>
  <si>
    <t>097:43:14.16 W</t>
  </si>
  <si>
    <t>033:08:56.83 N</t>
  </si>
  <si>
    <t>097:43:13.23 W</t>
  </si>
  <si>
    <t>033:08:55.29 N</t>
  </si>
  <si>
    <t>097:43:12.30 W</t>
  </si>
  <si>
    <t>033:08:53.59 N</t>
  </si>
  <si>
    <t>097:43:11.14 W</t>
  </si>
  <si>
    <t>033:08:52.05 N</t>
  </si>
  <si>
    <t>097:43:10.14 W</t>
  </si>
  <si>
    <t>033:08:50.42 N</t>
  </si>
  <si>
    <t>097:43:09.06 W</t>
  </si>
  <si>
    <t>033:08:48.88 N</t>
  </si>
  <si>
    <t>097:43:08.05 W</t>
  </si>
  <si>
    <t>033:08:47.41 N</t>
  </si>
  <si>
    <t>097:43:06.97 W</t>
  </si>
  <si>
    <t>033:08:45.71 N</t>
  </si>
  <si>
    <t>097:43:05.81 W</t>
  </si>
  <si>
    <t>033:08:44.24 N</t>
  </si>
  <si>
    <t>097:43:04.73 W</t>
  </si>
  <si>
    <t>033:08:42.62 N</t>
  </si>
  <si>
    <t>097:43:03.50 W</t>
  </si>
  <si>
    <t>033:08:40.92 N</t>
  </si>
  <si>
    <t>097:43:02.34 W</t>
  </si>
  <si>
    <t>033:08:39.45 N</t>
  </si>
  <si>
    <t>097:43:01.33 W</t>
  </si>
  <si>
    <t>033:08:37.99 N</t>
  </si>
  <si>
    <t>097:43:00.25 W</t>
  </si>
  <si>
    <t>033:08:36.44 N</t>
  </si>
  <si>
    <t>097:42:59.09 W</t>
  </si>
  <si>
    <t>033:08:34.74 N</t>
  </si>
  <si>
    <t>097:42:57.86 W</t>
  </si>
  <si>
    <t>033:08:33.20 N</t>
  </si>
  <si>
    <t>097:42:56.78 W</t>
  </si>
  <si>
    <t>033:08:31.65 N</t>
  </si>
  <si>
    <t>097:42:55.69 W</t>
  </si>
  <si>
    <t>033:08:29.95 N</t>
  </si>
  <si>
    <t>097:42:54.54 W</t>
  </si>
  <si>
    <t>033:08:28.41 N</t>
  </si>
  <si>
    <t>097:42:53.45 W</t>
  </si>
  <si>
    <t>033:08:26.86 N</t>
  </si>
  <si>
    <t>097:42:52.45 W</t>
  </si>
  <si>
    <t>033:08:25.32 N</t>
  </si>
  <si>
    <t>097:42:51.21 W</t>
  </si>
  <si>
    <t>033:08:23.70 N</t>
  </si>
  <si>
    <t>097:42:50.21 W</t>
  </si>
  <si>
    <t>033:08:22.23 N</t>
  </si>
  <si>
    <t>097:42:49.21 W</t>
  </si>
  <si>
    <t>033:08:20.61 N</t>
  </si>
  <si>
    <t>097:42:48.12 W</t>
  </si>
  <si>
    <t>033:08:19.06 N</t>
  </si>
  <si>
    <t>097:42:47.12 W</t>
  </si>
  <si>
    <t>033:08:17.44 N</t>
  </si>
  <si>
    <t>097:42:46.04 W</t>
  </si>
  <si>
    <t>033:08:15.89 N</t>
  </si>
  <si>
    <t>097:42:45.03 W</t>
  </si>
  <si>
    <t>033:08:14.27 N</t>
  </si>
  <si>
    <t>097:42:44.18 W</t>
  </si>
  <si>
    <t>033:08:12.73 N</t>
  </si>
  <si>
    <t>097:42:43.18 W</t>
  </si>
  <si>
    <t>033:08:11.03 N</t>
  </si>
  <si>
    <t>097:42:42.10 W</t>
  </si>
  <si>
    <t>033:08:09.33 N</t>
  </si>
  <si>
    <t>097:42:41.02 W</t>
  </si>
  <si>
    <t>033:08:07.71 N</t>
  </si>
  <si>
    <t>097:42:40.09 W</t>
  </si>
  <si>
    <t>033:08:06.01 N</t>
  </si>
  <si>
    <t>097:42:39.09 W</t>
  </si>
  <si>
    <t>033:08:04.38 N</t>
  </si>
  <si>
    <t>097:42:38.16 W</t>
  </si>
  <si>
    <t>033:08:02.61 N</t>
  </si>
  <si>
    <t>097:42:37.08 W</t>
  </si>
  <si>
    <t>033:08:00.91 N</t>
  </si>
  <si>
    <t>097:42:36.07 W</t>
  </si>
  <si>
    <t>033:07:59.29 N</t>
  </si>
  <si>
    <t>097:42:35.22 W</t>
  </si>
  <si>
    <t>033:07:57.74 N</t>
  </si>
  <si>
    <t>097:42:34.30 W</t>
  </si>
  <si>
    <t>033:07:56.12 N</t>
  </si>
  <si>
    <t>097:42:33.37 W</t>
  </si>
  <si>
    <t>033:07:54.50 N</t>
  </si>
  <si>
    <t>097:42:32.37 W</t>
  </si>
  <si>
    <t>033:07:52.95 N</t>
  </si>
  <si>
    <t>097:42:31.59 W</t>
  </si>
  <si>
    <t>033:07:51.17 N</t>
  </si>
  <si>
    <t>097:42:30.43 W</t>
  </si>
  <si>
    <t>033:07:49.63 N</t>
  </si>
  <si>
    <t>097:42:29.51 W</t>
  </si>
  <si>
    <t>033:07:48.08 N</t>
  </si>
  <si>
    <t>097:42:28.58 W</t>
  </si>
  <si>
    <t>033:07:46.39 N</t>
  </si>
  <si>
    <t>097:42:27.65 W</t>
  </si>
  <si>
    <t>033:07:44.76 N</t>
  </si>
  <si>
    <t>097:42:26.73 W</t>
  </si>
  <si>
    <t>033:07:43.14 N</t>
  </si>
  <si>
    <t>097:42:25.80 W</t>
  </si>
  <si>
    <t>033:07:41.60 N</t>
  </si>
  <si>
    <t>097:42:24.87 W</t>
  </si>
  <si>
    <t>033:07:39.97 N</t>
  </si>
  <si>
    <t>097:42:23.87 W</t>
  </si>
  <si>
    <t>033:07:38.43 N</t>
  </si>
  <si>
    <t>097:42:22.94 W</t>
  </si>
  <si>
    <t>033:07:36.88 N</t>
  </si>
  <si>
    <t>097:42:21.94 W</t>
  </si>
  <si>
    <t>033:07:35.34 N</t>
  </si>
  <si>
    <t>097:42:20.93 W</t>
  </si>
  <si>
    <t>033:07:33.64 N</t>
  </si>
  <si>
    <t>097:42:19.85 W</t>
  </si>
  <si>
    <t>033:07:32.09 N</t>
  </si>
  <si>
    <t>097:42:18.85 W</t>
  </si>
  <si>
    <t>033:07:30.63 N</t>
  </si>
  <si>
    <t>097:42:17.92 W</t>
  </si>
  <si>
    <t>033:07:29.08 N</t>
  </si>
  <si>
    <t>097:42:16.92 W</t>
  </si>
  <si>
    <t>033:07:27.61 N</t>
  </si>
  <si>
    <t>097:42:15.91 W</t>
  </si>
  <si>
    <t>033:07:26.15 N</t>
  </si>
  <si>
    <t>097:42:14.91 W</t>
  </si>
  <si>
    <t>033:07:24.60 N</t>
  </si>
  <si>
    <t>097:42:13.90 W</t>
  </si>
  <si>
    <t>033:07:22.98 N</t>
  </si>
  <si>
    <t>097:42:12.82 W</t>
  </si>
  <si>
    <t>033:07:21.43 N</t>
  </si>
  <si>
    <t>097:42:11.74 W</t>
  </si>
  <si>
    <t>033:07:19.89 N</t>
  </si>
  <si>
    <t>097:42:10.66 W</t>
  </si>
  <si>
    <t>033:07:18.34 N</t>
  </si>
  <si>
    <t>097:42:09.73 W</t>
  </si>
  <si>
    <t>033:07:16.64 N</t>
  </si>
  <si>
    <t>097:42:08.57 W</t>
  </si>
  <si>
    <t>033:07:15.02 N</t>
  </si>
  <si>
    <t>097:42:07.49 W</t>
  </si>
  <si>
    <t>033:07:13.48 N</t>
  </si>
  <si>
    <t>097:42:06.49 W</t>
  </si>
  <si>
    <t>033:07:11.86 N</t>
  </si>
  <si>
    <t>097:42:05.48 W</t>
  </si>
  <si>
    <t>033:07:10.23 N</t>
  </si>
  <si>
    <t>097:42:04.40 W</t>
  </si>
  <si>
    <t>033:07:08.53 N</t>
  </si>
  <si>
    <t>097:42:03.24 W</t>
  </si>
  <si>
    <t>033:07:06.83 N</t>
  </si>
  <si>
    <t>097:42:02.24 W</t>
  </si>
  <si>
    <t>033:07:05.13 N</t>
  </si>
  <si>
    <t>097:42:01.16 W</t>
  </si>
  <si>
    <t>033:07:03.51 N</t>
  </si>
  <si>
    <t>097:42:00.08 W</t>
  </si>
  <si>
    <t>033:07:01.89 N</t>
  </si>
  <si>
    <t>097:41:59.00 W</t>
  </si>
  <si>
    <t>033:07:00.19 N</t>
  </si>
  <si>
    <t>097:41:57.91 W</t>
  </si>
  <si>
    <t>033:06:58.57 N</t>
  </si>
  <si>
    <t>097:41:56.91 W</t>
  </si>
  <si>
    <t>033:06:56.95 N</t>
  </si>
  <si>
    <t>097:41:55.75 W</t>
  </si>
  <si>
    <t>033:06:55.32 N</t>
  </si>
  <si>
    <t>097:41:54.75 W</t>
  </si>
  <si>
    <t>033:06:53.86 N</t>
  </si>
  <si>
    <t>097:41:53.90 W</t>
  </si>
  <si>
    <t>033:06:52.23 N</t>
  </si>
  <si>
    <t>097:41:52.89 W</t>
  </si>
  <si>
    <t>033:06:50.69 N</t>
  </si>
  <si>
    <t>097:41:51.81 W</t>
  </si>
  <si>
    <t>033:06:49.14 N</t>
  </si>
  <si>
    <t>097:41:50.88 W</t>
  </si>
  <si>
    <t>033:06:47.60 N</t>
  </si>
  <si>
    <t>097:41:49.80 W</t>
  </si>
  <si>
    <t>033:06:45.98 N</t>
  </si>
  <si>
    <t>097:41:48.80 W</t>
  </si>
  <si>
    <t>033:06:44.51 N</t>
  </si>
  <si>
    <t>097:41:47.87 W</t>
  </si>
  <si>
    <t>033:06:42.89 N</t>
  </si>
  <si>
    <t>097:41:46.71 W</t>
  </si>
  <si>
    <t>033:06:41.34 N</t>
  </si>
  <si>
    <t>097:41:45.63 W</t>
  </si>
  <si>
    <t>033:06:39.72 N</t>
  </si>
  <si>
    <t>097:41:44.63 W</t>
  </si>
  <si>
    <t>033:06:38.18 N</t>
  </si>
  <si>
    <t>097:41:43.55 W</t>
  </si>
  <si>
    <t>033:06:36.55 N</t>
  </si>
  <si>
    <t>097:41:42.46 W</t>
  </si>
  <si>
    <t>033:06:35.01 N</t>
  </si>
  <si>
    <t>097:41:41.38 W</t>
  </si>
  <si>
    <t>033:06:33.39 N</t>
  </si>
  <si>
    <t>097:41:40.38 W</t>
  </si>
  <si>
    <t>033:06:31.76 N</t>
  </si>
  <si>
    <t>097:41:39.30 W</t>
  </si>
  <si>
    <t>033:06:30.14 N</t>
  </si>
  <si>
    <t>097:41:38.22 W</t>
  </si>
  <si>
    <t>033:06:28.60 N</t>
  </si>
  <si>
    <t>097:41:37.21 W</t>
  </si>
  <si>
    <t>033:06:26.97 N</t>
  </si>
  <si>
    <t>097:41:36.05 W</t>
  </si>
  <si>
    <t>033:06:25.28 N</t>
  </si>
  <si>
    <t>097:41:34.97 W</t>
  </si>
  <si>
    <t>033:06:23.65 N</t>
  </si>
  <si>
    <t>097:41:33.97 W</t>
  </si>
  <si>
    <t>033:06:21.95 N</t>
  </si>
  <si>
    <t>097:41:32.81 W</t>
  </si>
  <si>
    <t>033:06:20.33 N</t>
  </si>
  <si>
    <t>097:41:31.73 W</t>
  </si>
  <si>
    <t>033:06:18.71 N</t>
  </si>
  <si>
    <t>097:41:30.65 W</t>
  </si>
  <si>
    <t>033:06:17.09 N</t>
  </si>
  <si>
    <t>097:41:29.56 W</t>
  </si>
  <si>
    <t>033:06:15.46 N</t>
  </si>
  <si>
    <t>097:41:28.48 W</t>
  </si>
  <si>
    <t>033:06:13.84 N</t>
  </si>
  <si>
    <t>097:41:27.40 W</t>
  </si>
  <si>
    <t>033:06:12.14 N</t>
  </si>
  <si>
    <t>097:41:26.24 W</t>
  </si>
  <si>
    <t>033:06:10.52 N</t>
  </si>
  <si>
    <t>097:41:25.24 W</t>
  </si>
  <si>
    <t>033:06:08.82 N</t>
  </si>
  <si>
    <t>097:41:24.16 W</t>
  </si>
  <si>
    <t>033:06:07.20 N</t>
  </si>
  <si>
    <t>097:41:23.15 W</t>
  </si>
  <si>
    <t>033:06:05.50 N</t>
  </si>
  <si>
    <t>097:41:22.15 W</t>
  </si>
  <si>
    <t>033:06:03.80 N</t>
  </si>
  <si>
    <t>097:41:21.14 W</t>
  </si>
  <si>
    <t>033:06:02.10 N</t>
  </si>
  <si>
    <t>097:41:20.06 W</t>
  </si>
  <si>
    <t>033:06:00.32 N</t>
  </si>
  <si>
    <t>097:41:18.98 W</t>
  </si>
  <si>
    <t>033:05:58.62 N</t>
  </si>
  <si>
    <t>097:41:18.05 W</t>
  </si>
  <si>
    <t>033:05:56.93 N</t>
  </si>
  <si>
    <t>097:41:16.97 W</t>
  </si>
  <si>
    <t>033:05:55.23 N</t>
  </si>
  <si>
    <t>097:41:16.05 W</t>
  </si>
  <si>
    <t>033:05:53.53 N</t>
  </si>
  <si>
    <t>097:41:14.96 W</t>
  </si>
  <si>
    <t>033:05:51.83 N</t>
  </si>
  <si>
    <t>097:41:13.96 W</t>
  </si>
  <si>
    <t>033:05:50.05 N</t>
  </si>
  <si>
    <t>097:41:13.03 W</t>
  </si>
  <si>
    <t>033:05:48.35 N</t>
  </si>
  <si>
    <t>097:41:12.03 W</t>
  </si>
  <si>
    <t>033:05:46.57 N</t>
  </si>
  <si>
    <t>097:41:11.02 W</t>
  </si>
  <si>
    <t>033:05:44.80 N</t>
  </si>
  <si>
    <t>097:41:10.10 W</t>
  </si>
  <si>
    <t>033:05:43.02 N</t>
  </si>
  <si>
    <t>097:41:09.02 W</t>
  </si>
  <si>
    <t>033:05:41.24 N</t>
  </si>
  <si>
    <t>097:41:08.01 W</t>
  </si>
  <si>
    <t>033:05:39.47 N</t>
  </si>
  <si>
    <t>097:41:07.08 W</t>
  </si>
  <si>
    <t>033:05:37.69 N</t>
  </si>
  <si>
    <t>097:41:06.16 W</t>
  </si>
  <si>
    <t>033:05:35.91 N</t>
  </si>
  <si>
    <t>097:41:05.23 W</t>
  </si>
  <si>
    <t>033:05:34.06 N</t>
  </si>
  <si>
    <t>097:41:04.30 W</t>
  </si>
  <si>
    <t>033:05:32.36 N</t>
  </si>
  <si>
    <t>097:41:03.45 W</t>
  </si>
  <si>
    <t>033:05:30.58 N</t>
  </si>
  <si>
    <t>097:41:02.60 W</t>
  </si>
  <si>
    <t>033:05:28.65 N</t>
  </si>
  <si>
    <t>097:41:01.60 W</t>
  </si>
  <si>
    <t>033:05:26.88 N</t>
  </si>
  <si>
    <t>097:41:00.67 W</t>
  </si>
  <si>
    <t>033:05:25.10 N</t>
  </si>
  <si>
    <t>097:40:59.82 W</t>
  </si>
  <si>
    <t>033:05:23.25 N</t>
  </si>
  <si>
    <t>097:40:58.82 W</t>
  </si>
  <si>
    <t>033:05:21.55 N</t>
  </si>
  <si>
    <t>097:40:57.97 W</t>
  </si>
  <si>
    <t>033:05:19.77 N</t>
  </si>
  <si>
    <t>097:40:57.12 W</t>
  </si>
  <si>
    <t>033:05:17.99 N</t>
  </si>
  <si>
    <t>097:40:56.12 W</t>
  </si>
  <si>
    <t>033:05:16.22 N</t>
  </si>
  <si>
    <t>097:40:55.50 W</t>
  </si>
  <si>
    <t>033:05:14.44 N</t>
  </si>
  <si>
    <t>097:40:54.57 W</t>
  </si>
  <si>
    <t>033:05:12.66 N</t>
  </si>
  <si>
    <t>097:40:53.72 W</t>
  </si>
  <si>
    <t>033:05:10.73 N</t>
  </si>
  <si>
    <t>097:40:52.79 W</t>
  </si>
  <si>
    <t>033:05:08.95 N</t>
  </si>
  <si>
    <t>097:40:51.94 W</t>
  </si>
  <si>
    <t>033:05:07.18 N</t>
  </si>
  <si>
    <t>097:40:51.17 W</t>
  </si>
  <si>
    <t>033:05:05.32 N</t>
  </si>
  <si>
    <t>097:40:50.32 W</t>
  </si>
  <si>
    <t>033:05:03.47 N</t>
  </si>
  <si>
    <t>097:40:49.24 W</t>
  </si>
  <si>
    <t>033:05:01.62 N</t>
  </si>
  <si>
    <t>097:40:48.31 W</t>
  </si>
  <si>
    <t>033:04:59.76 N</t>
  </si>
  <si>
    <t>097:40:47.39 W</t>
  </si>
  <si>
    <t>033:04:57.91 N</t>
  </si>
  <si>
    <t>097:40:46.38 W</t>
  </si>
  <si>
    <t>033:04:56.05 N</t>
  </si>
  <si>
    <t>097:40:45.46 W</t>
  </si>
  <si>
    <t>033:04:54.28 N</t>
  </si>
  <si>
    <t>097:40:44.45 W</t>
  </si>
  <si>
    <t>033:04:52.42 N</t>
  </si>
  <si>
    <t>097:40:43.52 W</t>
  </si>
  <si>
    <t>033:04:50.57 N</t>
  </si>
  <si>
    <t>097:40:42.52 W</t>
  </si>
  <si>
    <t>033:04:48.72 N</t>
  </si>
  <si>
    <t>097:40:41.59 W</t>
  </si>
  <si>
    <t>033:04:46.78 N</t>
  </si>
  <si>
    <t>097:40:40.67 W</t>
  </si>
  <si>
    <t>033:04:44.93 N</t>
  </si>
  <si>
    <t>097:40:39.74 W</t>
  </si>
  <si>
    <t>033:04:43.08 N</t>
  </si>
  <si>
    <t>097:40:38.81 W</t>
  </si>
  <si>
    <t>033:04:41.15 N</t>
  </si>
  <si>
    <t>097:40:37.89 W</t>
  </si>
  <si>
    <t>033:04:39.29 N</t>
  </si>
  <si>
    <t>097:40:37.04 W</t>
  </si>
  <si>
    <t>033:04:37.44 N</t>
  </si>
  <si>
    <t>097:40:36.11 W</t>
  </si>
  <si>
    <t>033:04:35.58 N</t>
  </si>
  <si>
    <t>097:40:35.26 W</t>
  </si>
  <si>
    <t>033:04:33.73 N</t>
  </si>
  <si>
    <t>097:40:34.41 W</t>
  </si>
  <si>
    <t>033:04:31.80 N</t>
  </si>
  <si>
    <t>097:40:33.56 W</t>
  </si>
  <si>
    <t>033:04:29.94 N</t>
  </si>
  <si>
    <t>097:40:32.63 W</t>
  </si>
  <si>
    <t>033:04:28.17 N</t>
  </si>
  <si>
    <t>097:40:31.78 W</t>
  </si>
  <si>
    <t>033:04:26.24 N</t>
  </si>
  <si>
    <t>097:40:30.86 W</t>
  </si>
  <si>
    <t>033:04:24.46 N</t>
  </si>
  <si>
    <t>097:40:30.01 W</t>
  </si>
  <si>
    <t>033:04:22.53 N</t>
  </si>
  <si>
    <t>097:40:29.08 W</t>
  </si>
  <si>
    <t>033:04:20.67 N</t>
  </si>
  <si>
    <t>097:40:28.15 W</t>
  </si>
  <si>
    <t>033:04:18.82 N</t>
  </si>
  <si>
    <t>097:40:27.30 W</t>
  </si>
  <si>
    <t>033:04:17.04 N</t>
  </si>
  <si>
    <t>097:40:26.38 W</t>
  </si>
  <si>
    <t>033:04:15.19 N</t>
  </si>
  <si>
    <t>097:40:25.53 W</t>
  </si>
  <si>
    <t>033:04:13.34 N</t>
  </si>
  <si>
    <t>097:40:24.68 W</t>
  </si>
  <si>
    <t>033:04:11.48 N</t>
  </si>
  <si>
    <t>097:40:23.83 W</t>
  </si>
  <si>
    <t>033:04:07.85 N</t>
  </si>
  <si>
    <t>097:40:22.05 W</t>
  </si>
  <si>
    <t>033:04:06.00 N</t>
  </si>
  <si>
    <t>097:40:21.12 W</t>
  </si>
  <si>
    <t>033:04:04.14 N</t>
  </si>
  <si>
    <t>097:40:20.35 W</t>
  </si>
  <si>
    <t>033:04:02.37 N</t>
  </si>
  <si>
    <t>097:40:19.58 W</t>
  </si>
  <si>
    <t>033:04:00.59 N</t>
  </si>
  <si>
    <t>097:40:18.73 W</t>
  </si>
  <si>
    <t>033:03:58.74 N</t>
  </si>
  <si>
    <t>097:40:17.96 W</t>
  </si>
  <si>
    <t>033:03:56.88 N</t>
  </si>
  <si>
    <t>097:40:17.11 W</t>
  </si>
  <si>
    <t>033:03:55.03 N</t>
  </si>
  <si>
    <t>097:40:16.26 W</t>
  </si>
  <si>
    <t>033:03:53.17 N</t>
  </si>
  <si>
    <t>097:40:15.41 W</t>
  </si>
  <si>
    <t>033:03:51.32 N</t>
  </si>
  <si>
    <t>097:40:14.63 W</t>
  </si>
  <si>
    <t>033:03:49.47 N</t>
  </si>
  <si>
    <t>097:40:13.86 W</t>
  </si>
  <si>
    <t>033:03:47.61 N</t>
  </si>
  <si>
    <t>097:40:13.09 W</t>
  </si>
  <si>
    <t>033:03:45.76 N</t>
  </si>
  <si>
    <t>097:40:12.32 W</t>
  </si>
  <si>
    <t>033:03:43.98 N</t>
  </si>
  <si>
    <t>097:40:11.47 W</t>
  </si>
  <si>
    <t>033:03:42.13 N</t>
  </si>
  <si>
    <t>097:40:10.69 W</t>
  </si>
  <si>
    <t>033:03:40.27 N</t>
  </si>
  <si>
    <t>097:40:09.92 W</t>
  </si>
  <si>
    <t>033:03:36.57 N</t>
  </si>
  <si>
    <t>097:40:08.45 W</t>
  </si>
  <si>
    <t>033:03:38.42 N</t>
  </si>
  <si>
    <t>097:40:09.23 W</t>
  </si>
  <si>
    <t>033:03:34.79 N</t>
  </si>
  <si>
    <t>097:40:07.68 W</t>
  </si>
  <si>
    <t>033:03:32.94 N</t>
  </si>
  <si>
    <t>097:40:06.99 W</t>
  </si>
  <si>
    <t>033:03:31.08 N</t>
  </si>
  <si>
    <t>097:40:06.21 W</t>
  </si>
  <si>
    <t>033:03:29.31 N</t>
  </si>
  <si>
    <t>097:40:05.52 W</t>
  </si>
  <si>
    <t>033:03:27.37 N</t>
  </si>
  <si>
    <t>097:40:04.75 W</t>
  </si>
  <si>
    <t>033:03:25.52 N</t>
  </si>
  <si>
    <t>097:40:04.13 W</t>
  </si>
  <si>
    <t>033:03:23.74 N</t>
  </si>
  <si>
    <t>097:40:03.51 W</t>
  </si>
  <si>
    <t>033:03:21.89 N</t>
  </si>
  <si>
    <t>097:40:02.81 W</t>
  </si>
  <si>
    <t>033:03:20.04 N</t>
  </si>
  <si>
    <t>097:40:02.04 W</t>
  </si>
  <si>
    <t>033:03:18.18 N</t>
  </si>
  <si>
    <t>097:40:01.35 W</t>
  </si>
  <si>
    <t>033:03:16.40 N</t>
  </si>
  <si>
    <t>097:40:00.73 W</t>
  </si>
  <si>
    <t>033:03:14.55 N</t>
  </si>
  <si>
    <t>097:40:00.03 W</t>
  </si>
  <si>
    <t>033:03:12.70 N</t>
  </si>
  <si>
    <t>097:39:59.42 W</t>
  </si>
  <si>
    <t>033:03:10.84 N</t>
  </si>
  <si>
    <t>097:39:58.72 W</t>
  </si>
  <si>
    <t>033:03:08.91 N</t>
  </si>
  <si>
    <t>097:39:58.03 W</t>
  </si>
  <si>
    <t>033:03:07.06 N</t>
  </si>
  <si>
    <t>097:39:57.33 W</t>
  </si>
  <si>
    <t>033:03:05.13 N</t>
  </si>
  <si>
    <t>097:39:56.63 W</t>
  </si>
  <si>
    <t>033:03:03.35 N</t>
  </si>
  <si>
    <t>097:39:56.02 W</t>
  </si>
  <si>
    <t>033:03:01.65 N</t>
  </si>
  <si>
    <t>097:39:55.48 W</t>
  </si>
  <si>
    <t>033:02:59.87 N</t>
  </si>
  <si>
    <t>097:39:54.86 W</t>
  </si>
  <si>
    <t>033:02:58.17 N</t>
  </si>
  <si>
    <t>097:39:54.32 W</t>
  </si>
  <si>
    <t>033:02:56.47 N</t>
  </si>
  <si>
    <t>097:39:53.78 W</t>
  </si>
  <si>
    <t>033:02:54.78 N</t>
  </si>
  <si>
    <t>097:39:53.31 W</t>
  </si>
  <si>
    <t>033:02:53.15 N</t>
  </si>
  <si>
    <t>097:39:52.77 W</t>
  </si>
  <si>
    <t>033:02:51.53 N</t>
  </si>
  <si>
    <t>097:39:52.23 W</t>
  </si>
  <si>
    <t>033:02:49.91 N</t>
  </si>
  <si>
    <t>097:39:51.77 W</t>
  </si>
  <si>
    <t>033:02:48.21 N</t>
  </si>
  <si>
    <t>097:39:51.23 W</t>
  </si>
  <si>
    <t>033:02:46.59 N</t>
  </si>
  <si>
    <t>097:39:50.69 W</t>
  </si>
  <si>
    <t>033:02:44.96 N</t>
  </si>
  <si>
    <t>097:39:50.22 W</t>
  </si>
  <si>
    <t>033:02:43.34 N</t>
  </si>
  <si>
    <t>097:39:49.68 W</t>
  </si>
  <si>
    <t>033:02:41.72 N</t>
  </si>
  <si>
    <t>097:39:49.22 W</t>
  </si>
  <si>
    <t>033:02:40.10 N</t>
  </si>
  <si>
    <t>097:39:48.76 W</t>
  </si>
  <si>
    <t>033:02:38.55 N</t>
  </si>
  <si>
    <t>097:39:48.29 W</t>
  </si>
  <si>
    <t>033:02:37.01 N</t>
  </si>
  <si>
    <t>097:39:47.83 W</t>
  </si>
  <si>
    <t>033:02:35.46 N</t>
  </si>
  <si>
    <t>097:39:47.29 W</t>
  </si>
  <si>
    <t>033:02:34.00 N</t>
  </si>
  <si>
    <t>097:39:46.90 W</t>
  </si>
  <si>
    <t>033:02:32.53 N</t>
  </si>
  <si>
    <t>097:39:46.52 W</t>
  </si>
  <si>
    <t>033:02:30.98 N</t>
  </si>
  <si>
    <t>097:39:45.97 W</t>
  </si>
  <si>
    <t>033:02:29.44 N</t>
  </si>
  <si>
    <t>097:39:45.43 W</t>
  </si>
  <si>
    <t>033:02:27.89 N</t>
  </si>
  <si>
    <t>097:39:44.89 W</t>
  </si>
  <si>
    <t>033:02:26.50 N</t>
  </si>
  <si>
    <t>097:39:44.35 W</t>
  </si>
  <si>
    <t>033:02:25.03 N</t>
  </si>
  <si>
    <t>097:39:43.89 W</t>
  </si>
  <si>
    <t>033:02:23.57 N</t>
  </si>
  <si>
    <t>097:39:43.43 W</t>
  </si>
  <si>
    <t>033:02:22.18 N</t>
  </si>
  <si>
    <t>097:39:42.96 W</t>
  </si>
  <si>
    <t>033:02:20.71 N</t>
  </si>
  <si>
    <t>097:39:42.42 W</t>
  </si>
  <si>
    <t>033:02:19.24 N</t>
  </si>
  <si>
    <t>097:39:41.96 W</t>
  </si>
  <si>
    <t>033:02:17.85 N</t>
  </si>
  <si>
    <t>097:39:41.42 W</t>
  </si>
  <si>
    <t>033:02:16.46 N</t>
  </si>
  <si>
    <t>097:39:40.88 W</t>
  </si>
  <si>
    <t>033:02:14.92 N</t>
  </si>
  <si>
    <t>097:39:40.34 W</t>
  </si>
  <si>
    <t>033:02:13.45 N</t>
  </si>
  <si>
    <t>097:39:39.72 W</t>
  </si>
  <si>
    <t>033:02:12.06 N</t>
  </si>
  <si>
    <t>097:39:39.18 W</t>
  </si>
  <si>
    <t>033:02:10.59 N</t>
  </si>
  <si>
    <t>097:39:38.64 W</t>
  </si>
  <si>
    <t>033:02:09.20 N</t>
  </si>
  <si>
    <t>097:39:38.10 W</t>
  </si>
  <si>
    <t>033:02:07.81 N</t>
  </si>
  <si>
    <t>097:39:37.55 W</t>
  </si>
  <si>
    <t>033:02:06.42 N</t>
  </si>
  <si>
    <t>097:39:37.01 W</t>
  </si>
  <si>
    <t>033:02:05.03 N</t>
  </si>
  <si>
    <t>097:39:36.47 W</t>
  </si>
  <si>
    <t>033:02:03.71 N</t>
  </si>
  <si>
    <t>097:39:36.01 W</t>
  </si>
  <si>
    <t>033:02:02.40 N</t>
  </si>
  <si>
    <t>097:39:35.47 W</t>
  </si>
  <si>
    <t>033:02:01.09 N</t>
  </si>
  <si>
    <t>097:39:34.93 W</t>
  </si>
  <si>
    <t>033:01:59.78 N</t>
  </si>
  <si>
    <t>097:39:34.31 W</t>
  </si>
  <si>
    <t>033:01:58.54 N</t>
  </si>
  <si>
    <t>097:39:33.69 W</t>
  </si>
  <si>
    <t>033:01:57.23 N</t>
  </si>
  <si>
    <t>097:39:33.00 W</t>
  </si>
  <si>
    <t>033:01:55.84 N</t>
  </si>
  <si>
    <t>097:39:32.15 W</t>
  </si>
  <si>
    <t>033:01:54.52 N</t>
  </si>
  <si>
    <t>097:39:31.53 W</t>
  </si>
  <si>
    <t>033:01:51.97 N</t>
  </si>
  <si>
    <t>097:39:30.29 W</t>
  </si>
  <si>
    <t>033:01:53.36 N</t>
  </si>
  <si>
    <t>097:39:30.99 W</t>
  </si>
  <si>
    <t>033:01:50.66 N</t>
  </si>
  <si>
    <t>097:39:29.60 W</t>
  </si>
  <si>
    <t>033:01:49.35 N</t>
  </si>
  <si>
    <t>097:39:28.90 W</t>
  </si>
  <si>
    <t>033:01:48.11 N</t>
  </si>
  <si>
    <t>097:39:28.13 W</t>
  </si>
  <si>
    <t>033:01:46.87 N</t>
  </si>
  <si>
    <t>097:39:27.44 W</t>
  </si>
  <si>
    <t>033:01:45.72 N</t>
  </si>
  <si>
    <t>097:39:26.82 W</t>
  </si>
  <si>
    <t>033:01:44.48 N</t>
  </si>
  <si>
    <t>097:39:26.12 W</t>
  </si>
  <si>
    <t>033:01:43.17 N</t>
  </si>
  <si>
    <t>097:39:25.35 W</t>
  </si>
  <si>
    <t>033:01:42.01 N</t>
  </si>
  <si>
    <t>097:39:24.73 W</t>
  </si>
  <si>
    <t>033:01:40.77 N</t>
  </si>
  <si>
    <t>097:39:24.04 W</t>
  </si>
  <si>
    <t>033:01:39.61 N</t>
  </si>
  <si>
    <t>097:39:23.34 W</t>
  </si>
  <si>
    <t>033:01:38.45 N</t>
  </si>
  <si>
    <t>097:39:22.65 W</t>
  </si>
  <si>
    <t>033:01:37.14 N</t>
  </si>
  <si>
    <t>097:39:22.03 W</t>
  </si>
  <si>
    <t>033:01:35.83 N</t>
  </si>
  <si>
    <t>097:39:21.33 W</t>
  </si>
  <si>
    <t>033:01:34.67 N</t>
  </si>
  <si>
    <t>097:39:20.71 W</t>
  </si>
  <si>
    <t>033:01:33.51 N</t>
  </si>
  <si>
    <t>097:39:20.10 W</t>
  </si>
  <si>
    <t>033:01:32.20 N</t>
  </si>
  <si>
    <t>097:39:19.48 W</t>
  </si>
  <si>
    <t>033:01:31.12 N</t>
  </si>
  <si>
    <t>097:39:18.86 W</t>
  </si>
  <si>
    <t>033:01:29.96 N</t>
  </si>
  <si>
    <t>097:39:18.17 W</t>
  </si>
  <si>
    <t>033:01:28.72 N</t>
  </si>
  <si>
    <t>097:39:17.39 W</t>
  </si>
  <si>
    <t>033:01:27.41 N</t>
  </si>
  <si>
    <t>097:39:16.62 W</t>
  </si>
  <si>
    <t>033:01:26.17 N</t>
  </si>
  <si>
    <t>097:39:15.93 W</t>
  </si>
  <si>
    <t>033:01:24.86 N</t>
  </si>
  <si>
    <t>097:39:15.15 W</t>
  </si>
  <si>
    <t>033:01:23.62 N</t>
  </si>
  <si>
    <t>097:39:14.38 W</t>
  </si>
  <si>
    <t>033:01:22.39 N</t>
  </si>
  <si>
    <t>097:39:13.69 W</t>
  </si>
  <si>
    <t>033:01:21.00 N</t>
  </si>
  <si>
    <t>097:39:12.84 W</t>
  </si>
  <si>
    <t>033:01:19.53 N</t>
  </si>
  <si>
    <t>097:39:12.14 W</t>
  </si>
  <si>
    <t>033:01:18.37 N</t>
  </si>
  <si>
    <t>097:39:11.60 W</t>
  </si>
  <si>
    <t>033:01:15.74 N</t>
  </si>
  <si>
    <t>097:39:10.44 W</t>
  </si>
  <si>
    <t>033:01:17.06 N</t>
  </si>
  <si>
    <t>097:39:10.98 W</t>
  </si>
  <si>
    <t>033:01:14.43 N</t>
  </si>
  <si>
    <t>097:39:09.82 W</t>
  </si>
  <si>
    <t>033:01:13.19 N</t>
  </si>
  <si>
    <t>097:39:09.28 W</t>
  </si>
  <si>
    <t>033:01:11.96 N</t>
  </si>
  <si>
    <t>097:39:08.74 W</t>
  </si>
  <si>
    <t>033:01:10.57 N</t>
  </si>
  <si>
    <t>097:39:08.12 W</t>
  </si>
  <si>
    <t>033:01:09.41 N</t>
  </si>
  <si>
    <t>097:39:07.66 W</t>
  </si>
  <si>
    <t>033:01:08.17 N</t>
  </si>
  <si>
    <t>097:39:07.12 W</t>
  </si>
  <si>
    <t>033:01:06.86 N</t>
  </si>
  <si>
    <t>097:39:06.58 W</t>
  </si>
  <si>
    <t>033:01:05.62 N</t>
  </si>
  <si>
    <t>097:39:06.04 W</t>
  </si>
  <si>
    <t>033:01:04.31 N</t>
  </si>
  <si>
    <t>097:39:05.42 W</t>
  </si>
  <si>
    <t>033:01:02.92 N</t>
  </si>
  <si>
    <t>097:39:04.88 W</t>
  </si>
  <si>
    <t>033:01:01.68 N</t>
  </si>
  <si>
    <t>097:39:04.34 W</t>
  </si>
  <si>
    <t>033:01:00.37 N</t>
  </si>
  <si>
    <t>097:39:03.72 W</t>
  </si>
  <si>
    <t>033:00:59.14 N</t>
  </si>
  <si>
    <t>097:39:03.10 W</t>
  </si>
  <si>
    <t>033:00:57.82 N</t>
  </si>
  <si>
    <t>097:39:02.48 W</t>
  </si>
  <si>
    <t>033:00:56.51 N</t>
  </si>
  <si>
    <t>097:39:01.94 W</t>
  </si>
  <si>
    <t>033:00:55.04 N</t>
  </si>
  <si>
    <t>097:39:01.40 W</t>
  </si>
  <si>
    <t>033:00:53.65 N</t>
  </si>
  <si>
    <t>097:39:00.86 W</t>
  </si>
  <si>
    <t>033:00:52.26 N</t>
  </si>
  <si>
    <t>097:39:00.48 W</t>
  </si>
  <si>
    <t>033:00:50.72 N</t>
  </si>
  <si>
    <t>097:39:00.09 W</t>
  </si>
  <si>
    <t>033:00:49.33 N</t>
  </si>
  <si>
    <t>097:38:59.86 W</t>
  </si>
  <si>
    <t>033:00:47.93 N</t>
  </si>
  <si>
    <t>097:38:59.78 W</t>
  </si>
  <si>
    <t>033:00:46.47 N</t>
  </si>
  <si>
    <t>097:38:59.63 W</t>
  </si>
  <si>
    <t>033:00:45.00 N</t>
  </si>
  <si>
    <t>097:38:59.70 W</t>
  </si>
  <si>
    <t>033:00:43.76 N</t>
  </si>
  <si>
    <t>033:00:42.76 N</t>
  </si>
  <si>
    <t>097:39:00.40 W</t>
  </si>
  <si>
    <t>033:00:41.68 N</t>
  </si>
  <si>
    <t>033:00:40.21 N</t>
  </si>
  <si>
    <t>097:39:01.25 W</t>
  </si>
  <si>
    <t>033:00:38.36 N</t>
  </si>
  <si>
    <t>097:39:01.48 W</t>
  </si>
  <si>
    <t>033:00:37.51 N</t>
  </si>
  <si>
    <t>097:39:02.18 W</t>
  </si>
  <si>
    <t>033:00:36.35 N</t>
  </si>
  <si>
    <t>097:39:02.79 W</t>
  </si>
  <si>
    <t>033:00:33.95 N</t>
  </si>
  <si>
    <t>097:39:04.18 W</t>
  </si>
  <si>
    <t>033:00:32.72 N</t>
  </si>
  <si>
    <t>033:00:31.56 N</t>
  </si>
  <si>
    <t>097:39:05.57 W</t>
  </si>
  <si>
    <t>033:00:30.25 N</t>
  </si>
  <si>
    <t>097:39:06.27 W</t>
  </si>
  <si>
    <t>033:00:29.09 N</t>
  </si>
  <si>
    <t>097:39:06.96 W</t>
  </si>
  <si>
    <t>033:00:27.93 N</t>
  </si>
  <si>
    <t>033:00:26.85 N</t>
  </si>
  <si>
    <t>097:39:08.43 W</t>
  </si>
  <si>
    <t>033:00:25.61 N</t>
  </si>
  <si>
    <t>097:39:09.13 W</t>
  </si>
  <si>
    <t>033:00:24.30 N</t>
  </si>
  <si>
    <t>097:39:09.75 W</t>
  </si>
  <si>
    <t>033:00:23.29 N</t>
  </si>
  <si>
    <t>097:39:10.60 W</t>
  </si>
  <si>
    <t>033:00:22.37 N</t>
  </si>
  <si>
    <t>097:39:11.37 W</t>
  </si>
  <si>
    <t>033:00:21.21 N</t>
  </si>
  <si>
    <t>097:39:12.06 W</t>
  </si>
  <si>
    <t>033:00:20.28 N</t>
  </si>
  <si>
    <t>097:39:12.91 W</t>
  </si>
  <si>
    <t>033:00:19.35 N</t>
  </si>
  <si>
    <t>033:00:18.43 N</t>
  </si>
  <si>
    <t>097:39:14.46 W</t>
  </si>
  <si>
    <t>033:00:17.34 N</t>
  </si>
  <si>
    <t>097:39:15.23 W</t>
  </si>
  <si>
    <t>033:00:16.34 N</t>
  </si>
  <si>
    <t>097:39:16.08 W</t>
  </si>
  <si>
    <t>033:00:15.49 N</t>
  </si>
  <si>
    <t>097:39:16.93 W</t>
  </si>
  <si>
    <t>033:00:14.56 N</t>
  </si>
  <si>
    <t>097:39:17.78 W</t>
  </si>
  <si>
    <t>033:00:13.56 N</t>
  </si>
  <si>
    <t>097:39:18.71 W</t>
  </si>
  <si>
    <t>033:00:12.79 N</t>
  </si>
  <si>
    <t>097:39:19.63 W</t>
  </si>
  <si>
    <t>033:00:11.94 N</t>
  </si>
  <si>
    <t>097:39:20.56 W</t>
  </si>
  <si>
    <t>033:00:11.01 N</t>
  </si>
  <si>
    <t>097:39:21.49 W</t>
  </si>
  <si>
    <t>033:00:10.16 N</t>
  </si>
  <si>
    <t>097:39:22.41 W</t>
  </si>
  <si>
    <t>033:00:09.31 N</t>
  </si>
  <si>
    <t>033:00:08.54 N</t>
  </si>
  <si>
    <t>097:39:24.35 W</t>
  </si>
  <si>
    <t>033:00:07.77 N</t>
  </si>
  <si>
    <t>097:39:25.27 W</t>
  </si>
  <si>
    <t>033:00:07.07 N</t>
  </si>
  <si>
    <t>097:39:26.28 W</t>
  </si>
  <si>
    <t>033:00:06.38 N</t>
  </si>
  <si>
    <t>097:39:27.28 W</t>
  </si>
  <si>
    <t>033:00:05.76 N</t>
  </si>
  <si>
    <t>097:39:28.28 W</t>
  </si>
  <si>
    <t>033:00:05.06 N</t>
  </si>
  <si>
    <t>097:39:29.21 W</t>
  </si>
  <si>
    <t>033:00:04.44 N</t>
  </si>
  <si>
    <t>097:39:30.22 W</t>
  </si>
  <si>
    <t>033:00:03.75 N</t>
  </si>
  <si>
    <t>097:39:31.14 W</t>
  </si>
  <si>
    <t>033:00:03.29 N</t>
  </si>
  <si>
    <t>097:39:32.22 W</t>
  </si>
  <si>
    <t>033:00:02.67 N</t>
  </si>
  <si>
    <t>097:39:33.15 W</t>
  </si>
  <si>
    <t>033:00:02.13 N</t>
  </si>
  <si>
    <t>097:39:34.23 W</t>
  </si>
  <si>
    <t>033:00:01.74 N</t>
  </si>
  <si>
    <t>097:39:35.31 W</t>
  </si>
  <si>
    <t>033:00:01.20 N</t>
  </si>
  <si>
    <t>097:39:36.32 W</t>
  </si>
  <si>
    <t>097:40:08.76 W</t>
  </si>
  <si>
    <t>033:00:15.65 N</t>
  </si>
  <si>
    <t>097:40:09.15 W</t>
  </si>
  <si>
    <t>033:00:16.88 N</t>
  </si>
  <si>
    <t>097:40:09.46 W</t>
  </si>
  <si>
    <t>033:00:18.04 N</t>
  </si>
  <si>
    <t>097:40:09.77 W</t>
  </si>
  <si>
    <t>097:40:10.08 W</t>
  </si>
  <si>
    <t>033:00:21.67 N</t>
  </si>
  <si>
    <t>097:40:10.15 W</t>
  </si>
  <si>
    <t>033:00:22.75 N</t>
  </si>
  <si>
    <t>033:00:24.14 N</t>
  </si>
  <si>
    <t>033:00:25.30 N</t>
  </si>
  <si>
    <t>097:40:09.84 W</t>
  </si>
  <si>
    <t>033:00:26.31 N</t>
  </si>
  <si>
    <t>097:40:09.61 W</t>
  </si>
  <si>
    <t>033:00:27.39 N</t>
  </si>
  <si>
    <t>097:40:09.30 W</t>
  </si>
  <si>
    <t>033:00:28.55 N</t>
  </si>
  <si>
    <t>033:00:29.40 N</t>
  </si>
  <si>
    <t>097:40:08.69 W</t>
  </si>
  <si>
    <t>033:00:30.40 N</t>
  </si>
  <si>
    <t>033:00:31.40 N</t>
  </si>
  <si>
    <t>097:40:08.14 W</t>
  </si>
  <si>
    <t>033:00:32.41 N</t>
  </si>
  <si>
    <t>097:40:07.84 W</t>
  </si>
  <si>
    <t>033:00:33.33 N</t>
  </si>
  <si>
    <t>097:40:07.53 W</t>
  </si>
  <si>
    <t>033:00:34.34 N</t>
  </si>
  <si>
    <t>097:40:07.22 W</t>
  </si>
  <si>
    <t>033:00:35.50 N</t>
  </si>
  <si>
    <t>097:40:07.06 W</t>
  </si>
  <si>
    <t>033:00:36.50 N</t>
  </si>
  <si>
    <t>097:40:06.75 W</t>
  </si>
  <si>
    <t>033:00:37.58 N</t>
  </si>
  <si>
    <t>097:40:06.52 W</t>
  </si>
  <si>
    <t>033:00:38.43 N</t>
  </si>
  <si>
    <t>097:40:06.06 W</t>
  </si>
  <si>
    <t>033:00:39.75 N</t>
  </si>
  <si>
    <t>097:40:05.75 W</t>
  </si>
  <si>
    <t>033:00:40.75 N</t>
  </si>
  <si>
    <t>097:40:05.29 W</t>
  </si>
  <si>
    <t>033:00:41.83 N</t>
  </si>
  <si>
    <t>033:00:42.84 N</t>
  </si>
  <si>
    <t>097:40:03.43 W</t>
  </si>
  <si>
    <t>033:00:44.77 N</t>
  </si>
  <si>
    <t>097:40:02.66 W</t>
  </si>
  <si>
    <t>033:00:45.69 N</t>
  </si>
  <si>
    <t>097:40:01.81 W</t>
  </si>
  <si>
    <t>033:00:46.62 N</t>
  </si>
  <si>
    <t>097:40:00.88 W</t>
  </si>
  <si>
    <t>033:00:47.55 N</t>
  </si>
  <si>
    <t>097:39:59.88 W</t>
  </si>
  <si>
    <t>033:00:48.40 N</t>
  </si>
  <si>
    <t>097:39:58.80 W</t>
  </si>
  <si>
    <t>097:39:57.72 W</t>
  </si>
  <si>
    <t>033:00:50.02 N</t>
  </si>
  <si>
    <t>097:39:56.56 W</t>
  </si>
  <si>
    <t>033:00:50.95 N</t>
  </si>
  <si>
    <t>033:00:51.87 N</t>
  </si>
  <si>
    <t>097:39:54.16 W</t>
  </si>
  <si>
    <t>033:00:52.65 N</t>
  </si>
  <si>
    <t>097:39:52.93 W</t>
  </si>
  <si>
    <t>033:00:53.42 N</t>
  </si>
  <si>
    <t>097:39:51.69 W</t>
  </si>
  <si>
    <t>033:00:54.27 N</t>
  </si>
  <si>
    <t>097:39:50.30 W</t>
  </si>
  <si>
    <t>097:39:48.83 W</t>
  </si>
  <si>
    <t>033:00:55.81 N</t>
  </si>
  <si>
    <t>097:39:45.67 W</t>
  </si>
  <si>
    <t>033:00:57.05 N</t>
  </si>
  <si>
    <t>033:00:57.59 N</t>
  </si>
  <si>
    <t>097:39:42.04 W</t>
  </si>
  <si>
    <t>033:00:57.98 N</t>
  </si>
  <si>
    <t>097:39:40.26 W</t>
  </si>
  <si>
    <t>033:00:58.13 N</t>
  </si>
  <si>
    <t>097:39:38.48 W</t>
  </si>
  <si>
    <t>033:00:58.29 N</t>
  </si>
  <si>
    <t>097:39:36.63 W</t>
  </si>
  <si>
    <t>097:39:34.77 W</t>
  </si>
  <si>
    <t>033:00:58.05 N</t>
  </si>
  <si>
    <t>097:39:32.84 W</t>
  </si>
  <si>
    <t>033:00:57.75 N</t>
  </si>
  <si>
    <t>033:00:57.28 N</t>
  </si>
  <si>
    <t>097:39:29.06 W</t>
  </si>
  <si>
    <t>033:00:56.59 N</t>
  </si>
  <si>
    <t>097:39:27.36 W</t>
  </si>
  <si>
    <t>097:39:25.58 W</t>
  </si>
  <si>
    <t>033:00:54.89 N</t>
  </si>
  <si>
    <t>033:00:53.88 N</t>
  </si>
  <si>
    <t>097:39:22.72 W</t>
  </si>
  <si>
    <t>033:00:52.88 N</t>
  </si>
  <si>
    <t>033:00:51.49 N</t>
  </si>
  <si>
    <t>097:39:20.41 W</t>
  </si>
  <si>
    <t>033:00:50.10 N</t>
  </si>
  <si>
    <t>033:00:48.63 N</t>
  </si>
  <si>
    <t>097:39:18.78 W</t>
  </si>
  <si>
    <t>033:00:47.32 N</t>
  </si>
  <si>
    <t>097:39:18.40 W</t>
  </si>
  <si>
    <t>033:00:46.00 N</t>
  </si>
  <si>
    <t>033:00:44.54 N</t>
  </si>
  <si>
    <t>033:00:43.45 N</t>
  </si>
  <si>
    <t>033:00:42.14 N</t>
  </si>
  <si>
    <t>097:39:19.17 W</t>
  </si>
  <si>
    <t>097:39:19.79 W</t>
  </si>
  <si>
    <t>033:00:39.59 N</t>
  </si>
  <si>
    <t>097:39:20.64 W</t>
  </si>
  <si>
    <t>097:39:21.56 W</t>
  </si>
  <si>
    <t>033:00:37.35 N</t>
  </si>
  <si>
    <t>097:39:22.57 W</t>
  </si>
  <si>
    <t>033:00:36.42 N</t>
  </si>
  <si>
    <t>097:39:23.80 W</t>
  </si>
  <si>
    <t>033:00:35.65 N</t>
  </si>
  <si>
    <t>097:39:25.12 W</t>
  </si>
  <si>
    <t>033:00:34.80 N</t>
  </si>
  <si>
    <t>097:39:26.43 W</t>
  </si>
  <si>
    <t>033:00:33.26 N</t>
  </si>
  <si>
    <t>097:39:27.51 W</t>
  </si>
  <si>
    <t>033:00:32.56 N</t>
  </si>
  <si>
    <t>033:00:30.79 N</t>
  </si>
  <si>
    <t>097:39:29.98 W</t>
  </si>
  <si>
    <t>097:39:31.45 W</t>
  </si>
  <si>
    <t>033:00:29.78 N</t>
  </si>
  <si>
    <t>033:00:29.01 N</t>
  </si>
  <si>
    <t>097:39:34.00 W</t>
  </si>
  <si>
    <t>033:00:26.92 N</t>
  </si>
  <si>
    <t>033:00:25.84 N</t>
  </si>
  <si>
    <t>097:39:37.71 W</t>
  </si>
  <si>
    <t>033:00:24.76 N</t>
  </si>
  <si>
    <t>097:39:38.79 W</t>
  </si>
  <si>
    <t>033:00:23.83 N</t>
  </si>
  <si>
    <t>097:39:39.87 W</t>
  </si>
  <si>
    <t>097:39:40.95 W</t>
  </si>
  <si>
    <t>033:00:21.28 N</t>
  </si>
  <si>
    <t>097:39:41.88 W</t>
  </si>
  <si>
    <t>033:00:20.20 N</t>
  </si>
  <si>
    <t>097:39:42.88 W</t>
  </si>
  <si>
    <t>033:00:19.04 N</t>
  </si>
  <si>
    <t>033:00:18.12 N</t>
  </si>
  <si>
    <t>097:39:44.97 W</t>
  </si>
  <si>
    <t>033:00:17.04 N</t>
  </si>
  <si>
    <t>097:39:45.90 W</t>
  </si>
  <si>
    <t>033:00:14.72 N</t>
  </si>
  <si>
    <t>097:39:47.67 W</t>
  </si>
  <si>
    <t>033:00:13.02 N</t>
  </si>
  <si>
    <t>097:39:48.37 W</t>
  </si>
  <si>
    <t>033:00:12.09 N</t>
  </si>
  <si>
    <t>033:00:10.78 N</t>
  </si>
  <si>
    <t>097:39:50.07 W</t>
  </si>
  <si>
    <t>033:00:09.54 N</t>
  </si>
  <si>
    <t>097:39:50.84 W</t>
  </si>
  <si>
    <t>033:00:08.62 N</t>
  </si>
  <si>
    <t>097:39:51.61 W</t>
  </si>
  <si>
    <t>033:00:05.60 N</t>
  </si>
  <si>
    <t>097:39:52.70 W</t>
  </si>
  <si>
    <t>033:00:07.15 N</t>
  </si>
  <si>
    <t>033:00:04.37 N</t>
  </si>
  <si>
    <t>097:39:53.39 W</t>
  </si>
  <si>
    <t>033:00:02.98 N</t>
  </si>
  <si>
    <t>097:39:54.01 W</t>
  </si>
  <si>
    <t>033:00:01.43 N</t>
  </si>
  <si>
    <t>097:39:54.55 W</t>
  </si>
  <si>
    <t>033:00:00.12 N</t>
  </si>
  <si>
    <t>097:39:55.17 W</t>
  </si>
  <si>
    <t>032:59:58.65 N</t>
  </si>
  <si>
    <t>097:39:55.71 W</t>
  </si>
  <si>
    <t>032:59:57.34 N</t>
  </si>
  <si>
    <t>097:39:56.33 W</t>
  </si>
  <si>
    <t>032:59:56.02 N</t>
  </si>
  <si>
    <t>097:39:56.79 W</t>
  </si>
  <si>
    <t>032:59:54.56 N</t>
  </si>
  <si>
    <t>032:59:53.17 N</t>
  </si>
  <si>
    <t>097:39:57.79 W</t>
  </si>
  <si>
    <t>032:59:51.78 N</t>
  </si>
  <si>
    <t>097:39:58.26 W</t>
  </si>
  <si>
    <t>032:59:50.31 N</t>
  </si>
  <si>
    <t>032:59:47.37 N</t>
  </si>
  <si>
    <t>097:39:59.26 W</t>
  </si>
  <si>
    <t>032:59:46.06 N</t>
  </si>
  <si>
    <t>097:39:59.49 W</t>
  </si>
  <si>
    <t>032:59:44.67 N</t>
  </si>
  <si>
    <t>097:39:59.80 W</t>
  </si>
  <si>
    <t>032:59:43.12 N</t>
  </si>
  <si>
    <t>032:59:41.50 N</t>
  </si>
  <si>
    <t>097:40:00.19 W</t>
  </si>
  <si>
    <t>032:59:40.19 N</t>
  </si>
  <si>
    <t>097:40:00.42 W</t>
  </si>
  <si>
    <t>032:59:37.33 N</t>
  </si>
  <si>
    <t>032:59:35.86 N</t>
  </si>
  <si>
    <t>032:59:34.47 N</t>
  </si>
  <si>
    <t>097:40:01.04 W</t>
  </si>
  <si>
    <t>032:59:33.00 N</t>
  </si>
  <si>
    <t>097:40:01.19 W</t>
  </si>
  <si>
    <t>032:59:31.54 N</t>
  </si>
  <si>
    <t>032:59:30.15 N</t>
  </si>
  <si>
    <t>097:40:01.42 W</t>
  </si>
  <si>
    <t>032:59:28.76 N</t>
  </si>
  <si>
    <t>097:40:01.73 W</t>
  </si>
  <si>
    <t>032:59:27.29 N</t>
  </si>
  <si>
    <t>097:40:01.96 W</t>
  </si>
  <si>
    <t>032:59:26.05 N</t>
  </si>
  <si>
    <t>097:40:02.27 W</t>
  </si>
  <si>
    <t>032:59:24.28 N</t>
  </si>
  <si>
    <t>097:40:02.58 W</t>
  </si>
  <si>
    <t>032:59:22.96 N</t>
  </si>
  <si>
    <t>097:40:02.89 W</t>
  </si>
  <si>
    <t>032:59:21.65 N</t>
  </si>
  <si>
    <t>097:40:03.28 W</t>
  </si>
  <si>
    <t>032:59:20.18 N</t>
  </si>
  <si>
    <t>032:59:18.79 N</t>
  </si>
  <si>
    <t>097:40:03.82 W</t>
  </si>
  <si>
    <t>032:59:17.32 N</t>
  </si>
  <si>
    <t>097:40:03.97 W</t>
  </si>
  <si>
    <t>032:59:15.86 N</t>
  </si>
  <si>
    <t>097:40:04.21 W</t>
  </si>
  <si>
    <t>032:59:14.39 N</t>
  </si>
  <si>
    <t>097:40:04.36 W</t>
  </si>
  <si>
    <t>032:59:12.61 N</t>
  </si>
  <si>
    <t>032:59:11.14 N</t>
  </si>
  <si>
    <t>097:40:04.28 W</t>
  </si>
  <si>
    <t>032:59:09.68 N</t>
  </si>
  <si>
    <t>032:59:08.21 N</t>
  </si>
  <si>
    <t>032:59:06.82 N</t>
  </si>
  <si>
    <t>032:59:05.35 N</t>
  </si>
  <si>
    <t>097:40:04.44 W</t>
  </si>
  <si>
    <t>032:59:04.04 N</t>
  </si>
  <si>
    <t>097:40:04.59 W</t>
  </si>
  <si>
    <t>032:59:02.57 N</t>
  </si>
  <si>
    <t>032:59:01.10 N</t>
  </si>
  <si>
    <t>032:58:58.24 N</t>
  </si>
  <si>
    <t>032:58:56.70 N</t>
  </si>
  <si>
    <t>032:58:55.62 N</t>
  </si>
  <si>
    <t>097:40:04.82 W</t>
  </si>
  <si>
    <t>032:58:54.15 N</t>
  </si>
  <si>
    <t>097:40:04.90 W</t>
  </si>
  <si>
    <t>032:58:52.60 N</t>
  </si>
  <si>
    <t>032:58:51.29 N</t>
  </si>
  <si>
    <t>032:58:49.82 N</t>
  </si>
  <si>
    <t>032:58:48.36 N</t>
  </si>
  <si>
    <t>032:58:47.04 N</t>
  </si>
  <si>
    <t>097:40:04.67 W</t>
  </si>
  <si>
    <t>032:58:45.50 N</t>
  </si>
  <si>
    <t>032:58:44.26 N</t>
  </si>
  <si>
    <t>032:58:42.64 N</t>
  </si>
  <si>
    <t>032:58:41.25 N</t>
  </si>
  <si>
    <t>032:58:39.86 N</t>
  </si>
  <si>
    <t>097:40:04.05 W</t>
  </si>
  <si>
    <t>032:58:38.39 N</t>
  </si>
  <si>
    <t>097:40:03.90 W</t>
  </si>
  <si>
    <t>032:58:36.77 N</t>
  </si>
  <si>
    <t>097:40:03.59 W</t>
  </si>
  <si>
    <t>032:58:35.46 N</t>
  </si>
  <si>
    <t>032:58:34.22 N</t>
  </si>
  <si>
    <t>097:40:03.36 W</t>
  </si>
  <si>
    <t>032:58:32.83 N</t>
  </si>
  <si>
    <t>032:58:31.52 N</t>
  </si>
  <si>
    <t>032:58:30.28 N</t>
  </si>
  <si>
    <t>032:58:29.28 N</t>
  </si>
  <si>
    <t>032:58:27.96 N</t>
  </si>
  <si>
    <t>032:58:26.57 N</t>
  </si>
  <si>
    <t>032:58:25.10 N</t>
  </si>
  <si>
    <t>097:40:03.20 W</t>
  </si>
  <si>
    <t>032:58:23.95 N</t>
  </si>
  <si>
    <t>097:40:03.12 W</t>
  </si>
  <si>
    <t>032:58:22.79 N</t>
  </si>
  <si>
    <t>097:40:03.05 W</t>
  </si>
  <si>
    <t>032:58:21.55 N</t>
  </si>
  <si>
    <t>097:40:02.97 W</t>
  </si>
  <si>
    <t>032:58:20.31 N</t>
  </si>
  <si>
    <t>032:58:19.00 N</t>
  </si>
  <si>
    <t>032:58:17.84 N</t>
  </si>
  <si>
    <t>032:58:16.68 N</t>
  </si>
  <si>
    <t>097:40:01.58 W</t>
  </si>
  <si>
    <t>032:58:15.22 N</t>
  </si>
  <si>
    <t>032:58:13.98 N</t>
  </si>
  <si>
    <t>032:58:12.82 N</t>
  </si>
  <si>
    <t>032:58:11.74 N</t>
  </si>
  <si>
    <t>032:58:10.81 N</t>
  </si>
  <si>
    <t>032:58:09.65 N</t>
  </si>
  <si>
    <t>097:39:58.33 W</t>
  </si>
  <si>
    <t>032:58:08.88 N</t>
  </si>
  <si>
    <t>032:58:07.95 N</t>
  </si>
  <si>
    <t>097:39:57.25 W</t>
  </si>
  <si>
    <t>032:58:06.64 N</t>
  </si>
  <si>
    <t>097:39:56.71 W</t>
  </si>
  <si>
    <t>032:58:05.71 N</t>
  </si>
  <si>
    <t>097:39:56.25 W</t>
  </si>
  <si>
    <t>032:58:04.71 N</t>
  </si>
  <si>
    <t>097:39:55.86 W</t>
  </si>
  <si>
    <t>032:58:03.63 N</t>
  </si>
  <si>
    <t>032:58:02.32 N</t>
  </si>
  <si>
    <t>032:58:01.39 N</t>
  </si>
  <si>
    <t>097:39:54.47 W</t>
  </si>
  <si>
    <t>032:58:00.31 N</t>
  </si>
  <si>
    <t>032:57:59.38 N</t>
  </si>
  <si>
    <t>097:39:53.93 W</t>
  </si>
  <si>
    <t>032:57:58.22 N</t>
  </si>
  <si>
    <t>097:39:53.62 W</t>
  </si>
  <si>
    <t>032:57:56.99 N</t>
  </si>
  <si>
    <t>032:57:54.75 N</t>
  </si>
  <si>
    <t>032:57:53.74 N</t>
  </si>
  <si>
    <t>097:39:52.54 W</t>
  </si>
  <si>
    <t>032:57:52.66 N</t>
  </si>
  <si>
    <t>097:39:52.39 W</t>
  </si>
  <si>
    <t>032:57:50.27 N</t>
  </si>
  <si>
    <t>097:39:51.92 W</t>
  </si>
  <si>
    <t>032:57:49.18 N</t>
  </si>
  <si>
    <t>032:57:48.26 N</t>
  </si>
  <si>
    <t>097:39:51.46 W</t>
  </si>
  <si>
    <t>032:57:47.33 N</t>
  </si>
  <si>
    <t>032:57:46.33 N</t>
  </si>
  <si>
    <t>097:39:51.54 W</t>
  </si>
  <si>
    <t>032:57:45.24 N</t>
  </si>
  <si>
    <t>032:57:44.86 N</t>
  </si>
  <si>
    <t>032:57:43.93 N</t>
  </si>
  <si>
    <t>097:39:52.15 W</t>
  </si>
  <si>
    <t>032:57:42.77 N</t>
  </si>
  <si>
    <t>097:39:52.08 W</t>
  </si>
  <si>
    <t>032:57:41.77 N</t>
  </si>
  <si>
    <t>097:39:52.31 W</t>
  </si>
  <si>
    <t>032:57:40.22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</si>
</sst>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214"/>
  <sheetViews>
    <sheetView tabSelected="1" topLeftCell="A4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"03/24/2022 22:08:43.101"</f>
        <v>03/24/2022 22:08:43.101</v>
      </c>
      <c r="C2" t="str">
        <f>"FFD553C0"</f>
        <v>FFD553C0</v>
      </c>
      <c r="D2" t="s">
        <v>113</v>
      </c>
      <c r="E2">
        <v>24</v>
      </c>
      <c r="F2">
        <v>2024</v>
      </c>
      <c r="G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0</v>
      </c>
      <c r="P2">
        <v>1</v>
      </c>
      <c r="Q2">
        <v>0</v>
      </c>
      <c r="S2" t="str">
        <f t="shared" ref="S2:T5" si="0">"22:08:42.000"</f>
        <v>22:08:42.000</v>
      </c>
      <c r="T2" t="str">
        <f t="shared" si="0"/>
        <v>22:08:42.000</v>
      </c>
      <c r="U2" t="str">
        <f t="shared" ref="U2:U65" si="1">"A9D71F"</f>
        <v>A9D71F</v>
      </c>
      <c r="V2">
        <v>0</v>
      </c>
      <c r="W2">
        <v>0</v>
      </c>
      <c r="X2">
        <v>2</v>
      </c>
      <c r="Z2">
        <v>1</v>
      </c>
      <c r="AA2">
        <v>0</v>
      </c>
      <c r="AB2">
        <v>3</v>
      </c>
      <c r="AC2">
        <v>0</v>
      </c>
      <c r="AD2">
        <v>8</v>
      </c>
      <c r="AE2">
        <v>0</v>
      </c>
      <c r="AF2">
        <v>3</v>
      </c>
      <c r="AG2">
        <v>1</v>
      </c>
      <c r="AH2">
        <v>0</v>
      </c>
      <c r="AI2" t="s">
        <v>116</v>
      </c>
      <c r="AJ2">
        <v>33.171480000000003</v>
      </c>
      <c r="AK2" t="s">
        <v>117</v>
      </c>
      <c r="AL2">
        <v>-97.828596000000005</v>
      </c>
      <c r="AM2">
        <v>25</v>
      </c>
      <c r="AN2">
        <v>800</v>
      </c>
      <c r="AO2" t="s">
        <v>118</v>
      </c>
      <c r="AP2">
        <v>2</v>
      </c>
      <c r="AQ2">
        <v>73</v>
      </c>
      <c r="AR2">
        <v>256</v>
      </c>
      <c r="AZ2">
        <v>1200</v>
      </c>
      <c r="BA2">
        <v>1</v>
      </c>
      <c r="BC2">
        <v>1</v>
      </c>
      <c r="BI2">
        <v>0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"22:08:42.933"</f>
        <v>22:08:42.933</v>
      </c>
      <c r="CJ2">
        <v>0</v>
      </c>
      <c r="CK2">
        <v>0</v>
      </c>
      <c r="CL2">
        <v>0</v>
      </c>
      <c r="CM2">
        <v>0</v>
      </c>
      <c r="CN2">
        <v>0</v>
      </c>
      <c r="CO2">
        <v>2</v>
      </c>
      <c r="CP2" t="s">
        <v>119</v>
      </c>
      <c r="CQ2">
        <v>364</v>
      </c>
      <c r="CR2">
        <v>0</v>
      </c>
      <c r="CW2">
        <v>1359242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1</v>
      </c>
      <c r="DH2">
        <v>0</v>
      </c>
      <c r="DI2">
        <v>0</v>
      </c>
    </row>
    <row r="3" spans="1:113" x14ac:dyDescent="0.3">
      <c r="A3" t="str">
        <f>"03/24/2022 22:08:43.132"</f>
        <v>03/24/2022 22:08:43.132</v>
      </c>
      <c r="C3" t="str">
        <f>"FFD553C0"</f>
        <v>FFD553C0</v>
      </c>
      <c r="D3" t="s">
        <v>120</v>
      </c>
      <c r="E3">
        <v>14</v>
      </c>
      <c r="F3">
        <v>1014</v>
      </c>
      <c r="G3" t="s">
        <v>121</v>
      </c>
      <c r="J3" t="s">
        <v>122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 t="shared" si="0"/>
        <v>22:08:42.000</v>
      </c>
      <c r="T3" t="str">
        <f t="shared" si="0"/>
        <v>22:08:42.000</v>
      </c>
      <c r="U3" t="str">
        <f t="shared" si="1"/>
        <v>A9D71F</v>
      </c>
      <c r="V3">
        <v>0</v>
      </c>
      <c r="W3">
        <v>0</v>
      </c>
      <c r="X3">
        <v>2</v>
      </c>
      <c r="Z3">
        <v>1</v>
      </c>
      <c r="AA3">
        <v>0</v>
      </c>
      <c r="AB3">
        <v>3</v>
      </c>
      <c r="AC3">
        <v>0</v>
      </c>
      <c r="AD3">
        <v>8</v>
      </c>
      <c r="AE3">
        <v>0</v>
      </c>
      <c r="AF3">
        <v>3</v>
      </c>
      <c r="AG3">
        <v>1</v>
      </c>
      <c r="AH3">
        <v>0</v>
      </c>
      <c r="AI3" t="s">
        <v>116</v>
      </c>
      <c r="AJ3">
        <v>33.171480000000003</v>
      </c>
      <c r="AK3" t="s">
        <v>117</v>
      </c>
      <c r="AL3">
        <v>-97.828596000000005</v>
      </c>
      <c r="AM3">
        <v>25</v>
      </c>
      <c r="AN3">
        <v>800</v>
      </c>
      <c r="AO3" t="s">
        <v>118</v>
      </c>
      <c r="AP3">
        <v>2</v>
      </c>
      <c r="AQ3">
        <v>73</v>
      </c>
      <c r="AR3">
        <v>256</v>
      </c>
      <c r="AZ3">
        <v>1200</v>
      </c>
      <c r="BA3">
        <v>1</v>
      </c>
      <c r="BC3">
        <v>1</v>
      </c>
      <c r="BI3">
        <v>0</v>
      </c>
      <c r="BJ3">
        <v>0</v>
      </c>
      <c r="BK3">
        <v>0</v>
      </c>
      <c r="BL3">
        <v>0</v>
      </c>
      <c r="BO3">
        <v>0</v>
      </c>
      <c r="BP3">
        <v>0</v>
      </c>
      <c r="BW3" t="str">
        <f>"22:08:42.933"</f>
        <v>22:08:42.933</v>
      </c>
      <c r="CJ3">
        <v>0</v>
      </c>
      <c r="CK3">
        <v>0</v>
      </c>
      <c r="CL3">
        <v>0</v>
      </c>
      <c r="CM3">
        <v>0</v>
      </c>
      <c r="CN3">
        <v>0</v>
      </c>
      <c r="CO3">
        <v>2</v>
      </c>
      <c r="CP3" t="s">
        <v>119</v>
      </c>
      <c r="CQ3">
        <v>364</v>
      </c>
      <c r="CR3">
        <v>0</v>
      </c>
      <c r="CW3">
        <v>1359242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0</v>
      </c>
      <c r="DF3">
        <v>1</v>
      </c>
      <c r="DG3">
        <v>1</v>
      </c>
      <c r="DH3">
        <v>0</v>
      </c>
      <c r="DI3">
        <v>0</v>
      </c>
    </row>
    <row r="4" spans="1:113" x14ac:dyDescent="0.3">
      <c r="A4" t="str">
        <f>"03/24/2022 22:08:43.132"</f>
        <v>03/24/2022 22:08:43.132</v>
      </c>
      <c r="C4" t="str">
        <f>"FFD553C0"</f>
        <v>FFD553C0</v>
      </c>
      <c r="D4" t="s">
        <v>123</v>
      </c>
      <c r="E4">
        <v>8</v>
      </c>
      <c r="H4">
        <v>31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 t="shared" si="0"/>
        <v>22:08:42.000</v>
      </c>
      <c r="T4" t="str">
        <f t="shared" si="0"/>
        <v>22:08:42.000</v>
      </c>
      <c r="U4" t="str">
        <f t="shared" si="1"/>
        <v>A9D71F</v>
      </c>
      <c r="V4">
        <v>0</v>
      </c>
      <c r="W4">
        <v>0</v>
      </c>
      <c r="X4">
        <v>2</v>
      </c>
      <c r="Z4">
        <v>1</v>
      </c>
      <c r="AA4">
        <v>0</v>
      </c>
      <c r="AB4">
        <v>3</v>
      </c>
      <c r="AC4">
        <v>0</v>
      </c>
      <c r="AD4">
        <v>8</v>
      </c>
      <c r="AE4">
        <v>0</v>
      </c>
      <c r="AF4">
        <v>0</v>
      </c>
      <c r="AG4">
        <v>1</v>
      </c>
      <c r="AH4">
        <v>0</v>
      </c>
      <c r="AI4" t="s">
        <v>116</v>
      </c>
      <c r="AJ4">
        <v>33.171480000000003</v>
      </c>
      <c r="AK4" t="s">
        <v>117</v>
      </c>
      <c r="AL4">
        <v>-97.828596000000005</v>
      </c>
      <c r="AM4">
        <v>25</v>
      </c>
      <c r="AN4">
        <v>800</v>
      </c>
      <c r="AO4" t="s">
        <v>118</v>
      </c>
      <c r="AP4">
        <v>2</v>
      </c>
      <c r="AQ4">
        <v>73</v>
      </c>
      <c r="AR4">
        <v>256</v>
      </c>
      <c r="AZ4">
        <v>1200</v>
      </c>
      <c r="BA4">
        <v>1</v>
      </c>
      <c r="BC4">
        <v>1</v>
      </c>
      <c r="BI4">
        <v>0</v>
      </c>
      <c r="BJ4">
        <v>0</v>
      </c>
      <c r="BK4">
        <v>0</v>
      </c>
      <c r="BL4">
        <v>0</v>
      </c>
      <c r="BO4">
        <v>0</v>
      </c>
      <c r="BP4">
        <v>0</v>
      </c>
      <c r="BW4" t="str">
        <f>"22:08:42.933"</f>
        <v>22:08:42.933</v>
      </c>
      <c r="CJ4">
        <v>0</v>
      </c>
      <c r="CK4">
        <v>0</v>
      </c>
      <c r="CL4">
        <v>0</v>
      </c>
      <c r="CM4">
        <v>0</v>
      </c>
      <c r="CN4">
        <v>0</v>
      </c>
      <c r="CO4">
        <v>2</v>
      </c>
      <c r="CP4" t="s">
        <v>119</v>
      </c>
      <c r="CQ4">
        <v>364</v>
      </c>
      <c r="CR4">
        <v>0</v>
      </c>
      <c r="CW4">
        <v>1359242</v>
      </c>
      <c r="CY4">
        <v>0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1</v>
      </c>
      <c r="DG4">
        <v>1</v>
      </c>
      <c r="DH4">
        <v>0</v>
      </c>
      <c r="DI4">
        <v>0</v>
      </c>
    </row>
    <row r="5" spans="1:113" x14ac:dyDescent="0.3">
      <c r="A5" t="str">
        <f>"03/24/2022 22:08:43.132"</f>
        <v>03/24/2022 22:08:43.132</v>
      </c>
      <c r="C5" t="str">
        <f>"FFD553C0"</f>
        <v>FFD553C0</v>
      </c>
      <c r="D5" t="s">
        <v>126</v>
      </c>
      <c r="E5">
        <v>3</v>
      </c>
      <c r="H5">
        <v>160</v>
      </c>
      <c r="I5" t="s">
        <v>121</v>
      </c>
      <c r="J5" t="s">
        <v>127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 t="shared" si="0"/>
        <v>22:08:42.000</v>
      </c>
      <c r="T5" t="str">
        <f t="shared" si="0"/>
        <v>22:08:42.000</v>
      </c>
      <c r="U5" t="str">
        <f t="shared" si="1"/>
        <v>A9D71F</v>
      </c>
      <c r="V5">
        <v>0</v>
      </c>
      <c r="W5">
        <v>0</v>
      </c>
      <c r="X5">
        <v>2</v>
      </c>
      <c r="Z5">
        <v>1</v>
      </c>
      <c r="AA5">
        <v>0</v>
      </c>
      <c r="AB5">
        <v>3</v>
      </c>
      <c r="AC5">
        <v>0</v>
      </c>
      <c r="AD5">
        <v>8</v>
      </c>
      <c r="AE5">
        <v>0</v>
      </c>
      <c r="AF5">
        <v>0</v>
      </c>
      <c r="AG5">
        <v>1</v>
      </c>
      <c r="AH5">
        <v>0</v>
      </c>
      <c r="AI5" t="s">
        <v>116</v>
      </c>
      <c r="AJ5">
        <v>33.171480000000003</v>
      </c>
      <c r="AK5" t="s">
        <v>117</v>
      </c>
      <c r="AL5">
        <v>-97.828596000000005</v>
      </c>
      <c r="AM5">
        <v>25</v>
      </c>
      <c r="AN5">
        <v>800</v>
      </c>
      <c r="AO5" t="s">
        <v>118</v>
      </c>
      <c r="AP5">
        <v>2</v>
      </c>
      <c r="AQ5">
        <v>73</v>
      </c>
      <c r="AR5">
        <v>256</v>
      </c>
      <c r="AZ5">
        <v>1200</v>
      </c>
      <c r="BA5">
        <v>1</v>
      </c>
      <c r="BC5">
        <v>1</v>
      </c>
      <c r="BI5">
        <v>0</v>
      </c>
      <c r="BJ5">
        <v>0</v>
      </c>
      <c r="BK5">
        <v>0</v>
      </c>
      <c r="BL5">
        <v>0</v>
      </c>
      <c r="BO5">
        <v>0</v>
      </c>
      <c r="BP5">
        <v>0</v>
      </c>
      <c r="BW5" t="str">
        <f>"22:08:42.933"</f>
        <v>22:08:42.933</v>
      </c>
      <c r="CJ5">
        <v>0</v>
      </c>
      <c r="CK5">
        <v>0</v>
      </c>
      <c r="CL5">
        <v>0</v>
      </c>
      <c r="CM5">
        <v>0</v>
      </c>
      <c r="CN5">
        <v>0</v>
      </c>
      <c r="CO5">
        <v>2</v>
      </c>
      <c r="CP5" t="s">
        <v>119</v>
      </c>
      <c r="CQ5">
        <v>364</v>
      </c>
      <c r="CR5">
        <v>0</v>
      </c>
      <c r="CW5">
        <v>1359242</v>
      </c>
      <c r="CY5">
        <v>0</v>
      </c>
      <c r="CZ5">
        <v>0</v>
      </c>
      <c r="DA5">
        <v>1</v>
      </c>
      <c r="DB5">
        <v>0</v>
      </c>
      <c r="DC5">
        <v>0</v>
      </c>
      <c r="DD5">
        <v>0</v>
      </c>
      <c r="DE5">
        <v>0</v>
      </c>
      <c r="DF5">
        <v>1</v>
      </c>
      <c r="DG5">
        <v>1</v>
      </c>
      <c r="DH5">
        <v>0</v>
      </c>
      <c r="DI5">
        <v>0</v>
      </c>
    </row>
    <row r="6" spans="1:113" x14ac:dyDescent="0.3">
      <c r="A6" t="str">
        <f>"03/24/2022 22:08:43.463"</f>
        <v>03/24/2022 22:08:43.463</v>
      </c>
      <c r="C6" t="str">
        <f>"FFD593C0"</f>
        <v>FFD593C0</v>
      </c>
      <c r="D6" t="s">
        <v>113</v>
      </c>
      <c r="E6">
        <v>24</v>
      </c>
      <c r="F6">
        <v>2024</v>
      </c>
      <c r="G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 t="shared" ref="S6:T9" si="2">"22:08:43.000"</f>
        <v>22:08:43.000</v>
      </c>
      <c r="T6" t="str">
        <f t="shared" si="2"/>
        <v>22:08:43.000</v>
      </c>
      <c r="U6" t="str">
        <f t="shared" si="1"/>
        <v>A9D71F</v>
      </c>
      <c r="V6">
        <v>0</v>
      </c>
      <c r="W6">
        <v>0</v>
      </c>
      <c r="X6">
        <v>2</v>
      </c>
      <c r="Z6">
        <v>1</v>
      </c>
      <c r="AA6">
        <v>0</v>
      </c>
      <c r="AB6">
        <v>3</v>
      </c>
      <c r="AC6">
        <v>0</v>
      </c>
      <c r="AD6">
        <v>8</v>
      </c>
      <c r="AE6">
        <v>0</v>
      </c>
      <c r="AF6">
        <v>0</v>
      </c>
      <c r="AG6">
        <v>1</v>
      </c>
      <c r="AH6">
        <v>0</v>
      </c>
      <c r="AI6" t="s">
        <v>128</v>
      </c>
      <c r="AJ6">
        <v>33.171823000000003</v>
      </c>
      <c r="AK6" t="s">
        <v>117</v>
      </c>
      <c r="AL6">
        <v>-97.828596000000005</v>
      </c>
      <c r="AM6">
        <v>25</v>
      </c>
      <c r="AN6">
        <v>800</v>
      </c>
      <c r="AO6" t="s">
        <v>118</v>
      </c>
      <c r="AP6">
        <v>1</v>
      </c>
      <c r="AQ6">
        <v>72</v>
      </c>
      <c r="AR6">
        <v>320</v>
      </c>
      <c r="AZ6">
        <v>1200</v>
      </c>
      <c r="BA6">
        <v>1</v>
      </c>
      <c r="BC6">
        <v>1</v>
      </c>
      <c r="BH6">
        <v>800</v>
      </c>
      <c r="BW6" t="str">
        <f>"22:08:43.283"</f>
        <v>22:08:43.283</v>
      </c>
      <c r="CJ6">
        <v>0</v>
      </c>
      <c r="CK6">
        <v>0</v>
      </c>
      <c r="CL6">
        <v>0</v>
      </c>
      <c r="CM6">
        <v>0</v>
      </c>
      <c r="CN6">
        <v>0</v>
      </c>
      <c r="CO6">
        <v>2</v>
      </c>
      <c r="CP6" t="s">
        <v>119</v>
      </c>
      <c r="CQ6">
        <v>364</v>
      </c>
      <c r="CR6">
        <v>0</v>
      </c>
      <c r="CW6">
        <v>1359282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1</v>
      </c>
      <c r="DG6">
        <v>1</v>
      </c>
      <c r="DH6">
        <v>0</v>
      </c>
      <c r="DI6">
        <v>0</v>
      </c>
    </row>
    <row r="7" spans="1:113" x14ac:dyDescent="0.3">
      <c r="A7" t="str">
        <f>"03/24/2022 22:08:43.478"</f>
        <v>03/24/2022 22:08:43.478</v>
      </c>
      <c r="C7" t="str">
        <f>"FFD593C0"</f>
        <v>FFD593C0</v>
      </c>
      <c r="D7" t="s">
        <v>120</v>
      </c>
      <c r="E7">
        <v>14</v>
      </c>
      <c r="F7">
        <v>1014</v>
      </c>
      <c r="G7" t="s">
        <v>121</v>
      </c>
      <c r="J7" t="s">
        <v>122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 t="shared" si="2"/>
        <v>22:08:43.000</v>
      </c>
      <c r="T7" t="str">
        <f t="shared" si="2"/>
        <v>22:08:43.000</v>
      </c>
      <c r="U7" t="str">
        <f t="shared" si="1"/>
        <v>A9D71F</v>
      </c>
      <c r="V7">
        <v>0</v>
      </c>
      <c r="W7">
        <v>0</v>
      </c>
      <c r="X7">
        <v>2</v>
      </c>
      <c r="Z7">
        <v>1</v>
      </c>
      <c r="AA7">
        <v>0</v>
      </c>
      <c r="AB7">
        <v>3</v>
      </c>
      <c r="AC7">
        <v>0</v>
      </c>
      <c r="AD7">
        <v>8</v>
      </c>
      <c r="AE7">
        <v>0</v>
      </c>
      <c r="AF7">
        <v>0</v>
      </c>
      <c r="AG7">
        <v>1</v>
      </c>
      <c r="AH7">
        <v>0</v>
      </c>
      <c r="AI7" t="s">
        <v>128</v>
      </c>
      <c r="AJ7">
        <v>33.171823000000003</v>
      </c>
      <c r="AK7" t="s">
        <v>117</v>
      </c>
      <c r="AL7">
        <v>-97.828596000000005</v>
      </c>
      <c r="AM7">
        <v>25</v>
      </c>
      <c r="AN7">
        <v>800</v>
      </c>
      <c r="AO7" t="s">
        <v>118</v>
      </c>
      <c r="AP7">
        <v>1</v>
      </c>
      <c r="AQ7">
        <v>72</v>
      </c>
      <c r="AR7">
        <v>320</v>
      </c>
      <c r="AZ7">
        <v>1200</v>
      </c>
      <c r="BA7">
        <v>1</v>
      </c>
      <c r="BC7">
        <v>1</v>
      </c>
      <c r="BH7">
        <v>800</v>
      </c>
      <c r="BW7" t="str">
        <f>"22:08:43.283"</f>
        <v>22:08:43.283</v>
      </c>
      <c r="CJ7">
        <v>0</v>
      </c>
      <c r="CK7">
        <v>0</v>
      </c>
      <c r="CL7">
        <v>0</v>
      </c>
      <c r="CM7">
        <v>0</v>
      </c>
      <c r="CN7">
        <v>0</v>
      </c>
      <c r="CO7">
        <v>2</v>
      </c>
      <c r="CP7" t="s">
        <v>119</v>
      </c>
      <c r="CQ7">
        <v>364</v>
      </c>
      <c r="CR7">
        <v>0</v>
      </c>
      <c r="CW7">
        <v>1359282</v>
      </c>
      <c r="CY7">
        <v>0</v>
      </c>
      <c r="CZ7">
        <v>0</v>
      </c>
      <c r="DA7">
        <v>1</v>
      </c>
      <c r="DB7">
        <v>0</v>
      </c>
      <c r="DC7">
        <v>0</v>
      </c>
      <c r="DD7">
        <v>0</v>
      </c>
      <c r="DE7">
        <v>0</v>
      </c>
      <c r="DF7">
        <v>1</v>
      </c>
      <c r="DG7">
        <v>1</v>
      </c>
      <c r="DH7">
        <v>0</v>
      </c>
      <c r="DI7">
        <v>0</v>
      </c>
    </row>
    <row r="8" spans="1:113" x14ac:dyDescent="0.3">
      <c r="A8" t="str">
        <f>"03/24/2022 22:08:43.478"</f>
        <v>03/24/2022 22:08:43.478</v>
      </c>
      <c r="C8" t="str">
        <f>"FFD5D3C0"</f>
        <v>FFD5D3C0</v>
      </c>
      <c r="D8" t="s">
        <v>123</v>
      </c>
      <c r="E8">
        <v>8</v>
      </c>
      <c r="H8">
        <v>31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si="2"/>
        <v>22:08:43.000</v>
      </c>
      <c r="T8" t="str">
        <f t="shared" si="2"/>
        <v>22:08:43.000</v>
      </c>
      <c r="U8" t="str">
        <f t="shared" si="1"/>
        <v>A9D71F</v>
      </c>
      <c r="V8">
        <v>0</v>
      </c>
      <c r="W8">
        <v>0</v>
      </c>
      <c r="X8">
        <v>2</v>
      </c>
      <c r="Z8">
        <v>1</v>
      </c>
      <c r="AA8">
        <v>0</v>
      </c>
      <c r="AB8">
        <v>3</v>
      </c>
      <c r="AC8">
        <v>0</v>
      </c>
      <c r="AD8">
        <v>8</v>
      </c>
      <c r="AE8">
        <v>0</v>
      </c>
      <c r="AF8">
        <v>0</v>
      </c>
      <c r="AG8">
        <v>1</v>
      </c>
      <c r="AH8">
        <v>0</v>
      </c>
      <c r="AI8" t="s">
        <v>128</v>
      </c>
      <c r="AJ8">
        <v>33.171823000000003</v>
      </c>
      <c r="AK8" t="s">
        <v>117</v>
      </c>
      <c r="AL8">
        <v>-97.828596000000005</v>
      </c>
      <c r="AM8">
        <v>25</v>
      </c>
      <c r="AN8">
        <v>800</v>
      </c>
      <c r="AO8" t="s">
        <v>118</v>
      </c>
      <c r="AP8">
        <v>1</v>
      </c>
      <c r="AQ8">
        <v>72</v>
      </c>
      <c r="AR8">
        <v>320</v>
      </c>
      <c r="AZ8">
        <v>1200</v>
      </c>
      <c r="BA8">
        <v>1</v>
      </c>
      <c r="BC8">
        <v>1</v>
      </c>
      <c r="BH8">
        <v>800</v>
      </c>
      <c r="BI8">
        <v>0</v>
      </c>
      <c r="BJ8">
        <v>0</v>
      </c>
      <c r="BK8">
        <v>0</v>
      </c>
      <c r="BL8">
        <v>0</v>
      </c>
      <c r="BO8">
        <v>0</v>
      </c>
      <c r="BP8">
        <v>0</v>
      </c>
      <c r="BW8" t="str">
        <f>"22:08:43.283"</f>
        <v>22:08:43.283</v>
      </c>
      <c r="CJ8">
        <v>0</v>
      </c>
      <c r="CK8">
        <v>0</v>
      </c>
      <c r="CL8">
        <v>0</v>
      </c>
      <c r="CM8">
        <v>0</v>
      </c>
      <c r="CN8">
        <v>0</v>
      </c>
      <c r="CO8">
        <v>2</v>
      </c>
      <c r="CP8" t="s">
        <v>119</v>
      </c>
      <c r="CQ8">
        <v>364</v>
      </c>
      <c r="CR8">
        <v>0</v>
      </c>
      <c r="CW8">
        <v>1359282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1</v>
      </c>
      <c r="DG8">
        <v>1</v>
      </c>
      <c r="DH8">
        <v>0</v>
      </c>
      <c r="DI8">
        <v>0</v>
      </c>
    </row>
    <row r="9" spans="1:113" x14ac:dyDescent="0.3">
      <c r="A9" t="str">
        <f>"03/24/2022 22:08:43.541"</f>
        <v>03/24/2022 22:08:43.541</v>
      </c>
      <c r="C9" t="str">
        <f>"FFD5D3C0"</f>
        <v>FFD5D3C0</v>
      </c>
      <c r="D9" t="s">
        <v>126</v>
      </c>
      <c r="E9">
        <v>3</v>
      </c>
      <c r="H9">
        <v>160</v>
      </c>
      <c r="I9" t="s">
        <v>121</v>
      </c>
      <c r="J9" t="s">
        <v>127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si="2"/>
        <v>22:08:43.000</v>
      </c>
      <c r="T9" t="str">
        <f t="shared" si="2"/>
        <v>22:08:43.000</v>
      </c>
      <c r="U9" t="str">
        <f t="shared" si="1"/>
        <v>A9D71F</v>
      </c>
      <c r="V9">
        <v>0</v>
      </c>
      <c r="W9">
        <v>0</v>
      </c>
      <c r="X9">
        <v>2</v>
      </c>
      <c r="Z9">
        <v>1</v>
      </c>
      <c r="AA9">
        <v>0</v>
      </c>
      <c r="AB9">
        <v>3</v>
      </c>
      <c r="AC9">
        <v>0</v>
      </c>
      <c r="AD9">
        <v>8</v>
      </c>
      <c r="AE9">
        <v>0</v>
      </c>
      <c r="AF9">
        <v>0</v>
      </c>
      <c r="AG9">
        <v>1</v>
      </c>
      <c r="AH9">
        <v>0</v>
      </c>
      <c r="AI9" t="s">
        <v>128</v>
      </c>
      <c r="AJ9">
        <v>33.171823000000003</v>
      </c>
      <c r="AK9" t="s">
        <v>117</v>
      </c>
      <c r="AL9">
        <v>-97.828596000000005</v>
      </c>
      <c r="AM9">
        <v>25</v>
      </c>
      <c r="AN9">
        <v>800</v>
      </c>
      <c r="AO9" t="s">
        <v>118</v>
      </c>
      <c r="AP9">
        <v>1</v>
      </c>
      <c r="AQ9">
        <v>72</v>
      </c>
      <c r="AR9">
        <v>320</v>
      </c>
      <c r="AZ9">
        <v>1200</v>
      </c>
      <c r="BA9">
        <v>1</v>
      </c>
      <c r="BC9">
        <v>1</v>
      </c>
      <c r="BH9">
        <v>800</v>
      </c>
      <c r="BI9">
        <v>0</v>
      </c>
      <c r="BJ9">
        <v>0</v>
      </c>
      <c r="BK9">
        <v>0</v>
      </c>
      <c r="BL9">
        <v>0</v>
      </c>
      <c r="BO9">
        <v>0</v>
      </c>
      <c r="BP9">
        <v>0</v>
      </c>
      <c r="BW9" t="str">
        <f>"22:08:43.283"</f>
        <v>22:08:43.283</v>
      </c>
      <c r="CJ9">
        <v>0</v>
      </c>
      <c r="CK9">
        <v>0</v>
      </c>
      <c r="CL9">
        <v>0</v>
      </c>
      <c r="CM9">
        <v>0</v>
      </c>
      <c r="CN9">
        <v>0</v>
      </c>
      <c r="CO9">
        <v>2</v>
      </c>
      <c r="CP9" t="s">
        <v>119</v>
      </c>
      <c r="CQ9">
        <v>364</v>
      </c>
      <c r="CR9">
        <v>0</v>
      </c>
      <c r="CW9">
        <v>1359282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1</v>
      </c>
      <c r="DG9">
        <v>1</v>
      </c>
      <c r="DH9">
        <v>0</v>
      </c>
      <c r="DI9">
        <v>0</v>
      </c>
    </row>
    <row r="10" spans="1:113" x14ac:dyDescent="0.3">
      <c r="A10" t="str">
        <f>"03/24/2022 22:08:45.153"</f>
        <v>03/24/2022 22:08:45.153</v>
      </c>
      <c r="C10" t="str">
        <f>"FFD1D3C0"</f>
        <v>FFD1D3C0</v>
      </c>
      <c r="D10" t="s">
        <v>126</v>
      </c>
      <c r="E10">
        <v>3</v>
      </c>
      <c r="H10">
        <v>160</v>
      </c>
      <c r="I10" t="s">
        <v>121</v>
      </c>
      <c r="J10" t="s">
        <v>127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ref="S10:T13" si="3">"22:08:44.000"</f>
        <v>22:08:44.000</v>
      </c>
      <c r="T10" t="str">
        <f t="shared" si="3"/>
        <v>22:08:44.000</v>
      </c>
      <c r="U10" t="str">
        <f t="shared" si="1"/>
        <v>A9D71F</v>
      </c>
      <c r="V10">
        <v>0</v>
      </c>
      <c r="W10">
        <v>0</v>
      </c>
      <c r="X10">
        <v>2</v>
      </c>
      <c r="Z10">
        <v>1</v>
      </c>
      <c r="AA10">
        <v>0</v>
      </c>
      <c r="AB10">
        <v>3</v>
      </c>
      <c r="AC10">
        <v>0</v>
      </c>
      <c r="AD10">
        <v>8</v>
      </c>
      <c r="AE10">
        <v>0</v>
      </c>
      <c r="AF10">
        <v>0</v>
      </c>
      <c r="AG10">
        <v>1</v>
      </c>
      <c r="AH10">
        <v>0</v>
      </c>
      <c r="AI10" t="s">
        <v>129</v>
      </c>
      <c r="AJ10">
        <v>33.172122999999999</v>
      </c>
      <c r="AK10" t="s">
        <v>130</v>
      </c>
      <c r="AL10">
        <v>-97.828574000000003</v>
      </c>
      <c r="AM10">
        <v>25</v>
      </c>
      <c r="AN10">
        <v>800</v>
      </c>
      <c r="AO10" t="s">
        <v>118</v>
      </c>
      <c r="AP10">
        <v>3</v>
      </c>
      <c r="AQ10">
        <v>73</v>
      </c>
      <c r="AR10">
        <v>320</v>
      </c>
      <c r="AZ10">
        <v>1200</v>
      </c>
      <c r="BA10">
        <v>1</v>
      </c>
      <c r="BH10">
        <v>800</v>
      </c>
      <c r="BI10">
        <v>0</v>
      </c>
      <c r="BJ10">
        <v>0</v>
      </c>
      <c r="BK10">
        <v>0</v>
      </c>
      <c r="BL10">
        <v>0</v>
      </c>
      <c r="BO10">
        <v>0</v>
      </c>
      <c r="BP10">
        <v>0</v>
      </c>
      <c r="BW10" t="str">
        <f>"22:08:44.919"</f>
        <v>22:08:44.919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</v>
      </c>
      <c r="CP10" t="s">
        <v>119</v>
      </c>
      <c r="CQ10">
        <v>364</v>
      </c>
      <c r="CR10">
        <v>0</v>
      </c>
      <c r="CW10">
        <v>1359522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1</v>
      </c>
      <c r="DH10">
        <v>0</v>
      </c>
      <c r="DI10">
        <v>1</v>
      </c>
    </row>
    <row r="11" spans="1:113" x14ac:dyDescent="0.3">
      <c r="A11" t="str">
        <f>"03/24/2022 22:08:45.153"</f>
        <v>03/24/2022 22:08:45.153</v>
      </c>
      <c r="C11" t="str">
        <f>"FFD193C0"</f>
        <v>FFD193C0</v>
      </c>
      <c r="D11" t="s">
        <v>113</v>
      </c>
      <c r="E11">
        <v>24</v>
      </c>
      <c r="F11">
        <v>2024</v>
      </c>
      <c r="G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3"/>
        <v>22:08:44.000</v>
      </c>
      <c r="T11" t="str">
        <f t="shared" si="3"/>
        <v>22:08:44.000</v>
      </c>
      <c r="U11" t="str">
        <f t="shared" si="1"/>
        <v>A9D71F</v>
      </c>
      <c r="V11">
        <v>0</v>
      </c>
      <c r="W11">
        <v>0</v>
      </c>
      <c r="X11">
        <v>2</v>
      </c>
      <c r="Z11">
        <v>1</v>
      </c>
      <c r="AA11">
        <v>0</v>
      </c>
      <c r="AB11">
        <v>3</v>
      </c>
      <c r="AC11">
        <v>0</v>
      </c>
      <c r="AD11">
        <v>8</v>
      </c>
      <c r="AE11">
        <v>0</v>
      </c>
      <c r="AF11">
        <v>0</v>
      </c>
      <c r="AG11">
        <v>1</v>
      </c>
      <c r="AH11">
        <v>0</v>
      </c>
      <c r="AI11" t="s">
        <v>129</v>
      </c>
      <c r="AJ11">
        <v>33.172122999999999</v>
      </c>
      <c r="AK11" t="s">
        <v>130</v>
      </c>
      <c r="AL11">
        <v>-97.828574000000003</v>
      </c>
      <c r="AM11">
        <v>25</v>
      </c>
      <c r="AN11">
        <v>800</v>
      </c>
      <c r="AO11" t="s">
        <v>118</v>
      </c>
      <c r="AP11">
        <v>3</v>
      </c>
      <c r="AQ11">
        <v>73</v>
      </c>
      <c r="AR11">
        <v>320</v>
      </c>
      <c r="AZ11">
        <v>1200</v>
      </c>
      <c r="BA11">
        <v>1</v>
      </c>
      <c r="BH11">
        <v>800</v>
      </c>
      <c r="BW11" t="str">
        <f>"22:08:44.919"</f>
        <v>22:08:44.919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</v>
      </c>
      <c r="CP11" t="s">
        <v>119</v>
      </c>
      <c r="CQ11">
        <v>364</v>
      </c>
      <c r="CR11">
        <v>0</v>
      </c>
      <c r="CW11">
        <v>1359522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1</v>
      </c>
      <c r="DG11">
        <v>1</v>
      </c>
      <c r="DH11">
        <v>0</v>
      </c>
      <c r="DI11">
        <v>1</v>
      </c>
    </row>
    <row r="12" spans="1:113" x14ac:dyDescent="0.3">
      <c r="A12" t="str">
        <f>"03/24/2022 22:08:45.153"</f>
        <v>03/24/2022 22:08:45.153</v>
      </c>
      <c r="C12" t="str">
        <f>"FFD1D3C0"</f>
        <v>FFD1D3C0</v>
      </c>
      <c r="D12" t="s">
        <v>123</v>
      </c>
      <c r="E12">
        <v>8</v>
      </c>
      <c r="H12">
        <v>31</v>
      </c>
      <c r="I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si="3"/>
        <v>22:08:44.000</v>
      </c>
      <c r="T12" t="str">
        <f t="shared" si="3"/>
        <v>22:08:44.000</v>
      </c>
      <c r="U12" t="str">
        <f t="shared" si="1"/>
        <v>A9D71F</v>
      </c>
      <c r="V12">
        <v>0</v>
      </c>
      <c r="W12">
        <v>0</v>
      </c>
      <c r="X12">
        <v>2</v>
      </c>
      <c r="Z12">
        <v>1</v>
      </c>
      <c r="AA12">
        <v>0</v>
      </c>
      <c r="AB12">
        <v>3</v>
      </c>
      <c r="AC12">
        <v>0</v>
      </c>
      <c r="AD12">
        <v>8</v>
      </c>
      <c r="AE12">
        <v>0</v>
      </c>
      <c r="AF12">
        <v>0</v>
      </c>
      <c r="AG12">
        <v>1</v>
      </c>
      <c r="AH12">
        <v>0</v>
      </c>
      <c r="AI12" t="s">
        <v>129</v>
      </c>
      <c r="AJ12">
        <v>33.172122999999999</v>
      </c>
      <c r="AK12" t="s">
        <v>130</v>
      </c>
      <c r="AL12">
        <v>-97.828574000000003</v>
      </c>
      <c r="AM12">
        <v>25</v>
      </c>
      <c r="AN12">
        <v>800</v>
      </c>
      <c r="AO12" t="s">
        <v>118</v>
      </c>
      <c r="AP12">
        <v>3</v>
      </c>
      <c r="AQ12">
        <v>73</v>
      </c>
      <c r="AR12">
        <v>320</v>
      </c>
      <c r="AZ12">
        <v>1200</v>
      </c>
      <c r="BA12">
        <v>1</v>
      </c>
      <c r="BH12">
        <v>800</v>
      </c>
      <c r="BI12">
        <v>0</v>
      </c>
      <c r="BJ12">
        <v>0</v>
      </c>
      <c r="BK12">
        <v>0</v>
      </c>
      <c r="BL12">
        <v>0</v>
      </c>
      <c r="BO12">
        <v>0</v>
      </c>
      <c r="BP12">
        <v>0</v>
      </c>
      <c r="BW12" t="str">
        <f>"22:08:44.919"</f>
        <v>22:08:44.919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</v>
      </c>
      <c r="CP12" t="s">
        <v>119</v>
      </c>
      <c r="CQ12">
        <v>364</v>
      </c>
      <c r="CR12">
        <v>0</v>
      </c>
      <c r="CW12">
        <v>1359522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1</v>
      </c>
      <c r="DH12">
        <v>0</v>
      </c>
      <c r="DI12">
        <v>1</v>
      </c>
    </row>
    <row r="13" spans="1:113" x14ac:dyDescent="0.3">
      <c r="A13" t="str">
        <f>"03/24/2022 22:08:45.153"</f>
        <v>03/24/2022 22:08:45.153</v>
      </c>
      <c r="C13" t="str">
        <f>"FFD193C0"</f>
        <v>FFD193C0</v>
      </c>
      <c r="D13" t="s">
        <v>120</v>
      </c>
      <c r="E13">
        <v>14</v>
      </c>
      <c r="F13">
        <v>1014</v>
      </c>
      <c r="G13" t="s">
        <v>121</v>
      </c>
      <c r="J13" t="s">
        <v>122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si="3"/>
        <v>22:08:44.000</v>
      </c>
      <c r="T13" t="str">
        <f t="shared" si="3"/>
        <v>22:08:44.000</v>
      </c>
      <c r="U13" t="str">
        <f t="shared" si="1"/>
        <v>A9D71F</v>
      </c>
      <c r="V13">
        <v>0</v>
      </c>
      <c r="W13">
        <v>0</v>
      </c>
      <c r="X13">
        <v>2</v>
      </c>
      <c r="Z13">
        <v>1</v>
      </c>
      <c r="AA13">
        <v>0</v>
      </c>
      <c r="AB13">
        <v>3</v>
      </c>
      <c r="AC13">
        <v>0</v>
      </c>
      <c r="AD13">
        <v>8</v>
      </c>
      <c r="AE13">
        <v>0</v>
      </c>
      <c r="AF13">
        <v>0</v>
      </c>
      <c r="AG13">
        <v>1</v>
      </c>
      <c r="AH13">
        <v>0</v>
      </c>
      <c r="AI13" t="s">
        <v>129</v>
      </c>
      <c r="AJ13">
        <v>33.172122999999999</v>
      </c>
      <c r="AK13" t="s">
        <v>130</v>
      </c>
      <c r="AL13">
        <v>-97.828574000000003</v>
      </c>
      <c r="AM13">
        <v>25</v>
      </c>
      <c r="AN13">
        <v>800</v>
      </c>
      <c r="AO13" t="s">
        <v>118</v>
      </c>
      <c r="AP13">
        <v>3</v>
      </c>
      <c r="AQ13">
        <v>73</v>
      </c>
      <c r="AR13">
        <v>320</v>
      </c>
      <c r="AZ13">
        <v>1200</v>
      </c>
      <c r="BA13">
        <v>1</v>
      </c>
      <c r="BH13">
        <v>800</v>
      </c>
      <c r="BW13" t="str">
        <f>"22:08:44.919"</f>
        <v>22:08:44.919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</v>
      </c>
      <c r="CP13" t="s">
        <v>119</v>
      </c>
      <c r="CQ13">
        <v>364</v>
      </c>
      <c r="CR13">
        <v>0</v>
      </c>
      <c r="CW13">
        <v>1359522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1</v>
      </c>
      <c r="DH13">
        <v>0</v>
      </c>
      <c r="DI13">
        <v>1</v>
      </c>
    </row>
    <row r="14" spans="1:113" x14ac:dyDescent="0.3">
      <c r="A14" t="str">
        <f>"03/24/2022 22:08:45.903"</f>
        <v>03/24/2022 22:08:45.903</v>
      </c>
      <c r="C14" t="str">
        <f>"FFD1D3C0"</f>
        <v>FFD1D3C0</v>
      </c>
      <c r="D14" t="s">
        <v>126</v>
      </c>
      <c r="E14">
        <v>3</v>
      </c>
      <c r="H14">
        <v>160</v>
      </c>
      <c r="I14" t="s">
        <v>121</v>
      </c>
      <c r="J14" t="s">
        <v>127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ref="S14:T17" si="4">"22:08:45.000"</f>
        <v>22:08:45.000</v>
      </c>
      <c r="T14" t="str">
        <f t="shared" si="4"/>
        <v>22:08:45.000</v>
      </c>
      <c r="U14" t="str">
        <f t="shared" si="1"/>
        <v>A9D71F</v>
      </c>
      <c r="V14">
        <v>0</v>
      </c>
      <c r="W14">
        <v>0</v>
      </c>
      <c r="X14">
        <v>2</v>
      </c>
      <c r="Z14">
        <v>1</v>
      </c>
      <c r="AA14">
        <v>0</v>
      </c>
      <c r="AB14">
        <v>3</v>
      </c>
      <c r="AC14">
        <v>0</v>
      </c>
      <c r="AD14">
        <v>8</v>
      </c>
      <c r="AE14">
        <v>0</v>
      </c>
      <c r="AF14">
        <v>0</v>
      </c>
      <c r="AG14">
        <v>1</v>
      </c>
      <c r="AH14">
        <v>0</v>
      </c>
      <c r="AI14" t="s">
        <v>131</v>
      </c>
      <c r="AJ14">
        <v>33.172423999999999</v>
      </c>
      <c r="AK14" t="s">
        <v>132</v>
      </c>
      <c r="AL14">
        <v>-97.828552999999999</v>
      </c>
      <c r="AM14">
        <v>25</v>
      </c>
      <c r="AN14">
        <v>800</v>
      </c>
      <c r="AO14" t="s">
        <v>118</v>
      </c>
      <c r="AP14">
        <v>2</v>
      </c>
      <c r="AQ14">
        <v>71</v>
      </c>
      <c r="AR14">
        <v>384</v>
      </c>
      <c r="AZ14">
        <v>1200</v>
      </c>
      <c r="BA14">
        <v>1</v>
      </c>
      <c r="BH14">
        <v>800</v>
      </c>
      <c r="BI14">
        <v>0</v>
      </c>
      <c r="BJ14">
        <v>0</v>
      </c>
      <c r="BK14">
        <v>0</v>
      </c>
      <c r="BL14">
        <v>0</v>
      </c>
      <c r="BO14">
        <v>0</v>
      </c>
      <c r="BP14">
        <v>0</v>
      </c>
      <c r="BW14" t="str">
        <f>"22:08:45.669"</f>
        <v>22:08:45.669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</v>
      </c>
      <c r="CP14" t="s">
        <v>119</v>
      </c>
      <c r="CQ14">
        <v>364</v>
      </c>
      <c r="CR14">
        <v>0</v>
      </c>
      <c r="CW14">
        <v>1359623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1</v>
      </c>
      <c r="DG14">
        <v>1</v>
      </c>
      <c r="DH14">
        <v>0</v>
      </c>
      <c r="DI14">
        <v>1</v>
      </c>
    </row>
    <row r="15" spans="1:113" x14ac:dyDescent="0.3">
      <c r="A15" t="str">
        <f>"03/24/2022 22:08:45.903"</f>
        <v>03/24/2022 22:08:45.903</v>
      </c>
      <c r="C15" t="str">
        <f>"FFD193C0"</f>
        <v>FFD193C0</v>
      </c>
      <c r="D15" t="s">
        <v>113</v>
      </c>
      <c r="E15">
        <v>24</v>
      </c>
      <c r="F15">
        <v>2024</v>
      </c>
      <c r="G15" t="s">
        <v>114</v>
      </c>
      <c r="J15" t="s">
        <v>115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4"/>
        <v>22:08:45.000</v>
      </c>
      <c r="T15" t="str">
        <f t="shared" si="4"/>
        <v>22:08:45.000</v>
      </c>
      <c r="U15" t="str">
        <f t="shared" si="1"/>
        <v>A9D71F</v>
      </c>
      <c r="V15">
        <v>0</v>
      </c>
      <c r="W15">
        <v>0</v>
      </c>
      <c r="X15">
        <v>2</v>
      </c>
      <c r="Z15">
        <v>1</v>
      </c>
      <c r="AA15">
        <v>0</v>
      </c>
      <c r="AB15">
        <v>3</v>
      </c>
      <c r="AC15">
        <v>0</v>
      </c>
      <c r="AD15">
        <v>8</v>
      </c>
      <c r="AE15">
        <v>0</v>
      </c>
      <c r="AF15">
        <v>0</v>
      </c>
      <c r="AG15">
        <v>1</v>
      </c>
      <c r="AH15">
        <v>0</v>
      </c>
      <c r="AI15" t="s">
        <v>131</v>
      </c>
      <c r="AJ15">
        <v>33.172423999999999</v>
      </c>
      <c r="AK15" t="s">
        <v>132</v>
      </c>
      <c r="AL15">
        <v>-97.828552999999999</v>
      </c>
      <c r="AM15">
        <v>25</v>
      </c>
      <c r="AN15">
        <v>800</v>
      </c>
      <c r="AO15" t="s">
        <v>118</v>
      </c>
      <c r="AP15">
        <v>2</v>
      </c>
      <c r="AQ15">
        <v>71</v>
      </c>
      <c r="AR15">
        <v>384</v>
      </c>
      <c r="AZ15">
        <v>1200</v>
      </c>
      <c r="BA15">
        <v>1</v>
      </c>
      <c r="BH15">
        <v>800</v>
      </c>
      <c r="BW15" t="str">
        <f>"22:08:45.669"</f>
        <v>22:08:45.669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</v>
      </c>
      <c r="CP15" t="s">
        <v>119</v>
      </c>
      <c r="CQ15">
        <v>364</v>
      </c>
      <c r="CR15">
        <v>0</v>
      </c>
      <c r="CW15">
        <v>1359623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1</v>
      </c>
      <c r="DG15">
        <v>1</v>
      </c>
      <c r="DH15">
        <v>0</v>
      </c>
      <c r="DI15">
        <v>1</v>
      </c>
    </row>
    <row r="16" spans="1:113" x14ac:dyDescent="0.3">
      <c r="A16" t="str">
        <f>"03/24/2022 22:08:45.903"</f>
        <v>03/24/2022 22:08:45.903</v>
      </c>
      <c r="C16" t="str">
        <f>"FFD1D3C0"</f>
        <v>FFD1D3C0</v>
      </c>
      <c r="D16" t="s">
        <v>123</v>
      </c>
      <c r="E16">
        <v>8</v>
      </c>
      <c r="H16">
        <v>31</v>
      </c>
      <c r="I16" t="s">
        <v>124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4"/>
        <v>22:08:45.000</v>
      </c>
      <c r="T16" t="str">
        <f t="shared" si="4"/>
        <v>22:08:45.000</v>
      </c>
      <c r="U16" t="str">
        <f t="shared" si="1"/>
        <v>A9D71F</v>
      </c>
      <c r="V16">
        <v>0</v>
      </c>
      <c r="W16">
        <v>0</v>
      </c>
      <c r="X16">
        <v>2</v>
      </c>
      <c r="Z16">
        <v>1</v>
      </c>
      <c r="AA16">
        <v>0</v>
      </c>
      <c r="AB16">
        <v>3</v>
      </c>
      <c r="AC16">
        <v>0</v>
      </c>
      <c r="AD16">
        <v>8</v>
      </c>
      <c r="AE16">
        <v>0</v>
      </c>
      <c r="AF16">
        <v>0</v>
      </c>
      <c r="AG16">
        <v>1</v>
      </c>
      <c r="AH16">
        <v>0</v>
      </c>
      <c r="AI16" t="s">
        <v>131</v>
      </c>
      <c r="AJ16">
        <v>33.172423999999999</v>
      </c>
      <c r="AK16" t="s">
        <v>132</v>
      </c>
      <c r="AL16">
        <v>-97.828552999999999</v>
      </c>
      <c r="AM16">
        <v>25</v>
      </c>
      <c r="AN16">
        <v>800</v>
      </c>
      <c r="AO16" t="s">
        <v>118</v>
      </c>
      <c r="AP16">
        <v>2</v>
      </c>
      <c r="AQ16">
        <v>71</v>
      </c>
      <c r="AR16">
        <v>384</v>
      </c>
      <c r="AZ16">
        <v>1200</v>
      </c>
      <c r="BA16">
        <v>1</v>
      </c>
      <c r="BH16">
        <v>800</v>
      </c>
      <c r="BI16">
        <v>0</v>
      </c>
      <c r="BJ16">
        <v>0</v>
      </c>
      <c r="BK16">
        <v>0</v>
      </c>
      <c r="BL16">
        <v>0</v>
      </c>
      <c r="BO16">
        <v>0</v>
      </c>
      <c r="BP16">
        <v>0</v>
      </c>
      <c r="BW16" t="str">
        <f>"22:08:45.669"</f>
        <v>22:08:45.669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</v>
      </c>
      <c r="CP16" t="s">
        <v>119</v>
      </c>
      <c r="CQ16">
        <v>364</v>
      </c>
      <c r="CR16">
        <v>0</v>
      </c>
      <c r="CW16">
        <v>1359623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1</v>
      </c>
      <c r="DG16">
        <v>1</v>
      </c>
      <c r="DH16">
        <v>0</v>
      </c>
      <c r="DI16">
        <v>1</v>
      </c>
    </row>
    <row r="17" spans="1:113" x14ac:dyDescent="0.3">
      <c r="A17" t="str">
        <f>"03/24/2022 22:08:45.903"</f>
        <v>03/24/2022 22:08:45.903</v>
      </c>
      <c r="C17" t="str">
        <f>"FFD193C0"</f>
        <v>FFD193C0</v>
      </c>
      <c r="D17" t="s">
        <v>120</v>
      </c>
      <c r="E17">
        <v>14</v>
      </c>
      <c r="F17">
        <v>1014</v>
      </c>
      <c r="G17" t="s">
        <v>121</v>
      </c>
      <c r="J17" t="s">
        <v>122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si="4"/>
        <v>22:08:45.000</v>
      </c>
      <c r="T17" t="str">
        <f t="shared" si="4"/>
        <v>22:08:45.000</v>
      </c>
      <c r="U17" t="str">
        <f t="shared" si="1"/>
        <v>A9D71F</v>
      </c>
      <c r="V17">
        <v>0</v>
      </c>
      <c r="W17">
        <v>0</v>
      </c>
      <c r="X17">
        <v>2</v>
      </c>
      <c r="Z17">
        <v>1</v>
      </c>
      <c r="AA17">
        <v>0</v>
      </c>
      <c r="AB17">
        <v>3</v>
      </c>
      <c r="AC17">
        <v>0</v>
      </c>
      <c r="AD17">
        <v>8</v>
      </c>
      <c r="AE17">
        <v>0</v>
      </c>
      <c r="AF17">
        <v>0</v>
      </c>
      <c r="AG17">
        <v>1</v>
      </c>
      <c r="AH17">
        <v>0</v>
      </c>
      <c r="AI17" t="s">
        <v>131</v>
      </c>
      <c r="AJ17">
        <v>33.172423999999999</v>
      </c>
      <c r="AK17" t="s">
        <v>132</v>
      </c>
      <c r="AL17">
        <v>-97.828552999999999</v>
      </c>
      <c r="AM17">
        <v>25</v>
      </c>
      <c r="AN17">
        <v>800</v>
      </c>
      <c r="AO17" t="s">
        <v>118</v>
      </c>
      <c r="AP17">
        <v>2</v>
      </c>
      <c r="AQ17">
        <v>71</v>
      </c>
      <c r="AR17">
        <v>384</v>
      </c>
      <c r="AZ17">
        <v>1200</v>
      </c>
      <c r="BA17">
        <v>1</v>
      </c>
      <c r="BH17">
        <v>800</v>
      </c>
      <c r="BW17" t="str">
        <f>"22:08:45.669"</f>
        <v>22:08:45.669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</v>
      </c>
      <c r="CP17" t="s">
        <v>119</v>
      </c>
      <c r="CQ17">
        <v>364</v>
      </c>
      <c r="CR17">
        <v>0</v>
      </c>
      <c r="CW17">
        <v>1359623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1</v>
      </c>
      <c r="DG17">
        <v>1</v>
      </c>
      <c r="DH17">
        <v>0</v>
      </c>
      <c r="DI17">
        <v>1</v>
      </c>
    </row>
    <row r="18" spans="1:113" x14ac:dyDescent="0.3">
      <c r="A18" t="str">
        <f>"03/24/2022 22:08:46.811"</f>
        <v>03/24/2022 22:08:46.811</v>
      </c>
      <c r="C18" t="str">
        <f t="shared" ref="C18:C25" si="5">"FFD7D3C0"</f>
        <v>FFD7D3C0</v>
      </c>
      <c r="D18" t="s">
        <v>113</v>
      </c>
      <c r="E18">
        <v>24</v>
      </c>
      <c r="F18">
        <v>2024</v>
      </c>
      <c r="G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ref="S18:T21" si="6">"22:08:46.000"</f>
        <v>22:08:46.000</v>
      </c>
      <c r="T18" t="str">
        <f t="shared" si="6"/>
        <v>22:08:46.000</v>
      </c>
      <c r="U18" t="str">
        <f t="shared" si="1"/>
        <v>A9D71F</v>
      </c>
      <c r="V18">
        <v>0</v>
      </c>
      <c r="W18">
        <v>0</v>
      </c>
      <c r="X18">
        <v>2</v>
      </c>
      <c r="Z18">
        <v>1</v>
      </c>
      <c r="AA18">
        <v>0</v>
      </c>
      <c r="AB18">
        <v>3</v>
      </c>
      <c r="AC18">
        <v>0</v>
      </c>
      <c r="AD18">
        <v>8</v>
      </c>
      <c r="AE18">
        <v>0</v>
      </c>
      <c r="AF18">
        <v>0</v>
      </c>
      <c r="AG18">
        <v>1</v>
      </c>
      <c r="AH18">
        <v>0</v>
      </c>
      <c r="AI18" t="s">
        <v>133</v>
      </c>
      <c r="AJ18">
        <v>33.172745999999997</v>
      </c>
      <c r="AK18" t="s">
        <v>132</v>
      </c>
      <c r="AL18">
        <v>-97.828552999999999</v>
      </c>
      <c r="AM18">
        <v>25</v>
      </c>
      <c r="AN18">
        <v>800</v>
      </c>
      <c r="AO18" t="s">
        <v>118</v>
      </c>
      <c r="AP18">
        <v>2</v>
      </c>
      <c r="AQ18">
        <v>76</v>
      </c>
      <c r="AR18">
        <v>384</v>
      </c>
      <c r="AZ18">
        <v>1200</v>
      </c>
      <c r="BA18">
        <v>1</v>
      </c>
      <c r="BC18">
        <v>1</v>
      </c>
      <c r="BE18">
        <v>0</v>
      </c>
      <c r="BF18">
        <v>0</v>
      </c>
      <c r="BG18">
        <v>0</v>
      </c>
      <c r="BH18">
        <v>850</v>
      </c>
      <c r="BI18">
        <v>1</v>
      </c>
      <c r="BJ18">
        <v>1</v>
      </c>
      <c r="BK18">
        <v>0</v>
      </c>
      <c r="BL18">
        <v>0</v>
      </c>
      <c r="BO18">
        <v>0</v>
      </c>
      <c r="BP18">
        <v>0</v>
      </c>
      <c r="BW18" t="str">
        <f>"22:08:46.512"</f>
        <v>22:08:46.512</v>
      </c>
      <c r="CJ18">
        <v>0</v>
      </c>
      <c r="CK18">
        <v>1</v>
      </c>
      <c r="CL18">
        <v>0</v>
      </c>
      <c r="CM18">
        <v>2</v>
      </c>
      <c r="CN18">
        <v>0</v>
      </c>
      <c r="CO18">
        <v>4</v>
      </c>
      <c r="CP18" t="s">
        <v>119</v>
      </c>
      <c r="CQ18">
        <v>364</v>
      </c>
      <c r="CR18">
        <v>0</v>
      </c>
      <c r="CW18">
        <v>1359749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1</v>
      </c>
      <c r="DG18">
        <v>1</v>
      </c>
      <c r="DH18">
        <v>0</v>
      </c>
      <c r="DI18">
        <v>0</v>
      </c>
    </row>
    <row r="19" spans="1:113" x14ac:dyDescent="0.3">
      <c r="A19" t="str">
        <f>"03/24/2022 22:08:46.811"</f>
        <v>03/24/2022 22:08:46.811</v>
      </c>
      <c r="C19" t="str">
        <f t="shared" si="5"/>
        <v>FFD7D3C0</v>
      </c>
      <c r="D19" t="s">
        <v>123</v>
      </c>
      <c r="E19">
        <v>8</v>
      </c>
      <c r="H19">
        <v>31</v>
      </c>
      <c r="I19" t="s">
        <v>124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6"/>
        <v>22:08:46.000</v>
      </c>
      <c r="T19" t="str">
        <f t="shared" si="6"/>
        <v>22:08:46.000</v>
      </c>
      <c r="U19" t="str">
        <f t="shared" si="1"/>
        <v>A9D71F</v>
      </c>
      <c r="V19">
        <v>0</v>
      </c>
      <c r="W19">
        <v>0</v>
      </c>
      <c r="X19">
        <v>2</v>
      </c>
      <c r="Z19">
        <v>1</v>
      </c>
      <c r="AA19">
        <v>0</v>
      </c>
      <c r="AB19">
        <v>3</v>
      </c>
      <c r="AC19">
        <v>0</v>
      </c>
      <c r="AD19">
        <v>8</v>
      </c>
      <c r="AE19">
        <v>0</v>
      </c>
      <c r="AF19">
        <v>0</v>
      </c>
      <c r="AG19">
        <v>1</v>
      </c>
      <c r="AH19">
        <v>0</v>
      </c>
      <c r="AI19" t="s">
        <v>133</v>
      </c>
      <c r="AJ19">
        <v>33.172745999999997</v>
      </c>
      <c r="AK19" t="s">
        <v>132</v>
      </c>
      <c r="AL19">
        <v>-97.828552999999999</v>
      </c>
      <c r="AM19">
        <v>25</v>
      </c>
      <c r="AN19">
        <v>800</v>
      </c>
      <c r="AO19" t="s">
        <v>118</v>
      </c>
      <c r="AP19">
        <v>2</v>
      </c>
      <c r="AQ19">
        <v>76</v>
      </c>
      <c r="AR19">
        <v>384</v>
      </c>
      <c r="AZ19">
        <v>1200</v>
      </c>
      <c r="BA19">
        <v>1</v>
      </c>
      <c r="BC19">
        <v>1</v>
      </c>
      <c r="BE19">
        <v>0</v>
      </c>
      <c r="BF19">
        <v>0</v>
      </c>
      <c r="BG19">
        <v>0</v>
      </c>
      <c r="BH19">
        <v>850</v>
      </c>
      <c r="BI19">
        <v>1</v>
      </c>
      <c r="BJ19">
        <v>1</v>
      </c>
      <c r="BK19">
        <v>0</v>
      </c>
      <c r="BL19">
        <v>0</v>
      </c>
      <c r="BO19">
        <v>0</v>
      </c>
      <c r="BP19">
        <v>0</v>
      </c>
      <c r="BW19" t="str">
        <f>"22:08:46.512"</f>
        <v>22:08:46.512</v>
      </c>
      <c r="CJ19">
        <v>0</v>
      </c>
      <c r="CK19">
        <v>1</v>
      </c>
      <c r="CL19">
        <v>0</v>
      </c>
      <c r="CM19">
        <v>2</v>
      </c>
      <c r="CN19">
        <v>0</v>
      </c>
      <c r="CO19">
        <v>4</v>
      </c>
      <c r="CP19" t="s">
        <v>119</v>
      </c>
      <c r="CQ19">
        <v>364</v>
      </c>
      <c r="CR19">
        <v>0</v>
      </c>
      <c r="CW19">
        <v>1359749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1</v>
      </c>
      <c r="DG19">
        <v>1</v>
      </c>
      <c r="DH19">
        <v>0</v>
      </c>
      <c r="DI19">
        <v>0</v>
      </c>
    </row>
    <row r="20" spans="1:113" x14ac:dyDescent="0.3">
      <c r="A20" t="str">
        <f>"03/24/2022 22:08:46.826"</f>
        <v>03/24/2022 22:08:46.826</v>
      </c>
      <c r="C20" t="str">
        <f t="shared" si="5"/>
        <v>FFD7D3C0</v>
      </c>
      <c r="D20" t="s">
        <v>120</v>
      </c>
      <c r="E20">
        <v>14</v>
      </c>
      <c r="F20">
        <v>1014</v>
      </c>
      <c r="G20" t="s">
        <v>121</v>
      </c>
      <c r="J20" t="s">
        <v>122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si="6"/>
        <v>22:08:46.000</v>
      </c>
      <c r="T20" t="str">
        <f t="shared" si="6"/>
        <v>22:08:46.000</v>
      </c>
      <c r="U20" t="str">
        <f t="shared" si="1"/>
        <v>A9D71F</v>
      </c>
      <c r="V20">
        <v>0</v>
      </c>
      <c r="W20">
        <v>0</v>
      </c>
      <c r="X20">
        <v>2</v>
      </c>
      <c r="Z20">
        <v>1</v>
      </c>
      <c r="AA20">
        <v>0</v>
      </c>
      <c r="AB20">
        <v>3</v>
      </c>
      <c r="AC20">
        <v>0</v>
      </c>
      <c r="AD20">
        <v>8</v>
      </c>
      <c r="AE20">
        <v>0</v>
      </c>
      <c r="AF20">
        <v>0</v>
      </c>
      <c r="AG20">
        <v>1</v>
      </c>
      <c r="AH20">
        <v>0</v>
      </c>
      <c r="AI20" t="s">
        <v>133</v>
      </c>
      <c r="AJ20">
        <v>33.172745999999997</v>
      </c>
      <c r="AK20" t="s">
        <v>132</v>
      </c>
      <c r="AL20">
        <v>-97.828552999999999</v>
      </c>
      <c r="AM20">
        <v>25</v>
      </c>
      <c r="AN20">
        <v>800</v>
      </c>
      <c r="AO20" t="s">
        <v>118</v>
      </c>
      <c r="AP20">
        <v>2</v>
      </c>
      <c r="AQ20">
        <v>76</v>
      </c>
      <c r="AR20">
        <v>384</v>
      </c>
      <c r="AZ20">
        <v>1200</v>
      </c>
      <c r="BA20">
        <v>1</v>
      </c>
      <c r="BC20">
        <v>1</v>
      </c>
      <c r="BE20">
        <v>0</v>
      </c>
      <c r="BF20">
        <v>0</v>
      </c>
      <c r="BG20">
        <v>0</v>
      </c>
      <c r="BH20">
        <v>850</v>
      </c>
      <c r="BI20">
        <v>1</v>
      </c>
      <c r="BJ20">
        <v>1</v>
      </c>
      <c r="BK20">
        <v>0</v>
      </c>
      <c r="BL20">
        <v>0</v>
      </c>
      <c r="BO20">
        <v>0</v>
      </c>
      <c r="BP20">
        <v>0</v>
      </c>
      <c r="BW20" t="str">
        <f>"22:08:46.512"</f>
        <v>22:08:46.512</v>
      </c>
      <c r="CJ20">
        <v>0</v>
      </c>
      <c r="CK20">
        <v>1</v>
      </c>
      <c r="CL20">
        <v>0</v>
      </c>
      <c r="CM20">
        <v>2</v>
      </c>
      <c r="CN20">
        <v>0</v>
      </c>
      <c r="CO20">
        <v>4</v>
      </c>
      <c r="CP20" t="s">
        <v>119</v>
      </c>
      <c r="CQ20">
        <v>364</v>
      </c>
      <c r="CR20">
        <v>0</v>
      </c>
      <c r="CW20">
        <v>1359749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1</v>
      </c>
      <c r="DG20">
        <v>1</v>
      </c>
      <c r="DH20">
        <v>0</v>
      </c>
      <c r="DI20">
        <v>0</v>
      </c>
    </row>
    <row r="21" spans="1:113" x14ac:dyDescent="0.3">
      <c r="A21" t="str">
        <f>"03/24/2022 22:08:46.842"</f>
        <v>03/24/2022 22:08:46.842</v>
      </c>
      <c r="C21" t="str">
        <f t="shared" si="5"/>
        <v>FFD7D3C0</v>
      </c>
      <c r="D21" t="s">
        <v>126</v>
      </c>
      <c r="E21">
        <v>3</v>
      </c>
      <c r="H21">
        <v>160</v>
      </c>
      <c r="I21" t="s">
        <v>121</v>
      </c>
      <c r="J21" t="s">
        <v>127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6"/>
        <v>22:08:46.000</v>
      </c>
      <c r="T21" t="str">
        <f t="shared" si="6"/>
        <v>22:08:46.000</v>
      </c>
      <c r="U21" t="str">
        <f t="shared" si="1"/>
        <v>A9D71F</v>
      </c>
      <c r="V21">
        <v>0</v>
      </c>
      <c r="W21">
        <v>0</v>
      </c>
      <c r="X21">
        <v>2</v>
      </c>
      <c r="Z21">
        <v>1</v>
      </c>
      <c r="AA21">
        <v>0</v>
      </c>
      <c r="AB21">
        <v>3</v>
      </c>
      <c r="AC21">
        <v>0</v>
      </c>
      <c r="AD21">
        <v>8</v>
      </c>
      <c r="AE21">
        <v>0</v>
      </c>
      <c r="AF21">
        <v>0</v>
      </c>
      <c r="AG21">
        <v>1</v>
      </c>
      <c r="AH21">
        <v>0</v>
      </c>
      <c r="AI21" t="s">
        <v>133</v>
      </c>
      <c r="AJ21">
        <v>33.172745999999997</v>
      </c>
      <c r="AK21" t="s">
        <v>132</v>
      </c>
      <c r="AL21">
        <v>-97.828552999999999</v>
      </c>
      <c r="AM21">
        <v>25</v>
      </c>
      <c r="AN21">
        <v>800</v>
      </c>
      <c r="AO21" t="s">
        <v>118</v>
      </c>
      <c r="AP21">
        <v>2</v>
      </c>
      <c r="AQ21">
        <v>76</v>
      </c>
      <c r="AR21">
        <v>384</v>
      </c>
      <c r="AZ21">
        <v>1200</v>
      </c>
      <c r="BA21">
        <v>1</v>
      </c>
      <c r="BC21">
        <v>1</v>
      </c>
      <c r="BE21">
        <v>0</v>
      </c>
      <c r="BF21">
        <v>0</v>
      </c>
      <c r="BG21">
        <v>0</v>
      </c>
      <c r="BH21">
        <v>850</v>
      </c>
      <c r="BI21">
        <v>1</v>
      </c>
      <c r="BJ21">
        <v>1</v>
      </c>
      <c r="BK21">
        <v>0</v>
      </c>
      <c r="BL21">
        <v>0</v>
      </c>
      <c r="BO21">
        <v>0</v>
      </c>
      <c r="BP21">
        <v>0</v>
      </c>
      <c r="BW21" t="str">
        <f>"22:08:46.512"</f>
        <v>22:08:46.512</v>
      </c>
      <c r="CJ21">
        <v>0</v>
      </c>
      <c r="CK21">
        <v>1</v>
      </c>
      <c r="CL21">
        <v>0</v>
      </c>
      <c r="CM21">
        <v>2</v>
      </c>
      <c r="CN21">
        <v>0</v>
      </c>
      <c r="CO21">
        <v>4</v>
      </c>
      <c r="CP21" t="s">
        <v>119</v>
      </c>
      <c r="CQ21">
        <v>364</v>
      </c>
      <c r="CR21">
        <v>0</v>
      </c>
      <c r="CW21">
        <v>1359749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1</v>
      </c>
      <c r="DG21">
        <v>1</v>
      </c>
      <c r="DH21">
        <v>0</v>
      </c>
      <c r="DI21">
        <v>0</v>
      </c>
    </row>
    <row r="22" spans="1:113" x14ac:dyDescent="0.3">
      <c r="A22" t="str">
        <f>"03/24/2022 22:08:49.126"</f>
        <v>03/24/2022 22:08:49.126</v>
      </c>
      <c r="C22" t="str">
        <f t="shared" si="5"/>
        <v>FFD7D3C0</v>
      </c>
      <c r="D22" t="s">
        <v>123</v>
      </c>
      <c r="E22">
        <v>8</v>
      </c>
      <c r="H22">
        <v>31</v>
      </c>
      <c r="I22" t="s">
        <v>124</v>
      </c>
      <c r="J22" t="s">
        <v>125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ref="S22:T25" si="7">"22:08:48.000"</f>
        <v>22:08:48.000</v>
      </c>
      <c r="T22" t="str">
        <f t="shared" si="7"/>
        <v>22:08:48.000</v>
      </c>
      <c r="U22" t="str">
        <f t="shared" si="1"/>
        <v>A9D71F</v>
      </c>
      <c r="V22">
        <v>0</v>
      </c>
      <c r="W22">
        <v>0</v>
      </c>
      <c r="X22">
        <v>2</v>
      </c>
      <c r="Z22">
        <v>1</v>
      </c>
      <c r="AA22">
        <v>0</v>
      </c>
      <c r="AB22">
        <v>3</v>
      </c>
      <c r="AC22">
        <v>0</v>
      </c>
      <c r="AD22">
        <v>8</v>
      </c>
      <c r="AE22">
        <v>0</v>
      </c>
      <c r="AF22">
        <v>3</v>
      </c>
      <c r="AG22">
        <v>1</v>
      </c>
      <c r="AH22">
        <v>0</v>
      </c>
      <c r="AI22" t="s">
        <v>134</v>
      </c>
      <c r="AJ22">
        <v>33.173475000000003</v>
      </c>
      <c r="AK22" t="s">
        <v>135</v>
      </c>
      <c r="AL22">
        <v>-97.828509999999994</v>
      </c>
      <c r="AM22">
        <v>25</v>
      </c>
      <c r="AN22">
        <v>800</v>
      </c>
      <c r="AZ22">
        <v>1200</v>
      </c>
      <c r="BA22">
        <v>1</v>
      </c>
      <c r="BC22">
        <v>1</v>
      </c>
      <c r="BE22">
        <v>0</v>
      </c>
      <c r="BF22">
        <v>0</v>
      </c>
      <c r="BG22">
        <v>0</v>
      </c>
      <c r="BH22">
        <v>850</v>
      </c>
      <c r="BI22">
        <v>1</v>
      </c>
      <c r="BJ22">
        <v>1</v>
      </c>
      <c r="BK22">
        <v>0</v>
      </c>
      <c r="BL22">
        <v>0</v>
      </c>
      <c r="BO22">
        <v>0</v>
      </c>
      <c r="BP22">
        <v>0</v>
      </c>
      <c r="BW22" t="str">
        <f>"22:08:48.714"</f>
        <v>22:08:48.714</v>
      </c>
      <c r="CJ22">
        <v>0</v>
      </c>
      <c r="CK22">
        <v>1</v>
      </c>
      <c r="CL22">
        <v>0</v>
      </c>
      <c r="CM22">
        <v>2</v>
      </c>
      <c r="CN22">
        <v>0</v>
      </c>
      <c r="CO22">
        <v>1</v>
      </c>
      <c r="CP22" t="s">
        <v>119</v>
      </c>
      <c r="CQ22">
        <v>364</v>
      </c>
      <c r="CR22">
        <v>0</v>
      </c>
      <c r="CW22">
        <v>1360064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1</v>
      </c>
      <c r="DG22">
        <v>1</v>
      </c>
      <c r="DH22">
        <v>0</v>
      </c>
      <c r="DI22">
        <v>0</v>
      </c>
    </row>
    <row r="23" spans="1:113" x14ac:dyDescent="0.3">
      <c r="A23" t="str">
        <f>"03/24/2022 22:08:49.126"</f>
        <v>03/24/2022 22:08:49.126</v>
      </c>
      <c r="C23" t="str">
        <f t="shared" si="5"/>
        <v>FFD7D3C0</v>
      </c>
      <c r="D23" t="s">
        <v>113</v>
      </c>
      <c r="E23">
        <v>24</v>
      </c>
      <c r="F23">
        <v>2024</v>
      </c>
      <c r="G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si="7"/>
        <v>22:08:48.000</v>
      </c>
      <c r="T23" t="str">
        <f t="shared" si="7"/>
        <v>22:08:48.000</v>
      </c>
      <c r="U23" t="str">
        <f t="shared" si="1"/>
        <v>A9D71F</v>
      </c>
      <c r="V23">
        <v>0</v>
      </c>
      <c r="W23">
        <v>0</v>
      </c>
      <c r="X23">
        <v>2</v>
      </c>
      <c r="Z23">
        <v>1</v>
      </c>
      <c r="AA23">
        <v>0</v>
      </c>
      <c r="AB23">
        <v>3</v>
      </c>
      <c r="AC23">
        <v>0</v>
      </c>
      <c r="AD23">
        <v>8</v>
      </c>
      <c r="AE23">
        <v>0</v>
      </c>
      <c r="AF23">
        <v>3</v>
      </c>
      <c r="AG23">
        <v>1</v>
      </c>
      <c r="AH23">
        <v>0</v>
      </c>
      <c r="AI23" t="s">
        <v>134</v>
      </c>
      <c r="AJ23">
        <v>33.173475000000003</v>
      </c>
      <c r="AK23" t="s">
        <v>135</v>
      </c>
      <c r="AL23">
        <v>-97.828509999999994</v>
      </c>
      <c r="AM23">
        <v>25</v>
      </c>
      <c r="AN23">
        <v>800</v>
      </c>
      <c r="AZ23">
        <v>1200</v>
      </c>
      <c r="BA23">
        <v>1</v>
      </c>
      <c r="BC23">
        <v>1</v>
      </c>
      <c r="BE23">
        <v>0</v>
      </c>
      <c r="BF23">
        <v>0</v>
      </c>
      <c r="BG23">
        <v>0</v>
      </c>
      <c r="BH23">
        <v>850</v>
      </c>
      <c r="BI23">
        <v>1</v>
      </c>
      <c r="BJ23">
        <v>1</v>
      </c>
      <c r="BK23">
        <v>0</v>
      </c>
      <c r="BL23">
        <v>0</v>
      </c>
      <c r="BO23">
        <v>0</v>
      </c>
      <c r="BP23">
        <v>0</v>
      </c>
      <c r="BW23" t="str">
        <f>"22:08:48.714"</f>
        <v>22:08:48.714</v>
      </c>
      <c r="CJ23">
        <v>0</v>
      </c>
      <c r="CK23">
        <v>1</v>
      </c>
      <c r="CL23">
        <v>0</v>
      </c>
      <c r="CM23">
        <v>2</v>
      </c>
      <c r="CN23">
        <v>0</v>
      </c>
      <c r="CO23">
        <v>1</v>
      </c>
      <c r="CP23" t="s">
        <v>119</v>
      </c>
      <c r="CQ23">
        <v>364</v>
      </c>
      <c r="CR23">
        <v>0</v>
      </c>
      <c r="CW23">
        <v>1360064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1</v>
      </c>
      <c r="DG23">
        <v>1</v>
      </c>
      <c r="DH23">
        <v>0</v>
      </c>
      <c r="DI23">
        <v>0</v>
      </c>
    </row>
    <row r="24" spans="1:113" x14ac:dyDescent="0.3">
      <c r="A24" t="str">
        <f>"03/24/2022 22:08:49.173"</f>
        <v>03/24/2022 22:08:49.173</v>
      </c>
      <c r="C24" t="str">
        <f t="shared" si="5"/>
        <v>FFD7D3C0</v>
      </c>
      <c r="D24" t="s">
        <v>126</v>
      </c>
      <c r="E24">
        <v>3</v>
      </c>
      <c r="H24">
        <v>160</v>
      </c>
      <c r="I24" t="s">
        <v>121</v>
      </c>
      <c r="J24" t="s">
        <v>127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7"/>
        <v>22:08:48.000</v>
      </c>
      <c r="T24" t="str">
        <f t="shared" si="7"/>
        <v>22:08:48.000</v>
      </c>
      <c r="U24" t="str">
        <f t="shared" si="1"/>
        <v>A9D71F</v>
      </c>
      <c r="V24">
        <v>0</v>
      </c>
      <c r="W24">
        <v>0</v>
      </c>
      <c r="X24">
        <v>2</v>
      </c>
      <c r="Z24">
        <v>1</v>
      </c>
      <c r="AA24">
        <v>0</v>
      </c>
      <c r="AB24">
        <v>3</v>
      </c>
      <c r="AC24">
        <v>0</v>
      </c>
      <c r="AD24">
        <v>8</v>
      </c>
      <c r="AE24">
        <v>0</v>
      </c>
      <c r="AF24">
        <v>3</v>
      </c>
      <c r="AG24">
        <v>1</v>
      </c>
      <c r="AH24">
        <v>0</v>
      </c>
      <c r="AI24" t="s">
        <v>134</v>
      </c>
      <c r="AJ24">
        <v>33.173475000000003</v>
      </c>
      <c r="AK24" t="s">
        <v>135</v>
      </c>
      <c r="AL24">
        <v>-97.828509999999994</v>
      </c>
      <c r="AM24">
        <v>25</v>
      </c>
      <c r="AN24">
        <v>800</v>
      </c>
      <c r="AZ24">
        <v>1200</v>
      </c>
      <c r="BA24">
        <v>1</v>
      </c>
      <c r="BC24">
        <v>1</v>
      </c>
      <c r="BE24">
        <v>0</v>
      </c>
      <c r="BF24">
        <v>0</v>
      </c>
      <c r="BG24">
        <v>0</v>
      </c>
      <c r="BH24">
        <v>850</v>
      </c>
      <c r="BI24">
        <v>1</v>
      </c>
      <c r="BJ24">
        <v>1</v>
      </c>
      <c r="BK24">
        <v>0</v>
      </c>
      <c r="BL24">
        <v>0</v>
      </c>
      <c r="BO24">
        <v>0</v>
      </c>
      <c r="BP24">
        <v>0</v>
      </c>
      <c r="BW24" t="str">
        <f>"22:08:48.714"</f>
        <v>22:08:48.714</v>
      </c>
      <c r="CJ24">
        <v>0</v>
      </c>
      <c r="CK24">
        <v>1</v>
      </c>
      <c r="CL24">
        <v>0</v>
      </c>
      <c r="CM24">
        <v>2</v>
      </c>
      <c r="CN24">
        <v>0</v>
      </c>
      <c r="CO24">
        <v>1</v>
      </c>
      <c r="CP24" t="s">
        <v>119</v>
      </c>
      <c r="CQ24">
        <v>364</v>
      </c>
      <c r="CR24">
        <v>0</v>
      </c>
      <c r="CW24">
        <v>1360064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1</v>
      </c>
      <c r="DG24">
        <v>1</v>
      </c>
      <c r="DH24">
        <v>0</v>
      </c>
      <c r="DI24">
        <v>0</v>
      </c>
    </row>
    <row r="25" spans="1:113" x14ac:dyDescent="0.3">
      <c r="A25" t="str">
        <f>"03/24/2022 22:08:49.173"</f>
        <v>03/24/2022 22:08:49.173</v>
      </c>
      <c r="C25" t="str">
        <f t="shared" si="5"/>
        <v>FFD7D3C0</v>
      </c>
      <c r="D25" t="s">
        <v>120</v>
      </c>
      <c r="E25">
        <v>14</v>
      </c>
      <c r="F25">
        <v>1014</v>
      </c>
      <c r="G25" t="s">
        <v>121</v>
      </c>
      <c r="J25" t="s">
        <v>122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si="7"/>
        <v>22:08:48.000</v>
      </c>
      <c r="T25" t="str">
        <f t="shared" si="7"/>
        <v>22:08:48.000</v>
      </c>
      <c r="U25" t="str">
        <f t="shared" si="1"/>
        <v>A9D71F</v>
      </c>
      <c r="V25">
        <v>0</v>
      </c>
      <c r="W25">
        <v>0</v>
      </c>
      <c r="X25">
        <v>2</v>
      </c>
      <c r="Z25">
        <v>1</v>
      </c>
      <c r="AA25">
        <v>0</v>
      </c>
      <c r="AB25">
        <v>3</v>
      </c>
      <c r="AC25">
        <v>0</v>
      </c>
      <c r="AD25">
        <v>8</v>
      </c>
      <c r="AE25">
        <v>0</v>
      </c>
      <c r="AF25">
        <v>3</v>
      </c>
      <c r="AG25">
        <v>1</v>
      </c>
      <c r="AH25">
        <v>0</v>
      </c>
      <c r="AI25" t="s">
        <v>134</v>
      </c>
      <c r="AJ25">
        <v>33.173475000000003</v>
      </c>
      <c r="AK25" t="s">
        <v>135</v>
      </c>
      <c r="AL25">
        <v>-97.828509999999994</v>
      </c>
      <c r="AM25">
        <v>25</v>
      </c>
      <c r="AN25">
        <v>800</v>
      </c>
      <c r="AZ25">
        <v>1200</v>
      </c>
      <c r="BA25">
        <v>1</v>
      </c>
      <c r="BC25">
        <v>1</v>
      </c>
      <c r="BE25">
        <v>0</v>
      </c>
      <c r="BF25">
        <v>0</v>
      </c>
      <c r="BG25">
        <v>0</v>
      </c>
      <c r="BH25">
        <v>850</v>
      </c>
      <c r="BI25">
        <v>1</v>
      </c>
      <c r="BJ25">
        <v>1</v>
      </c>
      <c r="BK25">
        <v>0</v>
      </c>
      <c r="BL25">
        <v>0</v>
      </c>
      <c r="BO25">
        <v>0</v>
      </c>
      <c r="BP25">
        <v>0</v>
      </c>
      <c r="BW25" t="str">
        <f>"22:08:48.714"</f>
        <v>22:08:48.714</v>
      </c>
      <c r="CJ25">
        <v>0</v>
      </c>
      <c r="CK25">
        <v>1</v>
      </c>
      <c r="CL25">
        <v>0</v>
      </c>
      <c r="CM25">
        <v>2</v>
      </c>
      <c r="CN25">
        <v>0</v>
      </c>
      <c r="CO25">
        <v>1</v>
      </c>
      <c r="CP25" t="s">
        <v>119</v>
      </c>
      <c r="CQ25">
        <v>364</v>
      </c>
      <c r="CR25">
        <v>0</v>
      </c>
      <c r="CW25">
        <v>1360064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1</v>
      </c>
      <c r="DG25">
        <v>1</v>
      </c>
      <c r="DH25">
        <v>0</v>
      </c>
      <c r="DI25">
        <v>0</v>
      </c>
    </row>
    <row r="26" spans="1:113" x14ac:dyDescent="0.3">
      <c r="A26" t="str">
        <f>"03/24/2022 22:08:51.564"</f>
        <v>03/24/2022 22:08:51.564</v>
      </c>
      <c r="C26" t="str">
        <f t="shared" ref="C26:C61" si="8">"FFDFD3C0"</f>
        <v>FFDFD3C0</v>
      </c>
      <c r="D26" t="s">
        <v>126</v>
      </c>
      <c r="E26">
        <v>3</v>
      </c>
      <c r="H26">
        <v>160</v>
      </c>
      <c r="I26" t="s">
        <v>121</v>
      </c>
      <c r="J26" t="s">
        <v>127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ref="S26:T29" si="9">"22:08:51.000"</f>
        <v>22:08:51.000</v>
      </c>
      <c r="T26" t="str">
        <f t="shared" si="9"/>
        <v>22:08:51.000</v>
      </c>
      <c r="U26" t="str">
        <f t="shared" si="1"/>
        <v>A9D71F</v>
      </c>
      <c r="V26">
        <v>0</v>
      </c>
      <c r="W26">
        <v>0</v>
      </c>
      <c r="X26">
        <v>2</v>
      </c>
      <c r="Z26">
        <v>1</v>
      </c>
      <c r="AA26">
        <v>0</v>
      </c>
      <c r="AB26">
        <v>3</v>
      </c>
      <c r="AC26">
        <v>0</v>
      </c>
      <c r="AD26">
        <v>7</v>
      </c>
      <c r="AE26">
        <v>0</v>
      </c>
      <c r="AF26">
        <v>3</v>
      </c>
      <c r="AG26">
        <v>1</v>
      </c>
      <c r="AH26">
        <v>0</v>
      </c>
      <c r="AI26" t="s">
        <v>136</v>
      </c>
      <c r="AJ26">
        <v>33.173324999999998</v>
      </c>
      <c r="AK26" t="s">
        <v>137</v>
      </c>
      <c r="AL26">
        <v>-97.828659999999999</v>
      </c>
      <c r="AM26">
        <v>25</v>
      </c>
      <c r="AN26">
        <v>900</v>
      </c>
      <c r="AO26" t="s">
        <v>118</v>
      </c>
      <c r="AP26">
        <v>2</v>
      </c>
      <c r="AQ26">
        <v>77</v>
      </c>
      <c r="AR26">
        <v>512</v>
      </c>
      <c r="AZ26">
        <v>1200</v>
      </c>
      <c r="BA26">
        <v>1</v>
      </c>
      <c r="BB26" t="str">
        <f t="shared" ref="BB26:BB61" si="10">"N733KP  "</f>
        <v xml:space="preserve">N733KP  </v>
      </c>
      <c r="BC26">
        <v>1</v>
      </c>
      <c r="BE26">
        <v>0</v>
      </c>
      <c r="BF26">
        <v>0</v>
      </c>
      <c r="BG26">
        <v>0</v>
      </c>
      <c r="BH26">
        <v>850</v>
      </c>
      <c r="BI26">
        <v>1</v>
      </c>
      <c r="BJ26">
        <v>1</v>
      </c>
      <c r="BK26">
        <v>0</v>
      </c>
      <c r="BL26">
        <v>0</v>
      </c>
      <c r="BO26">
        <v>0</v>
      </c>
      <c r="BP26">
        <v>0</v>
      </c>
      <c r="BW26" t="str">
        <f>"22:08:51.257"</f>
        <v>22:08:51.257</v>
      </c>
      <c r="CJ26">
        <v>0</v>
      </c>
      <c r="CK26">
        <v>1</v>
      </c>
      <c r="CL26">
        <v>0</v>
      </c>
      <c r="CM26">
        <v>2</v>
      </c>
      <c r="CN26">
        <v>0</v>
      </c>
      <c r="CO26">
        <v>2</v>
      </c>
      <c r="CP26" t="s">
        <v>119</v>
      </c>
      <c r="CQ26">
        <v>364</v>
      </c>
      <c r="CR26">
        <v>0</v>
      </c>
      <c r="CW26">
        <v>1360413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1</v>
      </c>
      <c r="DH26">
        <v>0</v>
      </c>
      <c r="DI26">
        <v>0</v>
      </c>
    </row>
    <row r="27" spans="1:113" x14ac:dyDescent="0.3">
      <c r="A27" t="str">
        <f>"03/24/2022 22:08:51.564"</f>
        <v>03/24/2022 22:08:51.564</v>
      </c>
      <c r="C27" t="str">
        <f t="shared" si="8"/>
        <v>FFDFD3C0</v>
      </c>
      <c r="D27" t="s">
        <v>120</v>
      </c>
      <c r="E27">
        <v>14</v>
      </c>
      <c r="F27">
        <v>1014</v>
      </c>
      <c r="G27" t="s">
        <v>121</v>
      </c>
      <c r="J27" t="s">
        <v>122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si="9"/>
        <v>22:08:51.000</v>
      </c>
      <c r="T27" t="str">
        <f t="shared" si="9"/>
        <v>22:08:51.000</v>
      </c>
      <c r="U27" t="str">
        <f t="shared" si="1"/>
        <v>A9D71F</v>
      </c>
      <c r="V27">
        <v>0</v>
      </c>
      <c r="W27">
        <v>0</v>
      </c>
      <c r="X27">
        <v>2</v>
      </c>
      <c r="Z27">
        <v>1</v>
      </c>
      <c r="AA27">
        <v>0</v>
      </c>
      <c r="AB27">
        <v>3</v>
      </c>
      <c r="AC27">
        <v>0</v>
      </c>
      <c r="AD27">
        <v>7</v>
      </c>
      <c r="AE27">
        <v>0</v>
      </c>
      <c r="AF27">
        <v>3</v>
      </c>
      <c r="AG27">
        <v>1</v>
      </c>
      <c r="AH27">
        <v>0</v>
      </c>
      <c r="AI27" t="s">
        <v>136</v>
      </c>
      <c r="AJ27">
        <v>33.173324999999998</v>
      </c>
      <c r="AK27" t="s">
        <v>137</v>
      </c>
      <c r="AL27">
        <v>-97.828659999999999</v>
      </c>
      <c r="AM27">
        <v>25</v>
      </c>
      <c r="AN27">
        <v>900</v>
      </c>
      <c r="AO27" t="s">
        <v>118</v>
      </c>
      <c r="AP27">
        <v>2</v>
      </c>
      <c r="AQ27">
        <v>77</v>
      </c>
      <c r="AR27">
        <v>512</v>
      </c>
      <c r="AZ27">
        <v>1200</v>
      </c>
      <c r="BA27">
        <v>1</v>
      </c>
      <c r="BB27" t="str">
        <f t="shared" si="10"/>
        <v xml:space="preserve">N733KP  </v>
      </c>
      <c r="BC27">
        <v>1</v>
      </c>
      <c r="BE27">
        <v>0</v>
      </c>
      <c r="BF27">
        <v>0</v>
      </c>
      <c r="BG27">
        <v>0</v>
      </c>
      <c r="BH27">
        <v>850</v>
      </c>
      <c r="BI27">
        <v>1</v>
      </c>
      <c r="BJ27">
        <v>1</v>
      </c>
      <c r="BK27">
        <v>0</v>
      </c>
      <c r="BL27">
        <v>0</v>
      </c>
      <c r="BO27">
        <v>0</v>
      </c>
      <c r="BP27">
        <v>0</v>
      </c>
      <c r="BW27" t="str">
        <f>"22:08:51.257"</f>
        <v>22:08:51.257</v>
      </c>
      <c r="CJ27">
        <v>0</v>
      </c>
      <c r="CK27">
        <v>1</v>
      </c>
      <c r="CL27">
        <v>0</v>
      </c>
      <c r="CM27">
        <v>2</v>
      </c>
      <c r="CN27">
        <v>0</v>
      </c>
      <c r="CO27">
        <v>2</v>
      </c>
      <c r="CP27" t="s">
        <v>119</v>
      </c>
      <c r="CQ27">
        <v>364</v>
      </c>
      <c r="CR27">
        <v>0</v>
      </c>
      <c r="CW27">
        <v>1360413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1</v>
      </c>
      <c r="DH27">
        <v>0</v>
      </c>
      <c r="DI27">
        <v>0</v>
      </c>
    </row>
    <row r="28" spans="1:113" x14ac:dyDescent="0.3">
      <c r="A28" t="str">
        <f>"03/24/2022 22:08:51.564"</f>
        <v>03/24/2022 22:08:51.564</v>
      </c>
      <c r="C28" t="str">
        <f t="shared" si="8"/>
        <v>FFDFD3C0</v>
      </c>
      <c r="D28" t="s">
        <v>123</v>
      </c>
      <c r="E28">
        <v>8</v>
      </c>
      <c r="H28">
        <v>31</v>
      </c>
      <c r="I28" t="s">
        <v>124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si="9"/>
        <v>22:08:51.000</v>
      </c>
      <c r="T28" t="str">
        <f t="shared" si="9"/>
        <v>22:08:51.000</v>
      </c>
      <c r="U28" t="str">
        <f t="shared" si="1"/>
        <v>A9D71F</v>
      </c>
      <c r="V28">
        <v>0</v>
      </c>
      <c r="W28">
        <v>0</v>
      </c>
      <c r="X28">
        <v>2</v>
      </c>
      <c r="Z28">
        <v>1</v>
      </c>
      <c r="AA28">
        <v>0</v>
      </c>
      <c r="AB28">
        <v>3</v>
      </c>
      <c r="AC28">
        <v>0</v>
      </c>
      <c r="AD28">
        <v>7</v>
      </c>
      <c r="AE28">
        <v>0</v>
      </c>
      <c r="AF28">
        <v>3</v>
      </c>
      <c r="AG28">
        <v>1</v>
      </c>
      <c r="AH28">
        <v>0</v>
      </c>
      <c r="AI28" t="s">
        <v>136</v>
      </c>
      <c r="AJ28">
        <v>33.173324999999998</v>
      </c>
      <c r="AK28" t="s">
        <v>137</v>
      </c>
      <c r="AL28">
        <v>-97.828659999999999</v>
      </c>
      <c r="AM28">
        <v>25</v>
      </c>
      <c r="AN28">
        <v>900</v>
      </c>
      <c r="AO28" t="s">
        <v>118</v>
      </c>
      <c r="AP28">
        <v>2</v>
      </c>
      <c r="AQ28">
        <v>77</v>
      </c>
      <c r="AR28">
        <v>512</v>
      </c>
      <c r="AZ28">
        <v>1200</v>
      </c>
      <c r="BA28">
        <v>1</v>
      </c>
      <c r="BB28" t="str">
        <f t="shared" si="10"/>
        <v xml:space="preserve">N733KP  </v>
      </c>
      <c r="BC28">
        <v>1</v>
      </c>
      <c r="BE28">
        <v>0</v>
      </c>
      <c r="BF28">
        <v>0</v>
      </c>
      <c r="BG28">
        <v>0</v>
      </c>
      <c r="BH28">
        <v>850</v>
      </c>
      <c r="BI28">
        <v>1</v>
      </c>
      <c r="BJ28">
        <v>1</v>
      </c>
      <c r="BK28">
        <v>0</v>
      </c>
      <c r="BL28">
        <v>0</v>
      </c>
      <c r="BO28">
        <v>0</v>
      </c>
      <c r="BP28">
        <v>0</v>
      </c>
      <c r="BW28" t="str">
        <f>"22:08:51.257"</f>
        <v>22:08:51.257</v>
      </c>
      <c r="CJ28">
        <v>0</v>
      </c>
      <c r="CK28">
        <v>1</v>
      </c>
      <c r="CL28">
        <v>0</v>
      </c>
      <c r="CM28">
        <v>2</v>
      </c>
      <c r="CN28">
        <v>0</v>
      </c>
      <c r="CO28">
        <v>2</v>
      </c>
      <c r="CP28" t="s">
        <v>119</v>
      </c>
      <c r="CQ28">
        <v>364</v>
      </c>
      <c r="CR28">
        <v>0</v>
      </c>
      <c r="CW28">
        <v>1360413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1</v>
      </c>
      <c r="DH28">
        <v>0</v>
      </c>
      <c r="DI28">
        <v>0</v>
      </c>
    </row>
    <row r="29" spans="1:113" x14ac:dyDescent="0.3">
      <c r="A29" t="str">
        <f>"03/24/2022 22:08:51.564"</f>
        <v>03/24/2022 22:08:51.564</v>
      </c>
      <c r="C29" t="str">
        <f t="shared" si="8"/>
        <v>FFDFD3C0</v>
      </c>
      <c r="D29" t="s">
        <v>113</v>
      </c>
      <c r="E29">
        <v>24</v>
      </c>
      <c r="F29">
        <v>2024</v>
      </c>
      <c r="G29" t="s">
        <v>114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si="9"/>
        <v>22:08:51.000</v>
      </c>
      <c r="T29" t="str">
        <f t="shared" si="9"/>
        <v>22:08:51.000</v>
      </c>
      <c r="U29" t="str">
        <f t="shared" si="1"/>
        <v>A9D71F</v>
      </c>
      <c r="V29">
        <v>0</v>
      </c>
      <c r="W29">
        <v>0</v>
      </c>
      <c r="X29">
        <v>2</v>
      </c>
      <c r="Z29">
        <v>1</v>
      </c>
      <c r="AA29">
        <v>0</v>
      </c>
      <c r="AB29">
        <v>3</v>
      </c>
      <c r="AC29">
        <v>0</v>
      </c>
      <c r="AD29">
        <v>7</v>
      </c>
      <c r="AE29">
        <v>0</v>
      </c>
      <c r="AF29">
        <v>3</v>
      </c>
      <c r="AG29">
        <v>1</v>
      </c>
      <c r="AH29">
        <v>0</v>
      </c>
      <c r="AI29" t="s">
        <v>136</v>
      </c>
      <c r="AJ29">
        <v>33.173324999999998</v>
      </c>
      <c r="AK29" t="s">
        <v>137</v>
      </c>
      <c r="AL29">
        <v>-97.828659999999999</v>
      </c>
      <c r="AM29">
        <v>25</v>
      </c>
      <c r="AN29">
        <v>900</v>
      </c>
      <c r="AO29" t="s">
        <v>118</v>
      </c>
      <c r="AP29">
        <v>2</v>
      </c>
      <c r="AQ29">
        <v>77</v>
      </c>
      <c r="AR29">
        <v>512</v>
      </c>
      <c r="AZ29">
        <v>1200</v>
      </c>
      <c r="BA29">
        <v>1</v>
      </c>
      <c r="BB29" t="str">
        <f t="shared" si="10"/>
        <v xml:space="preserve">N733KP  </v>
      </c>
      <c r="BC29">
        <v>1</v>
      </c>
      <c r="BE29">
        <v>0</v>
      </c>
      <c r="BF29">
        <v>0</v>
      </c>
      <c r="BG29">
        <v>0</v>
      </c>
      <c r="BH29">
        <v>850</v>
      </c>
      <c r="BI29">
        <v>1</v>
      </c>
      <c r="BJ29">
        <v>1</v>
      </c>
      <c r="BK29">
        <v>0</v>
      </c>
      <c r="BL29">
        <v>0</v>
      </c>
      <c r="BO29">
        <v>0</v>
      </c>
      <c r="BP29">
        <v>0</v>
      </c>
      <c r="BW29" t="str">
        <f>"22:08:51.257"</f>
        <v>22:08:51.257</v>
      </c>
      <c r="CJ29">
        <v>0</v>
      </c>
      <c r="CK29">
        <v>1</v>
      </c>
      <c r="CL29">
        <v>0</v>
      </c>
      <c r="CM29">
        <v>2</v>
      </c>
      <c r="CN29">
        <v>0</v>
      </c>
      <c r="CO29">
        <v>2</v>
      </c>
      <c r="CP29" t="s">
        <v>119</v>
      </c>
      <c r="CQ29">
        <v>364</v>
      </c>
      <c r="CR29">
        <v>0</v>
      </c>
      <c r="CW29">
        <v>1360413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1</v>
      </c>
      <c r="DH29">
        <v>0</v>
      </c>
      <c r="DI29">
        <v>0</v>
      </c>
    </row>
    <row r="30" spans="1:113" x14ac:dyDescent="0.3">
      <c r="A30" t="str">
        <f>"03/24/2022 22:08:53.724"</f>
        <v>03/24/2022 22:08:53.724</v>
      </c>
      <c r="C30" t="str">
        <f t="shared" si="8"/>
        <v>FFDFD3C0</v>
      </c>
      <c r="D30" t="s">
        <v>123</v>
      </c>
      <c r="E30">
        <v>8</v>
      </c>
      <c r="H30">
        <v>31</v>
      </c>
      <c r="I30" t="s">
        <v>124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ref="S30:T33" si="11">"22:08:53.000"</f>
        <v>22:08:53.000</v>
      </c>
      <c r="T30" t="str">
        <f t="shared" si="11"/>
        <v>22:08:53.000</v>
      </c>
      <c r="U30" t="str">
        <f t="shared" si="1"/>
        <v>A9D71F</v>
      </c>
      <c r="V30">
        <v>0</v>
      </c>
      <c r="W30">
        <v>0</v>
      </c>
      <c r="X30">
        <v>2</v>
      </c>
      <c r="Z30">
        <v>1</v>
      </c>
      <c r="AA30">
        <v>0</v>
      </c>
      <c r="AB30">
        <v>3</v>
      </c>
      <c r="AC30">
        <v>0</v>
      </c>
      <c r="AD30">
        <v>7</v>
      </c>
      <c r="AE30">
        <v>0</v>
      </c>
      <c r="AF30">
        <v>3</v>
      </c>
      <c r="AG30">
        <v>1</v>
      </c>
      <c r="AH30">
        <v>0</v>
      </c>
      <c r="AI30" t="s">
        <v>138</v>
      </c>
      <c r="AJ30">
        <v>33.174548000000001</v>
      </c>
      <c r="AK30" t="s">
        <v>130</v>
      </c>
      <c r="AL30">
        <v>-97.828574000000003</v>
      </c>
      <c r="AM30">
        <v>25</v>
      </c>
      <c r="AN30">
        <v>900</v>
      </c>
      <c r="AO30" t="s">
        <v>118</v>
      </c>
      <c r="AP30">
        <v>3</v>
      </c>
      <c r="AQ30">
        <v>80</v>
      </c>
      <c r="AR30">
        <v>704</v>
      </c>
      <c r="AZ30">
        <v>1200</v>
      </c>
      <c r="BA30">
        <v>1</v>
      </c>
      <c r="BB30" t="str">
        <f t="shared" si="10"/>
        <v xml:space="preserve">N733KP  </v>
      </c>
      <c r="BC30">
        <v>1</v>
      </c>
      <c r="BE30">
        <v>0</v>
      </c>
      <c r="BF30">
        <v>0</v>
      </c>
      <c r="BG30">
        <v>0</v>
      </c>
      <c r="BH30">
        <v>850</v>
      </c>
      <c r="BI30">
        <v>1</v>
      </c>
      <c r="BJ30">
        <v>1</v>
      </c>
      <c r="BK30">
        <v>0</v>
      </c>
      <c r="BL30">
        <v>0</v>
      </c>
      <c r="BO30">
        <v>0</v>
      </c>
      <c r="BP30">
        <v>0</v>
      </c>
      <c r="BW30" t="str">
        <f>"22:08:53.464"</f>
        <v>22:08:53.464</v>
      </c>
      <c r="CJ30">
        <v>0</v>
      </c>
      <c r="CK30">
        <v>1</v>
      </c>
      <c r="CL30">
        <v>0</v>
      </c>
      <c r="CM30">
        <v>2</v>
      </c>
      <c r="CN30">
        <v>0</v>
      </c>
      <c r="CO30">
        <v>2</v>
      </c>
      <c r="CP30" t="s">
        <v>119</v>
      </c>
      <c r="CQ30">
        <v>364</v>
      </c>
      <c r="CR30">
        <v>0</v>
      </c>
      <c r="CW30">
        <v>1360714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1</v>
      </c>
      <c r="DH30">
        <v>0</v>
      </c>
      <c r="DI30">
        <v>0</v>
      </c>
    </row>
    <row r="31" spans="1:113" x14ac:dyDescent="0.3">
      <c r="A31" t="str">
        <f>"03/24/2022 22:08:53.724"</f>
        <v>03/24/2022 22:08:53.724</v>
      </c>
      <c r="C31" t="str">
        <f t="shared" si="8"/>
        <v>FFDFD3C0</v>
      </c>
      <c r="D31" t="s">
        <v>113</v>
      </c>
      <c r="E31">
        <v>24</v>
      </c>
      <c r="F31">
        <v>2024</v>
      </c>
      <c r="G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11"/>
        <v>22:08:53.000</v>
      </c>
      <c r="T31" t="str">
        <f t="shared" si="11"/>
        <v>22:08:53.000</v>
      </c>
      <c r="U31" t="str">
        <f t="shared" si="1"/>
        <v>A9D71F</v>
      </c>
      <c r="V31">
        <v>0</v>
      </c>
      <c r="W31">
        <v>0</v>
      </c>
      <c r="X31">
        <v>2</v>
      </c>
      <c r="Z31">
        <v>1</v>
      </c>
      <c r="AA31">
        <v>0</v>
      </c>
      <c r="AB31">
        <v>3</v>
      </c>
      <c r="AC31">
        <v>0</v>
      </c>
      <c r="AD31">
        <v>7</v>
      </c>
      <c r="AE31">
        <v>0</v>
      </c>
      <c r="AF31">
        <v>3</v>
      </c>
      <c r="AG31">
        <v>1</v>
      </c>
      <c r="AH31">
        <v>0</v>
      </c>
      <c r="AI31" t="s">
        <v>138</v>
      </c>
      <c r="AJ31">
        <v>33.174548000000001</v>
      </c>
      <c r="AK31" t="s">
        <v>130</v>
      </c>
      <c r="AL31">
        <v>-97.828574000000003</v>
      </c>
      <c r="AM31">
        <v>25</v>
      </c>
      <c r="AN31">
        <v>900</v>
      </c>
      <c r="AO31" t="s">
        <v>118</v>
      </c>
      <c r="AP31">
        <v>3</v>
      </c>
      <c r="AQ31">
        <v>80</v>
      </c>
      <c r="AR31">
        <v>704</v>
      </c>
      <c r="AZ31">
        <v>1200</v>
      </c>
      <c r="BA31">
        <v>1</v>
      </c>
      <c r="BB31" t="str">
        <f t="shared" si="10"/>
        <v xml:space="preserve">N733KP  </v>
      </c>
      <c r="BC31">
        <v>1</v>
      </c>
      <c r="BE31">
        <v>0</v>
      </c>
      <c r="BF31">
        <v>0</v>
      </c>
      <c r="BG31">
        <v>0</v>
      </c>
      <c r="BH31">
        <v>850</v>
      </c>
      <c r="BI31">
        <v>1</v>
      </c>
      <c r="BJ31">
        <v>1</v>
      </c>
      <c r="BK31">
        <v>0</v>
      </c>
      <c r="BL31">
        <v>0</v>
      </c>
      <c r="BO31">
        <v>0</v>
      </c>
      <c r="BP31">
        <v>0</v>
      </c>
      <c r="BW31" t="str">
        <f>"22:08:53.464"</f>
        <v>22:08:53.464</v>
      </c>
      <c r="CJ31">
        <v>0</v>
      </c>
      <c r="CK31">
        <v>1</v>
      </c>
      <c r="CL31">
        <v>0</v>
      </c>
      <c r="CM31">
        <v>2</v>
      </c>
      <c r="CN31">
        <v>0</v>
      </c>
      <c r="CO31">
        <v>2</v>
      </c>
      <c r="CP31" t="s">
        <v>119</v>
      </c>
      <c r="CQ31">
        <v>364</v>
      </c>
      <c r="CR31">
        <v>0</v>
      </c>
      <c r="CW31">
        <v>1360714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1</v>
      </c>
      <c r="DH31">
        <v>0</v>
      </c>
      <c r="DI31">
        <v>0</v>
      </c>
    </row>
    <row r="32" spans="1:113" x14ac:dyDescent="0.3">
      <c r="A32" t="str">
        <f>"03/24/2022 22:08:53.724"</f>
        <v>03/24/2022 22:08:53.724</v>
      </c>
      <c r="C32" t="str">
        <f t="shared" si="8"/>
        <v>FFDFD3C0</v>
      </c>
      <c r="D32" t="s">
        <v>126</v>
      </c>
      <c r="E32">
        <v>3</v>
      </c>
      <c r="H32">
        <v>160</v>
      </c>
      <c r="I32" t="s">
        <v>121</v>
      </c>
      <c r="J32" t="s">
        <v>127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si="11"/>
        <v>22:08:53.000</v>
      </c>
      <c r="T32" t="str">
        <f t="shared" si="11"/>
        <v>22:08:53.000</v>
      </c>
      <c r="U32" t="str">
        <f t="shared" si="1"/>
        <v>A9D71F</v>
      </c>
      <c r="V32">
        <v>0</v>
      </c>
      <c r="W32">
        <v>0</v>
      </c>
      <c r="X32">
        <v>2</v>
      </c>
      <c r="Z32">
        <v>1</v>
      </c>
      <c r="AA32">
        <v>0</v>
      </c>
      <c r="AB32">
        <v>3</v>
      </c>
      <c r="AC32">
        <v>0</v>
      </c>
      <c r="AD32">
        <v>7</v>
      </c>
      <c r="AE32">
        <v>0</v>
      </c>
      <c r="AF32">
        <v>3</v>
      </c>
      <c r="AG32">
        <v>1</v>
      </c>
      <c r="AH32">
        <v>0</v>
      </c>
      <c r="AI32" t="s">
        <v>138</v>
      </c>
      <c r="AJ32">
        <v>33.174548000000001</v>
      </c>
      <c r="AK32" t="s">
        <v>130</v>
      </c>
      <c r="AL32">
        <v>-97.828574000000003</v>
      </c>
      <c r="AM32">
        <v>25</v>
      </c>
      <c r="AN32">
        <v>900</v>
      </c>
      <c r="AO32" t="s">
        <v>118</v>
      </c>
      <c r="AP32">
        <v>3</v>
      </c>
      <c r="AQ32">
        <v>80</v>
      </c>
      <c r="AR32">
        <v>704</v>
      </c>
      <c r="AZ32">
        <v>1200</v>
      </c>
      <c r="BA32">
        <v>1</v>
      </c>
      <c r="BB32" t="str">
        <f t="shared" si="10"/>
        <v xml:space="preserve">N733KP  </v>
      </c>
      <c r="BC32">
        <v>1</v>
      </c>
      <c r="BE32">
        <v>0</v>
      </c>
      <c r="BF32">
        <v>0</v>
      </c>
      <c r="BG32">
        <v>0</v>
      </c>
      <c r="BH32">
        <v>850</v>
      </c>
      <c r="BI32">
        <v>1</v>
      </c>
      <c r="BJ32">
        <v>1</v>
      </c>
      <c r="BK32">
        <v>0</v>
      </c>
      <c r="BL32">
        <v>0</v>
      </c>
      <c r="BO32">
        <v>0</v>
      </c>
      <c r="BP32">
        <v>0</v>
      </c>
      <c r="BW32" t="str">
        <f>"22:08:53.464"</f>
        <v>22:08:53.464</v>
      </c>
      <c r="CJ32">
        <v>0</v>
      </c>
      <c r="CK32">
        <v>1</v>
      </c>
      <c r="CL32">
        <v>0</v>
      </c>
      <c r="CM32">
        <v>2</v>
      </c>
      <c r="CN32">
        <v>0</v>
      </c>
      <c r="CO32">
        <v>2</v>
      </c>
      <c r="CP32" t="s">
        <v>119</v>
      </c>
      <c r="CQ32">
        <v>364</v>
      </c>
      <c r="CR32">
        <v>0</v>
      </c>
      <c r="CW32">
        <v>1360714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0</v>
      </c>
      <c r="DI32">
        <v>0</v>
      </c>
    </row>
    <row r="33" spans="1:113" x14ac:dyDescent="0.3">
      <c r="A33" t="str">
        <f>"03/24/2022 22:08:53.724"</f>
        <v>03/24/2022 22:08:53.724</v>
      </c>
      <c r="C33" t="str">
        <f t="shared" si="8"/>
        <v>FFDFD3C0</v>
      </c>
      <c r="D33" t="s">
        <v>120</v>
      </c>
      <c r="E33">
        <v>14</v>
      </c>
      <c r="F33">
        <v>1014</v>
      </c>
      <c r="G33" t="s">
        <v>121</v>
      </c>
      <c r="J33" t="s">
        <v>122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si="11"/>
        <v>22:08:53.000</v>
      </c>
      <c r="T33" t="str">
        <f t="shared" si="11"/>
        <v>22:08:53.000</v>
      </c>
      <c r="U33" t="str">
        <f t="shared" si="1"/>
        <v>A9D71F</v>
      </c>
      <c r="V33">
        <v>0</v>
      </c>
      <c r="W33">
        <v>0</v>
      </c>
      <c r="X33">
        <v>2</v>
      </c>
      <c r="Z33">
        <v>1</v>
      </c>
      <c r="AA33">
        <v>0</v>
      </c>
      <c r="AB33">
        <v>3</v>
      </c>
      <c r="AC33">
        <v>0</v>
      </c>
      <c r="AD33">
        <v>7</v>
      </c>
      <c r="AE33">
        <v>0</v>
      </c>
      <c r="AF33">
        <v>3</v>
      </c>
      <c r="AG33">
        <v>1</v>
      </c>
      <c r="AH33">
        <v>0</v>
      </c>
      <c r="AI33" t="s">
        <v>138</v>
      </c>
      <c r="AJ33">
        <v>33.174548000000001</v>
      </c>
      <c r="AK33" t="s">
        <v>130</v>
      </c>
      <c r="AL33">
        <v>-97.828574000000003</v>
      </c>
      <c r="AM33">
        <v>25</v>
      </c>
      <c r="AN33">
        <v>900</v>
      </c>
      <c r="AO33" t="s">
        <v>118</v>
      </c>
      <c r="AP33">
        <v>3</v>
      </c>
      <c r="AQ33">
        <v>80</v>
      </c>
      <c r="AR33">
        <v>704</v>
      </c>
      <c r="AZ33">
        <v>1200</v>
      </c>
      <c r="BA33">
        <v>1</v>
      </c>
      <c r="BB33" t="str">
        <f t="shared" si="10"/>
        <v xml:space="preserve">N733KP  </v>
      </c>
      <c r="BC33">
        <v>1</v>
      </c>
      <c r="BE33">
        <v>0</v>
      </c>
      <c r="BF33">
        <v>0</v>
      </c>
      <c r="BG33">
        <v>0</v>
      </c>
      <c r="BH33">
        <v>850</v>
      </c>
      <c r="BI33">
        <v>1</v>
      </c>
      <c r="BJ33">
        <v>1</v>
      </c>
      <c r="BK33">
        <v>0</v>
      </c>
      <c r="BL33">
        <v>0</v>
      </c>
      <c r="BO33">
        <v>0</v>
      </c>
      <c r="BP33">
        <v>0</v>
      </c>
      <c r="BW33" t="str">
        <f>"22:08:53.464"</f>
        <v>22:08:53.464</v>
      </c>
      <c r="CJ33">
        <v>0</v>
      </c>
      <c r="CK33">
        <v>1</v>
      </c>
      <c r="CL33">
        <v>0</v>
      </c>
      <c r="CM33">
        <v>2</v>
      </c>
      <c r="CN33">
        <v>0</v>
      </c>
      <c r="CO33">
        <v>2</v>
      </c>
      <c r="CP33" t="s">
        <v>119</v>
      </c>
      <c r="CQ33">
        <v>364</v>
      </c>
      <c r="CR33">
        <v>0</v>
      </c>
      <c r="CW33">
        <v>1360714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1</v>
      </c>
      <c r="DH33">
        <v>0</v>
      </c>
      <c r="DI33">
        <v>0</v>
      </c>
    </row>
    <row r="34" spans="1:113" x14ac:dyDescent="0.3">
      <c r="A34" t="str">
        <f>"03/24/2022 22:08:55.130"</f>
        <v>03/24/2022 22:08:55.130</v>
      </c>
      <c r="C34" t="str">
        <f t="shared" si="8"/>
        <v>FFDFD3C0</v>
      </c>
      <c r="D34" t="s">
        <v>113</v>
      </c>
      <c r="E34">
        <v>24</v>
      </c>
      <c r="F34">
        <v>2024</v>
      </c>
      <c r="G34" t="s">
        <v>114</v>
      </c>
      <c r="J34" t="s">
        <v>115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ref="S34:T37" si="12">"22:08:54.000"</f>
        <v>22:08:54.000</v>
      </c>
      <c r="T34" t="str">
        <f t="shared" si="12"/>
        <v>22:08:54.000</v>
      </c>
      <c r="U34" t="str">
        <f t="shared" si="1"/>
        <v>A9D71F</v>
      </c>
      <c r="V34">
        <v>0</v>
      </c>
      <c r="W34">
        <v>0</v>
      </c>
      <c r="X34">
        <v>2</v>
      </c>
      <c r="Z34">
        <v>1</v>
      </c>
      <c r="AA34">
        <v>0</v>
      </c>
      <c r="AB34">
        <v>3</v>
      </c>
      <c r="AC34">
        <v>0</v>
      </c>
      <c r="AD34">
        <v>7</v>
      </c>
      <c r="AE34">
        <v>0</v>
      </c>
      <c r="AF34">
        <v>3</v>
      </c>
      <c r="AG34">
        <v>1</v>
      </c>
      <c r="AH34">
        <v>0</v>
      </c>
      <c r="AI34" t="s">
        <v>139</v>
      </c>
      <c r="AJ34">
        <v>33.174976999999998</v>
      </c>
      <c r="AK34" t="s">
        <v>140</v>
      </c>
      <c r="AL34">
        <v>-97.828530999999998</v>
      </c>
      <c r="AM34">
        <v>25</v>
      </c>
      <c r="AN34">
        <v>1000</v>
      </c>
      <c r="AO34" t="s">
        <v>118</v>
      </c>
      <c r="AP34">
        <v>4</v>
      </c>
      <c r="AQ34">
        <v>69</v>
      </c>
      <c r="AR34">
        <v>768</v>
      </c>
      <c r="AZ34">
        <v>1200</v>
      </c>
      <c r="BA34">
        <v>1</v>
      </c>
      <c r="BB34" t="str">
        <f t="shared" si="10"/>
        <v xml:space="preserve">N733KP  </v>
      </c>
      <c r="BC34">
        <v>1</v>
      </c>
      <c r="BE34">
        <v>0</v>
      </c>
      <c r="BF34">
        <v>0</v>
      </c>
      <c r="BG34">
        <v>0</v>
      </c>
      <c r="BH34">
        <v>875</v>
      </c>
      <c r="BI34">
        <v>1</v>
      </c>
      <c r="BJ34">
        <v>1</v>
      </c>
      <c r="BK34">
        <v>0</v>
      </c>
      <c r="BL34">
        <v>0</v>
      </c>
      <c r="BO34">
        <v>0</v>
      </c>
      <c r="BP34">
        <v>0</v>
      </c>
      <c r="BW34" t="str">
        <f>"22:08:54.933"</f>
        <v>22:08:54.933</v>
      </c>
      <c r="CJ34">
        <v>0</v>
      </c>
      <c r="CK34">
        <v>1</v>
      </c>
      <c r="CL34">
        <v>0</v>
      </c>
      <c r="CM34">
        <v>2</v>
      </c>
      <c r="CN34">
        <v>0</v>
      </c>
      <c r="CO34">
        <v>4</v>
      </c>
      <c r="CP34" t="s">
        <v>119</v>
      </c>
      <c r="CQ34">
        <v>364</v>
      </c>
      <c r="CR34">
        <v>0</v>
      </c>
      <c r="CW34">
        <v>1360930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1</v>
      </c>
      <c r="DH34">
        <v>0</v>
      </c>
      <c r="DI34">
        <v>0</v>
      </c>
    </row>
    <row r="35" spans="1:113" x14ac:dyDescent="0.3">
      <c r="A35" t="str">
        <f>"03/24/2022 22:08:55.130"</f>
        <v>03/24/2022 22:08:55.130</v>
      </c>
      <c r="C35" t="str">
        <f t="shared" si="8"/>
        <v>FFDFD3C0</v>
      </c>
      <c r="D35" t="s">
        <v>126</v>
      </c>
      <c r="E35">
        <v>3</v>
      </c>
      <c r="H35">
        <v>160</v>
      </c>
      <c r="I35" t="s">
        <v>121</v>
      </c>
      <c r="J35" t="s">
        <v>127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si="12"/>
        <v>22:08:54.000</v>
      </c>
      <c r="T35" t="str">
        <f t="shared" si="12"/>
        <v>22:08:54.000</v>
      </c>
      <c r="U35" t="str">
        <f t="shared" si="1"/>
        <v>A9D71F</v>
      </c>
      <c r="V35">
        <v>0</v>
      </c>
      <c r="W35">
        <v>0</v>
      </c>
      <c r="X35">
        <v>2</v>
      </c>
      <c r="Z35">
        <v>1</v>
      </c>
      <c r="AA35">
        <v>0</v>
      </c>
      <c r="AB35">
        <v>3</v>
      </c>
      <c r="AC35">
        <v>0</v>
      </c>
      <c r="AD35">
        <v>7</v>
      </c>
      <c r="AE35">
        <v>0</v>
      </c>
      <c r="AF35">
        <v>3</v>
      </c>
      <c r="AG35">
        <v>1</v>
      </c>
      <c r="AH35">
        <v>0</v>
      </c>
      <c r="AI35" t="s">
        <v>139</v>
      </c>
      <c r="AJ35">
        <v>33.174976999999998</v>
      </c>
      <c r="AK35" t="s">
        <v>140</v>
      </c>
      <c r="AL35">
        <v>-97.828530999999998</v>
      </c>
      <c r="AM35">
        <v>25</v>
      </c>
      <c r="AN35">
        <v>1000</v>
      </c>
      <c r="AO35" t="s">
        <v>118</v>
      </c>
      <c r="AP35">
        <v>4</v>
      </c>
      <c r="AQ35">
        <v>69</v>
      </c>
      <c r="AR35">
        <v>768</v>
      </c>
      <c r="AZ35">
        <v>1200</v>
      </c>
      <c r="BA35">
        <v>1</v>
      </c>
      <c r="BB35" t="str">
        <f t="shared" si="10"/>
        <v xml:space="preserve">N733KP  </v>
      </c>
      <c r="BC35">
        <v>1</v>
      </c>
      <c r="BE35">
        <v>0</v>
      </c>
      <c r="BF35">
        <v>0</v>
      </c>
      <c r="BG35">
        <v>0</v>
      </c>
      <c r="BH35">
        <v>875</v>
      </c>
      <c r="BI35">
        <v>1</v>
      </c>
      <c r="BJ35">
        <v>1</v>
      </c>
      <c r="BK35">
        <v>0</v>
      </c>
      <c r="BL35">
        <v>0</v>
      </c>
      <c r="BO35">
        <v>0</v>
      </c>
      <c r="BP35">
        <v>0</v>
      </c>
      <c r="BW35" t="str">
        <f>"22:08:54.933"</f>
        <v>22:08:54.933</v>
      </c>
      <c r="CJ35">
        <v>0</v>
      </c>
      <c r="CK35">
        <v>1</v>
      </c>
      <c r="CL35">
        <v>0</v>
      </c>
      <c r="CM35">
        <v>2</v>
      </c>
      <c r="CN35">
        <v>0</v>
      </c>
      <c r="CO35">
        <v>4</v>
      </c>
      <c r="CP35" t="s">
        <v>119</v>
      </c>
      <c r="CQ35">
        <v>364</v>
      </c>
      <c r="CR35">
        <v>0</v>
      </c>
      <c r="CW35">
        <v>1360930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1</v>
      </c>
      <c r="DH35">
        <v>0</v>
      </c>
      <c r="DI35">
        <v>0</v>
      </c>
    </row>
    <row r="36" spans="1:113" x14ac:dyDescent="0.3">
      <c r="A36" t="str">
        <f>"03/24/2022 22:08:55.130"</f>
        <v>03/24/2022 22:08:55.130</v>
      </c>
      <c r="C36" t="str">
        <f t="shared" si="8"/>
        <v>FFDFD3C0</v>
      </c>
      <c r="D36" t="s">
        <v>120</v>
      </c>
      <c r="E36">
        <v>14</v>
      </c>
      <c r="F36">
        <v>1014</v>
      </c>
      <c r="G36" t="s">
        <v>121</v>
      </c>
      <c r="J36" t="s">
        <v>122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12"/>
        <v>22:08:54.000</v>
      </c>
      <c r="T36" t="str">
        <f t="shared" si="12"/>
        <v>22:08:54.000</v>
      </c>
      <c r="U36" t="str">
        <f t="shared" si="1"/>
        <v>A9D71F</v>
      </c>
      <c r="V36">
        <v>0</v>
      </c>
      <c r="W36">
        <v>0</v>
      </c>
      <c r="X36">
        <v>2</v>
      </c>
      <c r="Z36">
        <v>1</v>
      </c>
      <c r="AA36">
        <v>0</v>
      </c>
      <c r="AB36">
        <v>3</v>
      </c>
      <c r="AC36">
        <v>0</v>
      </c>
      <c r="AD36">
        <v>7</v>
      </c>
      <c r="AE36">
        <v>0</v>
      </c>
      <c r="AF36">
        <v>3</v>
      </c>
      <c r="AG36">
        <v>1</v>
      </c>
      <c r="AH36">
        <v>0</v>
      </c>
      <c r="AI36" t="s">
        <v>139</v>
      </c>
      <c r="AJ36">
        <v>33.174976999999998</v>
      </c>
      <c r="AK36" t="s">
        <v>140</v>
      </c>
      <c r="AL36">
        <v>-97.828530999999998</v>
      </c>
      <c r="AM36">
        <v>25</v>
      </c>
      <c r="AN36">
        <v>1000</v>
      </c>
      <c r="AO36" t="s">
        <v>118</v>
      </c>
      <c r="AP36">
        <v>4</v>
      </c>
      <c r="AQ36">
        <v>69</v>
      </c>
      <c r="AR36">
        <v>768</v>
      </c>
      <c r="AZ36">
        <v>1200</v>
      </c>
      <c r="BA36">
        <v>1</v>
      </c>
      <c r="BB36" t="str">
        <f t="shared" si="10"/>
        <v xml:space="preserve">N733KP  </v>
      </c>
      <c r="BC36">
        <v>1</v>
      </c>
      <c r="BE36">
        <v>0</v>
      </c>
      <c r="BF36">
        <v>0</v>
      </c>
      <c r="BG36">
        <v>0</v>
      </c>
      <c r="BH36">
        <v>875</v>
      </c>
      <c r="BI36">
        <v>1</v>
      </c>
      <c r="BJ36">
        <v>1</v>
      </c>
      <c r="BK36">
        <v>0</v>
      </c>
      <c r="BL36">
        <v>0</v>
      </c>
      <c r="BO36">
        <v>0</v>
      </c>
      <c r="BP36">
        <v>0</v>
      </c>
      <c r="BW36" t="str">
        <f>"22:08:54.933"</f>
        <v>22:08:54.933</v>
      </c>
      <c r="CJ36">
        <v>0</v>
      </c>
      <c r="CK36">
        <v>1</v>
      </c>
      <c r="CL36">
        <v>0</v>
      </c>
      <c r="CM36">
        <v>2</v>
      </c>
      <c r="CN36">
        <v>0</v>
      </c>
      <c r="CO36">
        <v>4</v>
      </c>
      <c r="CP36" t="s">
        <v>119</v>
      </c>
      <c r="CQ36">
        <v>364</v>
      </c>
      <c r="CR36">
        <v>0</v>
      </c>
      <c r="CW36">
        <v>1360930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1</v>
      </c>
      <c r="DH36">
        <v>0</v>
      </c>
      <c r="DI36">
        <v>0</v>
      </c>
    </row>
    <row r="37" spans="1:113" x14ac:dyDescent="0.3">
      <c r="A37" t="str">
        <f>"03/24/2022 22:08:55.146"</f>
        <v>03/24/2022 22:08:55.146</v>
      </c>
      <c r="C37" t="str">
        <f t="shared" si="8"/>
        <v>FFDFD3C0</v>
      </c>
      <c r="D37" t="s">
        <v>123</v>
      </c>
      <c r="E37">
        <v>8</v>
      </c>
      <c r="H37">
        <v>31</v>
      </c>
      <c r="I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si="12"/>
        <v>22:08:54.000</v>
      </c>
      <c r="T37" t="str">
        <f t="shared" si="12"/>
        <v>22:08:54.000</v>
      </c>
      <c r="U37" t="str">
        <f t="shared" si="1"/>
        <v>A9D71F</v>
      </c>
      <c r="V37">
        <v>0</v>
      </c>
      <c r="W37">
        <v>0</v>
      </c>
      <c r="X37">
        <v>2</v>
      </c>
      <c r="Z37">
        <v>1</v>
      </c>
      <c r="AA37">
        <v>0</v>
      </c>
      <c r="AB37">
        <v>3</v>
      </c>
      <c r="AC37">
        <v>0</v>
      </c>
      <c r="AD37">
        <v>7</v>
      </c>
      <c r="AE37">
        <v>0</v>
      </c>
      <c r="AF37">
        <v>3</v>
      </c>
      <c r="AG37">
        <v>1</v>
      </c>
      <c r="AH37">
        <v>0</v>
      </c>
      <c r="AI37" t="s">
        <v>139</v>
      </c>
      <c r="AJ37">
        <v>33.174976999999998</v>
      </c>
      <c r="AK37" t="s">
        <v>140</v>
      </c>
      <c r="AL37">
        <v>-97.828530999999998</v>
      </c>
      <c r="AM37">
        <v>25</v>
      </c>
      <c r="AN37">
        <v>1000</v>
      </c>
      <c r="AO37" t="s">
        <v>118</v>
      </c>
      <c r="AP37">
        <v>4</v>
      </c>
      <c r="AQ37">
        <v>69</v>
      </c>
      <c r="AR37">
        <v>768</v>
      </c>
      <c r="AZ37">
        <v>1200</v>
      </c>
      <c r="BA37">
        <v>1</v>
      </c>
      <c r="BB37" t="str">
        <f t="shared" si="10"/>
        <v xml:space="preserve">N733KP  </v>
      </c>
      <c r="BC37">
        <v>1</v>
      </c>
      <c r="BE37">
        <v>0</v>
      </c>
      <c r="BF37">
        <v>0</v>
      </c>
      <c r="BG37">
        <v>0</v>
      </c>
      <c r="BH37">
        <v>875</v>
      </c>
      <c r="BI37">
        <v>1</v>
      </c>
      <c r="BJ37">
        <v>1</v>
      </c>
      <c r="BK37">
        <v>0</v>
      </c>
      <c r="BL37">
        <v>0</v>
      </c>
      <c r="BO37">
        <v>0</v>
      </c>
      <c r="BP37">
        <v>0</v>
      </c>
      <c r="BW37" t="str">
        <f>"22:08:54.933"</f>
        <v>22:08:54.933</v>
      </c>
      <c r="CJ37">
        <v>0</v>
      </c>
      <c r="CK37">
        <v>1</v>
      </c>
      <c r="CL37">
        <v>0</v>
      </c>
      <c r="CM37">
        <v>2</v>
      </c>
      <c r="CN37">
        <v>0</v>
      </c>
      <c r="CO37">
        <v>4</v>
      </c>
      <c r="CP37" t="s">
        <v>119</v>
      </c>
      <c r="CQ37">
        <v>364</v>
      </c>
      <c r="CR37">
        <v>0</v>
      </c>
      <c r="CW37">
        <v>1360930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1</v>
      </c>
      <c r="DH37">
        <v>0</v>
      </c>
      <c r="DI37">
        <v>0</v>
      </c>
    </row>
    <row r="38" spans="1:113" x14ac:dyDescent="0.3">
      <c r="A38" t="str">
        <f>"03/24/2022 22:08:55.959"</f>
        <v>03/24/2022 22:08:55.959</v>
      </c>
      <c r="C38" t="str">
        <f t="shared" si="8"/>
        <v>FFDFD3C0</v>
      </c>
      <c r="D38" t="s">
        <v>123</v>
      </c>
      <c r="E38">
        <v>8</v>
      </c>
      <c r="H38">
        <v>31</v>
      </c>
      <c r="I38" t="s">
        <v>124</v>
      </c>
      <c r="J38" t="s">
        <v>125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ref="S38:T41" si="13">"22:08:55.000"</f>
        <v>22:08:55.000</v>
      </c>
      <c r="T38" t="str">
        <f t="shared" si="13"/>
        <v>22:08:55.000</v>
      </c>
      <c r="U38" t="str">
        <f t="shared" si="1"/>
        <v>A9D71F</v>
      </c>
      <c r="V38">
        <v>0</v>
      </c>
      <c r="W38">
        <v>0</v>
      </c>
      <c r="X38">
        <v>2</v>
      </c>
      <c r="Z38">
        <v>1</v>
      </c>
      <c r="AA38">
        <v>0</v>
      </c>
      <c r="AB38">
        <v>3</v>
      </c>
      <c r="AC38">
        <v>0</v>
      </c>
      <c r="AD38">
        <v>7</v>
      </c>
      <c r="AE38">
        <v>0</v>
      </c>
      <c r="AF38">
        <v>3</v>
      </c>
      <c r="AG38">
        <v>1</v>
      </c>
      <c r="AH38">
        <v>0</v>
      </c>
      <c r="AI38" t="s">
        <v>141</v>
      </c>
      <c r="AJ38">
        <v>33.175255999999997</v>
      </c>
      <c r="AK38" t="s">
        <v>135</v>
      </c>
      <c r="AL38">
        <v>-97.828509999999994</v>
      </c>
      <c r="AM38">
        <v>25</v>
      </c>
      <c r="AN38">
        <v>1000</v>
      </c>
      <c r="AO38" t="s">
        <v>118</v>
      </c>
      <c r="AP38">
        <v>4</v>
      </c>
      <c r="AQ38">
        <v>71</v>
      </c>
      <c r="AR38">
        <v>832</v>
      </c>
      <c r="AZ38">
        <v>1200</v>
      </c>
      <c r="BA38">
        <v>1</v>
      </c>
      <c r="BB38" t="str">
        <f t="shared" si="10"/>
        <v xml:space="preserve">N733KP  </v>
      </c>
      <c r="BC38">
        <v>1</v>
      </c>
      <c r="BE38">
        <v>0</v>
      </c>
      <c r="BF38">
        <v>0</v>
      </c>
      <c r="BG38">
        <v>0</v>
      </c>
      <c r="BH38">
        <v>875</v>
      </c>
      <c r="BI38">
        <v>1</v>
      </c>
      <c r="BJ38">
        <v>1</v>
      </c>
      <c r="BK38">
        <v>0</v>
      </c>
      <c r="BL38">
        <v>0</v>
      </c>
      <c r="BO38">
        <v>0</v>
      </c>
      <c r="BP38">
        <v>0</v>
      </c>
      <c r="BW38" t="str">
        <f>"22:08:55.684"</f>
        <v>22:08:55.684</v>
      </c>
      <c r="CJ38">
        <v>0</v>
      </c>
      <c r="CK38">
        <v>1</v>
      </c>
      <c r="CL38">
        <v>0</v>
      </c>
      <c r="CM38">
        <v>2</v>
      </c>
      <c r="CN38">
        <v>0</v>
      </c>
      <c r="CO38">
        <v>4</v>
      </c>
      <c r="CP38" t="s">
        <v>119</v>
      </c>
      <c r="CQ38">
        <v>364</v>
      </c>
      <c r="CR38">
        <v>0</v>
      </c>
      <c r="CW38">
        <v>1361028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1</v>
      </c>
      <c r="DH38">
        <v>0</v>
      </c>
      <c r="DI38">
        <v>0</v>
      </c>
    </row>
    <row r="39" spans="1:113" x14ac:dyDescent="0.3">
      <c r="A39" t="str">
        <f>"03/24/2022 22:08:55.959"</f>
        <v>03/24/2022 22:08:55.959</v>
      </c>
      <c r="C39" t="str">
        <f t="shared" si="8"/>
        <v>FFDFD3C0</v>
      </c>
      <c r="D39" t="s">
        <v>113</v>
      </c>
      <c r="E39">
        <v>24</v>
      </c>
      <c r="F39">
        <v>2024</v>
      </c>
      <c r="G39" t="s">
        <v>114</v>
      </c>
      <c r="J39" t="s">
        <v>115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13"/>
        <v>22:08:55.000</v>
      </c>
      <c r="T39" t="str">
        <f t="shared" si="13"/>
        <v>22:08:55.000</v>
      </c>
      <c r="U39" t="str">
        <f t="shared" si="1"/>
        <v>A9D71F</v>
      </c>
      <c r="V39">
        <v>0</v>
      </c>
      <c r="W39">
        <v>0</v>
      </c>
      <c r="X39">
        <v>2</v>
      </c>
      <c r="Z39">
        <v>1</v>
      </c>
      <c r="AA39">
        <v>0</v>
      </c>
      <c r="AB39">
        <v>3</v>
      </c>
      <c r="AC39">
        <v>0</v>
      </c>
      <c r="AD39">
        <v>7</v>
      </c>
      <c r="AE39">
        <v>0</v>
      </c>
      <c r="AF39">
        <v>3</v>
      </c>
      <c r="AG39">
        <v>1</v>
      </c>
      <c r="AH39">
        <v>0</v>
      </c>
      <c r="AI39" t="s">
        <v>141</v>
      </c>
      <c r="AJ39">
        <v>33.175255999999997</v>
      </c>
      <c r="AK39" t="s">
        <v>135</v>
      </c>
      <c r="AL39">
        <v>-97.828509999999994</v>
      </c>
      <c r="AM39">
        <v>25</v>
      </c>
      <c r="AN39">
        <v>1000</v>
      </c>
      <c r="AO39" t="s">
        <v>118</v>
      </c>
      <c r="AP39">
        <v>4</v>
      </c>
      <c r="AQ39">
        <v>71</v>
      </c>
      <c r="AR39">
        <v>832</v>
      </c>
      <c r="AZ39">
        <v>1200</v>
      </c>
      <c r="BA39">
        <v>1</v>
      </c>
      <c r="BB39" t="str">
        <f t="shared" si="10"/>
        <v xml:space="preserve">N733KP  </v>
      </c>
      <c r="BC39">
        <v>1</v>
      </c>
      <c r="BE39">
        <v>0</v>
      </c>
      <c r="BF39">
        <v>0</v>
      </c>
      <c r="BG39">
        <v>0</v>
      </c>
      <c r="BH39">
        <v>875</v>
      </c>
      <c r="BI39">
        <v>1</v>
      </c>
      <c r="BJ39">
        <v>1</v>
      </c>
      <c r="BK39">
        <v>0</v>
      </c>
      <c r="BL39">
        <v>0</v>
      </c>
      <c r="BO39">
        <v>0</v>
      </c>
      <c r="BP39">
        <v>0</v>
      </c>
      <c r="BW39" t="str">
        <f>"22:08:55.684"</f>
        <v>22:08:55.684</v>
      </c>
      <c r="CJ39">
        <v>0</v>
      </c>
      <c r="CK39">
        <v>1</v>
      </c>
      <c r="CL39">
        <v>0</v>
      </c>
      <c r="CM39">
        <v>2</v>
      </c>
      <c r="CN39">
        <v>0</v>
      </c>
      <c r="CO39">
        <v>4</v>
      </c>
      <c r="CP39" t="s">
        <v>119</v>
      </c>
      <c r="CQ39">
        <v>364</v>
      </c>
      <c r="CR39">
        <v>0</v>
      </c>
      <c r="CW39">
        <v>1361028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1</v>
      </c>
      <c r="DH39">
        <v>0</v>
      </c>
      <c r="DI39">
        <v>0</v>
      </c>
    </row>
    <row r="40" spans="1:113" x14ac:dyDescent="0.3">
      <c r="A40" t="str">
        <f>"03/24/2022 22:08:55.959"</f>
        <v>03/24/2022 22:08:55.959</v>
      </c>
      <c r="C40" t="str">
        <f t="shared" si="8"/>
        <v>FFDFD3C0</v>
      </c>
      <c r="D40" t="s">
        <v>126</v>
      </c>
      <c r="E40">
        <v>3</v>
      </c>
      <c r="H40">
        <v>160</v>
      </c>
      <c r="I40" t="s">
        <v>121</v>
      </c>
      <c r="J40" t="s">
        <v>127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si="13"/>
        <v>22:08:55.000</v>
      </c>
      <c r="T40" t="str">
        <f t="shared" si="13"/>
        <v>22:08:55.000</v>
      </c>
      <c r="U40" t="str">
        <f t="shared" si="1"/>
        <v>A9D71F</v>
      </c>
      <c r="V40">
        <v>0</v>
      </c>
      <c r="W40">
        <v>0</v>
      </c>
      <c r="X40">
        <v>2</v>
      </c>
      <c r="Z40">
        <v>1</v>
      </c>
      <c r="AA40">
        <v>0</v>
      </c>
      <c r="AB40">
        <v>3</v>
      </c>
      <c r="AC40">
        <v>0</v>
      </c>
      <c r="AD40">
        <v>7</v>
      </c>
      <c r="AE40">
        <v>0</v>
      </c>
      <c r="AF40">
        <v>3</v>
      </c>
      <c r="AG40">
        <v>1</v>
      </c>
      <c r="AH40">
        <v>0</v>
      </c>
      <c r="AI40" t="s">
        <v>141</v>
      </c>
      <c r="AJ40">
        <v>33.175255999999997</v>
      </c>
      <c r="AK40" t="s">
        <v>135</v>
      </c>
      <c r="AL40">
        <v>-97.828509999999994</v>
      </c>
      <c r="AM40">
        <v>25</v>
      </c>
      <c r="AN40">
        <v>1000</v>
      </c>
      <c r="AO40" t="s">
        <v>118</v>
      </c>
      <c r="AP40">
        <v>4</v>
      </c>
      <c r="AQ40">
        <v>71</v>
      </c>
      <c r="AR40">
        <v>832</v>
      </c>
      <c r="AZ40">
        <v>1200</v>
      </c>
      <c r="BA40">
        <v>1</v>
      </c>
      <c r="BB40" t="str">
        <f t="shared" si="10"/>
        <v xml:space="preserve">N733KP  </v>
      </c>
      <c r="BC40">
        <v>1</v>
      </c>
      <c r="BE40">
        <v>0</v>
      </c>
      <c r="BF40">
        <v>0</v>
      </c>
      <c r="BG40">
        <v>0</v>
      </c>
      <c r="BH40">
        <v>875</v>
      </c>
      <c r="BI40">
        <v>1</v>
      </c>
      <c r="BJ40">
        <v>1</v>
      </c>
      <c r="BK40">
        <v>0</v>
      </c>
      <c r="BL40">
        <v>0</v>
      </c>
      <c r="BO40">
        <v>0</v>
      </c>
      <c r="BP40">
        <v>0</v>
      </c>
      <c r="BW40" t="str">
        <f>"22:08:55.684"</f>
        <v>22:08:55.684</v>
      </c>
      <c r="CJ40">
        <v>0</v>
      </c>
      <c r="CK40">
        <v>1</v>
      </c>
      <c r="CL40">
        <v>0</v>
      </c>
      <c r="CM40">
        <v>2</v>
      </c>
      <c r="CN40">
        <v>0</v>
      </c>
      <c r="CO40">
        <v>4</v>
      </c>
      <c r="CP40" t="s">
        <v>119</v>
      </c>
      <c r="CQ40">
        <v>364</v>
      </c>
      <c r="CR40">
        <v>0</v>
      </c>
      <c r="CW40">
        <v>1361028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1</v>
      </c>
      <c r="DH40">
        <v>0</v>
      </c>
      <c r="DI40">
        <v>0</v>
      </c>
    </row>
    <row r="41" spans="1:113" x14ac:dyDescent="0.3">
      <c r="A41" t="str">
        <f>"03/24/2022 22:08:55.959"</f>
        <v>03/24/2022 22:08:55.959</v>
      </c>
      <c r="C41" t="str">
        <f t="shared" si="8"/>
        <v>FFDFD3C0</v>
      </c>
      <c r="D41" t="s">
        <v>120</v>
      </c>
      <c r="E41">
        <v>14</v>
      </c>
      <c r="F41">
        <v>1014</v>
      </c>
      <c r="G41" t="s">
        <v>121</v>
      </c>
      <c r="J41" t="s">
        <v>122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13"/>
        <v>22:08:55.000</v>
      </c>
      <c r="T41" t="str">
        <f t="shared" si="13"/>
        <v>22:08:55.000</v>
      </c>
      <c r="U41" t="str">
        <f t="shared" si="1"/>
        <v>A9D71F</v>
      </c>
      <c r="V41">
        <v>0</v>
      </c>
      <c r="W41">
        <v>0</v>
      </c>
      <c r="X41">
        <v>2</v>
      </c>
      <c r="Z41">
        <v>1</v>
      </c>
      <c r="AA41">
        <v>0</v>
      </c>
      <c r="AB41">
        <v>3</v>
      </c>
      <c r="AC41">
        <v>0</v>
      </c>
      <c r="AD41">
        <v>7</v>
      </c>
      <c r="AE41">
        <v>0</v>
      </c>
      <c r="AF41">
        <v>3</v>
      </c>
      <c r="AG41">
        <v>1</v>
      </c>
      <c r="AH41">
        <v>0</v>
      </c>
      <c r="AI41" t="s">
        <v>141</v>
      </c>
      <c r="AJ41">
        <v>33.175255999999997</v>
      </c>
      <c r="AK41" t="s">
        <v>135</v>
      </c>
      <c r="AL41">
        <v>-97.828509999999994</v>
      </c>
      <c r="AM41">
        <v>25</v>
      </c>
      <c r="AN41">
        <v>1000</v>
      </c>
      <c r="AO41" t="s">
        <v>118</v>
      </c>
      <c r="AP41">
        <v>4</v>
      </c>
      <c r="AQ41">
        <v>71</v>
      </c>
      <c r="AR41">
        <v>832</v>
      </c>
      <c r="AZ41">
        <v>1200</v>
      </c>
      <c r="BA41">
        <v>1</v>
      </c>
      <c r="BB41" t="str">
        <f t="shared" si="10"/>
        <v xml:space="preserve">N733KP  </v>
      </c>
      <c r="BC41">
        <v>1</v>
      </c>
      <c r="BE41">
        <v>0</v>
      </c>
      <c r="BF41">
        <v>0</v>
      </c>
      <c r="BG41">
        <v>0</v>
      </c>
      <c r="BH41">
        <v>875</v>
      </c>
      <c r="BI41">
        <v>1</v>
      </c>
      <c r="BJ41">
        <v>1</v>
      </c>
      <c r="BK41">
        <v>0</v>
      </c>
      <c r="BL41">
        <v>0</v>
      </c>
      <c r="BO41">
        <v>0</v>
      </c>
      <c r="BP41">
        <v>0</v>
      </c>
      <c r="BW41" t="str">
        <f>"22:08:55.684"</f>
        <v>22:08:55.684</v>
      </c>
      <c r="CJ41">
        <v>0</v>
      </c>
      <c r="CK41">
        <v>1</v>
      </c>
      <c r="CL41">
        <v>0</v>
      </c>
      <c r="CM41">
        <v>2</v>
      </c>
      <c r="CN41">
        <v>0</v>
      </c>
      <c r="CO41">
        <v>4</v>
      </c>
      <c r="CP41" t="s">
        <v>119</v>
      </c>
      <c r="CQ41">
        <v>364</v>
      </c>
      <c r="CR41">
        <v>0</v>
      </c>
      <c r="CW41">
        <v>1361028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1</v>
      </c>
      <c r="DH41">
        <v>0</v>
      </c>
      <c r="DI41">
        <v>0</v>
      </c>
    </row>
    <row r="42" spans="1:113" x14ac:dyDescent="0.3">
      <c r="A42" t="str">
        <f>"03/24/2022 22:08:57.179"</f>
        <v>03/24/2022 22:08:57.179</v>
      </c>
      <c r="C42" t="str">
        <f t="shared" si="8"/>
        <v>FFDFD3C0</v>
      </c>
      <c r="D42" t="s">
        <v>120</v>
      </c>
      <c r="E42">
        <v>14</v>
      </c>
      <c r="F42">
        <v>1014</v>
      </c>
      <c r="G42" t="s">
        <v>121</v>
      </c>
      <c r="J42" t="s">
        <v>122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ref="S42:T45" si="14">"22:08:56.000"</f>
        <v>22:08:56.000</v>
      </c>
      <c r="T42" t="str">
        <f t="shared" si="14"/>
        <v>22:08:56.000</v>
      </c>
      <c r="U42" t="str">
        <f t="shared" si="1"/>
        <v>A9D71F</v>
      </c>
      <c r="V42">
        <v>0</v>
      </c>
      <c r="W42">
        <v>0</v>
      </c>
      <c r="X42">
        <v>2</v>
      </c>
      <c r="Z42">
        <v>1</v>
      </c>
      <c r="AA42">
        <v>0</v>
      </c>
      <c r="AB42">
        <v>3</v>
      </c>
      <c r="AC42">
        <v>0</v>
      </c>
      <c r="AD42">
        <v>7</v>
      </c>
      <c r="AE42">
        <v>0</v>
      </c>
      <c r="AF42">
        <v>3</v>
      </c>
      <c r="AG42">
        <v>1</v>
      </c>
      <c r="AH42">
        <v>0</v>
      </c>
      <c r="AI42" t="s">
        <v>142</v>
      </c>
      <c r="AJ42">
        <v>33.175750000000001</v>
      </c>
      <c r="AK42" t="s">
        <v>143</v>
      </c>
      <c r="AL42">
        <v>-97.828445000000002</v>
      </c>
      <c r="AM42">
        <v>25</v>
      </c>
      <c r="AN42">
        <v>900</v>
      </c>
      <c r="AO42" t="s">
        <v>118</v>
      </c>
      <c r="AP42">
        <v>6</v>
      </c>
      <c r="AQ42">
        <v>75</v>
      </c>
      <c r="AR42">
        <v>896</v>
      </c>
      <c r="AZ42">
        <v>1200</v>
      </c>
      <c r="BA42">
        <v>1</v>
      </c>
      <c r="BB42" t="str">
        <f t="shared" si="10"/>
        <v xml:space="preserve">N733KP  </v>
      </c>
      <c r="BC42">
        <v>1</v>
      </c>
      <c r="BE42">
        <v>0</v>
      </c>
      <c r="BF42">
        <v>0</v>
      </c>
      <c r="BG42">
        <v>0</v>
      </c>
      <c r="BH42">
        <v>900</v>
      </c>
      <c r="BI42">
        <v>1</v>
      </c>
      <c r="BJ42">
        <v>1</v>
      </c>
      <c r="BK42">
        <v>0</v>
      </c>
      <c r="BL42">
        <v>0</v>
      </c>
      <c r="BO42">
        <v>0</v>
      </c>
      <c r="BP42">
        <v>0</v>
      </c>
      <c r="BW42" t="str">
        <f>"22:08:56.961"</f>
        <v>22:08:56.961</v>
      </c>
      <c r="CJ42">
        <v>0</v>
      </c>
      <c r="CK42">
        <v>1</v>
      </c>
      <c r="CL42">
        <v>0</v>
      </c>
      <c r="CM42">
        <v>2</v>
      </c>
      <c r="CN42">
        <v>0</v>
      </c>
      <c r="CO42">
        <v>3</v>
      </c>
      <c r="CP42" t="s">
        <v>119</v>
      </c>
      <c r="CQ42">
        <v>364</v>
      </c>
      <c r="CR42">
        <v>0</v>
      </c>
      <c r="CW42">
        <v>1361238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1</v>
      </c>
      <c r="DH42">
        <v>0</v>
      </c>
      <c r="DI42">
        <v>0</v>
      </c>
    </row>
    <row r="43" spans="1:113" x14ac:dyDescent="0.3">
      <c r="A43" t="str">
        <f>"03/24/2022 22:08:57.179"</f>
        <v>03/24/2022 22:08:57.179</v>
      </c>
      <c r="C43" t="str">
        <f t="shared" si="8"/>
        <v>FFDFD3C0</v>
      </c>
      <c r="D43" t="s">
        <v>123</v>
      </c>
      <c r="E43">
        <v>8</v>
      </c>
      <c r="H43">
        <v>31</v>
      </c>
      <c r="I43" t="s">
        <v>124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si="14"/>
        <v>22:08:56.000</v>
      </c>
      <c r="T43" t="str">
        <f t="shared" si="14"/>
        <v>22:08:56.000</v>
      </c>
      <c r="U43" t="str">
        <f t="shared" si="1"/>
        <v>A9D71F</v>
      </c>
      <c r="V43">
        <v>0</v>
      </c>
      <c r="W43">
        <v>0</v>
      </c>
      <c r="X43">
        <v>2</v>
      </c>
      <c r="Z43">
        <v>1</v>
      </c>
      <c r="AA43">
        <v>0</v>
      </c>
      <c r="AB43">
        <v>3</v>
      </c>
      <c r="AC43">
        <v>0</v>
      </c>
      <c r="AD43">
        <v>7</v>
      </c>
      <c r="AE43">
        <v>0</v>
      </c>
      <c r="AF43">
        <v>3</v>
      </c>
      <c r="AG43">
        <v>1</v>
      </c>
      <c r="AH43">
        <v>0</v>
      </c>
      <c r="AI43" t="s">
        <v>142</v>
      </c>
      <c r="AJ43">
        <v>33.175750000000001</v>
      </c>
      <c r="AK43" t="s">
        <v>143</v>
      </c>
      <c r="AL43">
        <v>-97.828445000000002</v>
      </c>
      <c r="AM43">
        <v>25</v>
      </c>
      <c r="AN43">
        <v>900</v>
      </c>
      <c r="AO43" t="s">
        <v>118</v>
      </c>
      <c r="AP43">
        <v>6</v>
      </c>
      <c r="AQ43">
        <v>75</v>
      </c>
      <c r="AR43">
        <v>896</v>
      </c>
      <c r="AZ43">
        <v>1200</v>
      </c>
      <c r="BA43">
        <v>1</v>
      </c>
      <c r="BB43" t="str">
        <f t="shared" si="10"/>
        <v xml:space="preserve">N733KP  </v>
      </c>
      <c r="BC43">
        <v>1</v>
      </c>
      <c r="BE43">
        <v>0</v>
      </c>
      <c r="BF43">
        <v>0</v>
      </c>
      <c r="BG43">
        <v>0</v>
      </c>
      <c r="BH43">
        <v>900</v>
      </c>
      <c r="BI43">
        <v>1</v>
      </c>
      <c r="BJ43">
        <v>1</v>
      </c>
      <c r="BK43">
        <v>0</v>
      </c>
      <c r="BL43">
        <v>0</v>
      </c>
      <c r="BO43">
        <v>0</v>
      </c>
      <c r="BP43">
        <v>0</v>
      </c>
      <c r="BW43" t="str">
        <f>"22:08:56.961"</f>
        <v>22:08:56.961</v>
      </c>
      <c r="CJ43">
        <v>0</v>
      </c>
      <c r="CK43">
        <v>1</v>
      </c>
      <c r="CL43">
        <v>0</v>
      </c>
      <c r="CM43">
        <v>2</v>
      </c>
      <c r="CN43">
        <v>0</v>
      </c>
      <c r="CO43">
        <v>3</v>
      </c>
      <c r="CP43" t="s">
        <v>119</v>
      </c>
      <c r="CQ43">
        <v>364</v>
      </c>
      <c r="CR43">
        <v>0</v>
      </c>
      <c r="CW43">
        <v>1361238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1</v>
      </c>
      <c r="DH43">
        <v>0</v>
      </c>
      <c r="DI43">
        <v>0</v>
      </c>
    </row>
    <row r="44" spans="1:113" x14ac:dyDescent="0.3">
      <c r="A44" t="str">
        <f>"03/24/2022 22:08:57.194"</f>
        <v>03/24/2022 22:08:57.194</v>
      </c>
      <c r="C44" t="str">
        <f t="shared" si="8"/>
        <v>FFDFD3C0</v>
      </c>
      <c r="D44" t="s">
        <v>113</v>
      </c>
      <c r="E44">
        <v>24</v>
      </c>
      <c r="F44">
        <v>2024</v>
      </c>
      <c r="G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si="14"/>
        <v>22:08:56.000</v>
      </c>
      <c r="T44" t="str">
        <f t="shared" si="14"/>
        <v>22:08:56.000</v>
      </c>
      <c r="U44" t="str">
        <f t="shared" si="1"/>
        <v>A9D71F</v>
      </c>
      <c r="V44">
        <v>0</v>
      </c>
      <c r="W44">
        <v>0</v>
      </c>
      <c r="X44">
        <v>2</v>
      </c>
      <c r="Z44">
        <v>1</v>
      </c>
      <c r="AA44">
        <v>0</v>
      </c>
      <c r="AB44">
        <v>3</v>
      </c>
      <c r="AC44">
        <v>0</v>
      </c>
      <c r="AD44">
        <v>7</v>
      </c>
      <c r="AE44">
        <v>0</v>
      </c>
      <c r="AF44">
        <v>3</v>
      </c>
      <c r="AG44">
        <v>1</v>
      </c>
      <c r="AH44">
        <v>0</v>
      </c>
      <c r="AI44" t="s">
        <v>142</v>
      </c>
      <c r="AJ44">
        <v>33.175750000000001</v>
      </c>
      <c r="AK44" t="s">
        <v>143</v>
      </c>
      <c r="AL44">
        <v>-97.828445000000002</v>
      </c>
      <c r="AM44">
        <v>25</v>
      </c>
      <c r="AN44">
        <v>900</v>
      </c>
      <c r="AO44" t="s">
        <v>118</v>
      </c>
      <c r="AP44">
        <v>6</v>
      </c>
      <c r="AQ44">
        <v>75</v>
      </c>
      <c r="AR44">
        <v>896</v>
      </c>
      <c r="AZ44">
        <v>1200</v>
      </c>
      <c r="BA44">
        <v>1</v>
      </c>
      <c r="BB44" t="str">
        <f t="shared" si="10"/>
        <v xml:space="preserve">N733KP  </v>
      </c>
      <c r="BC44">
        <v>1</v>
      </c>
      <c r="BE44">
        <v>0</v>
      </c>
      <c r="BF44">
        <v>0</v>
      </c>
      <c r="BG44">
        <v>0</v>
      </c>
      <c r="BH44">
        <v>900</v>
      </c>
      <c r="BI44">
        <v>1</v>
      </c>
      <c r="BJ44">
        <v>1</v>
      </c>
      <c r="BK44">
        <v>0</v>
      </c>
      <c r="BL44">
        <v>0</v>
      </c>
      <c r="BO44">
        <v>0</v>
      </c>
      <c r="BP44">
        <v>0</v>
      </c>
      <c r="BW44" t="str">
        <f>"22:08:56.961"</f>
        <v>22:08:56.961</v>
      </c>
      <c r="CJ44">
        <v>0</v>
      </c>
      <c r="CK44">
        <v>1</v>
      </c>
      <c r="CL44">
        <v>0</v>
      </c>
      <c r="CM44">
        <v>2</v>
      </c>
      <c r="CN44">
        <v>0</v>
      </c>
      <c r="CO44">
        <v>3</v>
      </c>
      <c r="CP44" t="s">
        <v>119</v>
      </c>
      <c r="CQ44">
        <v>364</v>
      </c>
      <c r="CR44">
        <v>0</v>
      </c>
      <c r="CW44">
        <v>1361238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1</v>
      </c>
      <c r="DH44">
        <v>0</v>
      </c>
      <c r="DI44">
        <v>0</v>
      </c>
    </row>
    <row r="45" spans="1:113" x14ac:dyDescent="0.3">
      <c r="A45" t="str">
        <f>"03/24/2022 22:08:57.194"</f>
        <v>03/24/2022 22:08:57.194</v>
      </c>
      <c r="C45" t="str">
        <f t="shared" si="8"/>
        <v>FFDFD3C0</v>
      </c>
      <c r="D45" t="s">
        <v>126</v>
      </c>
      <c r="E45">
        <v>3</v>
      </c>
      <c r="H45">
        <v>160</v>
      </c>
      <c r="I45" t="s">
        <v>121</v>
      </c>
      <c r="J45" t="s">
        <v>127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si="14"/>
        <v>22:08:56.000</v>
      </c>
      <c r="T45" t="str">
        <f t="shared" si="14"/>
        <v>22:08:56.000</v>
      </c>
      <c r="U45" t="str">
        <f t="shared" si="1"/>
        <v>A9D71F</v>
      </c>
      <c r="V45">
        <v>0</v>
      </c>
      <c r="W45">
        <v>0</v>
      </c>
      <c r="X45">
        <v>2</v>
      </c>
      <c r="Z45">
        <v>1</v>
      </c>
      <c r="AA45">
        <v>0</v>
      </c>
      <c r="AB45">
        <v>3</v>
      </c>
      <c r="AC45">
        <v>0</v>
      </c>
      <c r="AD45">
        <v>7</v>
      </c>
      <c r="AE45">
        <v>0</v>
      </c>
      <c r="AF45">
        <v>3</v>
      </c>
      <c r="AG45">
        <v>1</v>
      </c>
      <c r="AH45">
        <v>0</v>
      </c>
      <c r="AI45" t="s">
        <v>142</v>
      </c>
      <c r="AJ45">
        <v>33.175750000000001</v>
      </c>
      <c r="AK45" t="s">
        <v>143</v>
      </c>
      <c r="AL45">
        <v>-97.828445000000002</v>
      </c>
      <c r="AM45">
        <v>25</v>
      </c>
      <c r="AN45">
        <v>900</v>
      </c>
      <c r="AO45" t="s">
        <v>118</v>
      </c>
      <c r="AP45">
        <v>6</v>
      </c>
      <c r="AQ45">
        <v>75</v>
      </c>
      <c r="AR45">
        <v>896</v>
      </c>
      <c r="AZ45">
        <v>1200</v>
      </c>
      <c r="BA45">
        <v>1</v>
      </c>
      <c r="BB45" t="str">
        <f t="shared" si="10"/>
        <v xml:space="preserve">N733KP  </v>
      </c>
      <c r="BC45">
        <v>1</v>
      </c>
      <c r="BE45">
        <v>0</v>
      </c>
      <c r="BF45">
        <v>0</v>
      </c>
      <c r="BG45">
        <v>0</v>
      </c>
      <c r="BH45">
        <v>900</v>
      </c>
      <c r="BI45">
        <v>1</v>
      </c>
      <c r="BJ45">
        <v>1</v>
      </c>
      <c r="BK45">
        <v>0</v>
      </c>
      <c r="BL45">
        <v>0</v>
      </c>
      <c r="BO45">
        <v>0</v>
      </c>
      <c r="BP45">
        <v>0</v>
      </c>
      <c r="BW45" t="str">
        <f>"22:08:56.961"</f>
        <v>22:08:56.961</v>
      </c>
      <c r="CJ45">
        <v>0</v>
      </c>
      <c r="CK45">
        <v>1</v>
      </c>
      <c r="CL45">
        <v>0</v>
      </c>
      <c r="CM45">
        <v>2</v>
      </c>
      <c r="CN45">
        <v>0</v>
      </c>
      <c r="CO45">
        <v>3</v>
      </c>
      <c r="CP45" t="s">
        <v>119</v>
      </c>
      <c r="CQ45">
        <v>364</v>
      </c>
      <c r="CR45">
        <v>0</v>
      </c>
      <c r="CW45">
        <v>1361238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1</v>
      </c>
      <c r="DH45">
        <v>0</v>
      </c>
      <c r="DI45">
        <v>0</v>
      </c>
    </row>
    <row r="46" spans="1:113" x14ac:dyDescent="0.3">
      <c r="A46" t="str">
        <f>"03/24/2022 22:08:57.741"</f>
        <v>03/24/2022 22:08:57.741</v>
      </c>
      <c r="C46" t="str">
        <f t="shared" si="8"/>
        <v>FFDFD3C0</v>
      </c>
      <c r="D46" t="s">
        <v>120</v>
      </c>
      <c r="E46">
        <v>14</v>
      </c>
      <c r="F46">
        <v>1014</v>
      </c>
      <c r="G46" t="s">
        <v>121</v>
      </c>
      <c r="J46" t="s">
        <v>122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ref="S46:T49" si="15">"22:08:57.000"</f>
        <v>22:08:57.000</v>
      </c>
      <c r="T46" t="str">
        <f t="shared" si="15"/>
        <v>22:08:57.000</v>
      </c>
      <c r="U46" t="str">
        <f t="shared" si="1"/>
        <v>A9D71F</v>
      </c>
      <c r="V46">
        <v>0</v>
      </c>
      <c r="W46">
        <v>0</v>
      </c>
      <c r="X46">
        <v>2</v>
      </c>
      <c r="Z46">
        <v>1</v>
      </c>
      <c r="AA46">
        <v>0</v>
      </c>
      <c r="AB46">
        <v>3</v>
      </c>
      <c r="AC46">
        <v>0</v>
      </c>
      <c r="AD46">
        <v>7</v>
      </c>
      <c r="AE46">
        <v>0</v>
      </c>
      <c r="AF46">
        <v>3</v>
      </c>
      <c r="AG46">
        <v>1</v>
      </c>
      <c r="AH46">
        <v>0</v>
      </c>
      <c r="AI46" t="s">
        <v>144</v>
      </c>
      <c r="AJ46">
        <v>33.176222000000003</v>
      </c>
      <c r="AK46" t="s">
        <v>145</v>
      </c>
      <c r="AL46">
        <v>-97.828380999999993</v>
      </c>
      <c r="AM46">
        <v>25</v>
      </c>
      <c r="AN46">
        <v>900</v>
      </c>
      <c r="AO46" t="s">
        <v>118</v>
      </c>
      <c r="AP46">
        <v>6</v>
      </c>
      <c r="AQ46">
        <v>77</v>
      </c>
      <c r="AR46">
        <v>896</v>
      </c>
      <c r="AZ46">
        <v>1200</v>
      </c>
      <c r="BA46">
        <v>1</v>
      </c>
      <c r="BB46" t="str">
        <f t="shared" si="10"/>
        <v xml:space="preserve">N733KP  </v>
      </c>
      <c r="BC46">
        <v>1</v>
      </c>
      <c r="BE46">
        <v>0</v>
      </c>
      <c r="BF46">
        <v>0</v>
      </c>
      <c r="BG46">
        <v>0</v>
      </c>
      <c r="BH46">
        <v>925</v>
      </c>
      <c r="BI46">
        <v>1</v>
      </c>
      <c r="BJ46">
        <v>1</v>
      </c>
      <c r="BK46">
        <v>0</v>
      </c>
      <c r="BL46">
        <v>0</v>
      </c>
      <c r="BO46">
        <v>0</v>
      </c>
      <c r="BP46">
        <v>0</v>
      </c>
      <c r="BW46" t="str">
        <f>"22:08:57.514"</f>
        <v>22:08:57.514</v>
      </c>
      <c r="CJ46">
        <v>0</v>
      </c>
      <c r="CK46">
        <v>1</v>
      </c>
      <c r="CL46">
        <v>0</v>
      </c>
      <c r="CM46">
        <v>2</v>
      </c>
      <c r="CN46">
        <v>0</v>
      </c>
      <c r="CO46">
        <v>4</v>
      </c>
      <c r="CP46" t="s">
        <v>119</v>
      </c>
      <c r="CQ46">
        <v>364</v>
      </c>
      <c r="CR46">
        <v>0</v>
      </c>
      <c r="CW46">
        <v>1361316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1</v>
      </c>
      <c r="DH46">
        <v>0</v>
      </c>
      <c r="DI46">
        <v>0</v>
      </c>
    </row>
    <row r="47" spans="1:113" x14ac:dyDescent="0.3">
      <c r="A47" t="str">
        <f>"03/24/2022 22:08:57.741"</f>
        <v>03/24/2022 22:08:57.741</v>
      </c>
      <c r="C47" t="str">
        <f t="shared" si="8"/>
        <v>FFDFD3C0</v>
      </c>
      <c r="D47" t="s">
        <v>123</v>
      </c>
      <c r="E47">
        <v>8</v>
      </c>
      <c r="H47">
        <v>31</v>
      </c>
      <c r="I47" t="s">
        <v>124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si="15"/>
        <v>22:08:57.000</v>
      </c>
      <c r="T47" t="str">
        <f t="shared" si="15"/>
        <v>22:08:57.000</v>
      </c>
      <c r="U47" t="str">
        <f t="shared" si="1"/>
        <v>A9D71F</v>
      </c>
      <c r="V47">
        <v>0</v>
      </c>
      <c r="W47">
        <v>0</v>
      </c>
      <c r="X47">
        <v>2</v>
      </c>
      <c r="Z47">
        <v>1</v>
      </c>
      <c r="AA47">
        <v>0</v>
      </c>
      <c r="AB47">
        <v>3</v>
      </c>
      <c r="AC47">
        <v>0</v>
      </c>
      <c r="AD47">
        <v>7</v>
      </c>
      <c r="AE47">
        <v>0</v>
      </c>
      <c r="AF47">
        <v>3</v>
      </c>
      <c r="AG47">
        <v>1</v>
      </c>
      <c r="AH47">
        <v>0</v>
      </c>
      <c r="AI47" t="s">
        <v>144</v>
      </c>
      <c r="AJ47">
        <v>33.176222000000003</v>
      </c>
      <c r="AK47" t="s">
        <v>145</v>
      </c>
      <c r="AL47">
        <v>-97.828380999999993</v>
      </c>
      <c r="AM47">
        <v>25</v>
      </c>
      <c r="AN47">
        <v>900</v>
      </c>
      <c r="AO47" t="s">
        <v>118</v>
      </c>
      <c r="AP47">
        <v>6</v>
      </c>
      <c r="AQ47">
        <v>77</v>
      </c>
      <c r="AR47">
        <v>896</v>
      </c>
      <c r="AZ47">
        <v>1200</v>
      </c>
      <c r="BA47">
        <v>1</v>
      </c>
      <c r="BB47" t="str">
        <f t="shared" si="10"/>
        <v xml:space="preserve">N733KP  </v>
      </c>
      <c r="BC47">
        <v>1</v>
      </c>
      <c r="BE47">
        <v>0</v>
      </c>
      <c r="BF47">
        <v>0</v>
      </c>
      <c r="BG47">
        <v>0</v>
      </c>
      <c r="BH47">
        <v>925</v>
      </c>
      <c r="BI47">
        <v>1</v>
      </c>
      <c r="BJ47">
        <v>1</v>
      </c>
      <c r="BK47">
        <v>0</v>
      </c>
      <c r="BL47">
        <v>0</v>
      </c>
      <c r="BO47">
        <v>0</v>
      </c>
      <c r="BP47">
        <v>0</v>
      </c>
      <c r="BW47" t="str">
        <f>"22:08:57.514"</f>
        <v>22:08:57.514</v>
      </c>
      <c r="CJ47">
        <v>0</v>
      </c>
      <c r="CK47">
        <v>1</v>
      </c>
      <c r="CL47">
        <v>0</v>
      </c>
      <c r="CM47">
        <v>2</v>
      </c>
      <c r="CN47">
        <v>0</v>
      </c>
      <c r="CO47">
        <v>4</v>
      </c>
      <c r="CP47" t="s">
        <v>119</v>
      </c>
      <c r="CQ47">
        <v>364</v>
      </c>
      <c r="CR47">
        <v>0</v>
      </c>
      <c r="CW47">
        <v>1361316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1</v>
      </c>
      <c r="DH47">
        <v>0</v>
      </c>
      <c r="DI47">
        <v>0</v>
      </c>
    </row>
    <row r="48" spans="1:113" x14ac:dyDescent="0.3">
      <c r="A48" t="str">
        <f>"03/24/2022 22:08:57.741"</f>
        <v>03/24/2022 22:08:57.741</v>
      </c>
      <c r="C48" t="str">
        <f t="shared" si="8"/>
        <v>FFDFD3C0</v>
      </c>
      <c r="D48" t="s">
        <v>126</v>
      </c>
      <c r="E48">
        <v>3</v>
      </c>
      <c r="H48">
        <v>160</v>
      </c>
      <c r="I48" t="s">
        <v>121</v>
      </c>
      <c r="J48" t="s">
        <v>127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si="15"/>
        <v>22:08:57.000</v>
      </c>
      <c r="T48" t="str">
        <f t="shared" si="15"/>
        <v>22:08:57.000</v>
      </c>
      <c r="U48" t="str">
        <f t="shared" si="1"/>
        <v>A9D71F</v>
      </c>
      <c r="V48">
        <v>0</v>
      </c>
      <c r="W48">
        <v>0</v>
      </c>
      <c r="X48">
        <v>2</v>
      </c>
      <c r="Z48">
        <v>1</v>
      </c>
      <c r="AA48">
        <v>0</v>
      </c>
      <c r="AB48">
        <v>3</v>
      </c>
      <c r="AC48">
        <v>0</v>
      </c>
      <c r="AD48">
        <v>7</v>
      </c>
      <c r="AE48">
        <v>0</v>
      </c>
      <c r="AF48">
        <v>3</v>
      </c>
      <c r="AG48">
        <v>1</v>
      </c>
      <c r="AH48">
        <v>0</v>
      </c>
      <c r="AI48" t="s">
        <v>144</v>
      </c>
      <c r="AJ48">
        <v>33.176222000000003</v>
      </c>
      <c r="AK48" t="s">
        <v>145</v>
      </c>
      <c r="AL48">
        <v>-97.828380999999993</v>
      </c>
      <c r="AM48">
        <v>25</v>
      </c>
      <c r="AN48">
        <v>900</v>
      </c>
      <c r="AO48" t="s">
        <v>118</v>
      </c>
      <c r="AP48">
        <v>6</v>
      </c>
      <c r="AQ48">
        <v>77</v>
      </c>
      <c r="AR48">
        <v>896</v>
      </c>
      <c r="AZ48">
        <v>1200</v>
      </c>
      <c r="BA48">
        <v>1</v>
      </c>
      <c r="BB48" t="str">
        <f t="shared" si="10"/>
        <v xml:space="preserve">N733KP  </v>
      </c>
      <c r="BC48">
        <v>1</v>
      </c>
      <c r="BE48">
        <v>0</v>
      </c>
      <c r="BF48">
        <v>0</v>
      </c>
      <c r="BG48">
        <v>0</v>
      </c>
      <c r="BH48">
        <v>925</v>
      </c>
      <c r="BI48">
        <v>1</v>
      </c>
      <c r="BJ48">
        <v>1</v>
      </c>
      <c r="BK48">
        <v>0</v>
      </c>
      <c r="BL48">
        <v>0</v>
      </c>
      <c r="BO48">
        <v>0</v>
      </c>
      <c r="BP48">
        <v>0</v>
      </c>
      <c r="BW48" t="str">
        <f>"22:08:57.514"</f>
        <v>22:08:57.514</v>
      </c>
      <c r="CJ48">
        <v>0</v>
      </c>
      <c r="CK48">
        <v>1</v>
      </c>
      <c r="CL48">
        <v>0</v>
      </c>
      <c r="CM48">
        <v>2</v>
      </c>
      <c r="CN48">
        <v>0</v>
      </c>
      <c r="CO48">
        <v>4</v>
      </c>
      <c r="CP48" t="s">
        <v>119</v>
      </c>
      <c r="CQ48">
        <v>364</v>
      </c>
      <c r="CR48">
        <v>0</v>
      </c>
      <c r="CW48">
        <v>1361316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1</v>
      </c>
      <c r="DH48">
        <v>0</v>
      </c>
      <c r="DI48">
        <v>0</v>
      </c>
    </row>
    <row r="49" spans="1:113" x14ac:dyDescent="0.3">
      <c r="A49" t="str">
        <f>"03/24/2022 22:08:57.757"</f>
        <v>03/24/2022 22:08:57.757</v>
      </c>
      <c r="C49" t="str">
        <f t="shared" si="8"/>
        <v>FFDFD3C0</v>
      </c>
      <c r="D49" t="s">
        <v>113</v>
      </c>
      <c r="E49">
        <v>24</v>
      </c>
      <c r="F49">
        <v>2024</v>
      </c>
      <c r="G49" t="s">
        <v>114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5"/>
        <v>22:08:57.000</v>
      </c>
      <c r="T49" t="str">
        <f t="shared" si="15"/>
        <v>22:08:57.000</v>
      </c>
      <c r="U49" t="str">
        <f t="shared" si="1"/>
        <v>A9D71F</v>
      </c>
      <c r="V49">
        <v>0</v>
      </c>
      <c r="W49">
        <v>0</v>
      </c>
      <c r="X49">
        <v>2</v>
      </c>
      <c r="Z49">
        <v>1</v>
      </c>
      <c r="AA49">
        <v>0</v>
      </c>
      <c r="AB49">
        <v>3</v>
      </c>
      <c r="AC49">
        <v>0</v>
      </c>
      <c r="AD49">
        <v>7</v>
      </c>
      <c r="AE49">
        <v>0</v>
      </c>
      <c r="AF49">
        <v>3</v>
      </c>
      <c r="AG49">
        <v>1</v>
      </c>
      <c r="AH49">
        <v>0</v>
      </c>
      <c r="AI49" t="s">
        <v>144</v>
      </c>
      <c r="AJ49">
        <v>33.176222000000003</v>
      </c>
      <c r="AK49" t="s">
        <v>145</v>
      </c>
      <c r="AL49">
        <v>-97.828380999999993</v>
      </c>
      <c r="AM49">
        <v>25</v>
      </c>
      <c r="AN49">
        <v>900</v>
      </c>
      <c r="AO49" t="s">
        <v>118</v>
      </c>
      <c r="AP49">
        <v>6</v>
      </c>
      <c r="AQ49">
        <v>77</v>
      </c>
      <c r="AR49">
        <v>896</v>
      </c>
      <c r="AZ49">
        <v>1200</v>
      </c>
      <c r="BA49">
        <v>1</v>
      </c>
      <c r="BB49" t="str">
        <f t="shared" si="10"/>
        <v xml:space="preserve">N733KP  </v>
      </c>
      <c r="BC49">
        <v>1</v>
      </c>
      <c r="BE49">
        <v>0</v>
      </c>
      <c r="BF49">
        <v>0</v>
      </c>
      <c r="BG49">
        <v>0</v>
      </c>
      <c r="BH49">
        <v>925</v>
      </c>
      <c r="BI49">
        <v>1</v>
      </c>
      <c r="BJ49">
        <v>1</v>
      </c>
      <c r="BK49">
        <v>0</v>
      </c>
      <c r="BL49">
        <v>0</v>
      </c>
      <c r="BO49">
        <v>0</v>
      </c>
      <c r="BP49">
        <v>0</v>
      </c>
      <c r="BW49" t="str">
        <f>"22:08:57.514"</f>
        <v>22:08:57.514</v>
      </c>
      <c r="CJ49">
        <v>0</v>
      </c>
      <c r="CK49">
        <v>1</v>
      </c>
      <c r="CL49">
        <v>0</v>
      </c>
      <c r="CM49">
        <v>2</v>
      </c>
      <c r="CN49">
        <v>0</v>
      </c>
      <c r="CO49">
        <v>4</v>
      </c>
      <c r="CP49" t="s">
        <v>119</v>
      </c>
      <c r="CQ49">
        <v>364</v>
      </c>
      <c r="CR49">
        <v>0</v>
      </c>
      <c r="CW49">
        <v>1361316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1</v>
      </c>
      <c r="DH49">
        <v>0</v>
      </c>
      <c r="DI49">
        <v>0</v>
      </c>
    </row>
    <row r="50" spans="1:113" x14ac:dyDescent="0.3">
      <c r="A50" t="str">
        <f>"03/24/2022 22:09:16.995"</f>
        <v>03/24/2022 22:09:16.995</v>
      </c>
      <c r="C50" t="str">
        <f t="shared" si="8"/>
        <v>FFDFD3C0</v>
      </c>
      <c r="D50" t="s">
        <v>123</v>
      </c>
      <c r="E50">
        <v>8</v>
      </c>
      <c r="H50">
        <v>31</v>
      </c>
      <c r="I50" t="s">
        <v>124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ref="S50:T53" si="16">"22:09:16.000"</f>
        <v>22:09:16.000</v>
      </c>
      <c r="T50" t="str">
        <f t="shared" si="16"/>
        <v>22:09:16.000</v>
      </c>
      <c r="U50" t="str">
        <f t="shared" si="1"/>
        <v>A9D71F</v>
      </c>
      <c r="V50">
        <v>0</v>
      </c>
      <c r="W50">
        <v>0</v>
      </c>
      <c r="X50">
        <v>2</v>
      </c>
      <c r="Z50">
        <v>1</v>
      </c>
      <c r="AA50">
        <v>0</v>
      </c>
      <c r="AB50">
        <v>3</v>
      </c>
      <c r="AC50">
        <v>0</v>
      </c>
      <c r="AD50">
        <v>7</v>
      </c>
      <c r="AE50">
        <v>0</v>
      </c>
      <c r="AF50">
        <v>0</v>
      </c>
      <c r="AG50">
        <v>1</v>
      </c>
      <c r="AH50">
        <v>0</v>
      </c>
      <c r="AI50" t="s">
        <v>146</v>
      </c>
      <c r="AJ50">
        <v>33.181843999999998</v>
      </c>
      <c r="AK50" t="s">
        <v>147</v>
      </c>
      <c r="AL50">
        <v>-97.827866</v>
      </c>
      <c r="AM50">
        <v>25</v>
      </c>
      <c r="AN50">
        <v>1200</v>
      </c>
      <c r="AO50" t="s">
        <v>118</v>
      </c>
      <c r="AP50">
        <v>9</v>
      </c>
      <c r="AQ50">
        <v>61</v>
      </c>
      <c r="AR50">
        <v>448</v>
      </c>
      <c r="AZ50">
        <v>1200</v>
      </c>
      <c r="BA50">
        <v>1</v>
      </c>
      <c r="BB50" t="str">
        <f t="shared" si="10"/>
        <v xml:space="preserve">N733KP  </v>
      </c>
      <c r="BC50">
        <v>1</v>
      </c>
      <c r="BE50">
        <v>0</v>
      </c>
      <c r="BF50">
        <v>0</v>
      </c>
      <c r="BG50">
        <v>0</v>
      </c>
      <c r="BH50">
        <v>1175</v>
      </c>
      <c r="BI50">
        <v>1</v>
      </c>
      <c r="BJ50">
        <v>1</v>
      </c>
      <c r="BK50">
        <v>0</v>
      </c>
      <c r="BL50">
        <v>0</v>
      </c>
      <c r="BO50">
        <v>0</v>
      </c>
      <c r="BP50">
        <v>0</v>
      </c>
      <c r="BW50" t="str">
        <f>"22:09:16.825"</f>
        <v>22:09:16.825</v>
      </c>
      <c r="CJ50">
        <v>0</v>
      </c>
      <c r="CK50">
        <v>1</v>
      </c>
      <c r="CL50">
        <v>0</v>
      </c>
      <c r="CM50">
        <v>2</v>
      </c>
      <c r="CN50">
        <v>0</v>
      </c>
      <c r="CO50">
        <v>5</v>
      </c>
      <c r="CP50" t="s">
        <v>119</v>
      </c>
      <c r="CQ50">
        <v>364</v>
      </c>
      <c r="CR50">
        <v>0</v>
      </c>
      <c r="CW50">
        <v>1364376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1</v>
      </c>
      <c r="DH50">
        <v>0</v>
      </c>
      <c r="DI50">
        <v>0</v>
      </c>
    </row>
    <row r="51" spans="1:113" x14ac:dyDescent="0.3">
      <c r="A51" t="str">
        <f>"03/24/2022 22:09:16.995"</f>
        <v>03/24/2022 22:09:16.995</v>
      </c>
      <c r="C51" t="str">
        <f t="shared" si="8"/>
        <v>FFDFD3C0</v>
      </c>
      <c r="D51" t="s">
        <v>120</v>
      </c>
      <c r="E51">
        <v>14</v>
      </c>
      <c r="F51">
        <v>1014</v>
      </c>
      <c r="G51" t="s">
        <v>121</v>
      </c>
      <c r="J51" t="s">
        <v>122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16"/>
        <v>22:09:16.000</v>
      </c>
      <c r="T51" t="str">
        <f t="shared" si="16"/>
        <v>22:09:16.000</v>
      </c>
      <c r="U51" t="str">
        <f t="shared" si="1"/>
        <v>A9D71F</v>
      </c>
      <c r="V51">
        <v>0</v>
      </c>
      <c r="W51">
        <v>0</v>
      </c>
      <c r="X51">
        <v>2</v>
      </c>
      <c r="Z51">
        <v>1</v>
      </c>
      <c r="AA51">
        <v>0</v>
      </c>
      <c r="AB51">
        <v>3</v>
      </c>
      <c r="AC51">
        <v>0</v>
      </c>
      <c r="AD51">
        <v>7</v>
      </c>
      <c r="AE51">
        <v>0</v>
      </c>
      <c r="AF51">
        <v>3</v>
      </c>
      <c r="AG51">
        <v>1</v>
      </c>
      <c r="AH51">
        <v>0</v>
      </c>
      <c r="AI51" t="s">
        <v>146</v>
      </c>
      <c r="AJ51">
        <v>33.181843999999998</v>
      </c>
      <c r="AK51" t="s">
        <v>147</v>
      </c>
      <c r="AL51">
        <v>-97.827866</v>
      </c>
      <c r="AM51">
        <v>25</v>
      </c>
      <c r="AN51">
        <v>1200</v>
      </c>
      <c r="AO51" t="s">
        <v>118</v>
      </c>
      <c r="AP51">
        <v>9</v>
      </c>
      <c r="AQ51">
        <v>61</v>
      </c>
      <c r="AR51">
        <v>448</v>
      </c>
      <c r="AZ51">
        <v>1200</v>
      </c>
      <c r="BA51">
        <v>1</v>
      </c>
      <c r="BB51" t="str">
        <f t="shared" si="10"/>
        <v xml:space="preserve">N733KP  </v>
      </c>
      <c r="BC51">
        <v>1</v>
      </c>
      <c r="BE51">
        <v>0</v>
      </c>
      <c r="BF51">
        <v>0</v>
      </c>
      <c r="BG51">
        <v>0</v>
      </c>
      <c r="BH51">
        <v>1175</v>
      </c>
      <c r="BI51">
        <v>1</v>
      </c>
      <c r="BJ51">
        <v>1</v>
      </c>
      <c r="BK51">
        <v>0</v>
      </c>
      <c r="BL51">
        <v>0</v>
      </c>
      <c r="BO51">
        <v>0</v>
      </c>
      <c r="BP51">
        <v>0</v>
      </c>
      <c r="BW51" t="str">
        <f>"22:09:16.825"</f>
        <v>22:09:16.825</v>
      </c>
      <c r="CJ51">
        <v>0</v>
      </c>
      <c r="CK51">
        <v>1</v>
      </c>
      <c r="CL51">
        <v>0</v>
      </c>
      <c r="CM51">
        <v>2</v>
      </c>
      <c r="CN51">
        <v>0</v>
      </c>
      <c r="CO51">
        <v>5</v>
      </c>
      <c r="CP51" t="s">
        <v>119</v>
      </c>
      <c r="CQ51">
        <v>364</v>
      </c>
      <c r="CR51">
        <v>0</v>
      </c>
      <c r="CW51">
        <v>1364376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1</v>
      </c>
      <c r="DH51">
        <v>0</v>
      </c>
      <c r="DI51">
        <v>0</v>
      </c>
    </row>
    <row r="52" spans="1:113" x14ac:dyDescent="0.3">
      <c r="A52" t="str">
        <f>"03/24/2022 22:09:16.995"</f>
        <v>03/24/2022 22:09:16.995</v>
      </c>
      <c r="C52" t="str">
        <f t="shared" si="8"/>
        <v>FFDFD3C0</v>
      </c>
      <c r="D52" t="s">
        <v>113</v>
      </c>
      <c r="E52">
        <v>24</v>
      </c>
      <c r="F52">
        <v>2024</v>
      </c>
      <c r="G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si="16"/>
        <v>22:09:16.000</v>
      </c>
      <c r="T52" t="str">
        <f t="shared" si="16"/>
        <v>22:09:16.000</v>
      </c>
      <c r="U52" t="str">
        <f t="shared" si="1"/>
        <v>A9D71F</v>
      </c>
      <c r="V52">
        <v>0</v>
      </c>
      <c r="W52">
        <v>0</v>
      </c>
      <c r="X52">
        <v>2</v>
      </c>
      <c r="Z52">
        <v>1</v>
      </c>
      <c r="AA52">
        <v>0</v>
      </c>
      <c r="AB52">
        <v>3</v>
      </c>
      <c r="AC52">
        <v>0</v>
      </c>
      <c r="AD52">
        <v>7</v>
      </c>
      <c r="AE52">
        <v>0</v>
      </c>
      <c r="AF52">
        <v>3</v>
      </c>
      <c r="AG52">
        <v>1</v>
      </c>
      <c r="AH52">
        <v>0</v>
      </c>
      <c r="AI52" t="s">
        <v>146</v>
      </c>
      <c r="AJ52">
        <v>33.181843999999998</v>
      </c>
      <c r="AK52" t="s">
        <v>147</v>
      </c>
      <c r="AL52">
        <v>-97.827866</v>
      </c>
      <c r="AM52">
        <v>25</v>
      </c>
      <c r="AN52">
        <v>1200</v>
      </c>
      <c r="AO52" t="s">
        <v>118</v>
      </c>
      <c r="AP52">
        <v>9</v>
      </c>
      <c r="AQ52">
        <v>61</v>
      </c>
      <c r="AR52">
        <v>448</v>
      </c>
      <c r="AZ52">
        <v>1200</v>
      </c>
      <c r="BA52">
        <v>1</v>
      </c>
      <c r="BB52" t="str">
        <f t="shared" si="10"/>
        <v xml:space="preserve">N733KP  </v>
      </c>
      <c r="BC52">
        <v>1</v>
      </c>
      <c r="BE52">
        <v>0</v>
      </c>
      <c r="BF52">
        <v>0</v>
      </c>
      <c r="BG52">
        <v>0</v>
      </c>
      <c r="BH52">
        <v>1175</v>
      </c>
      <c r="BI52">
        <v>1</v>
      </c>
      <c r="BJ52">
        <v>1</v>
      </c>
      <c r="BK52">
        <v>0</v>
      </c>
      <c r="BL52">
        <v>0</v>
      </c>
      <c r="BO52">
        <v>0</v>
      </c>
      <c r="BP52">
        <v>0</v>
      </c>
      <c r="BW52" t="str">
        <f>"22:09:16.825"</f>
        <v>22:09:16.825</v>
      </c>
      <c r="CJ52">
        <v>0</v>
      </c>
      <c r="CK52">
        <v>1</v>
      </c>
      <c r="CL52">
        <v>0</v>
      </c>
      <c r="CM52">
        <v>2</v>
      </c>
      <c r="CN52">
        <v>0</v>
      </c>
      <c r="CO52">
        <v>5</v>
      </c>
      <c r="CP52" t="s">
        <v>119</v>
      </c>
      <c r="CQ52">
        <v>364</v>
      </c>
      <c r="CR52">
        <v>0</v>
      </c>
      <c r="CW52">
        <v>1364376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1</v>
      </c>
      <c r="DH52">
        <v>0</v>
      </c>
      <c r="DI52">
        <v>0</v>
      </c>
    </row>
    <row r="53" spans="1:113" x14ac:dyDescent="0.3">
      <c r="A53" t="str">
        <f>"03/24/2022 22:09:17.026"</f>
        <v>03/24/2022 22:09:17.026</v>
      </c>
      <c r="C53" t="str">
        <f t="shared" si="8"/>
        <v>FFDFD3C0</v>
      </c>
      <c r="D53" t="s">
        <v>126</v>
      </c>
      <c r="E53">
        <v>3</v>
      </c>
      <c r="H53">
        <v>160</v>
      </c>
      <c r="I53" t="s">
        <v>121</v>
      </c>
      <c r="J53" t="s">
        <v>127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si="16"/>
        <v>22:09:16.000</v>
      </c>
      <c r="T53" t="str">
        <f t="shared" si="16"/>
        <v>22:09:16.000</v>
      </c>
      <c r="U53" t="str">
        <f t="shared" si="1"/>
        <v>A9D71F</v>
      </c>
      <c r="V53">
        <v>0</v>
      </c>
      <c r="W53">
        <v>0</v>
      </c>
      <c r="X53">
        <v>2</v>
      </c>
      <c r="Z53">
        <v>1</v>
      </c>
      <c r="AA53">
        <v>0</v>
      </c>
      <c r="AB53">
        <v>3</v>
      </c>
      <c r="AC53">
        <v>0</v>
      </c>
      <c r="AD53">
        <v>7</v>
      </c>
      <c r="AE53">
        <v>0</v>
      </c>
      <c r="AF53">
        <v>0</v>
      </c>
      <c r="AG53">
        <v>1</v>
      </c>
      <c r="AH53">
        <v>0</v>
      </c>
      <c r="AI53" t="s">
        <v>146</v>
      </c>
      <c r="AJ53">
        <v>33.181843999999998</v>
      </c>
      <c r="AK53" t="s">
        <v>147</v>
      </c>
      <c r="AL53">
        <v>-97.827866</v>
      </c>
      <c r="AM53">
        <v>25</v>
      </c>
      <c r="AN53">
        <v>1200</v>
      </c>
      <c r="AO53" t="s">
        <v>118</v>
      </c>
      <c r="AP53">
        <v>9</v>
      </c>
      <c r="AQ53">
        <v>61</v>
      </c>
      <c r="AR53">
        <v>448</v>
      </c>
      <c r="AZ53">
        <v>1200</v>
      </c>
      <c r="BA53">
        <v>1</v>
      </c>
      <c r="BB53" t="str">
        <f t="shared" si="10"/>
        <v xml:space="preserve">N733KP  </v>
      </c>
      <c r="BC53">
        <v>1</v>
      </c>
      <c r="BE53">
        <v>0</v>
      </c>
      <c r="BF53">
        <v>0</v>
      </c>
      <c r="BG53">
        <v>0</v>
      </c>
      <c r="BH53">
        <v>1175</v>
      </c>
      <c r="BI53">
        <v>1</v>
      </c>
      <c r="BJ53">
        <v>1</v>
      </c>
      <c r="BK53">
        <v>0</v>
      </c>
      <c r="BL53">
        <v>0</v>
      </c>
      <c r="BO53">
        <v>0</v>
      </c>
      <c r="BP53">
        <v>0</v>
      </c>
      <c r="BW53" t="str">
        <f>"22:09:16.825"</f>
        <v>22:09:16.825</v>
      </c>
      <c r="CJ53">
        <v>0</v>
      </c>
      <c r="CK53">
        <v>1</v>
      </c>
      <c r="CL53">
        <v>0</v>
      </c>
      <c r="CM53">
        <v>2</v>
      </c>
      <c r="CN53">
        <v>0</v>
      </c>
      <c r="CO53">
        <v>5</v>
      </c>
      <c r="CP53" t="s">
        <v>119</v>
      </c>
      <c r="CQ53">
        <v>364</v>
      </c>
      <c r="CR53">
        <v>0</v>
      </c>
      <c r="CW53">
        <v>1364376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1</v>
      </c>
      <c r="DH53">
        <v>0</v>
      </c>
      <c r="DI53">
        <v>0</v>
      </c>
    </row>
    <row r="54" spans="1:113" x14ac:dyDescent="0.3">
      <c r="A54" t="str">
        <f>"03/24/2022 22:09:18.935"</f>
        <v>03/24/2022 22:09:18.935</v>
      </c>
      <c r="C54" t="str">
        <f t="shared" si="8"/>
        <v>FFDFD3C0</v>
      </c>
      <c r="D54" t="s">
        <v>120</v>
      </c>
      <c r="E54">
        <v>14</v>
      </c>
      <c r="F54">
        <v>1014</v>
      </c>
      <c r="G54" t="s">
        <v>121</v>
      </c>
      <c r="J54" t="s">
        <v>122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ref="S54:T57" si="17">"22:09:18.000"</f>
        <v>22:09:18.000</v>
      </c>
      <c r="T54" t="str">
        <f t="shared" si="17"/>
        <v>22:09:18.000</v>
      </c>
      <c r="U54" t="str">
        <f t="shared" si="1"/>
        <v>A9D71F</v>
      </c>
      <c r="V54">
        <v>0</v>
      </c>
      <c r="W54">
        <v>0</v>
      </c>
      <c r="X54">
        <v>2</v>
      </c>
      <c r="Z54">
        <v>1</v>
      </c>
      <c r="AA54">
        <v>0</v>
      </c>
      <c r="AB54">
        <v>3</v>
      </c>
      <c r="AC54">
        <v>0</v>
      </c>
      <c r="AD54">
        <v>7</v>
      </c>
      <c r="AE54">
        <v>0</v>
      </c>
      <c r="AF54">
        <v>0</v>
      </c>
      <c r="AG54">
        <v>1</v>
      </c>
      <c r="AH54">
        <v>0</v>
      </c>
      <c r="AI54" t="s">
        <v>148</v>
      </c>
      <c r="AJ54">
        <v>33.182336999999997</v>
      </c>
      <c r="AK54" t="s">
        <v>149</v>
      </c>
      <c r="AL54">
        <v>-97.827802000000005</v>
      </c>
      <c r="AM54">
        <v>25</v>
      </c>
      <c r="AN54">
        <v>1200</v>
      </c>
      <c r="AO54" t="s">
        <v>118</v>
      </c>
      <c r="AP54">
        <v>11</v>
      </c>
      <c r="AQ54">
        <v>41</v>
      </c>
      <c r="AR54">
        <v>512</v>
      </c>
      <c r="AZ54">
        <v>1200</v>
      </c>
      <c r="BA54">
        <v>1</v>
      </c>
      <c r="BB54" t="str">
        <f t="shared" si="10"/>
        <v xml:space="preserve">N733KP  </v>
      </c>
      <c r="BC54">
        <v>1</v>
      </c>
      <c r="BE54">
        <v>0</v>
      </c>
      <c r="BF54">
        <v>0</v>
      </c>
      <c r="BG54">
        <v>0</v>
      </c>
      <c r="BH54">
        <v>1200</v>
      </c>
      <c r="BI54">
        <v>1</v>
      </c>
      <c r="BJ54">
        <v>1</v>
      </c>
      <c r="BK54">
        <v>0</v>
      </c>
      <c r="BL54">
        <v>0</v>
      </c>
      <c r="BO54">
        <v>0</v>
      </c>
      <c r="BP54">
        <v>0</v>
      </c>
      <c r="BW54" t="str">
        <f>"22:09:18.738"</f>
        <v>22:09:18.738</v>
      </c>
      <c r="CJ54">
        <v>0</v>
      </c>
      <c r="CK54">
        <v>1</v>
      </c>
      <c r="CL54">
        <v>0</v>
      </c>
      <c r="CM54">
        <v>2</v>
      </c>
      <c r="CN54">
        <v>0</v>
      </c>
      <c r="CO54">
        <v>2</v>
      </c>
      <c r="CP54" t="s">
        <v>119</v>
      </c>
      <c r="CQ54">
        <v>364</v>
      </c>
      <c r="CR54">
        <v>0</v>
      </c>
      <c r="CW54">
        <v>1364663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1</v>
      </c>
      <c r="DH54">
        <v>0</v>
      </c>
      <c r="DI54">
        <v>0</v>
      </c>
    </row>
    <row r="55" spans="1:113" x14ac:dyDescent="0.3">
      <c r="A55" t="str">
        <f>"03/24/2022 22:09:18.935"</f>
        <v>03/24/2022 22:09:18.935</v>
      </c>
      <c r="C55" t="str">
        <f t="shared" si="8"/>
        <v>FFDFD3C0</v>
      </c>
      <c r="D55" t="s">
        <v>113</v>
      </c>
      <c r="E55">
        <v>24</v>
      </c>
      <c r="F55">
        <v>2024</v>
      </c>
      <c r="G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si="17"/>
        <v>22:09:18.000</v>
      </c>
      <c r="T55" t="str">
        <f t="shared" si="17"/>
        <v>22:09:18.000</v>
      </c>
      <c r="U55" t="str">
        <f t="shared" si="1"/>
        <v>A9D71F</v>
      </c>
      <c r="V55">
        <v>0</v>
      </c>
      <c r="W55">
        <v>0</v>
      </c>
      <c r="X55">
        <v>2</v>
      </c>
      <c r="Z55">
        <v>1</v>
      </c>
      <c r="AA55">
        <v>0</v>
      </c>
      <c r="AB55">
        <v>3</v>
      </c>
      <c r="AC55">
        <v>0</v>
      </c>
      <c r="AD55">
        <v>7</v>
      </c>
      <c r="AE55">
        <v>0</v>
      </c>
      <c r="AF55">
        <v>0</v>
      </c>
      <c r="AG55">
        <v>1</v>
      </c>
      <c r="AH55">
        <v>0</v>
      </c>
      <c r="AI55" t="s">
        <v>148</v>
      </c>
      <c r="AJ55">
        <v>33.182336999999997</v>
      </c>
      <c r="AK55" t="s">
        <v>149</v>
      </c>
      <c r="AL55">
        <v>-97.827802000000005</v>
      </c>
      <c r="AM55">
        <v>25</v>
      </c>
      <c r="AN55">
        <v>1200</v>
      </c>
      <c r="AO55" t="s">
        <v>118</v>
      </c>
      <c r="AP55">
        <v>11</v>
      </c>
      <c r="AQ55">
        <v>41</v>
      </c>
      <c r="AR55">
        <v>512</v>
      </c>
      <c r="AZ55">
        <v>1200</v>
      </c>
      <c r="BA55">
        <v>1</v>
      </c>
      <c r="BB55" t="str">
        <f t="shared" si="10"/>
        <v xml:space="preserve">N733KP  </v>
      </c>
      <c r="BC55">
        <v>1</v>
      </c>
      <c r="BE55">
        <v>0</v>
      </c>
      <c r="BF55">
        <v>0</v>
      </c>
      <c r="BG55">
        <v>0</v>
      </c>
      <c r="BH55">
        <v>1200</v>
      </c>
      <c r="BI55">
        <v>1</v>
      </c>
      <c r="BJ55">
        <v>1</v>
      </c>
      <c r="BK55">
        <v>0</v>
      </c>
      <c r="BL55">
        <v>0</v>
      </c>
      <c r="BO55">
        <v>0</v>
      </c>
      <c r="BP55">
        <v>0</v>
      </c>
      <c r="BW55" t="str">
        <f>"22:09:18.738"</f>
        <v>22:09:18.738</v>
      </c>
      <c r="CJ55">
        <v>0</v>
      </c>
      <c r="CK55">
        <v>1</v>
      </c>
      <c r="CL55">
        <v>0</v>
      </c>
      <c r="CM55">
        <v>2</v>
      </c>
      <c r="CN55">
        <v>0</v>
      </c>
      <c r="CO55">
        <v>2</v>
      </c>
      <c r="CP55" t="s">
        <v>119</v>
      </c>
      <c r="CQ55">
        <v>364</v>
      </c>
      <c r="CR55">
        <v>0</v>
      </c>
      <c r="CW55">
        <v>1364663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1</v>
      </c>
      <c r="DH55">
        <v>0</v>
      </c>
      <c r="DI55">
        <v>0</v>
      </c>
    </row>
    <row r="56" spans="1:113" x14ac:dyDescent="0.3">
      <c r="A56" t="str">
        <f>"03/24/2022 22:09:18.935"</f>
        <v>03/24/2022 22:09:18.935</v>
      </c>
      <c r="C56" t="str">
        <f t="shared" si="8"/>
        <v>FFDFD3C0</v>
      </c>
      <c r="D56" t="s">
        <v>126</v>
      </c>
      <c r="E56">
        <v>3</v>
      </c>
      <c r="H56">
        <v>160</v>
      </c>
      <c r="I56" t="s">
        <v>121</v>
      </c>
      <c r="J56" t="s">
        <v>127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si="17"/>
        <v>22:09:18.000</v>
      </c>
      <c r="T56" t="str">
        <f t="shared" si="17"/>
        <v>22:09:18.000</v>
      </c>
      <c r="U56" t="str">
        <f t="shared" si="1"/>
        <v>A9D71F</v>
      </c>
      <c r="V56">
        <v>0</v>
      </c>
      <c r="W56">
        <v>0</v>
      </c>
      <c r="X56">
        <v>2</v>
      </c>
      <c r="Z56">
        <v>1</v>
      </c>
      <c r="AA56">
        <v>0</v>
      </c>
      <c r="AB56">
        <v>3</v>
      </c>
      <c r="AC56">
        <v>0</v>
      </c>
      <c r="AD56">
        <v>7</v>
      </c>
      <c r="AE56">
        <v>0</v>
      </c>
      <c r="AF56">
        <v>0</v>
      </c>
      <c r="AG56">
        <v>1</v>
      </c>
      <c r="AH56">
        <v>0</v>
      </c>
      <c r="AI56" t="s">
        <v>148</v>
      </c>
      <c r="AJ56">
        <v>33.182336999999997</v>
      </c>
      <c r="AK56" t="s">
        <v>149</v>
      </c>
      <c r="AL56">
        <v>-97.827802000000005</v>
      </c>
      <c r="AM56">
        <v>25</v>
      </c>
      <c r="AN56">
        <v>1200</v>
      </c>
      <c r="AO56" t="s">
        <v>118</v>
      </c>
      <c r="AP56">
        <v>11</v>
      </c>
      <c r="AQ56">
        <v>41</v>
      </c>
      <c r="AR56">
        <v>512</v>
      </c>
      <c r="AZ56">
        <v>1200</v>
      </c>
      <c r="BA56">
        <v>1</v>
      </c>
      <c r="BB56" t="str">
        <f t="shared" si="10"/>
        <v xml:space="preserve">N733KP  </v>
      </c>
      <c r="BC56">
        <v>1</v>
      </c>
      <c r="BE56">
        <v>0</v>
      </c>
      <c r="BF56">
        <v>0</v>
      </c>
      <c r="BG56">
        <v>0</v>
      </c>
      <c r="BH56">
        <v>1200</v>
      </c>
      <c r="BI56">
        <v>1</v>
      </c>
      <c r="BJ56">
        <v>1</v>
      </c>
      <c r="BK56">
        <v>0</v>
      </c>
      <c r="BL56">
        <v>0</v>
      </c>
      <c r="BO56">
        <v>0</v>
      </c>
      <c r="BP56">
        <v>0</v>
      </c>
      <c r="BW56" t="str">
        <f>"22:09:18.738"</f>
        <v>22:09:18.738</v>
      </c>
      <c r="CJ56">
        <v>0</v>
      </c>
      <c r="CK56">
        <v>1</v>
      </c>
      <c r="CL56">
        <v>0</v>
      </c>
      <c r="CM56">
        <v>2</v>
      </c>
      <c r="CN56">
        <v>0</v>
      </c>
      <c r="CO56">
        <v>2</v>
      </c>
      <c r="CP56" t="s">
        <v>119</v>
      </c>
      <c r="CQ56">
        <v>364</v>
      </c>
      <c r="CR56">
        <v>0</v>
      </c>
      <c r="CW56">
        <v>1364663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1</v>
      </c>
      <c r="DH56">
        <v>0</v>
      </c>
      <c r="DI56">
        <v>0</v>
      </c>
    </row>
    <row r="57" spans="1:113" x14ac:dyDescent="0.3">
      <c r="A57" t="str">
        <f>"03/24/2022 22:09:18.950"</f>
        <v>03/24/2022 22:09:18.950</v>
      </c>
      <c r="C57" t="str">
        <f t="shared" si="8"/>
        <v>FFDFD3C0</v>
      </c>
      <c r="D57" t="s">
        <v>123</v>
      </c>
      <c r="E57">
        <v>8</v>
      </c>
      <c r="H57">
        <v>31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si="17"/>
        <v>22:09:18.000</v>
      </c>
      <c r="T57" t="str">
        <f t="shared" si="17"/>
        <v>22:09:18.000</v>
      </c>
      <c r="U57" t="str">
        <f t="shared" si="1"/>
        <v>A9D71F</v>
      </c>
      <c r="V57">
        <v>0</v>
      </c>
      <c r="W57">
        <v>0</v>
      </c>
      <c r="X57">
        <v>2</v>
      </c>
      <c r="Z57">
        <v>1</v>
      </c>
      <c r="AA57">
        <v>0</v>
      </c>
      <c r="AB57">
        <v>3</v>
      </c>
      <c r="AC57">
        <v>0</v>
      </c>
      <c r="AD57">
        <v>7</v>
      </c>
      <c r="AE57">
        <v>0</v>
      </c>
      <c r="AF57">
        <v>0</v>
      </c>
      <c r="AG57">
        <v>1</v>
      </c>
      <c r="AH57">
        <v>0</v>
      </c>
      <c r="AI57" t="s">
        <v>148</v>
      </c>
      <c r="AJ57">
        <v>33.182336999999997</v>
      </c>
      <c r="AK57" t="s">
        <v>149</v>
      </c>
      <c r="AL57">
        <v>-97.827802000000005</v>
      </c>
      <c r="AM57">
        <v>25</v>
      </c>
      <c r="AN57">
        <v>1200</v>
      </c>
      <c r="AO57" t="s">
        <v>118</v>
      </c>
      <c r="AP57">
        <v>11</v>
      </c>
      <c r="AQ57">
        <v>41</v>
      </c>
      <c r="AR57">
        <v>512</v>
      </c>
      <c r="AZ57">
        <v>1200</v>
      </c>
      <c r="BA57">
        <v>1</v>
      </c>
      <c r="BB57" t="str">
        <f t="shared" si="10"/>
        <v xml:space="preserve">N733KP  </v>
      </c>
      <c r="BC57">
        <v>1</v>
      </c>
      <c r="BE57">
        <v>0</v>
      </c>
      <c r="BF57">
        <v>0</v>
      </c>
      <c r="BG57">
        <v>0</v>
      </c>
      <c r="BH57">
        <v>1200</v>
      </c>
      <c r="BI57">
        <v>1</v>
      </c>
      <c r="BJ57">
        <v>1</v>
      </c>
      <c r="BK57">
        <v>0</v>
      </c>
      <c r="BL57">
        <v>0</v>
      </c>
      <c r="BO57">
        <v>0</v>
      </c>
      <c r="BP57">
        <v>0</v>
      </c>
      <c r="BW57" t="str">
        <f>"22:09:18.738"</f>
        <v>22:09:18.738</v>
      </c>
      <c r="CJ57">
        <v>0</v>
      </c>
      <c r="CK57">
        <v>1</v>
      </c>
      <c r="CL57">
        <v>0</v>
      </c>
      <c r="CM57">
        <v>2</v>
      </c>
      <c r="CN57">
        <v>0</v>
      </c>
      <c r="CO57">
        <v>2</v>
      </c>
      <c r="CP57" t="s">
        <v>119</v>
      </c>
      <c r="CQ57">
        <v>364</v>
      </c>
      <c r="CR57">
        <v>0</v>
      </c>
      <c r="CW57">
        <v>1364663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1</v>
      </c>
      <c r="DH57">
        <v>0</v>
      </c>
      <c r="DI57">
        <v>0</v>
      </c>
    </row>
    <row r="58" spans="1:113" x14ac:dyDescent="0.3">
      <c r="A58" t="str">
        <f>"03/24/2022 22:09:19.903"</f>
        <v>03/24/2022 22:09:19.903</v>
      </c>
      <c r="C58" t="str">
        <f t="shared" si="8"/>
        <v>FFDFD3C0</v>
      </c>
      <c r="D58" t="s">
        <v>123</v>
      </c>
      <c r="E58">
        <v>8</v>
      </c>
      <c r="H58">
        <v>31</v>
      </c>
      <c r="I58" t="s">
        <v>124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 t="shared" ref="S58:T61" si="18">"22:09:19.000"</f>
        <v>22:09:19.000</v>
      </c>
      <c r="T58" t="str">
        <f t="shared" si="18"/>
        <v>22:09:19.000</v>
      </c>
      <c r="U58" t="str">
        <f t="shared" si="1"/>
        <v>A9D71F</v>
      </c>
      <c r="V58">
        <v>0</v>
      </c>
      <c r="W58">
        <v>0</v>
      </c>
      <c r="X58">
        <v>2</v>
      </c>
      <c r="Z58">
        <v>1</v>
      </c>
      <c r="AA58">
        <v>0</v>
      </c>
      <c r="AB58">
        <v>3</v>
      </c>
      <c r="AC58">
        <v>0</v>
      </c>
      <c r="AD58">
        <v>7</v>
      </c>
      <c r="AE58">
        <v>0</v>
      </c>
      <c r="AF58">
        <v>3</v>
      </c>
      <c r="AG58">
        <v>1</v>
      </c>
      <c r="AH58">
        <v>0</v>
      </c>
      <c r="AI58" t="s">
        <v>150</v>
      </c>
      <c r="AJ58">
        <v>33.182788000000002</v>
      </c>
      <c r="AK58" t="s">
        <v>151</v>
      </c>
      <c r="AL58">
        <v>-97.827715999999995</v>
      </c>
      <c r="AM58">
        <v>25</v>
      </c>
      <c r="AN58">
        <v>1300</v>
      </c>
      <c r="AZ58">
        <v>1200</v>
      </c>
      <c r="BA58">
        <v>1</v>
      </c>
      <c r="BB58" t="str">
        <f t="shared" si="10"/>
        <v xml:space="preserve">N733KP  </v>
      </c>
      <c r="BC58">
        <v>1</v>
      </c>
      <c r="BE58">
        <v>0</v>
      </c>
      <c r="BF58">
        <v>0</v>
      </c>
      <c r="BG58">
        <v>0</v>
      </c>
      <c r="BH58">
        <v>1200</v>
      </c>
      <c r="BI58">
        <v>1</v>
      </c>
      <c r="BJ58">
        <v>1</v>
      </c>
      <c r="BK58">
        <v>0</v>
      </c>
      <c r="BL58">
        <v>0</v>
      </c>
      <c r="BO58">
        <v>0</v>
      </c>
      <c r="BP58">
        <v>0</v>
      </c>
      <c r="BW58" t="str">
        <f>"22:09:19.698"</f>
        <v>22:09:19.698</v>
      </c>
      <c r="CJ58">
        <v>0</v>
      </c>
      <c r="CK58">
        <v>1</v>
      </c>
      <c r="CL58">
        <v>0</v>
      </c>
      <c r="CM58">
        <v>2</v>
      </c>
      <c r="CN58">
        <v>0</v>
      </c>
      <c r="CO58">
        <v>4</v>
      </c>
      <c r="CP58" t="s">
        <v>119</v>
      </c>
      <c r="CQ58">
        <v>364</v>
      </c>
      <c r="CR58">
        <v>0</v>
      </c>
      <c r="CW58">
        <v>1364810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1</v>
      </c>
      <c r="DG58">
        <v>1</v>
      </c>
      <c r="DH58">
        <v>0</v>
      </c>
      <c r="DI58">
        <v>0</v>
      </c>
    </row>
    <row r="59" spans="1:113" x14ac:dyDescent="0.3">
      <c r="A59" t="str">
        <f>"03/24/2022 22:09:19.935"</f>
        <v>03/24/2022 22:09:19.935</v>
      </c>
      <c r="C59" t="str">
        <f t="shared" si="8"/>
        <v>FFDFD3C0</v>
      </c>
      <c r="D59" t="s">
        <v>120</v>
      </c>
      <c r="E59">
        <v>14</v>
      </c>
      <c r="F59">
        <v>1014</v>
      </c>
      <c r="G59" t="s">
        <v>121</v>
      </c>
      <c r="J59" t="s">
        <v>122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si="18"/>
        <v>22:09:19.000</v>
      </c>
      <c r="T59" t="str">
        <f t="shared" si="18"/>
        <v>22:09:19.000</v>
      </c>
      <c r="U59" t="str">
        <f t="shared" si="1"/>
        <v>A9D71F</v>
      </c>
      <c r="V59">
        <v>0</v>
      </c>
      <c r="W59">
        <v>0</v>
      </c>
      <c r="X59">
        <v>2</v>
      </c>
      <c r="Z59">
        <v>1</v>
      </c>
      <c r="AA59">
        <v>0</v>
      </c>
      <c r="AB59">
        <v>3</v>
      </c>
      <c r="AC59">
        <v>0</v>
      </c>
      <c r="AD59">
        <v>7</v>
      </c>
      <c r="AE59">
        <v>0</v>
      </c>
      <c r="AF59">
        <v>3</v>
      </c>
      <c r="AG59">
        <v>1</v>
      </c>
      <c r="AH59">
        <v>0</v>
      </c>
      <c r="AI59" t="s">
        <v>150</v>
      </c>
      <c r="AJ59">
        <v>33.182788000000002</v>
      </c>
      <c r="AK59" t="s">
        <v>151</v>
      </c>
      <c r="AL59">
        <v>-97.827715999999995</v>
      </c>
      <c r="AM59">
        <v>25</v>
      </c>
      <c r="AN59">
        <v>1300</v>
      </c>
      <c r="AZ59">
        <v>1200</v>
      </c>
      <c r="BA59">
        <v>1</v>
      </c>
      <c r="BB59" t="str">
        <f t="shared" si="10"/>
        <v xml:space="preserve">N733KP  </v>
      </c>
      <c r="BC59">
        <v>1</v>
      </c>
      <c r="BE59">
        <v>0</v>
      </c>
      <c r="BF59">
        <v>0</v>
      </c>
      <c r="BG59">
        <v>0</v>
      </c>
      <c r="BH59">
        <v>1200</v>
      </c>
      <c r="BI59">
        <v>1</v>
      </c>
      <c r="BJ59">
        <v>1</v>
      </c>
      <c r="BK59">
        <v>0</v>
      </c>
      <c r="BL59">
        <v>0</v>
      </c>
      <c r="BO59">
        <v>0</v>
      </c>
      <c r="BP59">
        <v>0</v>
      </c>
      <c r="BW59" t="str">
        <f>"22:09:19.698"</f>
        <v>22:09:19.698</v>
      </c>
      <c r="CJ59">
        <v>0</v>
      </c>
      <c r="CK59">
        <v>1</v>
      </c>
      <c r="CL59">
        <v>0</v>
      </c>
      <c r="CM59">
        <v>2</v>
      </c>
      <c r="CN59">
        <v>0</v>
      </c>
      <c r="CO59">
        <v>4</v>
      </c>
      <c r="CP59" t="s">
        <v>119</v>
      </c>
      <c r="CQ59">
        <v>364</v>
      </c>
      <c r="CR59">
        <v>0</v>
      </c>
      <c r="CW59">
        <v>1364810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1</v>
      </c>
      <c r="DG59">
        <v>1</v>
      </c>
      <c r="DH59">
        <v>0</v>
      </c>
      <c r="DI59">
        <v>0</v>
      </c>
    </row>
    <row r="60" spans="1:113" x14ac:dyDescent="0.3">
      <c r="A60" t="str">
        <f>"03/24/2022 22:09:19.935"</f>
        <v>03/24/2022 22:09:19.935</v>
      </c>
      <c r="C60" t="str">
        <f t="shared" si="8"/>
        <v>FFDFD3C0</v>
      </c>
      <c r="D60" t="s">
        <v>113</v>
      </c>
      <c r="E60">
        <v>24</v>
      </c>
      <c r="F60">
        <v>2024</v>
      </c>
      <c r="G60" t="s">
        <v>114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si="18"/>
        <v>22:09:19.000</v>
      </c>
      <c r="T60" t="str">
        <f t="shared" si="18"/>
        <v>22:09:19.000</v>
      </c>
      <c r="U60" t="str">
        <f t="shared" si="1"/>
        <v>A9D71F</v>
      </c>
      <c r="V60">
        <v>0</v>
      </c>
      <c r="W60">
        <v>0</v>
      </c>
      <c r="X60">
        <v>2</v>
      </c>
      <c r="Z60">
        <v>1</v>
      </c>
      <c r="AA60">
        <v>0</v>
      </c>
      <c r="AB60">
        <v>3</v>
      </c>
      <c r="AC60">
        <v>0</v>
      </c>
      <c r="AD60">
        <v>7</v>
      </c>
      <c r="AE60">
        <v>0</v>
      </c>
      <c r="AF60">
        <v>3</v>
      </c>
      <c r="AG60">
        <v>1</v>
      </c>
      <c r="AH60">
        <v>0</v>
      </c>
      <c r="AI60" t="s">
        <v>150</v>
      </c>
      <c r="AJ60">
        <v>33.182788000000002</v>
      </c>
      <c r="AK60" t="s">
        <v>151</v>
      </c>
      <c r="AL60">
        <v>-97.827715999999995</v>
      </c>
      <c r="AM60">
        <v>25</v>
      </c>
      <c r="AN60">
        <v>1300</v>
      </c>
      <c r="AZ60">
        <v>1200</v>
      </c>
      <c r="BA60">
        <v>1</v>
      </c>
      <c r="BB60" t="str">
        <f t="shared" si="10"/>
        <v xml:space="preserve">N733KP  </v>
      </c>
      <c r="BC60">
        <v>1</v>
      </c>
      <c r="BE60">
        <v>0</v>
      </c>
      <c r="BF60">
        <v>0</v>
      </c>
      <c r="BG60">
        <v>0</v>
      </c>
      <c r="BH60">
        <v>1200</v>
      </c>
      <c r="BI60">
        <v>1</v>
      </c>
      <c r="BJ60">
        <v>1</v>
      </c>
      <c r="BK60">
        <v>0</v>
      </c>
      <c r="BL60">
        <v>0</v>
      </c>
      <c r="BO60">
        <v>0</v>
      </c>
      <c r="BP60">
        <v>0</v>
      </c>
      <c r="BW60" t="str">
        <f>"22:09:19.698"</f>
        <v>22:09:19.698</v>
      </c>
      <c r="CJ60">
        <v>0</v>
      </c>
      <c r="CK60">
        <v>1</v>
      </c>
      <c r="CL60">
        <v>0</v>
      </c>
      <c r="CM60">
        <v>2</v>
      </c>
      <c r="CN60">
        <v>0</v>
      </c>
      <c r="CO60">
        <v>4</v>
      </c>
      <c r="CP60" t="s">
        <v>119</v>
      </c>
      <c r="CQ60">
        <v>364</v>
      </c>
      <c r="CR60">
        <v>0</v>
      </c>
      <c r="CW60">
        <v>1364810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1</v>
      </c>
      <c r="DG60">
        <v>1</v>
      </c>
      <c r="DH60">
        <v>0</v>
      </c>
      <c r="DI60">
        <v>0</v>
      </c>
    </row>
    <row r="61" spans="1:113" x14ac:dyDescent="0.3">
      <c r="A61" t="str">
        <f>"03/24/2022 22:09:19.935"</f>
        <v>03/24/2022 22:09:19.935</v>
      </c>
      <c r="C61" t="str">
        <f t="shared" si="8"/>
        <v>FFDFD3C0</v>
      </c>
      <c r="D61" t="s">
        <v>126</v>
      </c>
      <c r="E61">
        <v>3</v>
      </c>
      <c r="H61">
        <v>160</v>
      </c>
      <c r="I61" t="s">
        <v>121</v>
      </c>
      <c r="J61" t="s">
        <v>127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si="18"/>
        <v>22:09:19.000</v>
      </c>
      <c r="T61" t="str">
        <f t="shared" si="18"/>
        <v>22:09:19.000</v>
      </c>
      <c r="U61" t="str">
        <f t="shared" si="1"/>
        <v>A9D71F</v>
      </c>
      <c r="V61">
        <v>0</v>
      </c>
      <c r="W61">
        <v>0</v>
      </c>
      <c r="X61">
        <v>2</v>
      </c>
      <c r="Z61">
        <v>1</v>
      </c>
      <c r="AA61">
        <v>0</v>
      </c>
      <c r="AB61">
        <v>3</v>
      </c>
      <c r="AC61">
        <v>0</v>
      </c>
      <c r="AD61">
        <v>7</v>
      </c>
      <c r="AE61">
        <v>0</v>
      </c>
      <c r="AF61">
        <v>3</v>
      </c>
      <c r="AG61">
        <v>1</v>
      </c>
      <c r="AH61">
        <v>0</v>
      </c>
      <c r="AI61" t="s">
        <v>150</v>
      </c>
      <c r="AJ61">
        <v>33.182788000000002</v>
      </c>
      <c r="AK61" t="s">
        <v>151</v>
      </c>
      <c r="AL61">
        <v>-97.827715999999995</v>
      </c>
      <c r="AM61">
        <v>25</v>
      </c>
      <c r="AN61">
        <v>1300</v>
      </c>
      <c r="AZ61">
        <v>1200</v>
      </c>
      <c r="BA61">
        <v>1</v>
      </c>
      <c r="BB61" t="str">
        <f t="shared" si="10"/>
        <v xml:space="preserve">N733KP  </v>
      </c>
      <c r="BC61">
        <v>1</v>
      </c>
      <c r="BE61">
        <v>0</v>
      </c>
      <c r="BF61">
        <v>0</v>
      </c>
      <c r="BG61">
        <v>0</v>
      </c>
      <c r="BH61">
        <v>1200</v>
      </c>
      <c r="BI61">
        <v>1</v>
      </c>
      <c r="BJ61">
        <v>1</v>
      </c>
      <c r="BK61">
        <v>0</v>
      </c>
      <c r="BL61">
        <v>0</v>
      </c>
      <c r="BO61">
        <v>0</v>
      </c>
      <c r="BP61">
        <v>0</v>
      </c>
      <c r="BW61" t="str">
        <f>"22:09:19.698"</f>
        <v>22:09:19.698</v>
      </c>
      <c r="CJ61">
        <v>0</v>
      </c>
      <c r="CK61">
        <v>1</v>
      </c>
      <c r="CL61">
        <v>0</v>
      </c>
      <c r="CM61">
        <v>2</v>
      </c>
      <c r="CN61">
        <v>0</v>
      </c>
      <c r="CO61">
        <v>4</v>
      </c>
      <c r="CP61" t="s">
        <v>119</v>
      </c>
      <c r="CQ61">
        <v>364</v>
      </c>
      <c r="CR61">
        <v>0</v>
      </c>
      <c r="CW61">
        <v>1364810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1</v>
      </c>
      <c r="DG61">
        <v>1</v>
      </c>
      <c r="DH61">
        <v>0</v>
      </c>
      <c r="DI61">
        <v>0</v>
      </c>
    </row>
    <row r="62" spans="1:113" x14ac:dyDescent="0.3">
      <c r="A62" t="str">
        <f>"03/24/2022 22:09:33.773"</f>
        <v>03/24/2022 22:09:33.773</v>
      </c>
      <c r="C62" t="str">
        <f t="shared" ref="C62:C85" si="19">"FFD7D3C0"</f>
        <v>FFD7D3C0</v>
      </c>
      <c r="D62" t="s">
        <v>126</v>
      </c>
      <c r="E62">
        <v>3</v>
      </c>
      <c r="H62">
        <v>160</v>
      </c>
      <c r="I62" t="s">
        <v>121</v>
      </c>
      <c r="J62" t="s">
        <v>127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ref="S62:T65" si="20">"22:09:33.000"</f>
        <v>22:09:33.000</v>
      </c>
      <c r="T62" t="str">
        <f t="shared" si="20"/>
        <v>22:09:33.000</v>
      </c>
      <c r="U62" t="str">
        <f t="shared" si="1"/>
        <v>A9D71F</v>
      </c>
      <c r="V62">
        <v>0</v>
      </c>
      <c r="W62">
        <v>0</v>
      </c>
      <c r="X62">
        <v>2</v>
      </c>
      <c r="Z62">
        <v>1</v>
      </c>
      <c r="AA62">
        <v>0</v>
      </c>
      <c r="AB62">
        <v>3</v>
      </c>
      <c r="AC62">
        <v>0</v>
      </c>
      <c r="AD62">
        <v>7</v>
      </c>
      <c r="AE62">
        <v>0</v>
      </c>
      <c r="AF62">
        <v>0</v>
      </c>
      <c r="AG62">
        <v>1</v>
      </c>
      <c r="AH62">
        <v>0</v>
      </c>
      <c r="AI62" t="s">
        <v>152</v>
      </c>
      <c r="AJ62">
        <v>33.187100999999998</v>
      </c>
      <c r="AK62" t="s">
        <v>153</v>
      </c>
      <c r="AL62">
        <v>-97.824303999999998</v>
      </c>
      <c r="AM62">
        <v>25</v>
      </c>
      <c r="AN62">
        <v>1400</v>
      </c>
      <c r="AO62" t="s">
        <v>118</v>
      </c>
      <c r="AP62">
        <v>68</v>
      </c>
      <c r="AQ62">
        <v>48</v>
      </c>
      <c r="AR62">
        <v>256</v>
      </c>
      <c r="AZ62">
        <v>1200</v>
      </c>
      <c r="BA62">
        <v>1</v>
      </c>
      <c r="BC62">
        <v>1</v>
      </c>
      <c r="BE62">
        <v>0</v>
      </c>
      <c r="BF62">
        <v>0</v>
      </c>
      <c r="BG62">
        <v>0</v>
      </c>
      <c r="BH62">
        <v>1375</v>
      </c>
      <c r="BI62">
        <v>1</v>
      </c>
      <c r="BJ62">
        <v>1</v>
      </c>
      <c r="BK62">
        <v>0</v>
      </c>
      <c r="BL62">
        <v>0</v>
      </c>
      <c r="BO62">
        <v>0</v>
      </c>
      <c r="BP62">
        <v>0</v>
      </c>
      <c r="BW62" t="str">
        <f>"22:09:33.538"</f>
        <v>22:09:33.538</v>
      </c>
      <c r="CJ62">
        <v>0</v>
      </c>
      <c r="CK62">
        <v>1</v>
      </c>
      <c r="CL62">
        <v>0</v>
      </c>
      <c r="CM62">
        <v>2</v>
      </c>
      <c r="CN62">
        <v>0</v>
      </c>
      <c r="CO62">
        <v>3</v>
      </c>
      <c r="CP62" t="s">
        <v>119</v>
      </c>
      <c r="CQ62">
        <v>364</v>
      </c>
      <c r="CR62">
        <v>0</v>
      </c>
      <c r="CW62">
        <v>1366652</v>
      </c>
      <c r="CY62">
        <v>1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1</v>
      </c>
      <c r="DG62">
        <v>1</v>
      </c>
      <c r="DH62">
        <v>0</v>
      </c>
      <c r="DI62">
        <v>0</v>
      </c>
    </row>
    <row r="63" spans="1:113" x14ac:dyDescent="0.3">
      <c r="A63" t="str">
        <f>"03/24/2022 22:09:33.773"</f>
        <v>03/24/2022 22:09:33.773</v>
      </c>
      <c r="C63" t="str">
        <f t="shared" si="19"/>
        <v>FFD7D3C0</v>
      </c>
      <c r="D63" t="s">
        <v>123</v>
      </c>
      <c r="E63">
        <v>8</v>
      </c>
      <c r="H63">
        <v>31</v>
      </c>
      <c r="I63" t="s">
        <v>124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si="20"/>
        <v>22:09:33.000</v>
      </c>
      <c r="T63" t="str">
        <f t="shared" si="20"/>
        <v>22:09:33.000</v>
      </c>
      <c r="U63" t="str">
        <f t="shared" si="1"/>
        <v>A9D71F</v>
      </c>
      <c r="V63">
        <v>0</v>
      </c>
      <c r="W63">
        <v>0</v>
      </c>
      <c r="X63">
        <v>2</v>
      </c>
      <c r="Z63">
        <v>1</v>
      </c>
      <c r="AA63">
        <v>0</v>
      </c>
      <c r="AB63">
        <v>3</v>
      </c>
      <c r="AC63">
        <v>0</v>
      </c>
      <c r="AD63">
        <v>7</v>
      </c>
      <c r="AE63">
        <v>0</v>
      </c>
      <c r="AF63">
        <v>0</v>
      </c>
      <c r="AG63">
        <v>1</v>
      </c>
      <c r="AH63">
        <v>0</v>
      </c>
      <c r="AI63" t="s">
        <v>152</v>
      </c>
      <c r="AJ63">
        <v>33.187100999999998</v>
      </c>
      <c r="AK63" t="s">
        <v>153</v>
      </c>
      <c r="AL63">
        <v>-97.824303999999998</v>
      </c>
      <c r="AM63">
        <v>25</v>
      </c>
      <c r="AN63">
        <v>1400</v>
      </c>
      <c r="AO63" t="s">
        <v>118</v>
      </c>
      <c r="AP63">
        <v>68</v>
      </c>
      <c r="AQ63">
        <v>48</v>
      </c>
      <c r="AR63">
        <v>256</v>
      </c>
      <c r="AZ63">
        <v>1200</v>
      </c>
      <c r="BA63">
        <v>1</v>
      </c>
      <c r="BC63">
        <v>1</v>
      </c>
      <c r="BE63">
        <v>0</v>
      </c>
      <c r="BF63">
        <v>0</v>
      </c>
      <c r="BG63">
        <v>0</v>
      </c>
      <c r="BH63">
        <v>1375</v>
      </c>
      <c r="BI63">
        <v>1</v>
      </c>
      <c r="BJ63">
        <v>1</v>
      </c>
      <c r="BK63">
        <v>0</v>
      </c>
      <c r="BL63">
        <v>0</v>
      </c>
      <c r="BO63">
        <v>0</v>
      </c>
      <c r="BP63">
        <v>0</v>
      </c>
      <c r="BW63" t="str">
        <f>"22:09:33.538"</f>
        <v>22:09:33.538</v>
      </c>
      <c r="CJ63">
        <v>0</v>
      </c>
      <c r="CK63">
        <v>1</v>
      </c>
      <c r="CL63">
        <v>0</v>
      </c>
      <c r="CM63">
        <v>2</v>
      </c>
      <c r="CN63">
        <v>0</v>
      </c>
      <c r="CO63">
        <v>3</v>
      </c>
      <c r="CP63" t="s">
        <v>119</v>
      </c>
      <c r="CQ63">
        <v>364</v>
      </c>
      <c r="CR63">
        <v>0</v>
      </c>
      <c r="CW63">
        <v>1366652</v>
      </c>
      <c r="CY63">
        <v>1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1</v>
      </c>
      <c r="DG63">
        <v>1</v>
      </c>
      <c r="DH63">
        <v>0</v>
      </c>
      <c r="DI63">
        <v>0</v>
      </c>
    </row>
    <row r="64" spans="1:113" x14ac:dyDescent="0.3">
      <c r="A64" t="str">
        <f>"03/24/2022 22:09:33.773"</f>
        <v>03/24/2022 22:09:33.773</v>
      </c>
      <c r="C64" t="str">
        <f t="shared" si="19"/>
        <v>FFD7D3C0</v>
      </c>
      <c r="D64" t="s">
        <v>113</v>
      </c>
      <c r="E64">
        <v>24</v>
      </c>
      <c r="F64">
        <v>2024</v>
      </c>
      <c r="G64" t="s">
        <v>114</v>
      </c>
      <c r="J64" t="s">
        <v>115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si="20"/>
        <v>22:09:33.000</v>
      </c>
      <c r="T64" t="str">
        <f t="shared" si="20"/>
        <v>22:09:33.000</v>
      </c>
      <c r="U64" t="str">
        <f t="shared" si="1"/>
        <v>A9D71F</v>
      </c>
      <c r="V64">
        <v>0</v>
      </c>
      <c r="W64">
        <v>0</v>
      </c>
      <c r="X64">
        <v>2</v>
      </c>
      <c r="Z64">
        <v>1</v>
      </c>
      <c r="AA64">
        <v>0</v>
      </c>
      <c r="AB64">
        <v>3</v>
      </c>
      <c r="AC64">
        <v>0</v>
      </c>
      <c r="AD64">
        <v>7</v>
      </c>
      <c r="AE64">
        <v>0</v>
      </c>
      <c r="AF64">
        <v>3</v>
      </c>
      <c r="AG64">
        <v>1</v>
      </c>
      <c r="AH64">
        <v>0</v>
      </c>
      <c r="AI64" t="s">
        <v>152</v>
      </c>
      <c r="AJ64">
        <v>33.187100999999998</v>
      </c>
      <c r="AK64" t="s">
        <v>153</v>
      </c>
      <c r="AL64">
        <v>-97.824303999999998</v>
      </c>
      <c r="AM64">
        <v>25</v>
      </c>
      <c r="AN64">
        <v>1400</v>
      </c>
      <c r="AO64" t="s">
        <v>118</v>
      </c>
      <c r="AP64">
        <v>68</v>
      </c>
      <c r="AQ64">
        <v>48</v>
      </c>
      <c r="AR64">
        <v>256</v>
      </c>
      <c r="AZ64">
        <v>1200</v>
      </c>
      <c r="BA64">
        <v>1</v>
      </c>
      <c r="BC64">
        <v>1</v>
      </c>
      <c r="BE64">
        <v>0</v>
      </c>
      <c r="BF64">
        <v>0</v>
      </c>
      <c r="BG64">
        <v>0</v>
      </c>
      <c r="BH64">
        <v>1375</v>
      </c>
      <c r="BI64">
        <v>1</v>
      </c>
      <c r="BJ64">
        <v>1</v>
      </c>
      <c r="BK64">
        <v>0</v>
      </c>
      <c r="BL64">
        <v>0</v>
      </c>
      <c r="BO64">
        <v>0</v>
      </c>
      <c r="BP64">
        <v>0</v>
      </c>
      <c r="BW64" t="str">
        <f>"22:09:33.538"</f>
        <v>22:09:33.538</v>
      </c>
      <c r="CJ64">
        <v>0</v>
      </c>
      <c r="CK64">
        <v>1</v>
      </c>
      <c r="CL64">
        <v>0</v>
      </c>
      <c r="CM64">
        <v>2</v>
      </c>
      <c r="CN64">
        <v>0</v>
      </c>
      <c r="CO64">
        <v>3</v>
      </c>
      <c r="CP64" t="s">
        <v>119</v>
      </c>
      <c r="CQ64">
        <v>364</v>
      </c>
      <c r="CR64">
        <v>0</v>
      </c>
      <c r="CW64">
        <v>1366652</v>
      </c>
      <c r="CY64">
        <v>1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1</v>
      </c>
      <c r="DG64">
        <v>1</v>
      </c>
      <c r="DH64">
        <v>0</v>
      </c>
      <c r="DI64">
        <v>0</v>
      </c>
    </row>
    <row r="65" spans="1:113" x14ac:dyDescent="0.3">
      <c r="A65" t="str">
        <f>"03/24/2022 22:09:33.773"</f>
        <v>03/24/2022 22:09:33.773</v>
      </c>
      <c r="C65" t="str">
        <f t="shared" si="19"/>
        <v>FFD7D3C0</v>
      </c>
      <c r="D65" t="s">
        <v>120</v>
      </c>
      <c r="E65">
        <v>14</v>
      </c>
      <c r="F65">
        <v>1014</v>
      </c>
      <c r="G65" t="s">
        <v>121</v>
      </c>
      <c r="J65" t="s">
        <v>122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si="20"/>
        <v>22:09:33.000</v>
      </c>
      <c r="T65" t="str">
        <f t="shared" si="20"/>
        <v>22:09:33.000</v>
      </c>
      <c r="U65" t="str">
        <f t="shared" si="1"/>
        <v>A9D71F</v>
      </c>
      <c r="V65">
        <v>0</v>
      </c>
      <c r="W65">
        <v>0</v>
      </c>
      <c r="X65">
        <v>2</v>
      </c>
      <c r="Z65">
        <v>1</v>
      </c>
      <c r="AA65">
        <v>0</v>
      </c>
      <c r="AB65">
        <v>3</v>
      </c>
      <c r="AC65">
        <v>0</v>
      </c>
      <c r="AD65">
        <v>7</v>
      </c>
      <c r="AE65">
        <v>0</v>
      </c>
      <c r="AF65">
        <v>3</v>
      </c>
      <c r="AG65">
        <v>1</v>
      </c>
      <c r="AH65">
        <v>0</v>
      </c>
      <c r="AI65" t="s">
        <v>152</v>
      </c>
      <c r="AJ65">
        <v>33.187100999999998</v>
      </c>
      <c r="AK65" t="s">
        <v>153</v>
      </c>
      <c r="AL65">
        <v>-97.824303999999998</v>
      </c>
      <c r="AM65">
        <v>25</v>
      </c>
      <c r="AN65">
        <v>1400</v>
      </c>
      <c r="AO65" t="s">
        <v>118</v>
      </c>
      <c r="AP65">
        <v>68</v>
      </c>
      <c r="AQ65">
        <v>48</v>
      </c>
      <c r="AR65">
        <v>256</v>
      </c>
      <c r="AZ65">
        <v>1200</v>
      </c>
      <c r="BA65">
        <v>1</v>
      </c>
      <c r="BC65">
        <v>1</v>
      </c>
      <c r="BE65">
        <v>0</v>
      </c>
      <c r="BF65">
        <v>0</v>
      </c>
      <c r="BG65">
        <v>0</v>
      </c>
      <c r="BH65">
        <v>1375</v>
      </c>
      <c r="BI65">
        <v>1</v>
      </c>
      <c r="BJ65">
        <v>1</v>
      </c>
      <c r="BK65">
        <v>0</v>
      </c>
      <c r="BL65">
        <v>0</v>
      </c>
      <c r="BO65">
        <v>0</v>
      </c>
      <c r="BP65">
        <v>0</v>
      </c>
      <c r="BW65" t="str">
        <f>"22:09:33.538"</f>
        <v>22:09:33.538</v>
      </c>
      <c r="CJ65">
        <v>0</v>
      </c>
      <c r="CK65">
        <v>1</v>
      </c>
      <c r="CL65">
        <v>0</v>
      </c>
      <c r="CM65">
        <v>2</v>
      </c>
      <c r="CN65">
        <v>0</v>
      </c>
      <c r="CO65">
        <v>3</v>
      </c>
      <c r="CP65" t="s">
        <v>119</v>
      </c>
      <c r="CQ65">
        <v>364</v>
      </c>
      <c r="CR65">
        <v>0</v>
      </c>
      <c r="CW65">
        <v>1366652</v>
      </c>
      <c r="CY65">
        <v>1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1</v>
      </c>
      <c r="DG65">
        <v>1</v>
      </c>
      <c r="DH65">
        <v>0</v>
      </c>
      <c r="DI65">
        <v>0</v>
      </c>
    </row>
    <row r="66" spans="1:113" x14ac:dyDescent="0.3">
      <c r="A66" t="str">
        <f>"03/24/2022 22:09:34.727"</f>
        <v>03/24/2022 22:09:34.727</v>
      </c>
      <c r="C66" t="str">
        <f t="shared" si="19"/>
        <v>FFD7D3C0</v>
      </c>
      <c r="D66" t="s">
        <v>123</v>
      </c>
      <c r="E66">
        <v>8</v>
      </c>
      <c r="H66">
        <v>31</v>
      </c>
      <c r="I66" t="s">
        <v>124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ref="S66:T69" si="21">"22:09:34.000"</f>
        <v>22:09:34.000</v>
      </c>
      <c r="T66" t="str">
        <f t="shared" si="21"/>
        <v>22:09:34.000</v>
      </c>
      <c r="U66" t="str">
        <f t="shared" ref="U66:U129" si="22">"A9D71F"</f>
        <v>A9D71F</v>
      </c>
      <c r="V66">
        <v>0</v>
      </c>
      <c r="W66">
        <v>0</v>
      </c>
      <c r="X66">
        <v>2</v>
      </c>
      <c r="Z66">
        <v>1</v>
      </c>
      <c r="AA66">
        <v>0</v>
      </c>
      <c r="AB66">
        <v>3</v>
      </c>
      <c r="AC66">
        <v>0</v>
      </c>
      <c r="AD66">
        <v>9</v>
      </c>
      <c r="AE66">
        <v>0</v>
      </c>
      <c r="AF66">
        <v>0</v>
      </c>
      <c r="AG66">
        <v>1</v>
      </c>
      <c r="AH66">
        <v>0</v>
      </c>
      <c r="AI66" t="s">
        <v>154</v>
      </c>
      <c r="AJ66">
        <v>33.187401000000001</v>
      </c>
      <c r="AK66" t="s">
        <v>155</v>
      </c>
      <c r="AL66">
        <v>-97.823938999999996</v>
      </c>
      <c r="AM66">
        <v>25</v>
      </c>
      <c r="AN66">
        <v>1400</v>
      </c>
      <c r="AO66" t="s">
        <v>118</v>
      </c>
      <c r="AP66">
        <v>70</v>
      </c>
      <c r="AQ66">
        <v>46</v>
      </c>
      <c r="AR66">
        <v>384</v>
      </c>
      <c r="AZ66">
        <v>1200</v>
      </c>
      <c r="BA66">
        <v>1</v>
      </c>
      <c r="BC66">
        <v>1</v>
      </c>
      <c r="BE66">
        <v>0</v>
      </c>
      <c r="BF66">
        <v>0</v>
      </c>
      <c r="BG66">
        <v>0</v>
      </c>
      <c r="BH66">
        <v>1375</v>
      </c>
      <c r="BI66">
        <v>1</v>
      </c>
      <c r="BJ66">
        <v>1</v>
      </c>
      <c r="BK66">
        <v>0</v>
      </c>
      <c r="BL66">
        <v>0</v>
      </c>
      <c r="BO66">
        <v>0</v>
      </c>
      <c r="BP66">
        <v>0</v>
      </c>
      <c r="BW66" t="str">
        <f>"22:09:34.552"</f>
        <v>22:09:34.552</v>
      </c>
      <c r="CJ66">
        <v>0</v>
      </c>
      <c r="CK66">
        <v>1</v>
      </c>
      <c r="CL66">
        <v>0</v>
      </c>
      <c r="CM66">
        <v>2</v>
      </c>
      <c r="CN66">
        <v>0</v>
      </c>
      <c r="CO66">
        <v>5</v>
      </c>
      <c r="CP66" t="s">
        <v>119</v>
      </c>
      <c r="CQ66">
        <v>364</v>
      </c>
      <c r="CR66">
        <v>0</v>
      </c>
      <c r="CW66">
        <v>1366784</v>
      </c>
      <c r="CY66">
        <v>1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1</v>
      </c>
      <c r="DG66">
        <v>1</v>
      </c>
      <c r="DH66">
        <v>0</v>
      </c>
      <c r="DI66">
        <v>0</v>
      </c>
    </row>
    <row r="67" spans="1:113" x14ac:dyDescent="0.3">
      <c r="A67" t="str">
        <f>"03/24/2022 22:09:34.742"</f>
        <v>03/24/2022 22:09:34.742</v>
      </c>
      <c r="C67" t="str">
        <f t="shared" si="19"/>
        <v>FFD7D3C0</v>
      </c>
      <c r="D67" t="s">
        <v>113</v>
      </c>
      <c r="E67">
        <v>24</v>
      </c>
      <c r="F67">
        <v>2024</v>
      </c>
      <c r="G67" t="s">
        <v>114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si="21"/>
        <v>22:09:34.000</v>
      </c>
      <c r="T67" t="str">
        <f t="shared" si="21"/>
        <v>22:09:34.000</v>
      </c>
      <c r="U67" t="str">
        <f t="shared" si="22"/>
        <v>A9D71F</v>
      </c>
      <c r="V67">
        <v>0</v>
      </c>
      <c r="W67">
        <v>0</v>
      </c>
      <c r="X67">
        <v>2</v>
      </c>
      <c r="Z67">
        <v>1</v>
      </c>
      <c r="AA67">
        <v>0</v>
      </c>
      <c r="AB67">
        <v>3</v>
      </c>
      <c r="AC67">
        <v>0</v>
      </c>
      <c r="AD67">
        <v>9</v>
      </c>
      <c r="AE67">
        <v>0</v>
      </c>
      <c r="AF67">
        <v>0</v>
      </c>
      <c r="AG67">
        <v>1</v>
      </c>
      <c r="AH67">
        <v>0</v>
      </c>
      <c r="AI67" t="s">
        <v>154</v>
      </c>
      <c r="AJ67">
        <v>33.187401000000001</v>
      </c>
      <c r="AK67" t="s">
        <v>155</v>
      </c>
      <c r="AL67">
        <v>-97.823938999999996</v>
      </c>
      <c r="AM67">
        <v>25</v>
      </c>
      <c r="AN67">
        <v>1400</v>
      </c>
      <c r="AO67" t="s">
        <v>118</v>
      </c>
      <c r="AP67">
        <v>70</v>
      </c>
      <c r="AQ67">
        <v>46</v>
      </c>
      <c r="AR67">
        <v>384</v>
      </c>
      <c r="AZ67">
        <v>1200</v>
      </c>
      <c r="BA67">
        <v>1</v>
      </c>
      <c r="BC67">
        <v>1</v>
      </c>
      <c r="BE67">
        <v>0</v>
      </c>
      <c r="BF67">
        <v>0</v>
      </c>
      <c r="BG67">
        <v>0</v>
      </c>
      <c r="BH67">
        <v>1375</v>
      </c>
      <c r="BI67">
        <v>1</v>
      </c>
      <c r="BJ67">
        <v>1</v>
      </c>
      <c r="BK67">
        <v>0</v>
      </c>
      <c r="BL67">
        <v>0</v>
      </c>
      <c r="BO67">
        <v>0</v>
      </c>
      <c r="BP67">
        <v>0</v>
      </c>
      <c r="BW67" t="str">
        <f>"22:09:34.552"</f>
        <v>22:09:34.552</v>
      </c>
      <c r="CJ67">
        <v>0</v>
      </c>
      <c r="CK67">
        <v>1</v>
      </c>
      <c r="CL67">
        <v>0</v>
      </c>
      <c r="CM67">
        <v>2</v>
      </c>
      <c r="CN67">
        <v>0</v>
      </c>
      <c r="CO67">
        <v>5</v>
      </c>
      <c r="CP67" t="s">
        <v>119</v>
      </c>
      <c r="CQ67">
        <v>364</v>
      </c>
      <c r="CR67">
        <v>0</v>
      </c>
      <c r="CW67">
        <v>1366784</v>
      </c>
      <c r="CY67">
        <v>1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1</v>
      </c>
      <c r="DG67">
        <v>1</v>
      </c>
      <c r="DH67">
        <v>0</v>
      </c>
      <c r="DI67">
        <v>0</v>
      </c>
    </row>
    <row r="68" spans="1:113" x14ac:dyDescent="0.3">
      <c r="A68" t="str">
        <f>"03/24/2022 22:09:34.742"</f>
        <v>03/24/2022 22:09:34.742</v>
      </c>
      <c r="C68" t="str">
        <f t="shared" si="19"/>
        <v>FFD7D3C0</v>
      </c>
      <c r="D68" t="s">
        <v>120</v>
      </c>
      <c r="E68">
        <v>14</v>
      </c>
      <c r="F68">
        <v>1014</v>
      </c>
      <c r="G68" t="s">
        <v>121</v>
      </c>
      <c r="J68" t="s">
        <v>122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si="21"/>
        <v>22:09:34.000</v>
      </c>
      <c r="T68" t="str">
        <f t="shared" si="21"/>
        <v>22:09:34.000</v>
      </c>
      <c r="U68" t="str">
        <f t="shared" si="22"/>
        <v>A9D71F</v>
      </c>
      <c r="V68">
        <v>0</v>
      </c>
      <c r="W68">
        <v>0</v>
      </c>
      <c r="X68">
        <v>2</v>
      </c>
      <c r="Z68">
        <v>1</v>
      </c>
      <c r="AA68">
        <v>0</v>
      </c>
      <c r="AB68">
        <v>3</v>
      </c>
      <c r="AC68">
        <v>0</v>
      </c>
      <c r="AD68">
        <v>9</v>
      </c>
      <c r="AE68">
        <v>0</v>
      </c>
      <c r="AF68">
        <v>0</v>
      </c>
      <c r="AG68">
        <v>1</v>
      </c>
      <c r="AH68">
        <v>0</v>
      </c>
      <c r="AI68" t="s">
        <v>154</v>
      </c>
      <c r="AJ68">
        <v>33.187401000000001</v>
      </c>
      <c r="AK68" t="s">
        <v>155</v>
      </c>
      <c r="AL68">
        <v>-97.823938999999996</v>
      </c>
      <c r="AM68">
        <v>25</v>
      </c>
      <c r="AN68">
        <v>1400</v>
      </c>
      <c r="AO68" t="s">
        <v>118</v>
      </c>
      <c r="AP68">
        <v>70</v>
      </c>
      <c r="AQ68">
        <v>46</v>
      </c>
      <c r="AR68">
        <v>384</v>
      </c>
      <c r="AZ68">
        <v>1200</v>
      </c>
      <c r="BA68">
        <v>1</v>
      </c>
      <c r="BC68">
        <v>1</v>
      </c>
      <c r="BE68">
        <v>0</v>
      </c>
      <c r="BF68">
        <v>0</v>
      </c>
      <c r="BG68">
        <v>0</v>
      </c>
      <c r="BH68">
        <v>1375</v>
      </c>
      <c r="BI68">
        <v>1</v>
      </c>
      <c r="BJ68">
        <v>1</v>
      </c>
      <c r="BK68">
        <v>0</v>
      </c>
      <c r="BL68">
        <v>0</v>
      </c>
      <c r="BO68">
        <v>0</v>
      </c>
      <c r="BP68">
        <v>0</v>
      </c>
      <c r="BW68" t="str">
        <f>"22:09:34.552"</f>
        <v>22:09:34.552</v>
      </c>
      <c r="CJ68">
        <v>0</v>
      </c>
      <c r="CK68">
        <v>1</v>
      </c>
      <c r="CL68">
        <v>0</v>
      </c>
      <c r="CM68">
        <v>2</v>
      </c>
      <c r="CN68">
        <v>0</v>
      </c>
      <c r="CO68">
        <v>5</v>
      </c>
      <c r="CP68" t="s">
        <v>119</v>
      </c>
      <c r="CQ68">
        <v>364</v>
      </c>
      <c r="CR68">
        <v>0</v>
      </c>
      <c r="CW68">
        <v>1366784</v>
      </c>
      <c r="CY68">
        <v>1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1</v>
      </c>
      <c r="DG68">
        <v>1</v>
      </c>
      <c r="DH68">
        <v>0</v>
      </c>
      <c r="DI68">
        <v>0</v>
      </c>
    </row>
    <row r="69" spans="1:113" x14ac:dyDescent="0.3">
      <c r="A69" t="str">
        <f>"03/24/2022 22:09:34.758"</f>
        <v>03/24/2022 22:09:34.758</v>
      </c>
      <c r="C69" t="str">
        <f t="shared" si="19"/>
        <v>FFD7D3C0</v>
      </c>
      <c r="D69" t="s">
        <v>126</v>
      </c>
      <c r="E69">
        <v>3</v>
      </c>
      <c r="H69">
        <v>160</v>
      </c>
      <c r="I69" t="s">
        <v>121</v>
      </c>
      <c r="J69" t="s">
        <v>127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si="21"/>
        <v>22:09:34.000</v>
      </c>
      <c r="T69" t="str">
        <f t="shared" si="21"/>
        <v>22:09:34.000</v>
      </c>
      <c r="U69" t="str">
        <f t="shared" si="22"/>
        <v>A9D71F</v>
      </c>
      <c r="V69">
        <v>0</v>
      </c>
      <c r="W69">
        <v>0</v>
      </c>
      <c r="X69">
        <v>2</v>
      </c>
      <c r="Z69">
        <v>1</v>
      </c>
      <c r="AA69">
        <v>0</v>
      </c>
      <c r="AB69">
        <v>3</v>
      </c>
      <c r="AC69">
        <v>0</v>
      </c>
      <c r="AD69">
        <v>9</v>
      </c>
      <c r="AE69">
        <v>0</v>
      </c>
      <c r="AF69">
        <v>0</v>
      </c>
      <c r="AG69">
        <v>1</v>
      </c>
      <c r="AH69">
        <v>0</v>
      </c>
      <c r="AI69" t="s">
        <v>154</v>
      </c>
      <c r="AJ69">
        <v>33.187401000000001</v>
      </c>
      <c r="AK69" t="s">
        <v>155</v>
      </c>
      <c r="AL69">
        <v>-97.823938999999996</v>
      </c>
      <c r="AM69">
        <v>25</v>
      </c>
      <c r="AN69">
        <v>1400</v>
      </c>
      <c r="AO69" t="s">
        <v>118</v>
      </c>
      <c r="AP69">
        <v>70</v>
      </c>
      <c r="AQ69">
        <v>46</v>
      </c>
      <c r="AR69">
        <v>384</v>
      </c>
      <c r="AZ69">
        <v>1200</v>
      </c>
      <c r="BA69">
        <v>1</v>
      </c>
      <c r="BC69">
        <v>1</v>
      </c>
      <c r="BE69">
        <v>0</v>
      </c>
      <c r="BF69">
        <v>0</v>
      </c>
      <c r="BG69">
        <v>0</v>
      </c>
      <c r="BH69">
        <v>1375</v>
      </c>
      <c r="BI69">
        <v>1</v>
      </c>
      <c r="BJ69">
        <v>1</v>
      </c>
      <c r="BK69">
        <v>0</v>
      </c>
      <c r="BL69">
        <v>0</v>
      </c>
      <c r="BO69">
        <v>0</v>
      </c>
      <c r="BP69">
        <v>0</v>
      </c>
      <c r="BW69" t="str">
        <f>"22:09:34.552"</f>
        <v>22:09:34.552</v>
      </c>
      <c r="CJ69">
        <v>0</v>
      </c>
      <c r="CK69">
        <v>1</v>
      </c>
      <c r="CL69">
        <v>0</v>
      </c>
      <c r="CM69">
        <v>2</v>
      </c>
      <c r="CN69">
        <v>0</v>
      </c>
      <c r="CO69">
        <v>5</v>
      </c>
      <c r="CP69" t="s">
        <v>119</v>
      </c>
      <c r="CQ69">
        <v>364</v>
      </c>
      <c r="CR69">
        <v>0</v>
      </c>
      <c r="CW69">
        <v>1366784</v>
      </c>
      <c r="CY69">
        <v>1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1</v>
      </c>
      <c r="DG69">
        <v>1</v>
      </c>
      <c r="DH69">
        <v>0</v>
      </c>
      <c r="DI69">
        <v>0</v>
      </c>
    </row>
    <row r="70" spans="1:113" x14ac:dyDescent="0.3">
      <c r="A70" t="str">
        <f>"03/24/2022 22:09:35.524"</f>
        <v>03/24/2022 22:09:35.524</v>
      </c>
      <c r="C70" t="str">
        <f t="shared" si="19"/>
        <v>FFD7D3C0</v>
      </c>
      <c r="D70" t="s">
        <v>126</v>
      </c>
      <c r="E70">
        <v>3</v>
      </c>
      <c r="H70">
        <v>160</v>
      </c>
      <c r="I70" t="s">
        <v>121</v>
      </c>
      <c r="J70" t="s">
        <v>127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ref="S70:T73" si="23">"22:09:35.000"</f>
        <v>22:09:35.000</v>
      </c>
      <c r="T70" t="str">
        <f t="shared" si="23"/>
        <v>22:09:35.000</v>
      </c>
      <c r="U70" t="str">
        <f t="shared" si="22"/>
        <v>A9D71F</v>
      </c>
      <c r="V70">
        <v>0</v>
      </c>
      <c r="W70">
        <v>0</v>
      </c>
      <c r="X70">
        <v>2</v>
      </c>
      <c r="Z70">
        <v>1</v>
      </c>
      <c r="AA70">
        <v>0</v>
      </c>
      <c r="AB70">
        <v>3</v>
      </c>
      <c r="AC70">
        <v>0</v>
      </c>
      <c r="AD70">
        <v>9</v>
      </c>
      <c r="AE70">
        <v>0</v>
      </c>
      <c r="AF70">
        <v>3</v>
      </c>
      <c r="AG70">
        <v>1</v>
      </c>
      <c r="AH70">
        <v>0</v>
      </c>
      <c r="AI70" t="s">
        <v>156</v>
      </c>
      <c r="AJ70">
        <v>33.187593999999997</v>
      </c>
      <c r="AK70" t="s">
        <v>157</v>
      </c>
      <c r="AL70">
        <v>-97.823575000000005</v>
      </c>
      <c r="AM70">
        <v>25</v>
      </c>
      <c r="AN70">
        <v>1400</v>
      </c>
      <c r="AO70" t="s">
        <v>118</v>
      </c>
      <c r="AP70">
        <v>73</v>
      </c>
      <c r="AQ70">
        <v>44</v>
      </c>
      <c r="AR70">
        <v>512</v>
      </c>
      <c r="AZ70">
        <v>1200</v>
      </c>
      <c r="BA70">
        <v>1</v>
      </c>
      <c r="BC70">
        <v>1</v>
      </c>
      <c r="BE70">
        <v>0</v>
      </c>
      <c r="BF70">
        <v>0</v>
      </c>
      <c r="BG70">
        <v>0</v>
      </c>
      <c r="BH70">
        <v>1375</v>
      </c>
      <c r="BI70">
        <v>1</v>
      </c>
      <c r="BJ70">
        <v>1</v>
      </c>
      <c r="BK70">
        <v>0</v>
      </c>
      <c r="BL70">
        <v>0</v>
      </c>
      <c r="BO70">
        <v>0</v>
      </c>
      <c r="BP70">
        <v>0</v>
      </c>
      <c r="BW70" t="str">
        <f>"22:09:35.360"</f>
        <v>22:09:35.360</v>
      </c>
      <c r="CJ70">
        <v>0</v>
      </c>
      <c r="CK70">
        <v>1</v>
      </c>
      <c r="CL70">
        <v>0</v>
      </c>
      <c r="CM70">
        <v>2</v>
      </c>
      <c r="CN70">
        <v>0</v>
      </c>
      <c r="CO70">
        <v>5</v>
      </c>
      <c r="CP70" t="s">
        <v>119</v>
      </c>
      <c r="CQ70">
        <v>364</v>
      </c>
      <c r="CR70">
        <v>0</v>
      </c>
      <c r="CW70">
        <v>1366896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1</v>
      </c>
      <c r="DG70">
        <v>1</v>
      </c>
      <c r="DH70">
        <v>0</v>
      </c>
      <c r="DI70">
        <v>0</v>
      </c>
    </row>
    <row r="71" spans="1:113" x14ac:dyDescent="0.3">
      <c r="A71" t="str">
        <f>"03/24/2022 22:09:35.524"</f>
        <v>03/24/2022 22:09:35.524</v>
      </c>
      <c r="C71" t="str">
        <f t="shared" si="19"/>
        <v>FFD7D3C0</v>
      </c>
      <c r="D71" t="s">
        <v>123</v>
      </c>
      <c r="E71">
        <v>8</v>
      </c>
      <c r="H71">
        <v>31</v>
      </c>
      <c r="I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si="23"/>
        <v>22:09:35.000</v>
      </c>
      <c r="T71" t="str">
        <f t="shared" si="23"/>
        <v>22:09:35.000</v>
      </c>
      <c r="U71" t="str">
        <f t="shared" si="22"/>
        <v>A9D71F</v>
      </c>
      <c r="V71">
        <v>0</v>
      </c>
      <c r="W71">
        <v>0</v>
      </c>
      <c r="X71">
        <v>2</v>
      </c>
      <c r="Z71">
        <v>1</v>
      </c>
      <c r="AA71">
        <v>0</v>
      </c>
      <c r="AB71">
        <v>3</v>
      </c>
      <c r="AC71">
        <v>0</v>
      </c>
      <c r="AD71">
        <v>9</v>
      </c>
      <c r="AE71">
        <v>0</v>
      </c>
      <c r="AF71">
        <v>3</v>
      </c>
      <c r="AG71">
        <v>1</v>
      </c>
      <c r="AH71">
        <v>0</v>
      </c>
      <c r="AI71" t="s">
        <v>156</v>
      </c>
      <c r="AJ71">
        <v>33.187593999999997</v>
      </c>
      <c r="AK71" t="s">
        <v>157</v>
      </c>
      <c r="AL71">
        <v>-97.823575000000005</v>
      </c>
      <c r="AM71">
        <v>25</v>
      </c>
      <c r="AN71">
        <v>1400</v>
      </c>
      <c r="AO71" t="s">
        <v>118</v>
      </c>
      <c r="AP71">
        <v>73</v>
      </c>
      <c r="AQ71">
        <v>44</v>
      </c>
      <c r="AR71">
        <v>512</v>
      </c>
      <c r="AZ71">
        <v>1200</v>
      </c>
      <c r="BA71">
        <v>1</v>
      </c>
      <c r="BC71">
        <v>1</v>
      </c>
      <c r="BE71">
        <v>0</v>
      </c>
      <c r="BF71">
        <v>0</v>
      </c>
      <c r="BG71">
        <v>0</v>
      </c>
      <c r="BH71">
        <v>1375</v>
      </c>
      <c r="BI71">
        <v>1</v>
      </c>
      <c r="BJ71">
        <v>1</v>
      </c>
      <c r="BK71">
        <v>0</v>
      </c>
      <c r="BL71">
        <v>0</v>
      </c>
      <c r="BO71">
        <v>0</v>
      </c>
      <c r="BP71">
        <v>0</v>
      </c>
      <c r="BW71" t="str">
        <f>"22:09:35.360"</f>
        <v>22:09:35.360</v>
      </c>
      <c r="CJ71">
        <v>0</v>
      </c>
      <c r="CK71">
        <v>1</v>
      </c>
      <c r="CL71">
        <v>0</v>
      </c>
      <c r="CM71">
        <v>2</v>
      </c>
      <c r="CN71">
        <v>0</v>
      </c>
      <c r="CO71">
        <v>5</v>
      </c>
      <c r="CP71" t="s">
        <v>119</v>
      </c>
      <c r="CQ71">
        <v>364</v>
      </c>
      <c r="CR71">
        <v>0</v>
      </c>
      <c r="CW71">
        <v>1366896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1</v>
      </c>
      <c r="DG71">
        <v>1</v>
      </c>
      <c r="DH71">
        <v>0</v>
      </c>
      <c r="DI71">
        <v>0</v>
      </c>
    </row>
    <row r="72" spans="1:113" x14ac:dyDescent="0.3">
      <c r="A72" t="str">
        <f>"03/24/2022 22:09:35.555"</f>
        <v>03/24/2022 22:09:35.555</v>
      </c>
      <c r="C72" t="str">
        <f t="shared" si="19"/>
        <v>FFD7D3C0</v>
      </c>
      <c r="D72" t="s">
        <v>113</v>
      </c>
      <c r="E72">
        <v>24</v>
      </c>
      <c r="F72">
        <v>2024</v>
      </c>
      <c r="G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si="23"/>
        <v>22:09:35.000</v>
      </c>
      <c r="T72" t="str">
        <f t="shared" si="23"/>
        <v>22:09:35.000</v>
      </c>
      <c r="U72" t="str">
        <f t="shared" si="22"/>
        <v>A9D71F</v>
      </c>
      <c r="V72">
        <v>0</v>
      </c>
      <c r="W72">
        <v>0</v>
      </c>
      <c r="X72">
        <v>2</v>
      </c>
      <c r="Z72">
        <v>1</v>
      </c>
      <c r="AA72">
        <v>0</v>
      </c>
      <c r="AB72">
        <v>3</v>
      </c>
      <c r="AC72">
        <v>0</v>
      </c>
      <c r="AD72">
        <v>9</v>
      </c>
      <c r="AE72">
        <v>0</v>
      </c>
      <c r="AF72">
        <v>3</v>
      </c>
      <c r="AG72">
        <v>1</v>
      </c>
      <c r="AH72">
        <v>0</v>
      </c>
      <c r="AI72" t="s">
        <v>156</v>
      </c>
      <c r="AJ72">
        <v>33.187593999999997</v>
      </c>
      <c r="AK72" t="s">
        <v>157</v>
      </c>
      <c r="AL72">
        <v>-97.823575000000005</v>
      </c>
      <c r="AM72">
        <v>25</v>
      </c>
      <c r="AN72">
        <v>1400</v>
      </c>
      <c r="AO72" t="s">
        <v>118</v>
      </c>
      <c r="AP72">
        <v>73</v>
      </c>
      <c r="AQ72">
        <v>44</v>
      </c>
      <c r="AR72">
        <v>512</v>
      </c>
      <c r="AZ72">
        <v>1200</v>
      </c>
      <c r="BA72">
        <v>1</v>
      </c>
      <c r="BC72">
        <v>1</v>
      </c>
      <c r="BE72">
        <v>0</v>
      </c>
      <c r="BF72">
        <v>0</v>
      </c>
      <c r="BG72">
        <v>0</v>
      </c>
      <c r="BH72">
        <v>1375</v>
      </c>
      <c r="BI72">
        <v>1</v>
      </c>
      <c r="BJ72">
        <v>1</v>
      </c>
      <c r="BK72">
        <v>0</v>
      </c>
      <c r="BL72">
        <v>0</v>
      </c>
      <c r="BO72">
        <v>0</v>
      </c>
      <c r="BP72">
        <v>0</v>
      </c>
      <c r="BW72" t="str">
        <f>"22:09:35.360"</f>
        <v>22:09:35.360</v>
      </c>
      <c r="CJ72">
        <v>0</v>
      </c>
      <c r="CK72">
        <v>1</v>
      </c>
      <c r="CL72">
        <v>0</v>
      </c>
      <c r="CM72">
        <v>2</v>
      </c>
      <c r="CN72">
        <v>0</v>
      </c>
      <c r="CO72">
        <v>5</v>
      </c>
      <c r="CP72" t="s">
        <v>119</v>
      </c>
      <c r="CQ72">
        <v>364</v>
      </c>
      <c r="CR72">
        <v>0</v>
      </c>
      <c r="CW72">
        <v>1366896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1</v>
      </c>
      <c r="DG72">
        <v>1</v>
      </c>
      <c r="DH72">
        <v>0</v>
      </c>
      <c r="DI72">
        <v>0</v>
      </c>
    </row>
    <row r="73" spans="1:113" x14ac:dyDescent="0.3">
      <c r="A73" t="str">
        <f>"03/24/2022 22:09:35.555"</f>
        <v>03/24/2022 22:09:35.555</v>
      </c>
      <c r="C73" t="str">
        <f t="shared" si="19"/>
        <v>FFD7D3C0</v>
      </c>
      <c r="D73" t="s">
        <v>120</v>
      </c>
      <c r="E73">
        <v>14</v>
      </c>
      <c r="F73">
        <v>1014</v>
      </c>
      <c r="G73" t="s">
        <v>121</v>
      </c>
      <c r="J73" t="s">
        <v>122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si="23"/>
        <v>22:09:35.000</v>
      </c>
      <c r="T73" t="str">
        <f t="shared" si="23"/>
        <v>22:09:35.000</v>
      </c>
      <c r="U73" t="str">
        <f t="shared" si="22"/>
        <v>A9D71F</v>
      </c>
      <c r="V73">
        <v>0</v>
      </c>
      <c r="W73">
        <v>0</v>
      </c>
      <c r="X73">
        <v>2</v>
      </c>
      <c r="Z73">
        <v>1</v>
      </c>
      <c r="AA73">
        <v>0</v>
      </c>
      <c r="AB73">
        <v>3</v>
      </c>
      <c r="AC73">
        <v>0</v>
      </c>
      <c r="AD73">
        <v>9</v>
      </c>
      <c r="AE73">
        <v>0</v>
      </c>
      <c r="AF73">
        <v>3</v>
      </c>
      <c r="AG73">
        <v>1</v>
      </c>
      <c r="AH73">
        <v>0</v>
      </c>
      <c r="AI73" t="s">
        <v>156</v>
      </c>
      <c r="AJ73">
        <v>33.187593999999997</v>
      </c>
      <c r="AK73" t="s">
        <v>157</v>
      </c>
      <c r="AL73">
        <v>-97.823575000000005</v>
      </c>
      <c r="AM73">
        <v>25</v>
      </c>
      <c r="AN73">
        <v>1400</v>
      </c>
      <c r="AO73" t="s">
        <v>118</v>
      </c>
      <c r="AP73">
        <v>73</v>
      </c>
      <c r="AQ73">
        <v>44</v>
      </c>
      <c r="AR73">
        <v>512</v>
      </c>
      <c r="AZ73">
        <v>1200</v>
      </c>
      <c r="BA73">
        <v>1</v>
      </c>
      <c r="BC73">
        <v>1</v>
      </c>
      <c r="BE73">
        <v>0</v>
      </c>
      <c r="BF73">
        <v>0</v>
      </c>
      <c r="BG73">
        <v>0</v>
      </c>
      <c r="BH73">
        <v>1375</v>
      </c>
      <c r="BI73">
        <v>1</v>
      </c>
      <c r="BJ73">
        <v>1</v>
      </c>
      <c r="BK73">
        <v>0</v>
      </c>
      <c r="BL73">
        <v>0</v>
      </c>
      <c r="BO73">
        <v>0</v>
      </c>
      <c r="BP73">
        <v>0</v>
      </c>
      <c r="BW73" t="str">
        <f>"22:09:35.360"</f>
        <v>22:09:35.360</v>
      </c>
      <c r="CJ73">
        <v>0</v>
      </c>
      <c r="CK73">
        <v>1</v>
      </c>
      <c r="CL73">
        <v>0</v>
      </c>
      <c r="CM73">
        <v>2</v>
      </c>
      <c r="CN73">
        <v>0</v>
      </c>
      <c r="CO73">
        <v>5</v>
      </c>
      <c r="CP73" t="s">
        <v>119</v>
      </c>
      <c r="CQ73">
        <v>364</v>
      </c>
      <c r="CR73">
        <v>0</v>
      </c>
      <c r="CW73">
        <v>1366896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1</v>
      </c>
      <c r="DG73">
        <v>1</v>
      </c>
      <c r="DH73">
        <v>0</v>
      </c>
      <c r="DI73">
        <v>0</v>
      </c>
    </row>
    <row r="74" spans="1:113" x14ac:dyDescent="0.3">
      <c r="A74" t="str">
        <f>"03/24/2022 22:09:36.619"</f>
        <v>03/24/2022 22:09:36.619</v>
      </c>
      <c r="C74" t="str">
        <f t="shared" si="19"/>
        <v>FFD7D3C0</v>
      </c>
      <c r="D74" t="s">
        <v>120</v>
      </c>
      <c r="E74">
        <v>14</v>
      </c>
      <c r="F74">
        <v>1014</v>
      </c>
      <c r="G74" t="s">
        <v>121</v>
      </c>
      <c r="J74" t="s">
        <v>122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 t="shared" ref="S74:T77" si="24">"22:09:36.000"</f>
        <v>22:09:36.000</v>
      </c>
      <c r="T74" t="str">
        <f t="shared" si="24"/>
        <v>22:09:36.000</v>
      </c>
      <c r="U74" t="str">
        <f t="shared" si="22"/>
        <v>A9D71F</v>
      </c>
      <c r="V74">
        <v>0</v>
      </c>
      <c r="W74">
        <v>0</v>
      </c>
      <c r="X74">
        <v>2</v>
      </c>
      <c r="Z74">
        <v>1</v>
      </c>
      <c r="AA74">
        <v>0</v>
      </c>
      <c r="AB74">
        <v>3</v>
      </c>
      <c r="AC74">
        <v>0</v>
      </c>
      <c r="AD74">
        <v>9</v>
      </c>
      <c r="AE74">
        <v>0</v>
      </c>
      <c r="AF74">
        <v>3</v>
      </c>
      <c r="AG74">
        <v>1</v>
      </c>
      <c r="AH74">
        <v>0</v>
      </c>
      <c r="AI74" t="s">
        <v>158</v>
      </c>
      <c r="AJ74">
        <v>33.187851999999999</v>
      </c>
      <c r="AK74" t="s">
        <v>159</v>
      </c>
      <c r="AL74">
        <v>-97.823210000000003</v>
      </c>
      <c r="AM74">
        <v>25</v>
      </c>
      <c r="AN74">
        <v>1500</v>
      </c>
      <c r="AO74" t="s">
        <v>118</v>
      </c>
      <c r="AP74">
        <v>77</v>
      </c>
      <c r="AQ74">
        <v>39</v>
      </c>
      <c r="AR74">
        <v>640</v>
      </c>
      <c r="AZ74">
        <v>1200</v>
      </c>
      <c r="BA74">
        <v>1</v>
      </c>
      <c r="BC74">
        <v>1</v>
      </c>
      <c r="BE74">
        <v>0</v>
      </c>
      <c r="BF74">
        <v>0</v>
      </c>
      <c r="BG74">
        <v>0</v>
      </c>
      <c r="BH74">
        <v>1425</v>
      </c>
      <c r="BI74">
        <v>1</v>
      </c>
      <c r="BJ74">
        <v>1</v>
      </c>
      <c r="BK74">
        <v>0</v>
      </c>
      <c r="BL74">
        <v>0</v>
      </c>
      <c r="BO74">
        <v>0</v>
      </c>
      <c r="BP74">
        <v>0</v>
      </c>
      <c r="BW74" t="str">
        <f>"22:09:36.379"</f>
        <v>22:09:36.379</v>
      </c>
      <c r="CJ74">
        <v>0</v>
      </c>
      <c r="CK74">
        <v>1</v>
      </c>
      <c r="CL74">
        <v>0</v>
      </c>
      <c r="CM74">
        <v>2</v>
      </c>
      <c r="CN74">
        <v>0</v>
      </c>
      <c r="CO74">
        <v>6</v>
      </c>
      <c r="CP74" t="s">
        <v>119</v>
      </c>
      <c r="CQ74">
        <v>364</v>
      </c>
      <c r="CR74">
        <v>0</v>
      </c>
      <c r="CW74">
        <v>1367030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1</v>
      </c>
      <c r="DG74">
        <v>1</v>
      </c>
      <c r="DH74">
        <v>0</v>
      </c>
      <c r="DI74">
        <v>0</v>
      </c>
    </row>
    <row r="75" spans="1:113" x14ac:dyDescent="0.3">
      <c r="A75" t="str">
        <f>"03/24/2022 22:09:36.619"</f>
        <v>03/24/2022 22:09:36.619</v>
      </c>
      <c r="C75" t="str">
        <f t="shared" si="19"/>
        <v>FFD7D3C0</v>
      </c>
      <c r="D75" t="s">
        <v>123</v>
      </c>
      <c r="E75">
        <v>8</v>
      </c>
      <c r="H75">
        <v>31</v>
      </c>
      <c r="I75" t="s">
        <v>124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 t="shared" si="24"/>
        <v>22:09:36.000</v>
      </c>
      <c r="T75" t="str">
        <f t="shared" si="24"/>
        <v>22:09:36.000</v>
      </c>
      <c r="U75" t="str">
        <f t="shared" si="22"/>
        <v>A9D71F</v>
      </c>
      <c r="V75">
        <v>0</v>
      </c>
      <c r="W75">
        <v>0</v>
      </c>
      <c r="X75">
        <v>2</v>
      </c>
      <c r="Z75">
        <v>1</v>
      </c>
      <c r="AA75">
        <v>0</v>
      </c>
      <c r="AB75">
        <v>3</v>
      </c>
      <c r="AC75">
        <v>0</v>
      </c>
      <c r="AD75">
        <v>9</v>
      </c>
      <c r="AE75">
        <v>0</v>
      </c>
      <c r="AF75">
        <v>3</v>
      </c>
      <c r="AG75">
        <v>1</v>
      </c>
      <c r="AH75">
        <v>0</v>
      </c>
      <c r="AI75" t="s">
        <v>158</v>
      </c>
      <c r="AJ75">
        <v>33.187851999999999</v>
      </c>
      <c r="AK75" t="s">
        <v>159</v>
      </c>
      <c r="AL75">
        <v>-97.823210000000003</v>
      </c>
      <c r="AM75">
        <v>25</v>
      </c>
      <c r="AN75">
        <v>1500</v>
      </c>
      <c r="AO75" t="s">
        <v>118</v>
      </c>
      <c r="AP75">
        <v>77</v>
      </c>
      <c r="AQ75">
        <v>39</v>
      </c>
      <c r="AR75">
        <v>640</v>
      </c>
      <c r="AZ75">
        <v>1200</v>
      </c>
      <c r="BA75">
        <v>1</v>
      </c>
      <c r="BC75">
        <v>1</v>
      </c>
      <c r="BE75">
        <v>0</v>
      </c>
      <c r="BF75">
        <v>0</v>
      </c>
      <c r="BG75">
        <v>0</v>
      </c>
      <c r="BH75">
        <v>1425</v>
      </c>
      <c r="BI75">
        <v>1</v>
      </c>
      <c r="BJ75">
        <v>1</v>
      </c>
      <c r="BK75">
        <v>0</v>
      </c>
      <c r="BL75">
        <v>0</v>
      </c>
      <c r="BO75">
        <v>0</v>
      </c>
      <c r="BP75">
        <v>0</v>
      </c>
      <c r="BW75" t="str">
        <f>"22:09:36.379"</f>
        <v>22:09:36.379</v>
      </c>
      <c r="CJ75">
        <v>0</v>
      </c>
      <c r="CK75">
        <v>1</v>
      </c>
      <c r="CL75">
        <v>0</v>
      </c>
      <c r="CM75">
        <v>2</v>
      </c>
      <c r="CN75">
        <v>0</v>
      </c>
      <c r="CO75">
        <v>6</v>
      </c>
      <c r="CP75" t="s">
        <v>119</v>
      </c>
      <c r="CQ75">
        <v>364</v>
      </c>
      <c r="CR75">
        <v>0</v>
      </c>
      <c r="CW75">
        <v>1367030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1</v>
      </c>
      <c r="DG75">
        <v>1</v>
      </c>
      <c r="DH75">
        <v>0</v>
      </c>
      <c r="DI75">
        <v>0</v>
      </c>
    </row>
    <row r="76" spans="1:113" x14ac:dyDescent="0.3">
      <c r="A76" t="str">
        <f>"03/24/2022 22:09:36.728"</f>
        <v>03/24/2022 22:09:36.728</v>
      </c>
      <c r="C76" t="str">
        <f t="shared" si="19"/>
        <v>FFD7D3C0</v>
      </c>
      <c r="D76" t="s">
        <v>113</v>
      </c>
      <c r="E76">
        <v>24</v>
      </c>
      <c r="F76">
        <v>2024</v>
      </c>
      <c r="G76" t="s">
        <v>114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 t="shared" si="24"/>
        <v>22:09:36.000</v>
      </c>
      <c r="T76" t="str">
        <f t="shared" si="24"/>
        <v>22:09:36.000</v>
      </c>
      <c r="U76" t="str">
        <f t="shared" si="22"/>
        <v>A9D71F</v>
      </c>
      <c r="V76">
        <v>0</v>
      </c>
      <c r="W76">
        <v>0</v>
      </c>
      <c r="X76">
        <v>2</v>
      </c>
      <c r="Z76">
        <v>1</v>
      </c>
      <c r="AA76">
        <v>0</v>
      </c>
      <c r="AB76">
        <v>3</v>
      </c>
      <c r="AC76">
        <v>0</v>
      </c>
      <c r="AD76">
        <v>9</v>
      </c>
      <c r="AE76">
        <v>0</v>
      </c>
      <c r="AF76">
        <v>3</v>
      </c>
      <c r="AG76">
        <v>1</v>
      </c>
      <c r="AH76">
        <v>0</v>
      </c>
      <c r="AI76" t="s">
        <v>158</v>
      </c>
      <c r="AJ76">
        <v>33.187851999999999</v>
      </c>
      <c r="AK76" t="s">
        <v>159</v>
      </c>
      <c r="AL76">
        <v>-97.823210000000003</v>
      </c>
      <c r="AM76">
        <v>25</v>
      </c>
      <c r="AN76">
        <v>1500</v>
      </c>
      <c r="AO76" t="s">
        <v>118</v>
      </c>
      <c r="AP76">
        <v>77</v>
      </c>
      <c r="AQ76">
        <v>39</v>
      </c>
      <c r="AR76">
        <v>640</v>
      </c>
      <c r="AZ76">
        <v>1200</v>
      </c>
      <c r="BA76">
        <v>1</v>
      </c>
      <c r="BC76">
        <v>1</v>
      </c>
      <c r="BE76">
        <v>0</v>
      </c>
      <c r="BF76">
        <v>0</v>
      </c>
      <c r="BG76">
        <v>0</v>
      </c>
      <c r="BH76">
        <v>1425</v>
      </c>
      <c r="BI76">
        <v>1</v>
      </c>
      <c r="BJ76">
        <v>1</v>
      </c>
      <c r="BK76">
        <v>0</v>
      </c>
      <c r="BL76">
        <v>0</v>
      </c>
      <c r="BO76">
        <v>0</v>
      </c>
      <c r="BP76">
        <v>0</v>
      </c>
      <c r="BW76" t="str">
        <f>"22:09:36.379"</f>
        <v>22:09:36.379</v>
      </c>
      <c r="CJ76">
        <v>0</v>
      </c>
      <c r="CK76">
        <v>1</v>
      </c>
      <c r="CL76">
        <v>0</v>
      </c>
      <c r="CM76">
        <v>2</v>
      </c>
      <c r="CN76">
        <v>0</v>
      </c>
      <c r="CO76">
        <v>6</v>
      </c>
      <c r="CP76" t="s">
        <v>119</v>
      </c>
      <c r="CQ76">
        <v>364</v>
      </c>
      <c r="CR76">
        <v>0</v>
      </c>
      <c r="CW76">
        <v>1367030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1</v>
      </c>
      <c r="DG76">
        <v>1</v>
      </c>
      <c r="DH76">
        <v>0</v>
      </c>
      <c r="DI76">
        <v>0</v>
      </c>
    </row>
    <row r="77" spans="1:113" x14ac:dyDescent="0.3">
      <c r="A77" t="str">
        <f>"03/24/2022 22:09:36.619"</f>
        <v>03/24/2022 22:09:36.619</v>
      </c>
      <c r="C77" t="str">
        <f t="shared" si="19"/>
        <v>FFD7D3C0</v>
      </c>
      <c r="D77" t="s">
        <v>126</v>
      </c>
      <c r="E77">
        <v>3</v>
      </c>
      <c r="H77">
        <v>160</v>
      </c>
      <c r="I77" t="s">
        <v>121</v>
      </c>
      <c r="J77" t="s">
        <v>127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 t="shared" si="24"/>
        <v>22:09:36.000</v>
      </c>
      <c r="T77" t="str">
        <f t="shared" si="24"/>
        <v>22:09:36.000</v>
      </c>
      <c r="U77" t="str">
        <f t="shared" si="22"/>
        <v>A9D71F</v>
      </c>
      <c r="V77">
        <v>0</v>
      </c>
      <c r="W77">
        <v>0</v>
      </c>
      <c r="X77">
        <v>2</v>
      </c>
      <c r="Z77">
        <v>1</v>
      </c>
      <c r="AA77">
        <v>0</v>
      </c>
      <c r="AB77">
        <v>3</v>
      </c>
      <c r="AC77">
        <v>0</v>
      </c>
      <c r="AD77">
        <v>9</v>
      </c>
      <c r="AE77">
        <v>0</v>
      </c>
      <c r="AF77">
        <v>3</v>
      </c>
      <c r="AG77">
        <v>1</v>
      </c>
      <c r="AH77">
        <v>0</v>
      </c>
      <c r="AI77" t="s">
        <v>158</v>
      </c>
      <c r="AJ77">
        <v>33.187851999999999</v>
      </c>
      <c r="AK77" t="s">
        <v>159</v>
      </c>
      <c r="AL77">
        <v>-97.823210000000003</v>
      </c>
      <c r="AM77">
        <v>25</v>
      </c>
      <c r="AN77">
        <v>1500</v>
      </c>
      <c r="AO77" t="s">
        <v>118</v>
      </c>
      <c r="AP77">
        <v>77</v>
      </c>
      <c r="AQ77">
        <v>39</v>
      </c>
      <c r="AR77">
        <v>640</v>
      </c>
      <c r="AZ77">
        <v>1200</v>
      </c>
      <c r="BA77">
        <v>1</v>
      </c>
      <c r="BC77">
        <v>1</v>
      </c>
      <c r="BE77">
        <v>0</v>
      </c>
      <c r="BF77">
        <v>0</v>
      </c>
      <c r="BG77">
        <v>0</v>
      </c>
      <c r="BH77">
        <v>1425</v>
      </c>
      <c r="BI77">
        <v>1</v>
      </c>
      <c r="BJ77">
        <v>1</v>
      </c>
      <c r="BK77">
        <v>0</v>
      </c>
      <c r="BL77">
        <v>0</v>
      </c>
      <c r="BO77">
        <v>0</v>
      </c>
      <c r="BP77">
        <v>0</v>
      </c>
      <c r="BW77" t="str">
        <f>"22:09:36.379"</f>
        <v>22:09:36.379</v>
      </c>
      <c r="CJ77">
        <v>0</v>
      </c>
      <c r="CK77">
        <v>1</v>
      </c>
      <c r="CL77">
        <v>0</v>
      </c>
      <c r="CM77">
        <v>2</v>
      </c>
      <c r="CN77">
        <v>0</v>
      </c>
      <c r="CO77">
        <v>6</v>
      </c>
      <c r="CP77" t="s">
        <v>119</v>
      </c>
      <c r="CQ77">
        <v>364</v>
      </c>
      <c r="CR77">
        <v>0</v>
      </c>
      <c r="CW77">
        <v>1367030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1</v>
      </c>
      <c r="DG77">
        <v>1</v>
      </c>
      <c r="DH77">
        <v>0</v>
      </c>
      <c r="DI77">
        <v>0</v>
      </c>
    </row>
    <row r="78" spans="1:113" x14ac:dyDescent="0.3">
      <c r="A78" t="str">
        <f>"03/24/2022 22:09:37.572"</f>
        <v>03/24/2022 22:09:37.572</v>
      </c>
      <c r="C78" t="str">
        <f t="shared" si="19"/>
        <v>FFD7D3C0</v>
      </c>
      <c r="D78" t="s">
        <v>120</v>
      </c>
      <c r="E78">
        <v>14</v>
      </c>
      <c r="F78">
        <v>1014</v>
      </c>
      <c r="G78" t="s">
        <v>121</v>
      </c>
      <c r="J78" t="s">
        <v>122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 t="shared" ref="S78:T81" si="25">"22:09:37.000"</f>
        <v>22:09:37.000</v>
      </c>
      <c r="T78" t="str">
        <f t="shared" si="25"/>
        <v>22:09:37.000</v>
      </c>
      <c r="U78" t="str">
        <f t="shared" si="22"/>
        <v>A9D71F</v>
      </c>
      <c r="V78">
        <v>0</v>
      </c>
      <c r="W78">
        <v>0</v>
      </c>
      <c r="X78">
        <v>2</v>
      </c>
      <c r="Z78">
        <v>1</v>
      </c>
      <c r="AA78">
        <v>0</v>
      </c>
      <c r="AB78">
        <v>3</v>
      </c>
      <c r="AC78">
        <v>0</v>
      </c>
      <c r="AD78">
        <v>9</v>
      </c>
      <c r="AE78">
        <v>0</v>
      </c>
      <c r="AF78">
        <v>3</v>
      </c>
      <c r="AG78">
        <v>1</v>
      </c>
      <c r="AH78">
        <v>0</v>
      </c>
      <c r="AI78" t="s">
        <v>160</v>
      </c>
      <c r="AJ78">
        <v>33.188001999999997</v>
      </c>
      <c r="AK78" t="s">
        <v>161</v>
      </c>
      <c r="AL78">
        <v>-97.822801999999996</v>
      </c>
      <c r="AM78">
        <v>25</v>
      </c>
      <c r="AN78">
        <v>1500</v>
      </c>
      <c r="AO78" t="s">
        <v>118</v>
      </c>
      <c r="AP78">
        <v>76</v>
      </c>
      <c r="AQ78">
        <v>37</v>
      </c>
      <c r="AR78">
        <v>832</v>
      </c>
      <c r="AZ78">
        <v>1200</v>
      </c>
      <c r="BA78">
        <v>1</v>
      </c>
      <c r="BC78">
        <v>1</v>
      </c>
      <c r="BE78">
        <v>0</v>
      </c>
      <c r="BF78">
        <v>0</v>
      </c>
      <c r="BG78">
        <v>0</v>
      </c>
      <c r="BH78">
        <v>1450</v>
      </c>
      <c r="BI78">
        <v>1</v>
      </c>
      <c r="BJ78">
        <v>1</v>
      </c>
      <c r="BK78">
        <v>0</v>
      </c>
      <c r="BL78">
        <v>0</v>
      </c>
      <c r="BO78">
        <v>0</v>
      </c>
      <c r="BP78">
        <v>0</v>
      </c>
      <c r="BW78" t="str">
        <f>"22:09:37.397"</f>
        <v>22:09:37.397</v>
      </c>
      <c r="CJ78">
        <v>0</v>
      </c>
      <c r="CK78">
        <v>1</v>
      </c>
      <c r="CL78">
        <v>0</v>
      </c>
      <c r="CM78">
        <v>2</v>
      </c>
      <c r="CN78">
        <v>0</v>
      </c>
      <c r="CO78">
        <v>5</v>
      </c>
      <c r="CP78" t="s">
        <v>119</v>
      </c>
      <c r="CQ78">
        <v>364</v>
      </c>
      <c r="CR78">
        <v>0</v>
      </c>
      <c r="CW78">
        <v>1367165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1</v>
      </c>
      <c r="DG78">
        <v>1</v>
      </c>
      <c r="DH78">
        <v>0</v>
      </c>
      <c r="DI78">
        <v>0</v>
      </c>
    </row>
    <row r="79" spans="1:113" x14ac:dyDescent="0.3">
      <c r="A79" t="str">
        <f>"03/24/2022 22:09:37.619"</f>
        <v>03/24/2022 22:09:37.619</v>
      </c>
      <c r="C79" t="str">
        <f t="shared" si="19"/>
        <v>FFD7D3C0</v>
      </c>
      <c r="D79" t="s">
        <v>126</v>
      </c>
      <c r="E79">
        <v>3</v>
      </c>
      <c r="H79">
        <v>160</v>
      </c>
      <c r="I79" t="s">
        <v>121</v>
      </c>
      <c r="J79" t="s">
        <v>127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 t="shared" si="25"/>
        <v>22:09:37.000</v>
      </c>
      <c r="T79" t="str">
        <f t="shared" si="25"/>
        <v>22:09:37.000</v>
      </c>
      <c r="U79" t="str">
        <f t="shared" si="22"/>
        <v>A9D71F</v>
      </c>
      <c r="V79">
        <v>0</v>
      </c>
      <c r="W79">
        <v>0</v>
      </c>
      <c r="X79">
        <v>2</v>
      </c>
      <c r="Z79">
        <v>1</v>
      </c>
      <c r="AA79">
        <v>0</v>
      </c>
      <c r="AB79">
        <v>3</v>
      </c>
      <c r="AC79">
        <v>0</v>
      </c>
      <c r="AD79">
        <v>9</v>
      </c>
      <c r="AE79">
        <v>0</v>
      </c>
      <c r="AF79">
        <v>3</v>
      </c>
      <c r="AG79">
        <v>1</v>
      </c>
      <c r="AH79">
        <v>0</v>
      </c>
      <c r="AI79" t="s">
        <v>160</v>
      </c>
      <c r="AJ79">
        <v>33.188001999999997</v>
      </c>
      <c r="AK79" t="s">
        <v>161</v>
      </c>
      <c r="AL79">
        <v>-97.822801999999996</v>
      </c>
      <c r="AM79">
        <v>25</v>
      </c>
      <c r="AN79">
        <v>1500</v>
      </c>
      <c r="AO79" t="s">
        <v>118</v>
      </c>
      <c r="AP79">
        <v>76</v>
      </c>
      <c r="AQ79">
        <v>37</v>
      </c>
      <c r="AR79">
        <v>832</v>
      </c>
      <c r="AZ79">
        <v>1200</v>
      </c>
      <c r="BA79">
        <v>1</v>
      </c>
      <c r="BC79">
        <v>1</v>
      </c>
      <c r="BE79">
        <v>0</v>
      </c>
      <c r="BF79">
        <v>0</v>
      </c>
      <c r="BG79">
        <v>0</v>
      </c>
      <c r="BH79">
        <v>1450</v>
      </c>
      <c r="BI79">
        <v>1</v>
      </c>
      <c r="BJ79">
        <v>1</v>
      </c>
      <c r="BK79">
        <v>0</v>
      </c>
      <c r="BL79">
        <v>0</v>
      </c>
      <c r="BO79">
        <v>0</v>
      </c>
      <c r="BP79">
        <v>0</v>
      </c>
      <c r="BW79" t="str">
        <f>"22:09:37.397"</f>
        <v>22:09:37.397</v>
      </c>
      <c r="CJ79">
        <v>0</v>
      </c>
      <c r="CK79">
        <v>1</v>
      </c>
      <c r="CL79">
        <v>0</v>
      </c>
      <c r="CM79">
        <v>2</v>
      </c>
      <c r="CN79">
        <v>0</v>
      </c>
      <c r="CO79">
        <v>5</v>
      </c>
      <c r="CP79" t="s">
        <v>119</v>
      </c>
      <c r="CQ79">
        <v>364</v>
      </c>
      <c r="CR79">
        <v>0</v>
      </c>
      <c r="CW79">
        <v>1367165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1</v>
      </c>
      <c r="DG79">
        <v>1</v>
      </c>
      <c r="DH79">
        <v>0</v>
      </c>
      <c r="DI79">
        <v>0</v>
      </c>
    </row>
    <row r="80" spans="1:113" x14ac:dyDescent="0.3">
      <c r="A80" t="str">
        <f>"03/24/2022 22:09:37.619"</f>
        <v>03/24/2022 22:09:37.619</v>
      </c>
      <c r="C80" t="str">
        <f t="shared" si="19"/>
        <v>FFD7D3C0</v>
      </c>
      <c r="D80" t="s">
        <v>123</v>
      </c>
      <c r="E80">
        <v>8</v>
      </c>
      <c r="H80">
        <v>31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 t="shared" si="25"/>
        <v>22:09:37.000</v>
      </c>
      <c r="T80" t="str">
        <f t="shared" si="25"/>
        <v>22:09:37.000</v>
      </c>
      <c r="U80" t="str">
        <f t="shared" si="22"/>
        <v>A9D71F</v>
      </c>
      <c r="V80">
        <v>0</v>
      </c>
      <c r="W80">
        <v>0</v>
      </c>
      <c r="X80">
        <v>2</v>
      </c>
      <c r="Z80">
        <v>1</v>
      </c>
      <c r="AA80">
        <v>0</v>
      </c>
      <c r="AB80">
        <v>3</v>
      </c>
      <c r="AC80">
        <v>0</v>
      </c>
      <c r="AD80">
        <v>9</v>
      </c>
      <c r="AE80">
        <v>0</v>
      </c>
      <c r="AF80">
        <v>3</v>
      </c>
      <c r="AG80">
        <v>1</v>
      </c>
      <c r="AH80">
        <v>0</v>
      </c>
      <c r="AI80" t="s">
        <v>160</v>
      </c>
      <c r="AJ80">
        <v>33.188001999999997</v>
      </c>
      <c r="AK80" t="s">
        <v>161</v>
      </c>
      <c r="AL80">
        <v>-97.822801999999996</v>
      </c>
      <c r="AM80">
        <v>25</v>
      </c>
      <c r="AN80">
        <v>1500</v>
      </c>
      <c r="AO80" t="s">
        <v>118</v>
      </c>
      <c r="AP80">
        <v>76</v>
      </c>
      <c r="AQ80">
        <v>37</v>
      </c>
      <c r="AR80">
        <v>832</v>
      </c>
      <c r="AZ80">
        <v>1200</v>
      </c>
      <c r="BA80">
        <v>1</v>
      </c>
      <c r="BC80">
        <v>1</v>
      </c>
      <c r="BE80">
        <v>0</v>
      </c>
      <c r="BF80">
        <v>0</v>
      </c>
      <c r="BG80">
        <v>0</v>
      </c>
      <c r="BH80">
        <v>1450</v>
      </c>
      <c r="BI80">
        <v>1</v>
      </c>
      <c r="BJ80">
        <v>1</v>
      </c>
      <c r="BK80">
        <v>0</v>
      </c>
      <c r="BL80">
        <v>0</v>
      </c>
      <c r="BO80">
        <v>0</v>
      </c>
      <c r="BP80">
        <v>0</v>
      </c>
      <c r="BW80" t="str">
        <f>"22:09:37.397"</f>
        <v>22:09:37.397</v>
      </c>
      <c r="CJ80">
        <v>0</v>
      </c>
      <c r="CK80">
        <v>1</v>
      </c>
      <c r="CL80">
        <v>0</v>
      </c>
      <c r="CM80">
        <v>2</v>
      </c>
      <c r="CN80">
        <v>0</v>
      </c>
      <c r="CO80">
        <v>5</v>
      </c>
      <c r="CP80" t="s">
        <v>119</v>
      </c>
      <c r="CQ80">
        <v>364</v>
      </c>
      <c r="CR80">
        <v>0</v>
      </c>
      <c r="CW80">
        <v>1367165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1</v>
      </c>
      <c r="DG80">
        <v>1</v>
      </c>
      <c r="DH80">
        <v>0</v>
      </c>
      <c r="DI80">
        <v>0</v>
      </c>
    </row>
    <row r="81" spans="1:113" x14ac:dyDescent="0.3">
      <c r="A81" t="str">
        <f>"03/24/2022 22:09:37.619"</f>
        <v>03/24/2022 22:09:37.619</v>
      </c>
      <c r="C81" t="str">
        <f t="shared" si="19"/>
        <v>FFD7D3C0</v>
      </c>
      <c r="D81" t="s">
        <v>113</v>
      </c>
      <c r="E81">
        <v>24</v>
      </c>
      <c r="F81">
        <v>2024</v>
      </c>
      <c r="G81" t="s">
        <v>114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 t="shared" si="25"/>
        <v>22:09:37.000</v>
      </c>
      <c r="T81" t="str">
        <f t="shared" si="25"/>
        <v>22:09:37.000</v>
      </c>
      <c r="U81" t="str">
        <f t="shared" si="22"/>
        <v>A9D71F</v>
      </c>
      <c r="V81">
        <v>0</v>
      </c>
      <c r="W81">
        <v>0</v>
      </c>
      <c r="X81">
        <v>2</v>
      </c>
      <c r="Z81">
        <v>1</v>
      </c>
      <c r="AA81">
        <v>0</v>
      </c>
      <c r="AB81">
        <v>3</v>
      </c>
      <c r="AC81">
        <v>0</v>
      </c>
      <c r="AD81">
        <v>9</v>
      </c>
      <c r="AE81">
        <v>0</v>
      </c>
      <c r="AF81">
        <v>3</v>
      </c>
      <c r="AG81">
        <v>1</v>
      </c>
      <c r="AH81">
        <v>0</v>
      </c>
      <c r="AI81" t="s">
        <v>160</v>
      </c>
      <c r="AJ81">
        <v>33.188001999999997</v>
      </c>
      <c r="AK81" t="s">
        <v>161</v>
      </c>
      <c r="AL81">
        <v>-97.822801999999996</v>
      </c>
      <c r="AM81">
        <v>25</v>
      </c>
      <c r="AN81">
        <v>1500</v>
      </c>
      <c r="AO81" t="s">
        <v>118</v>
      </c>
      <c r="AP81">
        <v>76</v>
      </c>
      <c r="AQ81">
        <v>37</v>
      </c>
      <c r="AR81">
        <v>832</v>
      </c>
      <c r="AZ81">
        <v>1200</v>
      </c>
      <c r="BA81">
        <v>1</v>
      </c>
      <c r="BC81">
        <v>1</v>
      </c>
      <c r="BE81">
        <v>0</v>
      </c>
      <c r="BF81">
        <v>0</v>
      </c>
      <c r="BG81">
        <v>0</v>
      </c>
      <c r="BH81">
        <v>1450</v>
      </c>
      <c r="BI81">
        <v>1</v>
      </c>
      <c r="BJ81">
        <v>1</v>
      </c>
      <c r="BK81">
        <v>0</v>
      </c>
      <c r="BL81">
        <v>0</v>
      </c>
      <c r="BO81">
        <v>0</v>
      </c>
      <c r="BP81">
        <v>0</v>
      </c>
      <c r="BW81" t="str">
        <f>"22:09:37.397"</f>
        <v>22:09:37.397</v>
      </c>
      <c r="CJ81">
        <v>0</v>
      </c>
      <c r="CK81">
        <v>1</v>
      </c>
      <c r="CL81">
        <v>0</v>
      </c>
      <c r="CM81">
        <v>2</v>
      </c>
      <c r="CN81">
        <v>0</v>
      </c>
      <c r="CO81">
        <v>5</v>
      </c>
      <c r="CP81" t="s">
        <v>119</v>
      </c>
      <c r="CQ81">
        <v>364</v>
      </c>
      <c r="CR81">
        <v>0</v>
      </c>
      <c r="CW81">
        <v>1367165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1</v>
      </c>
      <c r="DG81">
        <v>1</v>
      </c>
      <c r="DH81">
        <v>0</v>
      </c>
      <c r="DI81">
        <v>0</v>
      </c>
    </row>
    <row r="82" spans="1:113" x14ac:dyDescent="0.3">
      <c r="A82" t="str">
        <f>"03/24/2022 22:09:38.808"</f>
        <v>03/24/2022 22:09:38.808</v>
      </c>
      <c r="C82" t="str">
        <f t="shared" si="19"/>
        <v>FFD7D3C0</v>
      </c>
      <c r="D82" t="s">
        <v>120</v>
      </c>
      <c r="E82">
        <v>14</v>
      </c>
      <c r="F82">
        <v>1014</v>
      </c>
      <c r="G82" t="s">
        <v>121</v>
      </c>
      <c r="J82" t="s">
        <v>122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 t="shared" ref="S82:T85" si="26">"22:09:38.000"</f>
        <v>22:09:38.000</v>
      </c>
      <c r="T82" t="str">
        <f t="shared" si="26"/>
        <v>22:09:38.000</v>
      </c>
      <c r="U82" t="str">
        <f t="shared" si="22"/>
        <v>A9D71F</v>
      </c>
      <c r="V82">
        <v>0</v>
      </c>
      <c r="W82">
        <v>0</v>
      </c>
      <c r="X82">
        <v>2</v>
      </c>
      <c r="Z82">
        <v>1</v>
      </c>
      <c r="AA82">
        <v>0</v>
      </c>
      <c r="AB82">
        <v>3</v>
      </c>
      <c r="AC82">
        <v>0</v>
      </c>
      <c r="AD82">
        <v>9</v>
      </c>
      <c r="AE82">
        <v>0</v>
      </c>
      <c r="AF82">
        <v>3</v>
      </c>
      <c r="AG82">
        <v>1</v>
      </c>
      <c r="AH82">
        <v>0</v>
      </c>
      <c r="AI82" t="s">
        <v>162</v>
      </c>
      <c r="AJ82">
        <v>33.188195</v>
      </c>
      <c r="AK82" t="s">
        <v>163</v>
      </c>
      <c r="AL82">
        <v>-97.822394000000003</v>
      </c>
      <c r="AM82">
        <v>25</v>
      </c>
      <c r="AN82">
        <v>1500</v>
      </c>
      <c r="AO82" t="s">
        <v>118</v>
      </c>
      <c r="AP82">
        <v>74</v>
      </c>
      <c r="AQ82">
        <v>34</v>
      </c>
      <c r="AR82">
        <v>832</v>
      </c>
      <c r="AZ82">
        <v>1200</v>
      </c>
      <c r="BA82">
        <v>1</v>
      </c>
      <c r="BC82">
        <v>1</v>
      </c>
      <c r="BE82">
        <v>0</v>
      </c>
      <c r="BF82">
        <v>0</v>
      </c>
      <c r="BG82">
        <v>0</v>
      </c>
      <c r="BH82">
        <v>1450</v>
      </c>
      <c r="BI82">
        <v>1</v>
      </c>
      <c r="BJ82">
        <v>1</v>
      </c>
      <c r="BK82">
        <v>0</v>
      </c>
      <c r="BL82">
        <v>0</v>
      </c>
      <c r="BO82">
        <v>0</v>
      </c>
      <c r="BP82">
        <v>0</v>
      </c>
      <c r="BW82" t="str">
        <f>"22:09:38.619"</f>
        <v>22:09:38.619</v>
      </c>
      <c r="CJ82">
        <v>0</v>
      </c>
      <c r="CK82">
        <v>1</v>
      </c>
      <c r="CL82">
        <v>0</v>
      </c>
      <c r="CM82">
        <v>2</v>
      </c>
      <c r="CN82">
        <v>0</v>
      </c>
      <c r="CO82">
        <v>6</v>
      </c>
      <c r="CP82" t="s">
        <v>119</v>
      </c>
      <c r="CQ82">
        <v>364</v>
      </c>
      <c r="CR82">
        <v>0</v>
      </c>
      <c r="CW82">
        <v>1367337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1</v>
      </c>
      <c r="DG82">
        <v>1</v>
      </c>
      <c r="DH82">
        <v>0</v>
      </c>
      <c r="DI82">
        <v>0</v>
      </c>
    </row>
    <row r="83" spans="1:113" x14ac:dyDescent="0.3">
      <c r="A83" t="str">
        <f>"03/24/2022 22:09:38.808"</f>
        <v>03/24/2022 22:09:38.808</v>
      </c>
      <c r="C83" t="str">
        <f t="shared" si="19"/>
        <v>FFD7D3C0</v>
      </c>
      <c r="D83" t="s">
        <v>126</v>
      </c>
      <c r="E83">
        <v>3</v>
      </c>
      <c r="H83">
        <v>160</v>
      </c>
      <c r="I83" t="s">
        <v>121</v>
      </c>
      <c r="J83" t="s">
        <v>127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 t="shared" si="26"/>
        <v>22:09:38.000</v>
      </c>
      <c r="T83" t="str">
        <f t="shared" si="26"/>
        <v>22:09:38.000</v>
      </c>
      <c r="U83" t="str">
        <f t="shared" si="22"/>
        <v>A9D71F</v>
      </c>
      <c r="V83">
        <v>0</v>
      </c>
      <c r="W83">
        <v>0</v>
      </c>
      <c r="X83">
        <v>2</v>
      </c>
      <c r="Z83">
        <v>1</v>
      </c>
      <c r="AA83">
        <v>0</v>
      </c>
      <c r="AB83">
        <v>3</v>
      </c>
      <c r="AC83">
        <v>0</v>
      </c>
      <c r="AD83">
        <v>9</v>
      </c>
      <c r="AE83">
        <v>0</v>
      </c>
      <c r="AF83">
        <v>3</v>
      </c>
      <c r="AG83">
        <v>1</v>
      </c>
      <c r="AH83">
        <v>0</v>
      </c>
      <c r="AI83" t="s">
        <v>162</v>
      </c>
      <c r="AJ83">
        <v>33.188195</v>
      </c>
      <c r="AK83" t="s">
        <v>163</v>
      </c>
      <c r="AL83">
        <v>-97.822394000000003</v>
      </c>
      <c r="AM83">
        <v>25</v>
      </c>
      <c r="AN83">
        <v>1500</v>
      </c>
      <c r="AO83" t="s">
        <v>118</v>
      </c>
      <c r="AP83">
        <v>74</v>
      </c>
      <c r="AQ83">
        <v>34</v>
      </c>
      <c r="AR83">
        <v>832</v>
      </c>
      <c r="AZ83">
        <v>1200</v>
      </c>
      <c r="BA83">
        <v>1</v>
      </c>
      <c r="BC83">
        <v>1</v>
      </c>
      <c r="BE83">
        <v>0</v>
      </c>
      <c r="BF83">
        <v>0</v>
      </c>
      <c r="BG83">
        <v>0</v>
      </c>
      <c r="BH83">
        <v>1450</v>
      </c>
      <c r="BI83">
        <v>1</v>
      </c>
      <c r="BJ83">
        <v>1</v>
      </c>
      <c r="BK83">
        <v>0</v>
      </c>
      <c r="BL83">
        <v>0</v>
      </c>
      <c r="BO83">
        <v>0</v>
      </c>
      <c r="BP83">
        <v>0</v>
      </c>
      <c r="BW83" t="str">
        <f>"22:09:38.619"</f>
        <v>22:09:38.619</v>
      </c>
      <c r="CJ83">
        <v>0</v>
      </c>
      <c r="CK83">
        <v>1</v>
      </c>
      <c r="CL83">
        <v>0</v>
      </c>
      <c r="CM83">
        <v>2</v>
      </c>
      <c r="CN83">
        <v>0</v>
      </c>
      <c r="CO83">
        <v>6</v>
      </c>
      <c r="CP83" t="s">
        <v>119</v>
      </c>
      <c r="CQ83">
        <v>364</v>
      </c>
      <c r="CR83">
        <v>0</v>
      </c>
      <c r="CW83">
        <v>1367337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1</v>
      </c>
      <c r="DG83">
        <v>1</v>
      </c>
      <c r="DH83">
        <v>0</v>
      </c>
      <c r="DI83">
        <v>0</v>
      </c>
    </row>
    <row r="84" spans="1:113" x14ac:dyDescent="0.3">
      <c r="A84" t="str">
        <f>"03/24/2022 22:09:38.808"</f>
        <v>03/24/2022 22:09:38.808</v>
      </c>
      <c r="C84" t="str">
        <f t="shared" si="19"/>
        <v>FFD7D3C0</v>
      </c>
      <c r="D84" t="s">
        <v>123</v>
      </c>
      <c r="E84">
        <v>8</v>
      </c>
      <c r="H84">
        <v>31</v>
      </c>
      <c r="I84" t="s">
        <v>124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 t="shared" si="26"/>
        <v>22:09:38.000</v>
      </c>
      <c r="T84" t="str">
        <f t="shared" si="26"/>
        <v>22:09:38.000</v>
      </c>
      <c r="U84" t="str">
        <f t="shared" si="22"/>
        <v>A9D71F</v>
      </c>
      <c r="V84">
        <v>0</v>
      </c>
      <c r="W84">
        <v>0</v>
      </c>
      <c r="X84">
        <v>2</v>
      </c>
      <c r="Z84">
        <v>1</v>
      </c>
      <c r="AA84">
        <v>0</v>
      </c>
      <c r="AB84">
        <v>3</v>
      </c>
      <c r="AC84">
        <v>0</v>
      </c>
      <c r="AD84">
        <v>9</v>
      </c>
      <c r="AE84">
        <v>0</v>
      </c>
      <c r="AF84">
        <v>3</v>
      </c>
      <c r="AG84">
        <v>1</v>
      </c>
      <c r="AH84">
        <v>0</v>
      </c>
      <c r="AI84" t="s">
        <v>162</v>
      </c>
      <c r="AJ84">
        <v>33.188195</v>
      </c>
      <c r="AK84" t="s">
        <v>163</v>
      </c>
      <c r="AL84">
        <v>-97.822394000000003</v>
      </c>
      <c r="AM84">
        <v>25</v>
      </c>
      <c r="AN84">
        <v>1500</v>
      </c>
      <c r="AO84" t="s">
        <v>118</v>
      </c>
      <c r="AP84">
        <v>74</v>
      </c>
      <c r="AQ84">
        <v>34</v>
      </c>
      <c r="AR84">
        <v>832</v>
      </c>
      <c r="AZ84">
        <v>1200</v>
      </c>
      <c r="BA84">
        <v>1</v>
      </c>
      <c r="BC84">
        <v>1</v>
      </c>
      <c r="BE84">
        <v>0</v>
      </c>
      <c r="BF84">
        <v>0</v>
      </c>
      <c r="BG84">
        <v>0</v>
      </c>
      <c r="BH84">
        <v>1450</v>
      </c>
      <c r="BI84">
        <v>1</v>
      </c>
      <c r="BJ84">
        <v>1</v>
      </c>
      <c r="BK84">
        <v>0</v>
      </c>
      <c r="BL84">
        <v>0</v>
      </c>
      <c r="BO84">
        <v>0</v>
      </c>
      <c r="BP84">
        <v>0</v>
      </c>
      <c r="BW84" t="str">
        <f>"22:09:38.619"</f>
        <v>22:09:38.619</v>
      </c>
      <c r="CJ84">
        <v>0</v>
      </c>
      <c r="CK84">
        <v>1</v>
      </c>
      <c r="CL84">
        <v>0</v>
      </c>
      <c r="CM84">
        <v>2</v>
      </c>
      <c r="CN84">
        <v>0</v>
      </c>
      <c r="CO84">
        <v>6</v>
      </c>
      <c r="CP84" t="s">
        <v>119</v>
      </c>
      <c r="CQ84">
        <v>364</v>
      </c>
      <c r="CR84">
        <v>0</v>
      </c>
      <c r="CW84">
        <v>1367337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1</v>
      </c>
      <c r="DG84">
        <v>1</v>
      </c>
      <c r="DH84">
        <v>0</v>
      </c>
      <c r="DI84">
        <v>0</v>
      </c>
    </row>
    <row r="85" spans="1:113" x14ac:dyDescent="0.3">
      <c r="A85" t="str">
        <f>"03/24/2022 22:09:38.840"</f>
        <v>03/24/2022 22:09:38.840</v>
      </c>
      <c r="C85" t="str">
        <f t="shared" si="19"/>
        <v>FFD7D3C0</v>
      </c>
      <c r="D85" t="s">
        <v>113</v>
      </c>
      <c r="E85">
        <v>24</v>
      </c>
      <c r="F85">
        <v>2024</v>
      </c>
      <c r="G85" t="s">
        <v>114</v>
      </c>
      <c r="J85" t="s">
        <v>115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 t="shared" si="26"/>
        <v>22:09:38.000</v>
      </c>
      <c r="T85" t="str">
        <f t="shared" si="26"/>
        <v>22:09:38.000</v>
      </c>
      <c r="U85" t="str">
        <f t="shared" si="22"/>
        <v>A9D71F</v>
      </c>
      <c r="V85">
        <v>0</v>
      </c>
      <c r="W85">
        <v>0</v>
      </c>
      <c r="X85">
        <v>2</v>
      </c>
      <c r="Z85">
        <v>1</v>
      </c>
      <c r="AA85">
        <v>0</v>
      </c>
      <c r="AB85">
        <v>3</v>
      </c>
      <c r="AC85">
        <v>0</v>
      </c>
      <c r="AD85">
        <v>9</v>
      </c>
      <c r="AE85">
        <v>0</v>
      </c>
      <c r="AF85">
        <v>3</v>
      </c>
      <c r="AG85">
        <v>1</v>
      </c>
      <c r="AH85">
        <v>0</v>
      </c>
      <c r="AI85" t="s">
        <v>162</v>
      </c>
      <c r="AJ85">
        <v>33.188195</v>
      </c>
      <c r="AK85" t="s">
        <v>163</v>
      </c>
      <c r="AL85">
        <v>-97.822394000000003</v>
      </c>
      <c r="AM85">
        <v>25</v>
      </c>
      <c r="AN85">
        <v>1500</v>
      </c>
      <c r="AO85" t="s">
        <v>118</v>
      </c>
      <c r="AP85">
        <v>74</v>
      </c>
      <c r="AQ85">
        <v>34</v>
      </c>
      <c r="AR85">
        <v>832</v>
      </c>
      <c r="AZ85">
        <v>1200</v>
      </c>
      <c r="BA85">
        <v>1</v>
      </c>
      <c r="BC85">
        <v>1</v>
      </c>
      <c r="BE85">
        <v>0</v>
      </c>
      <c r="BF85">
        <v>0</v>
      </c>
      <c r="BG85">
        <v>0</v>
      </c>
      <c r="BH85">
        <v>1450</v>
      </c>
      <c r="BI85">
        <v>1</v>
      </c>
      <c r="BJ85">
        <v>1</v>
      </c>
      <c r="BK85">
        <v>0</v>
      </c>
      <c r="BL85">
        <v>0</v>
      </c>
      <c r="BO85">
        <v>0</v>
      </c>
      <c r="BP85">
        <v>0</v>
      </c>
      <c r="BW85" t="str">
        <f>"22:09:38.619"</f>
        <v>22:09:38.619</v>
      </c>
      <c r="CJ85">
        <v>0</v>
      </c>
      <c r="CK85">
        <v>1</v>
      </c>
      <c r="CL85">
        <v>0</v>
      </c>
      <c r="CM85">
        <v>2</v>
      </c>
      <c r="CN85">
        <v>0</v>
      </c>
      <c r="CO85">
        <v>6</v>
      </c>
      <c r="CP85" t="s">
        <v>119</v>
      </c>
      <c r="CQ85">
        <v>364</v>
      </c>
      <c r="CR85">
        <v>0</v>
      </c>
      <c r="CW85">
        <v>1367337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1</v>
      </c>
      <c r="DG85">
        <v>1</v>
      </c>
      <c r="DH85">
        <v>0</v>
      </c>
      <c r="DI85">
        <v>0</v>
      </c>
    </row>
    <row r="86" spans="1:113" x14ac:dyDescent="0.3">
      <c r="A86" t="str">
        <f>"03/24/2022 22:09:39.808"</f>
        <v>03/24/2022 22:09:39.808</v>
      </c>
      <c r="C86" t="str">
        <f t="shared" ref="C86:C149" si="27">"FFDFD3C0"</f>
        <v>FFDFD3C0</v>
      </c>
      <c r="D86" t="s">
        <v>126</v>
      </c>
      <c r="E86">
        <v>3</v>
      </c>
      <c r="H86">
        <v>160</v>
      </c>
      <c r="I86" t="s">
        <v>121</v>
      </c>
      <c r="J86" t="s">
        <v>127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 t="shared" ref="S86:T89" si="28">"22:09:39.000"</f>
        <v>22:09:39.000</v>
      </c>
      <c r="T86" t="str">
        <f t="shared" si="28"/>
        <v>22:09:39.000</v>
      </c>
      <c r="U86" t="str">
        <f t="shared" si="22"/>
        <v>A9D71F</v>
      </c>
      <c r="V86">
        <v>0</v>
      </c>
      <c r="W86">
        <v>0</v>
      </c>
      <c r="X86">
        <v>2</v>
      </c>
      <c r="Z86">
        <v>1</v>
      </c>
      <c r="AA86">
        <v>0</v>
      </c>
      <c r="AB86">
        <v>3</v>
      </c>
      <c r="AC86">
        <v>0</v>
      </c>
      <c r="AD86">
        <v>9</v>
      </c>
      <c r="AE86">
        <v>0</v>
      </c>
      <c r="AF86">
        <v>3</v>
      </c>
      <c r="AG86">
        <v>1</v>
      </c>
      <c r="AH86">
        <v>0</v>
      </c>
      <c r="AI86" t="s">
        <v>164</v>
      </c>
      <c r="AJ86">
        <v>33.188324000000001</v>
      </c>
      <c r="AK86" t="s">
        <v>165</v>
      </c>
      <c r="AL86">
        <v>-97.821944000000002</v>
      </c>
      <c r="AM86">
        <v>25</v>
      </c>
      <c r="AN86">
        <v>1500</v>
      </c>
      <c r="AO86" t="s">
        <v>118</v>
      </c>
      <c r="AP86">
        <v>85</v>
      </c>
      <c r="AQ86">
        <v>25</v>
      </c>
      <c r="AR86">
        <v>832</v>
      </c>
      <c r="AZ86">
        <v>1200</v>
      </c>
      <c r="BA86">
        <v>1</v>
      </c>
      <c r="BB86" t="str">
        <f t="shared" ref="BB86:BB149" si="29">"N733KP  "</f>
        <v xml:space="preserve">N733KP  </v>
      </c>
      <c r="BC86">
        <v>1</v>
      </c>
      <c r="BE86">
        <v>0</v>
      </c>
      <c r="BF86">
        <v>0</v>
      </c>
      <c r="BG86">
        <v>0</v>
      </c>
      <c r="BH86">
        <v>1500</v>
      </c>
      <c r="BI86">
        <v>1</v>
      </c>
      <c r="BJ86">
        <v>1</v>
      </c>
      <c r="BK86">
        <v>0</v>
      </c>
      <c r="BL86">
        <v>0</v>
      </c>
      <c r="BO86">
        <v>0</v>
      </c>
      <c r="BP86">
        <v>0</v>
      </c>
      <c r="BW86" t="str">
        <f>"22:09:39.623"</f>
        <v>22:09:39.623</v>
      </c>
      <c r="CJ86">
        <v>0</v>
      </c>
      <c r="CK86">
        <v>1</v>
      </c>
      <c r="CL86">
        <v>0</v>
      </c>
      <c r="CM86">
        <v>2</v>
      </c>
      <c r="CN86">
        <v>0</v>
      </c>
      <c r="CO86">
        <v>6</v>
      </c>
      <c r="CP86" t="s">
        <v>119</v>
      </c>
      <c r="CQ86">
        <v>364</v>
      </c>
      <c r="CR86">
        <v>0</v>
      </c>
      <c r="CW86">
        <v>1367479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1</v>
      </c>
      <c r="DH86">
        <v>0</v>
      </c>
      <c r="DI86">
        <v>0</v>
      </c>
    </row>
    <row r="87" spans="1:113" x14ac:dyDescent="0.3">
      <c r="A87" t="str">
        <f>"03/24/2022 22:09:39.840"</f>
        <v>03/24/2022 22:09:39.840</v>
      </c>
      <c r="C87" t="str">
        <f t="shared" si="27"/>
        <v>FFDFD3C0</v>
      </c>
      <c r="D87" t="s">
        <v>123</v>
      </c>
      <c r="E87">
        <v>8</v>
      </c>
      <c r="H87">
        <v>31</v>
      </c>
      <c r="I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 t="shared" si="28"/>
        <v>22:09:39.000</v>
      </c>
      <c r="T87" t="str">
        <f t="shared" si="28"/>
        <v>22:09:39.000</v>
      </c>
      <c r="U87" t="str">
        <f t="shared" si="22"/>
        <v>A9D71F</v>
      </c>
      <c r="V87">
        <v>0</v>
      </c>
      <c r="W87">
        <v>0</v>
      </c>
      <c r="X87">
        <v>2</v>
      </c>
      <c r="Z87">
        <v>1</v>
      </c>
      <c r="AA87">
        <v>0</v>
      </c>
      <c r="AB87">
        <v>3</v>
      </c>
      <c r="AC87">
        <v>0</v>
      </c>
      <c r="AD87">
        <v>9</v>
      </c>
      <c r="AE87">
        <v>0</v>
      </c>
      <c r="AF87">
        <v>3</v>
      </c>
      <c r="AG87">
        <v>1</v>
      </c>
      <c r="AH87">
        <v>0</v>
      </c>
      <c r="AI87" t="s">
        <v>164</v>
      </c>
      <c r="AJ87">
        <v>33.188324000000001</v>
      </c>
      <c r="AK87" t="s">
        <v>165</v>
      </c>
      <c r="AL87">
        <v>-97.821944000000002</v>
      </c>
      <c r="AM87">
        <v>25</v>
      </c>
      <c r="AN87">
        <v>1500</v>
      </c>
      <c r="AO87" t="s">
        <v>118</v>
      </c>
      <c r="AP87">
        <v>85</v>
      </c>
      <c r="AQ87">
        <v>25</v>
      </c>
      <c r="AR87">
        <v>832</v>
      </c>
      <c r="AZ87">
        <v>1200</v>
      </c>
      <c r="BA87">
        <v>1</v>
      </c>
      <c r="BB87" t="str">
        <f t="shared" si="29"/>
        <v xml:space="preserve">N733KP  </v>
      </c>
      <c r="BC87">
        <v>1</v>
      </c>
      <c r="BE87">
        <v>0</v>
      </c>
      <c r="BF87">
        <v>0</v>
      </c>
      <c r="BG87">
        <v>0</v>
      </c>
      <c r="BH87">
        <v>1500</v>
      </c>
      <c r="BI87">
        <v>1</v>
      </c>
      <c r="BJ87">
        <v>1</v>
      </c>
      <c r="BK87">
        <v>0</v>
      </c>
      <c r="BL87">
        <v>0</v>
      </c>
      <c r="BO87">
        <v>0</v>
      </c>
      <c r="BP87">
        <v>0</v>
      </c>
      <c r="BW87" t="str">
        <f>"22:09:39.623"</f>
        <v>22:09:39.623</v>
      </c>
      <c r="CJ87">
        <v>0</v>
      </c>
      <c r="CK87">
        <v>1</v>
      </c>
      <c r="CL87">
        <v>0</v>
      </c>
      <c r="CM87">
        <v>2</v>
      </c>
      <c r="CN87">
        <v>0</v>
      </c>
      <c r="CO87">
        <v>6</v>
      </c>
      <c r="CP87" t="s">
        <v>119</v>
      </c>
      <c r="CQ87">
        <v>364</v>
      </c>
      <c r="CR87">
        <v>0</v>
      </c>
      <c r="CW87">
        <v>1367479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1</v>
      </c>
      <c r="DH87">
        <v>0</v>
      </c>
      <c r="DI87">
        <v>0</v>
      </c>
    </row>
    <row r="88" spans="1:113" x14ac:dyDescent="0.3">
      <c r="A88" t="str">
        <f>"03/24/2022 22:09:39.840"</f>
        <v>03/24/2022 22:09:39.840</v>
      </c>
      <c r="C88" t="str">
        <f t="shared" si="27"/>
        <v>FFDFD3C0</v>
      </c>
      <c r="D88" t="s">
        <v>113</v>
      </c>
      <c r="E88">
        <v>24</v>
      </c>
      <c r="F88">
        <v>2024</v>
      </c>
      <c r="G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 t="shared" si="28"/>
        <v>22:09:39.000</v>
      </c>
      <c r="T88" t="str">
        <f t="shared" si="28"/>
        <v>22:09:39.000</v>
      </c>
      <c r="U88" t="str">
        <f t="shared" si="22"/>
        <v>A9D71F</v>
      </c>
      <c r="V88">
        <v>0</v>
      </c>
      <c r="W88">
        <v>0</v>
      </c>
      <c r="X88">
        <v>2</v>
      </c>
      <c r="Z88">
        <v>1</v>
      </c>
      <c r="AA88">
        <v>0</v>
      </c>
      <c r="AB88">
        <v>3</v>
      </c>
      <c r="AC88">
        <v>0</v>
      </c>
      <c r="AD88">
        <v>9</v>
      </c>
      <c r="AE88">
        <v>0</v>
      </c>
      <c r="AF88">
        <v>3</v>
      </c>
      <c r="AG88">
        <v>1</v>
      </c>
      <c r="AH88">
        <v>0</v>
      </c>
      <c r="AI88" t="s">
        <v>164</v>
      </c>
      <c r="AJ88">
        <v>33.188324000000001</v>
      </c>
      <c r="AK88" t="s">
        <v>165</v>
      </c>
      <c r="AL88">
        <v>-97.821944000000002</v>
      </c>
      <c r="AM88">
        <v>25</v>
      </c>
      <c r="AN88">
        <v>1500</v>
      </c>
      <c r="AO88" t="s">
        <v>118</v>
      </c>
      <c r="AP88">
        <v>85</v>
      </c>
      <c r="AQ88">
        <v>25</v>
      </c>
      <c r="AR88">
        <v>832</v>
      </c>
      <c r="AZ88">
        <v>1200</v>
      </c>
      <c r="BA88">
        <v>1</v>
      </c>
      <c r="BB88" t="str">
        <f t="shared" si="29"/>
        <v xml:space="preserve">N733KP  </v>
      </c>
      <c r="BC88">
        <v>1</v>
      </c>
      <c r="BE88">
        <v>0</v>
      </c>
      <c r="BF88">
        <v>0</v>
      </c>
      <c r="BG88">
        <v>0</v>
      </c>
      <c r="BH88">
        <v>1500</v>
      </c>
      <c r="BI88">
        <v>1</v>
      </c>
      <c r="BJ88">
        <v>1</v>
      </c>
      <c r="BK88">
        <v>0</v>
      </c>
      <c r="BL88">
        <v>0</v>
      </c>
      <c r="BO88">
        <v>0</v>
      </c>
      <c r="BP88">
        <v>0</v>
      </c>
      <c r="BW88" t="str">
        <f>"22:09:39.623"</f>
        <v>22:09:39.623</v>
      </c>
      <c r="CJ88">
        <v>0</v>
      </c>
      <c r="CK88">
        <v>1</v>
      </c>
      <c r="CL88">
        <v>0</v>
      </c>
      <c r="CM88">
        <v>2</v>
      </c>
      <c r="CN88">
        <v>0</v>
      </c>
      <c r="CO88">
        <v>6</v>
      </c>
      <c r="CP88" t="s">
        <v>119</v>
      </c>
      <c r="CQ88">
        <v>364</v>
      </c>
      <c r="CR88">
        <v>0</v>
      </c>
      <c r="CW88">
        <v>1367479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1</v>
      </c>
      <c r="DH88">
        <v>0</v>
      </c>
      <c r="DI88">
        <v>0</v>
      </c>
    </row>
    <row r="89" spans="1:113" x14ac:dyDescent="0.3">
      <c r="A89" t="str">
        <f>"03/24/2022 22:09:39.840"</f>
        <v>03/24/2022 22:09:39.840</v>
      </c>
      <c r="C89" t="str">
        <f t="shared" si="27"/>
        <v>FFDFD3C0</v>
      </c>
      <c r="D89" t="s">
        <v>120</v>
      </c>
      <c r="E89">
        <v>14</v>
      </c>
      <c r="F89">
        <v>1014</v>
      </c>
      <c r="G89" t="s">
        <v>121</v>
      </c>
      <c r="J89" t="s">
        <v>122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 t="shared" si="28"/>
        <v>22:09:39.000</v>
      </c>
      <c r="T89" t="str">
        <f t="shared" si="28"/>
        <v>22:09:39.000</v>
      </c>
      <c r="U89" t="str">
        <f t="shared" si="22"/>
        <v>A9D71F</v>
      </c>
      <c r="V89">
        <v>0</v>
      </c>
      <c r="W89">
        <v>0</v>
      </c>
      <c r="X89">
        <v>2</v>
      </c>
      <c r="Z89">
        <v>1</v>
      </c>
      <c r="AA89">
        <v>0</v>
      </c>
      <c r="AB89">
        <v>3</v>
      </c>
      <c r="AC89">
        <v>0</v>
      </c>
      <c r="AD89">
        <v>9</v>
      </c>
      <c r="AE89">
        <v>0</v>
      </c>
      <c r="AF89">
        <v>3</v>
      </c>
      <c r="AG89">
        <v>1</v>
      </c>
      <c r="AH89">
        <v>0</v>
      </c>
      <c r="AI89" t="s">
        <v>164</v>
      </c>
      <c r="AJ89">
        <v>33.188324000000001</v>
      </c>
      <c r="AK89" t="s">
        <v>165</v>
      </c>
      <c r="AL89">
        <v>-97.821944000000002</v>
      </c>
      <c r="AM89">
        <v>25</v>
      </c>
      <c r="AN89">
        <v>1500</v>
      </c>
      <c r="AO89" t="s">
        <v>118</v>
      </c>
      <c r="AP89">
        <v>85</v>
      </c>
      <c r="AQ89">
        <v>25</v>
      </c>
      <c r="AR89">
        <v>832</v>
      </c>
      <c r="AZ89">
        <v>1200</v>
      </c>
      <c r="BA89">
        <v>1</v>
      </c>
      <c r="BB89" t="str">
        <f t="shared" si="29"/>
        <v xml:space="preserve">N733KP  </v>
      </c>
      <c r="BC89">
        <v>1</v>
      </c>
      <c r="BE89">
        <v>0</v>
      </c>
      <c r="BF89">
        <v>0</v>
      </c>
      <c r="BG89">
        <v>0</v>
      </c>
      <c r="BH89">
        <v>1500</v>
      </c>
      <c r="BI89">
        <v>1</v>
      </c>
      <c r="BJ89">
        <v>1</v>
      </c>
      <c r="BK89">
        <v>0</v>
      </c>
      <c r="BL89">
        <v>0</v>
      </c>
      <c r="BO89">
        <v>0</v>
      </c>
      <c r="BP89">
        <v>0</v>
      </c>
      <c r="BW89" t="str">
        <f>"22:09:39.623"</f>
        <v>22:09:39.623</v>
      </c>
      <c r="CJ89">
        <v>0</v>
      </c>
      <c r="CK89">
        <v>1</v>
      </c>
      <c r="CL89">
        <v>0</v>
      </c>
      <c r="CM89">
        <v>2</v>
      </c>
      <c r="CN89">
        <v>0</v>
      </c>
      <c r="CO89">
        <v>6</v>
      </c>
      <c r="CP89" t="s">
        <v>119</v>
      </c>
      <c r="CQ89">
        <v>364</v>
      </c>
      <c r="CR89">
        <v>0</v>
      </c>
      <c r="CW89">
        <v>1367479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1</v>
      </c>
      <c r="DH89">
        <v>0</v>
      </c>
      <c r="DI89">
        <v>0</v>
      </c>
    </row>
    <row r="90" spans="1:113" x14ac:dyDescent="0.3">
      <c r="A90" t="str">
        <f>"03/24/2022 22:09:40.449"</f>
        <v>03/24/2022 22:09:40.449</v>
      </c>
      <c r="C90" t="str">
        <f t="shared" si="27"/>
        <v>FFDFD3C0</v>
      </c>
      <c r="D90" t="s">
        <v>123</v>
      </c>
      <c r="E90">
        <v>8</v>
      </c>
      <c r="H90">
        <v>31</v>
      </c>
      <c r="I90" t="s">
        <v>124</v>
      </c>
      <c r="J90" t="s">
        <v>125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 t="shared" ref="S90:T93" si="30">"22:09:40.000"</f>
        <v>22:09:40.000</v>
      </c>
      <c r="T90" t="str">
        <f t="shared" si="30"/>
        <v>22:09:40.000</v>
      </c>
      <c r="U90" t="str">
        <f t="shared" si="22"/>
        <v>A9D71F</v>
      </c>
      <c r="V90">
        <v>0</v>
      </c>
      <c r="W90">
        <v>0</v>
      </c>
      <c r="X90">
        <v>2</v>
      </c>
      <c r="Z90">
        <v>1</v>
      </c>
      <c r="AA90">
        <v>0</v>
      </c>
      <c r="AB90">
        <v>3</v>
      </c>
      <c r="AC90">
        <v>0</v>
      </c>
      <c r="AD90">
        <v>9</v>
      </c>
      <c r="AE90">
        <v>0</v>
      </c>
      <c r="AF90">
        <v>3</v>
      </c>
      <c r="AG90">
        <v>1</v>
      </c>
      <c r="AH90">
        <v>0</v>
      </c>
      <c r="AI90" t="s">
        <v>166</v>
      </c>
      <c r="AJ90">
        <v>33.188453000000003</v>
      </c>
      <c r="AK90" t="s">
        <v>167</v>
      </c>
      <c r="AL90">
        <v>-97.821515000000005</v>
      </c>
      <c r="AM90">
        <v>25</v>
      </c>
      <c r="AN90">
        <v>1500</v>
      </c>
      <c r="AO90" t="s">
        <v>118</v>
      </c>
      <c r="AP90">
        <v>82</v>
      </c>
      <c r="AQ90">
        <v>25</v>
      </c>
      <c r="AR90">
        <v>832</v>
      </c>
      <c r="AZ90">
        <v>1200</v>
      </c>
      <c r="BA90">
        <v>1</v>
      </c>
      <c r="BB90" t="str">
        <f t="shared" si="29"/>
        <v xml:space="preserve">N733KP  </v>
      </c>
      <c r="BC90">
        <v>1</v>
      </c>
      <c r="BE90">
        <v>0</v>
      </c>
      <c r="BF90">
        <v>0</v>
      </c>
      <c r="BG90">
        <v>0</v>
      </c>
      <c r="BH90">
        <v>1500</v>
      </c>
      <c r="BI90">
        <v>1</v>
      </c>
      <c r="BJ90">
        <v>1</v>
      </c>
      <c r="BK90">
        <v>0</v>
      </c>
      <c r="BL90">
        <v>0</v>
      </c>
      <c r="BO90">
        <v>0</v>
      </c>
      <c r="BP90">
        <v>0</v>
      </c>
      <c r="BW90" t="str">
        <f>"22:09:40.248"</f>
        <v>22:09:40.248</v>
      </c>
      <c r="CJ90">
        <v>0</v>
      </c>
      <c r="CK90">
        <v>1</v>
      </c>
      <c r="CL90">
        <v>0</v>
      </c>
      <c r="CM90">
        <v>2</v>
      </c>
      <c r="CN90">
        <v>0</v>
      </c>
      <c r="CO90">
        <v>6</v>
      </c>
      <c r="CP90" t="s">
        <v>119</v>
      </c>
      <c r="CQ90">
        <v>364</v>
      </c>
      <c r="CR90">
        <v>0</v>
      </c>
      <c r="CW90">
        <v>1367565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1</v>
      </c>
      <c r="DH90">
        <v>0</v>
      </c>
      <c r="DI90">
        <v>0</v>
      </c>
    </row>
    <row r="91" spans="1:113" x14ac:dyDescent="0.3">
      <c r="A91" t="str">
        <f>"03/24/2022 22:09:40.449"</f>
        <v>03/24/2022 22:09:40.449</v>
      </c>
      <c r="C91" t="str">
        <f t="shared" si="27"/>
        <v>FFDFD3C0</v>
      </c>
      <c r="D91" t="s">
        <v>113</v>
      </c>
      <c r="E91">
        <v>24</v>
      </c>
      <c r="F91">
        <v>2024</v>
      </c>
      <c r="G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 t="shared" si="30"/>
        <v>22:09:40.000</v>
      </c>
      <c r="T91" t="str">
        <f t="shared" si="30"/>
        <v>22:09:40.000</v>
      </c>
      <c r="U91" t="str">
        <f t="shared" si="22"/>
        <v>A9D71F</v>
      </c>
      <c r="V91">
        <v>0</v>
      </c>
      <c r="W91">
        <v>0</v>
      </c>
      <c r="X91">
        <v>2</v>
      </c>
      <c r="Z91">
        <v>1</v>
      </c>
      <c r="AA91">
        <v>0</v>
      </c>
      <c r="AB91">
        <v>3</v>
      </c>
      <c r="AC91">
        <v>0</v>
      </c>
      <c r="AD91">
        <v>9</v>
      </c>
      <c r="AE91">
        <v>0</v>
      </c>
      <c r="AF91">
        <v>3</v>
      </c>
      <c r="AG91">
        <v>1</v>
      </c>
      <c r="AH91">
        <v>0</v>
      </c>
      <c r="AI91" t="s">
        <v>166</v>
      </c>
      <c r="AJ91">
        <v>33.188453000000003</v>
      </c>
      <c r="AK91" t="s">
        <v>167</v>
      </c>
      <c r="AL91">
        <v>-97.821515000000005</v>
      </c>
      <c r="AM91">
        <v>25</v>
      </c>
      <c r="AN91">
        <v>1500</v>
      </c>
      <c r="AO91" t="s">
        <v>118</v>
      </c>
      <c r="AP91">
        <v>82</v>
      </c>
      <c r="AQ91">
        <v>25</v>
      </c>
      <c r="AR91">
        <v>832</v>
      </c>
      <c r="AZ91">
        <v>1200</v>
      </c>
      <c r="BA91">
        <v>1</v>
      </c>
      <c r="BB91" t="str">
        <f t="shared" si="29"/>
        <v xml:space="preserve">N733KP  </v>
      </c>
      <c r="BC91">
        <v>1</v>
      </c>
      <c r="BE91">
        <v>0</v>
      </c>
      <c r="BF91">
        <v>0</v>
      </c>
      <c r="BG91">
        <v>0</v>
      </c>
      <c r="BH91">
        <v>1500</v>
      </c>
      <c r="BI91">
        <v>1</v>
      </c>
      <c r="BJ91">
        <v>1</v>
      </c>
      <c r="BK91">
        <v>0</v>
      </c>
      <c r="BL91">
        <v>0</v>
      </c>
      <c r="BO91">
        <v>0</v>
      </c>
      <c r="BP91">
        <v>0</v>
      </c>
      <c r="BW91" t="str">
        <f>"22:09:40.248"</f>
        <v>22:09:40.248</v>
      </c>
      <c r="CJ91">
        <v>0</v>
      </c>
      <c r="CK91">
        <v>1</v>
      </c>
      <c r="CL91">
        <v>0</v>
      </c>
      <c r="CM91">
        <v>2</v>
      </c>
      <c r="CN91">
        <v>0</v>
      </c>
      <c r="CO91">
        <v>6</v>
      </c>
      <c r="CP91" t="s">
        <v>119</v>
      </c>
      <c r="CQ91">
        <v>364</v>
      </c>
      <c r="CR91">
        <v>0</v>
      </c>
      <c r="CW91">
        <v>1367565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1</v>
      </c>
      <c r="DH91">
        <v>0</v>
      </c>
      <c r="DI91">
        <v>0</v>
      </c>
    </row>
    <row r="92" spans="1:113" x14ac:dyDescent="0.3">
      <c r="A92" t="str">
        <f>"03/24/2022 22:09:40.480"</f>
        <v>03/24/2022 22:09:40.480</v>
      </c>
      <c r="C92" t="str">
        <f t="shared" si="27"/>
        <v>FFDFD3C0</v>
      </c>
      <c r="D92" t="s">
        <v>120</v>
      </c>
      <c r="E92">
        <v>14</v>
      </c>
      <c r="F92">
        <v>1014</v>
      </c>
      <c r="G92" t="s">
        <v>121</v>
      </c>
      <c r="J92" t="s">
        <v>122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 t="shared" si="30"/>
        <v>22:09:40.000</v>
      </c>
      <c r="T92" t="str">
        <f t="shared" si="30"/>
        <v>22:09:40.000</v>
      </c>
      <c r="U92" t="str">
        <f t="shared" si="22"/>
        <v>A9D71F</v>
      </c>
      <c r="V92">
        <v>0</v>
      </c>
      <c r="W92">
        <v>0</v>
      </c>
      <c r="X92">
        <v>2</v>
      </c>
      <c r="Z92">
        <v>1</v>
      </c>
      <c r="AA92">
        <v>0</v>
      </c>
      <c r="AB92">
        <v>3</v>
      </c>
      <c r="AC92">
        <v>0</v>
      </c>
      <c r="AD92">
        <v>9</v>
      </c>
      <c r="AE92">
        <v>0</v>
      </c>
      <c r="AF92">
        <v>3</v>
      </c>
      <c r="AG92">
        <v>1</v>
      </c>
      <c r="AH92">
        <v>0</v>
      </c>
      <c r="AI92" t="s">
        <v>166</v>
      </c>
      <c r="AJ92">
        <v>33.188453000000003</v>
      </c>
      <c r="AK92" t="s">
        <v>167</v>
      </c>
      <c r="AL92">
        <v>-97.821515000000005</v>
      </c>
      <c r="AM92">
        <v>25</v>
      </c>
      <c r="AN92">
        <v>1500</v>
      </c>
      <c r="AO92" t="s">
        <v>118</v>
      </c>
      <c r="AP92">
        <v>82</v>
      </c>
      <c r="AQ92">
        <v>25</v>
      </c>
      <c r="AR92">
        <v>832</v>
      </c>
      <c r="AZ92">
        <v>1200</v>
      </c>
      <c r="BA92">
        <v>1</v>
      </c>
      <c r="BB92" t="str">
        <f t="shared" si="29"/>
        <v xml:space="preserve">N733KP  </v>
      </c>
      <c r="BC92">
        <v>1</v>
      </c>
      <c r="BE92">
        <v>0</v>
      </c>
      <c r="BF92">
        <v>0</v>
      </c>
      <c r="BG92">
        <v>0</v>
      </c>
      <c r="BH92">
        <v>1500</v>
      </c>
      <c r="BI92">
        <v>1</v>
      </c>
      <c r="BJ92">
        <v>1</v>
      </c>
      <c r="BK92">
        <v>0</v>
      </c>
      <c r="BL92">
        <v>0</v>
      </c>
      <c r="BO92">
        <v>0</v>
      </c>
      <c r="BP92">
        <v>0</v>
      </c>
      <c r="BW92" t="str">
        <f>"22:09:40.248"</f>
        <v>22:09:40.248</v>
      </c>
      <c r="CJ92">
        <v>0</v>
      </c>
      <c r="CK92">
        <v>1</v>
      </c>
      <c r="CL92">
        <v>0</v>
      </c>
      <c r="CM92">
        <v>2</v>
      </c>
      <c r="CN92">
        <v>0</v>
      </c>
      <c r="CO92">
        <v>6</v>
      </c>
      <c r="CP92" t="s">
        <v>119</v>
      </c>
      <c r="CQ92">
        <v>364</v>
      </c>
      <c r="CR92">
        <v>0</v>
      </c>
      <c r="CW92">
        <v>1367565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1</v>
      </c>
      <c r="DH92">
        <v>0</v>
      </c>
      <c r="DI92">
        <v>0</v>
      </c>
    </row>
    <row r="93" spans="1:113" x14ac:dyDescent="0.3">
      <c r="A93" t="str">
        <f>"03/24/2022 22:09:40.449"</f>
        <v>03/24/2022 22:09:40.449</v>
      </c>
      <c r="C93" t="str">
        <f t="shared" si="27"/>
        <v>FFDFD3C0</v>
      </c>
      <c r="D93" t="s">
        <v>126</v>
      </c>
      <c r="E93">
        <v>3</v>
      </c>
      <c r="H93">
        <v>160</v>
      </c>
      <c r="I93" t="s">
        <v>121</v>
      </c>
      <c r="J93" t="s">
        <v>127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 t="shared" si="30"/>
        <v>22:09:40.000</v>
      </c>
      <c r="T93" t="str">
        <f t="shared" si="30"/>
        <v>22:09:40.000</v>
      </c>
      <c r="U93" t="str">
        <f t="shared" si="22"/>
        <v>A9D71F</v>
      </c>
      <c r="V93">
        <v>0</v>
      </c>
      <c r="W93">
        <v>0</v>
      </c>
      <c r="X93">
        <v>2</v>
      </c>
      <c r="Z93">
        <v>1</v>
      </c>
      <c r="AA93">
        <v>0</v>
      </c>
      <c r="AB93">
        <v>3</v>
      </c>
      <c r="AC93">
        <v>0</v>
      </c>
      <c r="AD93">
        <v>9</v>
      </c>
      <c r="AE93">
        <v>0</v>
      </c>
      <c r="AF93">
        <v>3</v>
      </c>
      <c r="AG93">
        <v>1</v>
      </c>
      <c r="AH93">
        <v>0</v>
      </c>
      <c r="AI93" t="s">
        <v>166</v>
      </c>
      <c r="AJ93">
        <v>33.188453000000003</v>
      </c>
      <c r="AK93" t="s">
        <v>167</v>
      </c>
      <c r="AL93">
        <v>-97.821515000000005</v>
      </c>
      <c r="AM93">
        <v>25</v>
      </c>
      <c r="AN93">
        <v>1500</v>
      </c>
      <c r="AO93" t="s">
        <v>118</v>
      </c>
      <c r="AP93">
        <v>82</v>
      </c>
      <c r="AQ93">
        <v>25</v>
      </c>
      <c r="AR93">
        <v>832</v>
      </c>
      <c r="AZ93">
        <v>1200</v>
      </c>
      <c r="BA93">
        <v>1</v>
      </c>
      <c r="BB93" t="str">
        <f t="shared" si="29"/>
        <v xml:space="preserve">N733KP  </v>
      </c>
      <c r="BC93">
        <v>1</v>
      </c>
      <c r="BE93">
        <v>0</v>
      </c>
      <c r="BF93">
        <v>0</v>
      </c>
      <c r="BG93">
        <v>0</v>
      </c>
      <c r="BH93">
        <v>1500</v>
      </c>
      <c r="BI93">
        <v>1</v>
      </c>
      <c r="BJ93">
        <v>1</v>
      </c>
      <c r="BK93">
        <v>0</v>
      </c>
      <c r="BL93">
        <v>0</v>
      </c>
      <c r="BO93">
        <v>0</v>
      </c>
      <c r="BP93">
        <v>0</v>
      </c>
      <c r="BW93" t="str">
        <f>"22:09:40.248"</f>
        <v>22:09:40.248</v>
      </c>
      <c r="CJ93">
        <v>0</v>
      </c>
      <c r="CK93">
        <v>1</v>
      </c>
      <c r="CL93">
        <v>0</v>
      </c>
      <c r="CM93">
        <v>2</v>
      </c>
      <c r="CN93">
        <v>0</v>
      </c>
      <c r="CO93">
        <v>6</v>
      </c>
      <c r="CP93" t="s">
        <v>119</v>
      </c>
      <c r="CQ93">
        <v>364</v>
      </c>
      <c r="CR93">
        <v>0</v>
      </c>
      <c r="CW93">
        <v>1367565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1</v>
      </c>
      <c r="DH93">
        <v>0</v>
      </c>
      <c r="DI93">
        <v>0</v>
      </c>
    </row>
    <row r="94" spans="1:113" x14ac:dyDescent="0.3">
      <c r="A94" t="str">
        <f>"03/24/2022 22:09:43.200"</f>
        <v>03/24/2022 22:09:43.200</v>
      </c>
      <c r="C94" t="str">
        <f t="shared" si="27"/>
        <v>FFDFD3C0</v>
      </c>
      <c r="D94" t="s">
        <v>120</v>
      </c>
      <c r="E94">
        <v>14</v>
      </c>
      <c r="F94">
        <v>1014</v>
      </c>
      <c r="G94" t="s">
        <v>121</v>
      </c>
      <c r="J94" t="s">
        <v>122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 t="shared" ref="S94:T97" si="31">"22:09:42.000"</f>
        <v>22:09:42.000</v>
      </c>
      <c r="T94" t="str">
        <f t="shared" si="31"/>
        <v>22:09:42.000</v>
      </c>
      <c r="U94" t="str">
        <f t="shared" si="22"/>
        <v>A9D71F</v>
      </c>
      <c r="V94">
        <v>0</v>
      </c>
      <c r="W94">
        <v>0</v>
      </c>
      <c r="X94">
        <v>2</v>
      </c>
      <c r="Z94">
        <v>1</v>
      </c>
      <c r="AA94">
        <v>0</v>
      </c>
      <c r="AB94">
        <v>3</v>
      </c>
      <c r="AC94">
        <v>0</v>
      </c>
      <c r="AD94">
        <v>9</v>
      </c>
      <c r="AE94">
        <v>0</v>
      </c>
      <c r="AF94">
        <v>3</v>
      </c>
      <c r="AG94">
        <v>1</v>
      </c>
      <c r="AH94">
        <v>0</v>
      </c>
      <c r="AI94" t="s">
        <v>168</v>
      </c>
      <c r="AJ94">
        <v>33.188688999999997</v>
      </c>
      <c r="AK94" t="s">
        <v>169</v>
      </c>
      <c r="AL94">
        <v>-97.820549</v>
      </c>
      <c r="AM94">
        <v>25</v>
      </c>
      <c r="AN94">
        <v>1500</v>
      </c>
      <c r="AO94" t="s">
        <v>118</v>
      </c>
      <c r="AP94">
        <v>83</v>
      </c>
      <c r="AQ94">
        <v>16</v>
      </c>
      <c r="AR94">
        <v>896</v>
      </c>
      <c r="AZ94">
        <v>1200</v>
      </c>
      <c r="BA94">
        <v>1</v>
      </c>
      <c r="BB94" t="str">
        <f t="shared" si="29"/>
        <v xml:space="preserve">N733KP  </v>
      </c>
      <c r="BC94">
        <v>1</v>
      </c>
      <c r="BE94">
        <v>0</v>
      </c>
      <c r="BF94">
        <v>0</v>
      </c>
      <c r="BG94">
        <v>0</v>
      </c>
      <c r="BH94">
        <v>1550</v>
      </c>
      <c r="BI94">
        <v>1</v>
      </c>
      <c r="BJ94">
        <v>1</v>
      </c>
      <c r="BK94">
        <v>0</v>
      </c>
      <c r="BL94">
        <v>0</v>
      </c>
      <c r="BO94">
        <v>0</v>
      </c>
      <c r="BP94">
        <v>0</v>
      </c>
      <c r="BW94" t="str">
        <f>"22:09:42.891"</f>
        <v>22:09:42.891</v>
      </c>
      <c r="CJ94">
        <v>0</v>
      </c>
      <c r="CK94">
        <v>1</v>
      </c>
      <c r="CL94">
        <v>0</v>
      </c>
      <c r="CM94">
        <v>2</v>
      </c>
      <c r="CN94">
        <v>0</v>
      </c>
      <c r="CO94">
        <v>6</v>
      </c>
      <c r="CP94" t="s">
        <v>119</v>
      </c>
      <c r="CQ94">
        <v>364</v>
      </c>
      <c r="CR94">
        <v>0</v>
      </c>
      <c r="CW94">
        <v>1367947</v>
      </c>
      <c r="CY94">
        <v>1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1</v>
      </c>
      <c r="DH94">
        <v>0</v>
      </c>
      <c r="DI94">
        <v>0</v>
      </c>
    </row>
    <row r="95" spans="1:113" x14ac:dyDescent="0.3">
      <c r="A95" t="str">
        <f>"03/24/2022 22:09:43.200"</f>
        <v>03/24/2022 22:09:43.200</v>
      </c>
      <c r="C95" t="str">
        <f t="shared" si="27"/>
        <v>FFDFD3C0</v>
      </c>
      <c r="D95" t="s">
        <v>126</v>
      </c>
      <c r="E95">
        <v>3</v>
      </c>
      <c r="H95">
        <v>160</v>
      </c>
      <c r="I95" t="s">
        <v>121</v>
      </c>
      <c r="J95" t="s">
        <v>127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 t="shared" si="31"/>
        <v>22:09:42.000</v>
      </c>
      <c r="T95" t="str">
        <f t="shared" si="31"/>
        <v>22:09:42.000</v>
      </c>
      <c r="U95" t="str">
        <f t="shared" si="22"/>
        <v>A9D71F</v>
      </c>
      <c r="V95">
        <v>0</v>
      </c>
      <c r="W95">
        <v>0</v>
      </c>
      <c r="X95">
        <v>2</v>
      </c>
      <c r="Z95">
        <v>1</v>
      </c>
      <c r="AA95">
        <v>0</v>
      </c>
      <c r="AB95">
        <v>3</v>
      </c>
      <c r="AC95">
        <v>0</v>
      </c>
      <c r="AD95">
        <v>9</v>
      </c>
      <c r="AE95">
        <v>0</v>
      </c>
      <c r="AF95">
        <v>3</v>
      </c>
      <c r="AG95">
        <v>1</v>
      </c>
      <c r="AH95">
        <v>0</v>
      </c>
      <c r="AI95" t="s">
        <v>168</v>
      </c>
      <c r="AJ95">
        <v>33.188688999999997</v>
      </c>
      <c r="AK95" t="s">
        <v>169</v>
      </c>
      <c r="AL95">
        <v>-97.820549</v>
      </c>
      <c r="AM95">
        <v>25</v>
      </c>
      <c r="AN95">
        <v>1500</v>
      </c>
      <c r="AO95" t="s">
        <v>118</v>
      </c>
      <c r="AP95">
        <v>83</v>
      </c>
      <c r="AQ95">
        <v>16</v>
      </c>
      <c r="AR95">
        <v>896</v>
      </c>
      <c r="AZ95">
        <v>1200</v>
      </c>
      <c r="BA95">
        <v>1</v>
      </c>
      <c r="BB95" t="str">
        <f t="shared" si="29"/>
        <v xml:space="preserve">N733KP  </v>
      </c>
      <c r="BC95">
        <v>1</v>
      </c>
      <c r="BE95">
        <v>0</v>
      </c>
      <c r="BF95">
        <v>0</v>
      </c>
      <c r="BG95">
        <v>0</v>
      </c>
      <c r="BH95">
        <v>1550</v>
      </c>
      <c r="BI95">
        <v>1</v>
      </c>
      <c r="BJ95">
        <v>1</v>
      </c>
      <c r="BK95">
        <v>0</v>
      </c>
      <c r="BL95">
        <v>0</v>
      </c>
      <c r="BO95">
        <v>0</v>
      </c>
      <c r="BP95">
        <v>0</v>
      </c>
      <c r="BW95" t="str">
        <f>"22:09:42.891"</f>
        <v>22:09:42.891</v>
      </c>
      <c r="CJ95">
        <v>0</v>
      </c>
      <c r="CK95">
        <v>1</v>
      </c>
      <c r="CL95">
        <v>0</v>
      </c>
      <c r="CM95">
        <v>2</v>
      </c>
      <c r="CN95">
        <v>0</v>
      </c>
      <c r="CO95">
        <v>6</v>
      </c>
      <c r="CP95" t="s">
        <v>119</v>
      </c>
      <c r="CQ95">
        <v>364</v>
      </c>
      <c r="CR95">
        <v>0</v>
      </c>
      <c r="CW95">
        <v>1367947</v>
      </c>
      <c r="CY95">
        <v>1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1</v>
      </c>
      <c r="DH95">
        <v>0</v>
      </c>
      <c r="DI95">
        <v>0</v>
      </c>
    </row>
    <row r="96" spans="1:113" x14ac:dyDescent="0.3">
      <c r="A96" t="str">
        <f>"03/24/2022 22:09:43.200"</f>
        <v>03/24/2022 22:09:43.200</v>
      </c>
      <c r="C96" t="str">
        <f t="shared" si="27"/>
        <v>FFDFD3C0</v>
      </c>
      <c r="D96" t="s">
        <v>123</v>
      </c>
      <c r="E96">
        <v>8</v>
      </c>
      <c r="H96">
        <v>31</v>
      </c>
      <c r="I96" t="s">
        <v>124</v>
      </c>
      <c r="J96" t="s">
        <v>125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 t="shared" si="31"/>
        <v>22:09:42.000</v>
      </c>
      <c r="T96" t="str">
        <f t="shared" si="31"/>
        <v>22:09:42.000</v>
      </c>
      <c r="U96" t="str">
        <f t="shared" si="22"/>
        <v>A9D71F</v>
      </c>
      <c r="V96">
        <v>0</v>
      </c>
      <c r="W96">
        <v>0</v>
      </c>
      <c r="X96">
        <v>2</v>
      </c>
      <c r="Z96">
        <v>1</v>
      </c>
      <c r="AA96">
        <v>0</v>
      </c>
      <c r="AB96">
        <v>3</v>
      </c>
      <c r="AC96">
        <v>0</v>
      </c>
      <c r="AD96">
        <v>9</v>
      </c>
      <c r="AE96">
        <v>0</v>
      </c>
      <c r="AF96">
        <v>3</v>
      </c>
      <c r="AG96">
        <v>1</v>
      </c>
      <c r="AH96">
        <v>0</v>
      </c>
      <c r="AI96" t="s">
        <v>168</v>
      </c>
      <c r="AJ96">
        <v>33.188688999999997</v>
      </c>
      <c r="AK96" t="s">
        <v>169</v>
      </c>
      <c r="AL96">
        <v>-97.820549</v>
      </c>
      <c r="AM96">
        <v>25</v>
      </c>
      <c r="AN96">
        <v>1500</v>
      </c>
      <c r="AO96" t="s">
        <v>118</v>
      </c>
      <c r="AP96">
        <v>83</v>
      </c>
      <c r="AQ96">
        <v>16</v>
      </c>
      <c r="AR96">
        <v>896</v>
      </c>
      <c r="AZ96">
        <v>1200</v>
      </c>
      <c r="BA96">
        <v>1</v>
      </c>
      <c r="BB96" t="str">
        <f t="shared" si="29"/>
        <v xml:space="preserve">N733KP  </v>
      </c>
      <c r="BC96">
        <v>1</v>
      </c>
      <c r="BE96">
        <v>0</v>
      </c>
      <c r="BF96">
        <v>0</v>
      </c>
      <c r="BG96">
        <v>0</v>
      </c>
      <c r="BH96">
        <v>1550</v>
      </c>
      <c r="BI96">
        <v>1</v>
      </c>
      <c r="BJ96">
        <v>1</v>
      </c>
      <c r="BK96">
        <v>0</v>
      </c>
      <c r="BL96">
        <v>0</v>
      </c>
      <c r="BO96">
        <v>0</v>
      </c>
      <c r="BP96">
        <v>0</v>
      </c>
      <c r="BW96" t="str">
        <f>"22:09:42.891"</f>
        <v>22:09:42.891</v>
      </c>
      <c r="CJ96">
        <v>0</v>
      </c>
      <c r="CK96">
        <v>1</v>
      </c>
      <c r="CL96">
        <v>0</v>
      </c>
      <c r="CM96">
        <v>2</v>
      </c>
      <c r="CN96">
        <v>0</v>
      </c>
      <c r="CO96">
        <v>6</v>
      </c>
      <c r="CP96" t="s">
        <v>119</v>
      </c>
      <c r="CQ96">
        <v>364</v>
      </c>
      <c r="CR96">
        <v>0</v>
      </c>
      <c r="CW96">
        <v>1367947</v>
      </c>
      <c r="CY96">
        <v>1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1</v>
      </c>
      <c r="DH96">
        <v>0</v>
      </c>
      <c r="DI96">
        <v>0</v>
      </c>
    </row>
    <row r="97" spans="1:113" x14ac:dyDescent="0.3">
      <c r="A97" t="str">
        <f>"03/24/2022 22:09:43.200"</f>
        <v>03/24/2022 22:09:43.200</v>
      </c>
      <c r="C97" t="str">
        <f t="shared" si="27"/>
        <v>FFDFD3C0</v>
      </c>
      <c r="D97" t="s">
        <v>113</v>
      </c>
      <c r="E97">
        <v>24</v>
      </c>
      <c r="F97">
        <v>2024</v>
      </c>
      <c r="G97" t="s">
        <v>114</v>
      </c>
      <c r="J97" t="s">
        <v>115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 t="shared" si="31"/>
        <v>22:09:42.000</v>
      </c>
      <c r="T97" t="str">
        <f t="shared" si="31"/>
        <v>22:09:42.000</v>
      </c>
      <c r="U97" t="str">
        <f t="shared" si="22"/>
        <v>A9D71F</v>
      </c>
      <c r="V97">
        <v>0</v>
      </c>
      <c r="W97">
        <v>0</v>
      </c>
      <c r="X97">
        <v>2</v>
      </c>
      <c r="Z97">
        <v>1</v>
      </c>
      <c r="AA97">
        <v>0</v>
      </c>
      <c r="AB97">
        <v>3</v>
      </c>
      <c r="AC97">
        <v>0</v>
      </c>
      <c r="AD97">
        <v>9</v>
      </c>
      <c r="AE97">
        <v>0</v>
      </c>
      <c r="AF97">
        <v>3</v>
      </c>
      <c r="AG97">
        <v>1</v>
      </c>
      <c r="AH97">
        <v>0</v>
      </c>
      <c r="AI97" t="s">
        <v>168</v>
      </c>
      <c r="AJ97">
        <v>33.188688999999997</v>
      </c>
      <c r="AK97" t="s">
        <v>169</v>
      </c>
      <c r="AL97">
        <v>-97.820549</v>
      </c>
      <c r="AM97">
        <v>25</v>
      </c>
      <c r="AN97">
        <v>1500</v>
      </c>
      <c r="AO97" t="s">
        <v>118</v>
      </c>
      <c r="AP97">
        <v>83</v>
      </c>
      <c r="AQ97">
        <v>16</v>
      </c>
      <c r="AR97">
        <v>896</v>
      </c>
      <c r="AZ97">
        <v>1200</v>
      </c>
      <c r="BA97">
        <v>1</v>
      </c>
      <c r="BB97" t="str">
        <f t="shared" si="29"/>
        <v xml:space="preserve">N733KP  </v>
      </c>
      <c r="BC97">
        <v>1</v>
      </c>
      <c r="BE97">
        <v>0</v>
      </c>
      <c r="BF97">
        <v>0</v>
      </c>
      <c r="BG97">
        <v>0</v>
      </c>
      <c r="BH97">
        <v>1550</v>
      </c>
      <c r="BI97">
        <v>1</v>
      </c>
      <c r="BJ97">
        <v>1</v>
      </c>
      <c r="BK97">
        <v>0</v>
      </c>
      <c r="BL97">
        <v>0</v>
      </c>
      <c r="BO97">
        <v>0</v>
      </c>
      <c r="BP97">
        <v>0</v>
      </c>
      <c r="BW97" t="str">
        <f>"22:09:42.891"</f>
        <v>22:09:42.891</v>
      </c>
      <c r="CJ97">
        <v>0</v>
      </c>
      <c r="CK97">
        <v>1</v>
      </c>
      <c r="CL97">
        <v>0</v>
      </c>
      <c r="CM97">
        <v>2</v>
      </c>
      <c r="CN97">
        <v>0</v>
      </c>
      <c r="CO97">
        <v>6</v>
      </c>
      <c r="CP97" t="s">
        <v>119</v>
      </c>
      <c r="CQ97">
        <v>364</v>
      </c>
      <c r="CR97">
        <v>0</v>
      </c>
      <c r="CW97">
        <v>1367947</v>
      </c>
      <c r="CY97">
        <v>1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1</v>
      </c>
      <c r="DH97">
        <v>0</v>
      </c>
      <c r="DI97">
        <v>0</v>
      </c>
    </row>
    <row r="98" spans="1:113" x14ac:dyDescent="0.3">
      <c r="A98" t="str">
        <f>"03/24/2022 22:09:44.249"</f>
        <v>03/24/2022 22:09:44.249</v>
      </c>
      <c r="C98" t="str">
        <f t="shared" si="27"/>
        <v>FFDFD3C0</v>
      </c>
      <c r="D98" t="s">
        <v>126</v>
      </c>
      <c r="E98">
        <v>3</v>
      </c>
      <c r="H98">
        <v>160</v>
      </c>
      <c r="I98" t="s">
        <v>121</v>
      </c>
      <c r="J98" t="s">
        <v>127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 t="shared" ref="S98:T101" si="32">"22:09:43.000"</f>
        <v>22:09:43.000</v>
      </c>
      <c r="T98" t="str">
        <f t="shared" si="32"/>
        <v>22:09:43.000</v>
      </c>
      <c r="U98" t="str">
        <f t="shared" si="22"/>
        <v>A9D71F</v>
      </c>
      <c r="V98">
        <v>0</v>
      </c>
      <c r="W98">
        <v>0</v>
      </c>
      <c r="X98">
        <v>2</v>
      </c>
      <c r="Z98">
        <v>1</v>
      </c>
      <c r="AA98">
        <v>0</v>
      </c>
      <c r="AB98">
        <v>3</v>
      </c>
      <c r="AC98">
        <v>0</v>
      </c>
      <c r="AD98">
        <v>9</v>
      </c>
      <c r="AE98">
        <v>0</v>
      </c>
      <c r="AF98">
        <v>3</v>
      </c>
      <c r="AG98">
        <v>1</v>
      </c>
      <c r="AH98">
        <v>0</v>
      </c>
      <c r="AI98" t="s">
        <v>170</v>
      </c>
      <c r="AJ98">
        <v>33.188752999999998</v>
      </c>
      <c r="AK98" t="s">
        <v>171</v>
      </c>
      <c r="AL98">
        <v>-97.820054999999996</v>
      </c>
      <c r="AM98">
        <v>25</v>
      </c>
      <c r="AN98">
        <v>1600</v>
      </c>
      <c r="AO98" t="s">
        <v>118</v>
      </c>
      <c r="AP98">
        <v>85</v>
      </c>
      <c r="AQ98">
        <v>10</v>
      </c>
      <c r="AR98">
        <v>1024</v>
      </c>
      <c r="AZ98">
        <v>1200</v>
      </c>
      <c r="BA98">
        <v>1</v>
      </c>
      <c r="BB98" t="str">
        <f t="shared" si="29"/>
        <v xml:space="preserve">N733KP  </v>
      </c>
      <c r="BC98">
        <v>1</v>
      </c>
      <c r="BE98">
        <v>0</v>
      </c>
      <c r="BF98">
        <v>0</v>
      </c>
      <c r="BG98">
        <v>0</v>
      </c>
      <c r="BH98">
        <v>1550</v>
      </c>
      <c r="BI98">
        <v>1</v>
      </c>
      <c r="BJ98">
        <v>1</v>
      </c>
      <c r="BK98">
        <v>0</v>
      </c>
      <c r="BL98">
        <v>0</v>
      </c>
      <c r="BO98">
        <v>0</v>
      </c>
      <c r="BP98">
        <v>0</v>
      </c>
      <c r="BW98" t="str">
        <f>"22:09:43.917"</f>
        <v>22:09:43.917</v>
      </c>
      <c r="CJ98">
        <v>0</v>
      </c>
      <c r="CK98">
        <v>1</v>
      </c>
      <c r="CL98">
        <v>0</v>
      </c>
      <c r="CM98">
        <v>2</v>
      </c>
      <c r="CN98">
        <v>0</v>
      </c>
      <c r="CO98">
        <v>6</v>
      </c>
      <c r="CP98" t="s">
        <v>119</v>
      </c>
      <c r="CQ98">
        <v>364</v>
      </c>
      <c r="CR98">
        <v>0</v>
      </c>
      <c r="CW98">
        <v>1368092</v>
      </c>
      <c r="CY98">
        <v>1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1</v>
      </c>
      <c r="DH98">
        <v>0</v>
      </c>
      <c r="DI98">
        <v>0</v>
      </c>
    </row>
    <row r="99" spans="1:113" x14ac:dyDescent="0.3">
      <c r="A99" t="str">
        <f>"03/24/2022 22:09:44.249"</f>
        <v>03/24/2022 22:09:44.249</v>
      </c>
      <c r="C99" t="str">
        <f t="shared" si="27"/>
        <v>FFDFD3C0</v>
      </c>
      <c r="D99" t="s">
        <v>120</v>
      </c>
      <c r="E99">
        <v>14</v>
      </c>
      <c r="F99">
        <v>1014</v>
      </c>
      <c r="G99" t="s">
        <v>121</v>
      </c>
      <c r="J99" t="s">
        <v>122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 t="shared" si="32"/>
        <v>22:09:43.000</v>
      </c>
      <c r="T99" t="str">
        <f t="shared" si="32"/>
        <v>22:09:43.000</v>
      </c>
      <c r="U99" t="str">
        <f t="shared" si="22"/>
        <v>A9D71F</v>
      </c>
      <c r="V99">
        <v>0</v>
      </c>
      <c r="W99">
        <v>0</v>
      </c>
      <c r="X99">
        <v>2</v>
      </c>
      <c r="Z99">
        <v>1</v>
      </c>
      <c r="AA99">
        <v>0</v>
      </c>
      <c r="AB99">
        <v>3</v>
      </c>
      <c r="AC99">
        <v>0</v>
      </c>
      <c r="AD99">
        <v>9</v>
      </c>
      <c r="AE99">
        <v>0</v>
      </c>
      <c r="AF99">
        <v>3</v>
      </c>
      <c r="AG99">
        <v>1</v>
      </c>
      <c r="AH99">
        <v>0</v>
      </c>
      <c r="AI99" t="s">
        <v>170</v>
      </c>
      <c r="AJ99">
        <v>33.188752999999998</v>
      </c>
      <c r="AK99" t="s">
        <v>171</v>
      </c>
      <c r="AL99">
        <v>-97.820054999999996</v>
      </c>
      <c r="AM99">
        <v>25</v>
      </c>
      <c r="AN99">
        <v>1600</v>
      </c>
      <c r="AO99" t="s">
        <v>118</v>
      </c>
      <c r="AP99">
        <v>85</v>
      </c>
      <c r="AQ99">
        <v>10</v>
      </c>
      <c r="AR99">
        <v>1024</v>
      </c>
      <c r="AZ99">
        <v>1200</v>
      </c>
      <c r="BA99">
        <v>1</v>
      </c>
      <c r="BB99" t="str">
        <f t="shared" si="29"/>
        <v xml:space="preserve">N733KP  </v>
      </c>
      <c r="BC99">
        <v>1</v>
      </c>
      <c r="BE99">
        <v>0</v>
      </c>
      <c r="BF99">
        <v>0</v>
      </c>
      <c r="BG99">
        <v>0</v>
      </c>
      <c r="BH99">
        <v>1550</v>
      </c>
      <c r="BI99">
        <v>1</v>
      </c>
      <c r="BJ99">
        <v>1</v>
      </c>
      <c r="BK99">
        <v>0</v>
      </c>
      <c r="BL99">
        <v>0</v>
      </c>
      <c r="BO99">
        <v>0</v>
      </c>
      <c r="BP99">
        <v>0</v>
      </c>
      <c r="BW99" t="str">
        <f>"22:09:43.917"</f>
        <v>22:09:43.917</v>
      </c>
      <c r="CJ99">
        <v>0</v>
      </c>
      <c r="CK99">
        <v>1</v>
      </c>
      <c r="CL99">
        <v>0</v>
      </c>
      <c r="CM99">
        <v>2</v>
      </c>
      <c r="CN99">
        <v>0</v>
      </c>
      <c r="CO99">
        <v>6</v>
      </c>
      <c r="CP99" t="s">
        <v>119</v>
      </c>
      <c r="CQ99">
        <v>364</v>
      </c>
      <c r="CR99">
        <v>0</v>
      </c>
      <c r="CW99">
        <v>1368092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1</v>
      </c>
      <c r="DH99">
        <v>0</v>
      </c>
      <c r="DI99">
        <v>0</v>
      </c>
    </row>
    <row r="100" spans="1:113" x14ac:dyDescent="0.3">
      <c r="A100" t="str">
        <f>"03/24/2022 22:09:44.249"</f>
        <v>03/24/2022 22:09:44.249</v>
      </c>
      <c r="C100" t="str">
        <f t="shared" si="27"/>
        <v>FFDFD3C0</v>
      </c>
      <c r="D100" t="s">
        <v>123</v>
      </c>
      <c r="E100">
        <v>8</v>
      </c>
      <c r="H100">
        <v>31</v>
      </c>
      <c r="I100" t="s">
        <v>124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 t="shared" si="32"/>
        <v>22:09:43.000</v>
      </c>
      <c r="T100" t="str">
        <f t="shared" si="32"/>
        <v>22:09:43.000</v>
      </c>
      <c r="U100" t="str">
        <f t="shared" si="22"/>
        <v>A9D71F</v>
      </c>
      <c r="V100">
        <v>0</v>
      </c>
      <c r="W100">
        <v>0</v>
      </c>
      <c r="X100">
        <v>2</v>
      </c>
      <c r="Z100">
        <v>1</v>
      </c>
      <c r="AA100">
        <v>0</v>
      </c>
      <c r="AB100">
        <v>3</v>
      </c>
      <c r="AC100">
        <v>0</v>
      </c>
      <c r="AD100">
        <v>9</v>
      </c>
      <c r="AE100">
        <v>0</v>
      </c>
      <c r="AF100">
        <v>3</v>
      </c>
      <c r="AG100">
        <v>1</v>
      </c>
      <c r="AH100">
        <v>0</v>
      </c>
      <c r="AI100" t="s">
        <v>170</v>
      </c>
      <c r="AJ100">
        <v>33.188752999999998</v>
      </c>
      <c r="AK100" t="s">
        <v>171</v>
      </c>
      <c r="AL100">
        <v>-97.820054999999996</v>
      </c>
      <c r="AM100">
        <v>25</v>
      </c>
      <c r="AN100">
        <v>1600</v>
      </c>
      <c r="AO100" t="s">
        <v>118</v>
      </c>
      <c r="AP100">
        <v>85</v>
      </c>
      <c r="AQ100">
        <v>10</v>
      </c>
      <c r="AR100">
        <v>1024</v>
      </c>
      <c r="AZ100">
        <v>1200</v>
      </c>
      <c r="BA100">
        <v>1</v>
      </c>
      <c r="BB100" t="str">
        <f t="shared" si="29"/>
        <v xml:space="preserve">N733KP  </v>
      </c>
      <c r="BC100">
        <v>1</v>
      </c>
      <c r="BE100">
        <v>0</v>
      </c>
      <c r="BF100">
        <v>0</v>
      </c>
      <c r="BG100">
        <v>0</v>
      </c>
      <c r="BH100">
        <v>1550</v>
      </c>
      <c r="BI100">
        <v>1</v>
      </c>
      <c r="BJ100">
        <v>1</v>
      </c>
      <c r="BK100">
        <v>0</v>
      </c>
      <c r="BL100">
        <v>0</v>
      </c>
      <c r="BO100">
        <v>0</v>
      </c>
      <c r="BP100">
        <v>0</v>
      </c>
      <c r="BW100" t="str">
        <f>"22:09:43.917"</f>
        <v>22:09:43.917</v>
      </c>
      <c r="CJ100">
        <v>0</v>
      </c>
      <c r="CK100">
        <v>1</v>
      </c>
      <c r="CL100">
        <v>0</v>
      </c>
      <c r="CM100">
        <v>2</v>
      </c>
      <c r="CN100">
        <v>0</v>
      </c>
      <c r="CO100">
        <v>6</v>
      </c>
      <c r="CP100" t="s">
        <v>119</v>
      </c>
      <c r="CQ100">
        <v>364</v>
      </c>
      <c r="CR100">
        <v>0</v>
      </c>
      <c r="CW100">
        <v>1368092</v>
      </c>
      <c r="CY100">
        <v>1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1</v>
      </c>
      <c r="DH100">
        <v>0</v>
      </c>
      <c r="DI100">
        <v>0</v>
      </c>
    </row>
    <row r="101" spans="1:113" x14ac:dyDescent="0.3">
      <c r="A101" t="str">
        <f>"03/24/2022 22:09:44.249"</f>
        <v>03/24/2022 22:09:44.249</v>
      </c>
      <c r="C101" t="str">
        <f t="shared" si="27"/>
        <v>FFDFD3C0</v>
      </c>
      <c r="D101" t="s">
        <v>113</v>
      </c>
      <c r="E101">
        <v>24</v>
      </c>
      <c r="F101">
        <v>2024</v>
      </c>
      <c r="G101" t="s">
        <v>114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 t="shared" si="32"/>
        <v>22:09:43.000</v>
      </c>
      <c r="T101" t="str">
        <f t="shared" si="32"/>
        <v>22:09:43.000</v>
      </c>
      <c r="U101" t="str">
        <f t="shared" si="22"/>
        <v>A9D71F</v>
      </c>
      <c r="V101">
        <v>0</v>
      </c>
      <c r="W101">
        <v>0</v>
      </c>
      <c r="X101">
        <v>2</v>
      </c>
      <c r="Z101">
        <v>1</v>
      </c>
      <c r="AA101">
        <v>0</v>
      </c>
      <c r="AB101">
        <v>3</v>
      </c>
      <c r="AC101">
        <v>0</v>
      </c>
      <c r="AD101">
        <v>9</v>
      </c>
      <c r="AE101">
        <v>0</v>
      </c>
      <c r="AF101">
        <v>3</v>
      </c>
      <c r="AG101">
        <v>1</v>
      </c>
      <c r="AH101">
        <v>0</v>
      </c>
      <c r="AI101" t="s">
        <v>170</v>
      </c>
      <c r="AJ101">
        <v>33.188752999999998</v>
      </c>
      <c r="AK101" t="s">
        <v>171</v>
      </c>
      <c r="AL101">
        <v>-97.820054999999996</v>
      </c>
      <c r="AM101">
        <v>25</v>
      </c>
      <c r="AN101">
        <v>1600</v>
      </c>
      <c r="AO101" t="s">
        <v>118</v>
      </c>
      <c r="AP101">
        <v>85</v>
      </c>
      <c r="AQ101">
        <v>10</v>
      </c>
      <c r="AR101">
        <v>1024</v>
      </c>
      <c r="AZ101">
        <v>1200</v>
      </c>
      <c r="BA101">
        <v>1</v>
      </c>
      <c r="BB101" t="str">
        <f t="shared" si="29"/>
        <v xml:space="preserve">N733KP  </v>
      </c>
      <c r="BC101">
        <v>1</v>
      </c>
      <c r="BE101">
        <v>0</v>
      </c>
      <c r="BF101">
        <v>0</v>
      </c>
      <c r="BG101">
        <v>0</v>
      </c>
      <c r="BH101">
        <v>1550</v>
      </c>
      <c r="BI101">
        <v>1</v>
      </c>
      <c r="BJ101">
        <v>1</v>
      </c>
      <c r="BK101">
        <v>0</v>
      </c>
      <c r="BL101">
        <v>0</v>
      </c>
      <c r="BO101">
        <v>0</v>
      </c>
      <c r="BP101">
        <v>0</v>
      </c>
      <c r="BW101" t="str">
        <f>"22:09:43.917"</f>
        <v>22:09:43.917</v>
      </c>
      <c r="CJ101">
        <v>0</v>
      </c>
      <c r="CK101">
        <v>1</v>
      </c>
      <c r="CL101">
        <v>0</v>
      </c>
      <c r="CM101">
        <v>2</v>
      </c>
      <c r="CN101">
        <v>0</v>
      </c>
      <c r="CO101">
        <v>6</v>
      </c>
      <c r="CP101" t="s">
        <v>119</v>
      </c>
      <c r="CQ101">
        <v>364</v>
      </c>
      <c r="CR101">
        <v>0</v>
      </c>
      <c r="CW101">
        <v>1368092</v>
      </c>
      <c r="CY101">
        <v>1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1</v>
      </c>
      <c r="DH101">
        <v>0</v>
      </c>
      <c r="DI101">
        <v>0</v>
      </c>
    </row>
    <row r="102" spans="1:113" x14ac:dyDescent="0.3">
      <c r="A102" t="str">
        <f>"03/24/2022 22:09:44.878"</f>
        <v>03/24/2022 22:09:44.878</v>
      </c>
      <c r="C102" t="str">
        <f t="shared" si="27"/>
        <v>FFDFD3C0</v>
      </c>
      <c r="D102" t="s">
        <v>113</v>
      </c>
      <c r="E102">
        <v>24</v>
      </c>
      <c r="F102">
        <v>2024</v>
      </c>
      <c r="G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 t="shared" ref="S102:T105" si="33">"22:09:44.000"</f>
        <v>22:09:44.000</v>
      </c>
      <c r="T102" t="str">
        <f t="shared" si="33"/>
        <v>22:09:44.000</v>
      </c>
      <c r="U102" t="str">
        <f t="shared" si="22"/>
        <v>A9D71F</v>
      </c>
      <c r="V102">
        <v>0</v>
      </c>
      <c r="W102">
        <v>0</v>
      </c>
      <c r="X102">
        <v>2</v>
      </c>
      <c r="Z102">
        <v>1</v>
      </c>
      <c r="AA102">
        <v>6</v>
      </c>
      <c r="AB102">
        <v>3</v>
      </c>
      <c r="AC102">
        <v>0</v>
      </c>
      <c r="AD102">
        <v>9</v>
      </c>
      <c r="AE102">
        <v>0</v>
      </c>
      <c r="AF102">
        <v>3</v>
      </c>
      <c r="AG102">
        <v>1</v>
      </c>
      <c r="AH102">
        <v>0</v>
      </c>
      <c r="AI102" t="s">
        <v>172</v>
      </c>
      <c r="AJ102">
        <v>33.188775</v>
      </c>
      <c r="AK102" t="s">
        <v>173</v>
      </c>
      <c r="AL102">
        <v>-97.819541000000001</v>
      </c>
      <c r="AM102">
        <v>25</v>
      </c>
      <c r="AN102">
        <v>1600</v>
      </c>
      <c r="AO102" t="s">
        <v>118</v>
      </c>
      <c r="AP102">
        <v>85</v>
      </c>
      <c r="AQ102">
        <v>12</v>
      </c>
      <c r="AR102">
        <v>768</v>
      </c>
      <c r="AZ102">
        <v>1200</v>
      </c>
      <c r="BA102">
        <v>1</v>
      </c>
      <c r="BB102" t="str">
        <f t="shared" si="29"/>
        <v xml:space="preserve">N733KP  </v>
      </c>
      <c r="BC102">
        <v>1</v>
      </c>
      <c r="BE102">
        <v>0</v>
      </c>
      <c r="BF102">
        <v>0</v>
      </c>
      <c r="BG102">
        <v>0</v>
      </c>
      <c r="BH102">
        <v>1575</v>
      </c>
      <c r="BI102">
        <v>1</v>
      </c>
      <c r="BJ102">
        <v>1</v>
      </c>
      <c r="BK102">
        <v>0</v>
      </c>
      <c r="BL102">
        <v>0</v>
      </c>
      <c r="BO102">
        <v>0</v>
      </c>
      <c r="BP102">
        <v>0</v>
      </c>
      <c r="BW102" t="str">
        <f>"22:09:44.546"</f>
        <v>22:09:44.546</v>
      </c>
      <c r="CJ102">
        <v>0</v>
      </c>
      <c r="CK102">
        <v>1</v>
      </c>
      <c r="CL102">
        <v>0</v>
      </c>
      <c r="CM102">
        <v>2</v>
      </c>
      <c r="CN102">
        <v>0</v>
      </c>
      <c r="CO102">
        <v>6</v>
      </c>
      <c r="CP102" t="s">
        <v>119</v>
      </c>
      <c r="CQ102">
        <v>364</v>
      </c>
      <c r="CR102">
        <v>0</v>
      </c>
      <c r="CW102">
        <v>1368158</v>
      </c>
      <c r="CY102">
        <v>1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1</v>
      </c>
      <c r="DH102">
        <v>0</v>
      </c>
      <c r="DI102">
        <v>0</v>
      </c>
    </row>
    <row r="103" spans="1:113" x14ac:dyDescent="0.3">
      <c r="A103" t="str">
        <f>"03/24/2022 22:09:44.878"</f>
        <v>03/24/2022 22:09:44.878</v>
      </c>
      <c r="C103" t="str">
        <f t="shared" si="27"/>
        <v>FFDFD3C0</v>
      </c>
      <c r="D103" t="s">
        <v>126</v>
      </c>
      <c r="E103">
        <v>3</v>
      </c>
      <c r="H103">
        <v>160</v>
      </c>
      <c r="I103" t="s">
        <v>121</v>
      </c>
      <c r="J103" t="s">
        <v>127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 t="shared" si="33"/>
        <v>22:09:44.000</v>
      </c>
      <c r="T103" t="str">
        <f t="shared" si="33"/>
        <v>22:09:44.000</v>
      </c>
      <c r="U103" t="str">
        <f t="shared" si="22"/>
        <v>A9D71F</v>
      </c>
      <c r="V103">
        <v>0</v>
      </c>
      <c r="W103">
        <v>0</v>
      </c>
      <c r="X103">
        <v>2</v>
      </c>
      <c r="Z103">
        <v>1</v>
      </c>
      <c r="AA103">
        <v>6</v>
      </c>
      <c r="AB103">
        <v>3</v>
      </c>
      <c r="AC103">
        <v>0</v>
      </c>
      <c r="AD103">
        <v>9</v>
      </c>
      <c r="AE103">
        <v>0</v>
      </c>
      <c r="AF103">
        <v>3</v>
      </c>
      <c r="AG103">
        <v>1</v>
      </c>
      <c r="AH103">
        <v>0</v>
      </c>
      <c r="AI103" t="s">
        <v>172</v>
      </c>
      <c r="AJ103">
        <v>33.188775</v>
      </c>
      <c r="AK103" t="s">
        <v>173</v>
      </c>
      <c r="AL103">
        <v>-97.819541000000001</v>
      </c>
      <c r="AM103">
        <v>25</v>
      </c>
      <c r="AN103">
        <v>1600</v>
      </c>
      <c r="AO103" t="s">
        <v>118</v>
      </c>
      <c r="AP103">
        <v>85</v>
      </c>
      <c r="AQ103">
        <v>12</v>
      </c>
      <c r="AR103">
        <v>768</v>
      </c>
      <c r="AZ103">
        <v>1200</v>
      </c>
      <c r="BA103">
        <v>1</v>
      </c>
      <c r="BB103" t="str">
        <f t="shared" si="29"/>
        <v xml:space="preserve">N733KP  </v>
      </c>
      <c r="BC103">
        <v>1</v>
      </c>
      <c r="BE103">
        <v>0</v>
      </c>
      <c r="BF103">
        <v>0</v>
      </c>
      <c r="BG103">
        <v>0</v>
      </c>
      <c r="BH103">
        <v>1575</v>
      </c>
      <c r="BI103">
        <v>1</v>
      </c>
      <c r="BJ103">
        <v>1</v>
      </c>
      <c r="BK103">
        <v>0</v>
      </c>
      <c r="BL103">
        <v>0</v>
      </c>
      <c r="BO103">
        <v>0</v>
      </c>
      <c r="BP103">
        <v>0</v>
      </c>
      <c r="BW103" t="str">
        <f>"22:09:44.546"</f>
        <v>22:09:44.546</v>
      </c>
      <c r="CJ103">
        <v>0</v>
      </c>
      <c r="CK103">
        <v>1</v>
      </c>
      <c r="CL103">
        <v>0</v>
      </c>
      <c r="CM103">
        <v>2</v>
      </c>
      <c r="CN103">
        <v>0</v>
      </c>
      <c r="CO103">
        <v>6</v>
      </c>
      <c r="CP103" t="s">
        <v>119</v>
      </c>
      <c r="CQ103">
        <v>364</v>
      </c>
      <c r="CR103">
        <v>0</v>
      </c>
      <c r="CW103">
        <v>1368158</v>
      </c>
      <c r="CY103">
        <v>1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1</v>
      </c>
      <c r="DH103">
        <v>0</v>
      </c>
      <c r="DI103">
        <v>0</v>
      </c>
    </row>
    <row r="104" spans="1:113" x14ac:dyDescent="0.3">
      <c r="A104" t="str">
        <f>"03/24/2022 22:09:44.878"</f>
        <v>03/24/2022 22:09:44.878</v>
      </c>
      <c r="C104" t="str">
        <f t="shared" si="27"/>
        <v>FFDFD3C0</v>
      </c>
      <c r="D104" t="s">
        <v>120</v>
      </c>
      <c r="E104">
        <v>14</v>
      </c>
      <c r="F104">
        <v>1014</v>
      </c>
      <c r="G104" t="s">
        <v>121</v>
      </c>
      <c r="J104" t="s">
        <v>122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 t="shared" si="33"/>
        <v>22:09:44.000</v>
      </c>
      <c r="T104" t="str">
        <f t="shared" si="33"/>
        <v>22:09:44.000</v>
      </c>
      <c r="U104" t="str">
        <f t="shared" si="22"/>
        <v>A9D71F</v>
      </c>
      <c r="V104">
        <v>0</v>
      </c>
      <c r="W104">
        <v>0</v>
      </c>
      <c r="X104">
        <v>2</v>
      </c>
      <c r="Z104">
        <v>1</v>
      </c>
      <c r="AA104">
        <v>6</v>
      </c>
      <c r="AB104">
        <v>3</v>
      </c>
      <c r="AC104">
        <v>0</v>
      </c>
      <c r="AD104">
        <v>9</v>
      </c>
      <c r="AE104">
        <v>0</v>
      </c>
      <c r="AF104">
        <v>3</v>
      </c>
      <c r="AG104">
        <v>1</v>
      </c>
      <c r="AH104">
        <v>0</v>
      </c>
      <c r="AI104" t="s">
        <v>172</v>
      </c>
      <c r="AJ104">
        <v>33.188775</v>
      </c>
      <c r="AK104" t="s">
        <v>173</v>
      </c>
      <c r="AL104">
        <v>-97.819541000000001</v>
      </c>
      <c r="AM104">
        <v>25</v>
      </c>
      <c r="AN104">
        <v>1600</v>
      </c>
      <c r="AO104" t="s">
        <v>118</v>
      </c>
      <c r="AP104">
        <v>85</v>
      </c>
      <c r="AQ104">
        <v>12</v>
      </c>
      <c r="AR104">
        <v>768</v>
      </c>
      <c r="AZ104">
        <v>1200</v>
      </c>
      <c r="BA104">
        <v>1</v>
      </c>
      <c r="BB104" t="str">
        <f t="shared" si="29"/>
        <v xml:space="preserve">N733KP  </v>
      </c>
      <c r="BC104">
        <v>1</v>
      </c>
      <c r="BE104">
        <v>0</v>
      </c>
      <c r="BF104">
        <v>0</v>
      </c>
      <c r="BG104">
        <v>0</v>
      </c>
      <c r="BH104">
        <v>1575</v>
      </c>
      <c r="BI104">
        <v>1</v>
      </c>
      <c r="BJ104">
        <v>1</v>
      </c>
      <c r="BK104">
        <v>0</v>
      </c>
      <c r="BL104">
        <v>0</v>
      </c>
      <c r="BO104">
        <v>0</v>
      </c>
      <c r="BP104">
        <v>0</v>
      </c>
      <c r="BW104" t="str">
        <f>"22:09:44.546"</f>
        <v>22:09:44.546</v>
      </c>
      <c r="CJ104">
        <v>0</v>
      </c>
      <c r="CK104">
        <v>1</v>
      </c>
      <c r="CL104">
        <v>0</v>
      </c>
      <c r="CM104">
        <v>2</v>
      </c>
      <c r="CN104">
        <v>0</v>
      </c>
      <c r="CO104">
        <v>6</v>
      </c>
      <c r="CP104" t="s">
        <v>119</v>
      </c>
      <c r="CQ104">
        <v>364</v>
      </c>
      <c r="CR104">
        <v>0</v>
      </c>
      <c r="CW104">
        <v>1368158</v>
      </c>
      <c r="CY104">
        <v>1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1</v>
      </c>
      <c r="DH104">
        <v>0</v>
      </c>
      <c r="DI104">
        <v>0</v>
      </c>
    </row>
    <row r="105" spans="1:113" x14ac:dyDescent="0.3">
      <c r="A105" t="str">
        <f>"03/24/2022 22:09:44.878"</f>
        <v>03/24/2022 22:09:44.878</v>
      </c>
      <c r="C105" t="str">
        <f t="shared" si="27"/>
        <v>FFDFD3C0</v>
      </c>
      <c r="D105" t="s">
        <v>123</v>
      </c>
      <c r="E105">
        <v>8</v>
      </c>
      <c r="H105">
        <v>31</v>
      </c>
      <c r="I105" t="s">
        <v>124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 t="shared" si="33"/>
        <v>22:09:44.000</v>
      </c>
      <c r="T105" t="str">
        <f t="shared" si="33"/>
        <v>22:09:44.000</v>
      </c>
      <c r="U105" t="str">
        <f t="shared" si="22"/>
        <v>A9D71F</v>
      </c>
      <c r="V105">
        <v>0</v>
      </c>
      <c r="W105">
        <v>0</v>
      </c>
      <c r="X105">
        <v>2</v>
      </c>
      <c r="Z105">
        <v>1</v>
      </c>
      <c r="AA105">
        <v>6</v>
      </c>
      <c r="AB105">
        <v>3</v>
      </c>
      <c r="AC105">
        <v>0</v>
      </c>
      <c r="AD105">
        <v>9</v>
      </c>
      <c r="AE105">
        <v>0</v>
      </c>
      <c r="AF105">
        <v>3</v>
      </c>
      <c r="AG105">
        <v>1</v>
      </c>
      <c r="AH105">
        <v>0</v>
      </c>
      <c r="AI105" t="s">
        <v>172</v>
      </c>
      <c r="AJ105">
        <v>33.188775</v>
      </c>
      <c r="AK105" t="s">
        <v>173</v>
      </c>
      <c r="AL105">
        <v>-97.819541000000001</v>
      </c>
      <c r="AM105">
        <v>25</v>
      </c>
      <c r="AN105">
        <v>1600</v>
      </c>
      <c r="AO105" t="s">
        <v>118</v>
      </c>
      <c r="AP105">
        <v>85</v>
      </c>
      <c r="AQ105">
        <v>12</v>
      </c>
      <c r="AR105">
        <v>768</v>
      </c>
      <c r="AZ105">
        <v>1200</v>
      </c>
      <c r="BA105">
        <v>1</v>
      </c>
      <c r="BB105" t="str">
        <f t="shared" si="29"/>
        <v xml:space="preserve">N733KP  </v>
      </c>
      <c r="BC105">
        <v>1</v>
      </c>
      <c r="BE105">
        <v>0</v>
      </c>
      <c r="BF105">
        <v>0</v>
      </c>
      <c r="BG105">
        <v>0</v>
      </c>
      <c r="BH105">
        <v>1575</v>
      </c>
      <c r="BI105">
        <v>1</v>
      </c>
      <c r="BJ105">
        <v>1</v>
      </c>
      <c r="BK105">
        <v>0</v>
      </c>
      <c r="BL105">
        <v>0</v>
      </c>
      <c r="BO105">
        <v>0</v>
      </c>
      <c r="BP105">
        <v>0</v>
      </c>
      <c r="BW105" t="str">
        <f>"22:09:44.546"</f>
        <v>22:09:44.546</v>
      </c>
      <c r="CJ105">
        <v>0</v>
      </c>
      <c r="CK105">
        <v>1</v>
      </c>
      <c r="CL105">
        <v>0</v>
      </c>
      <c r="CM105">
        <v>2</v>
      </c>
      <c r="CN105">
        <v>0</v>
      </c>
      <c r="CO105">
        <v>6</v>
      </c>
      <c r="CP105" t="s">
        <v>119</v>
      </c>
      <c r="CQ105">
        <v>364</v>
      </c>
      <c r="CR105">
        <v>0</v>
      </c>
      <c r="CW105">
        <v>1368158</v>
      </c>
      <c r="CY105">
        <v>1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1</v>
      </c>
      <c r="DH105">
        <v>0</v>
      </c>
      <c r="DI105">
        <v>0</v>
      </c>
    </row>
    <row r="106" spans="1:113" x14ac:dyDescent="0.3">
      <c r="A106" t="str">
        <f>"03/24/2022 22:09:45.784"</f>
        <v>03/24/2022 22:09:45.784</v>
      </c>
      <c r="C106" t="str">
        <f t="shared" si="27"/>
        <v>FFDFD3C0</v>
      </c>
      <c r="D106" t="s">
        <v>113</v>
      </c>
      <c r="E106">
        <v>24</v>
      </c>
      <c r="F106">
        <v>2024</v>
      </c>
      <c r="G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 t="shared" ref="S106:T109" si="34">"22:09:45.000"</f>
        <v>22:09:45.000</v>
      </c>
      <c r="T106" t="str">
        <f t="shared" si="34"/>
        <v>22:09:45.000</v>
      </c>
      <c r="U106" t="str">
        <f t="shared" si="22"/>
        <v>A9D71F</v>
      </c>
      <c r="V106">
        <v>0</v>
      </c>
      <c r="W106">
        <v>0</v>
      </c>
      <c r="X106">
        <v>2</v>
      </c>
      <c r="Z106">
        <v>1</v>
      </c>
      <c r="AA106">
        <v>6</v>
      </c>
      <c r="AB106">
        <v>3</v>
      </c>
      <c r="AC106">
        <v>0</v>
      </c>
      <c r="AD106">
        <v>9</v>
      </c>
      <c r="AE106">
        <v>0</v>
      </c>
      <c r="AF106">
        <v>3</v>
      </c>
      <c r="AG106">
        <v>1</v>
      </c>
      <c r="AH106">
        <v>0</v>
      </c>
      <c r="AI106" t="s">
        <v>174</v>
      </c>
      <c r="AJ106">
        <v>33.188817999999998</v>
      </c>
      <c r="AK106" t="s">
        <v>175</v>
      </c>
      <c r="AL106">
        <v>-97.819068000000001</v>
      </c>
      <c r="AM106">
        <v>25</v>
      </c>
      <c r="AN106">
        <v>1600</v>
      </c>
      <c r="AO106" t="s">
        <v>118</v>
      </c>
      <c r="AP106">
        <v>85</v>
      </c>
      <c r="AQ106">
        <v>4</v>
      </c>
      <c r="AR106">
        <v>960</v>
      </c>
      <c r="AZ106">
        <v>1200</v>
      </c>
      <c r="BA106">
        <v>1</v>
      </c>
      <c r="BB106" t="str">
        <f t="shared" si="29"/>
        <v xml:space="preserve">N733KP  </v>
      </c>
      <c r="BC106">
        <v>1</v>
      </c>
      <c r="BE106">
        <v>0</v>
      </c>
      <c r="BF106">
        <v>0</v>
      </c>
      <c r="BG106">
        <v>0</v>
      </c>
      <c r="BH106">
        <v>1575</v>
      </c>
      <c r="BI106">
        <v>1</v>
      </c>
      <c r="BJ106">
        <v>1</v>
      </c>
      <c r="BK106">
        <v>0</v>
      </c>
      <c r="BL106">
        <v>0</v>
      </c>
      <c r="BO106">
        <v>0</v>
      </c>
      <c r="BP106">
        <v>0</v>
      </c>
      <c r="BW106" t="str">
        <f>"22:09:45.583"</f>
        <v>22:09:45.583</v>
      </c>
      <c r="CJ106">
        <v>0</v>
      </c>
      <c r="CK106">
        <v>1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364</v>
      </c>
      <c r="CR106">
        <v>0</v>
      </c>
      <c r="CW106">
        <v>1368292</v>
      </c>
      <c r="CY106">
        <v>1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1</v>
      </c>
      <c r="DH106">
        <v>0</v>
      </c>
      <c r="DI106">
        <v>0</v>
      </c>
    </row>
    <row r="107" spans="1:113" x14ac:dyDescent="0.3">
      <c r="A107" t="str">
        <f>"03/24/2022 22:09:45.784"</f>
        <v>03/24/2022 22:09:45.784</v>
      </c>
      <c r="C107" t="str">
        <f t="shared" si="27"/>
        <v>FFDFD3C0</v>
      </c>
      <c r="D107" t="s">
        <v>126</v>
      </c>
      <c r="E107">
        <v>3</v>
      </c>
      <c r="H107">
        <v>160</v>
      </c>
      <c r="I107" t="s">
        <v>121</v>
      </c>
      <c r="J107" t="s">
        <v>127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 t="shared" si="34"/>
        <v>22:09:45.000</v>
      </c>
      <c r="T107" t="str">
        <f t="shared" si="34"/>
        <v>22:09:45.000</v>
      </c>
      <c r="U107" t="str">
        <f t="shared" si="22"/>
        <v>A9D71F</v>
      </c>
      <c r="V107">
        <v>0</v>
      </c>
      <c r="W107">
        <v>0</v>
      </c>
      <c r="X107">
        <v>2</v>
      </c>
      <c r="Z107">
        <v>1</v>
      </c>
      <c r="AA107">
        <v>6</v>
      </c>
      <c r="AB107">
        <v>3</v>
      </c>
      <c r="AC107">
        <v>0</v>
      </c>
      <c r="AD107">
        <v>9</v>
      </c>
      <c r="AE107">
        <v>0</v>
      </c>
      <c r="AF107">
        <v>3</v>
      </c>
      <c r="AG107">
        <v>1</v>
      </c>
      <c r="AH107">
        <v>0</v>
      </c>
      <c r="AI107" t="s">
        <v>174</v>
      </c>
      <c r="AJ107">
        <v>33.188817999999998</v>
      </c>
      <c r="AK107" t="s">
        <v>175</v>
      </c>
      <c r="AL107">
        <v>-97.819068000000001</v>
      </c>
      <c r="AM107">
        <v>25</v>
      </c>
      <c r="AN107">
        <v>1600</v>
      </c>
      <c r="AO107" t="s">
        <v>118</v>
      </c>
      <c r="AP107">
        <v>85</v>
      </c>
      <c r="AQ107">
        <v>4</v>
      </c>
      <c r="AR107">
        <v>960</v>
      </c>
      <c r="AZ107">
        <v>1200</v>
      </c>
      <c r="BA107">
        <v>1</v>
      </c>
      <c r="BB107" t="str">
        <f t="shared" si="29"/>
        <v xml:space="preserve">N733KP  </v>
      </c>
      <c r="BC107">
        <v>1</v>
      </c>
      <c r="BE107">
        <v>0</v>
      </c>
      <c r="BF107">
        <v>0</v>
      </c>
      <c r="BG107">
        <v>0</v>
      </c>
      <c r="BH107">
        <v>1575</v>
      </c>
      <c r="BI107">
        <v>1</v>
      </c>
      <c r="BJ107">
        <v>1</v>
      </c>
      <c r="BK107">
        <v>0</v>
      </c>
      <c r="BL107">
        <v>0</v>
      </c>
      <c r="BO107">
        <v>0</v>
      </c>
      <c r="BP107">
        <v>0</v>
      </c>
      <c r="BW107" t="str">
        <f>"22:09:45.583"</f>
        <v>22:09:45.583</v>
      </c>
      <c r="CJ107">
        <v>0</v>
      </c>
      <c r="CK107">
        <v>1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364</v>
      </c>
      <c r="CR107">
        <v>0</v>
      </c>
      <c r="CW107">
        <v>1368292</v>
      </c>
      <c r="CY107">
        <v>1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1</v>
      </c>
      <c r="DH107">
        <v>0</v>
      </c>
      <c r="DI107">
        <v>0</v>
      </c>
    </row>
    <row r="108" spans="1:113" x14ac:dyDescent="0.3">
      <c r="A108" t="str">
        <f>"03/24/2022 22:09:45.862"</f>
        <v>03/24/2022 22:09:45.862</v>
      </c>
      <c r="C108" t="str">
        <f t="shared" si="27"/>
        <v>FFDFD3C0</v>
      </c>
      <c r="D108" t="s">
        <v>123</v>
      </c>
      <c r="E108">
        <v>8</v>
      </c>
      <c r="H108">
        <v>31</v>
      </c>
      <c r="I108" t="s">
        <v>124</v>
      </c>
      <c r="J108" t="s">
        <v>125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 t="shared" si="34"/>
        <v>22:09:45.000</v>
      </c>
      <c r="T108" t="str">
        <f t="shared" si="34"/>
        <v>22:09:45.000</v>
      </c>
      <c r="U108" t="str">
        <f t="shared" si="22"/>
        <v>A9D71F</v>
      </c>
      <c r="V108">
        <v>0</v>
      </c>
      <c r="W108">
        <v>0</v>
      </c>
      <c r="X108">
        <v>2</v>
      </c>
      <c r="Z108">
        <v>1</v>
      </c>
      <c r="AA108">
        <v>6</v>
      </c>
      <c r="AB108">
        <v>3</v>
      </c>
      <c r="AC108">
        <v>0</v>
      </c>
      <c r="AD108">
        <v>9</v>
      </c>
      <c r="AE108">
        <v>0</v>
      </c>
      <c r="AF108">
        <v>3</v>
      </c>
      <c r="AG108">
        <v>1</v>
      </c>
      <c r="AH108">
        <v>0</v>
      </c>
      <c r="AI108" t="s">
        <v>174</v>
      </c>
      <c r="AJ108">
        <v>33.188817999999998</v>
      </c>
      <c r="AK108" t="s">
        <v>175</v>
      </c>
      <c r="AL108">
        <v>-97.819068000000001</v>
      </c>
      <c r="AM108">
        <v>25</v>
      </c>
      <c r="AN108">
        <v>1600</v>
      </c>
      <c r="AO108" t="s">
        <v>118</v>
      </c>
      <c r="AP108">
        <v>85</v>
      </c>
      <c r="AQ108">
        <v>4</v>
      </c>
      <c r="AR108">
        <v>960</v>
      </c>
      <c r="AZ108">
        <v>1200</v>
      </c>
      <c r="BA108">
        <v>1</v>
      </c>
      <c r="BB108" t="str">
        <f t="shared" si="29"/>
        <v xml:space="preserve">N733KP  </v>
      </c>
      <c r="BC108">
        <v>1</v>
      </c>
      <c r="BE108">
        <v>0</v>
      </c>
      <c r="BF108">
        <v>0</v>
      </c>
      <c r="BG108">
        <v>0</v>
      </c>
      <c r="BH108">
        <v>1575</v>
      </c>
      <c r="BI108">
        <v>1</v>
      </c>
      <c r="BJ108">
        <v>1</v>
      </c>
      <c r="BK108">
        <v>0</v>
      </c>
      <c r="BL108">
        <v>0</v>
      </c>
      <c r="BO108">
        <v>0</v>
      </c>
      <c r="BP108">
        <v>0</v>
      </c>
      <c r="BW108" t="str">
        <f>"22:09:45.583"</f>
        <v>22:09:45.583</v>
      </c>
      <c r="CJ108">
        <v>0</v>
      </c>
      <c r="CK108">
        <v>1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364</v>
      </c>
      <c r="CR108">
        <v>0</v>
      </c>
      <c r="CW108">
        <v>1368292</v>
      </c>
      <c r="CY108">
        <v>1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1</v>
      </c>
      <c r="DH108">
        <v>0</v>
      </c>
      <c r="DI108">
        <v>0</v>
      </c>
    </row>
    <row r="109" spans="1:113" x14ac:dyDescent="0.3">
      <c r="A109" t="str">
        <f>"03/24/2022 22:09:45.862"</f>
        <v>03/24/2022 22:09:45.862</v>
      </c>
      <c r="C109" t="str">
        <f t="shared" si="27"/>
        <v>FFDFD3C0</v>
      </c>
      <c r="D109" t="s">
        <v>120</v>
      </c>
      <c r="E109">
        <v>14</v>
      </c>
      <c r="F109">
        <v>1014</v>
      </c>
      <c r="G109" t="s">
        <v>121</v>
      </c>
      <c r="J109" t="s">
        <v>122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 t="shared" si="34"/>
        <v>22:09:45.000</v>
      </c>
      <c r="T109" t="str">
        <f t="shared" si="34"/>
        <v>22:09:45.000</v>
      </c>
      <c r="U109" t="str">
        <f t="shared" si="22"/>
        <v>A9D71F</v>
      </c>
      <c r="V109">
        <v>0</v>
      </c>
      <c r="W109">
        <v>0</v>
      </c>
      <c r="X109">
        <v>2</v>
      </c>
      <c r="Z109">
        <v>1</v>
      </c>
      <c r="AA109">
        <v>6</v>
      </c>
      <c r="AB109">
        <v>3</v>
      </c>
      <c r="AC109">
        <v>0</v>
      </c>
      <c r="AD109">
        <v>9</v>
      </c>
      <c r="AE109">
        <v>0</v>
      </c>
      <c r="AF109">
        <v>3</v>
      </c>
      <c r="AG109">
        <v>1</v>
      </c>
      <c r="AH109">
        <v>0</v>
      </c>
      <c r="AI109" t="s">
        <v>174</v>
      </c>
      <c r="AJ109">
        <v>33.188817999999998</v>
      </c>
      <c r="AK109" t="s">
        <v>175</v>
      </c>
      <c r="AL109">
        <v>-97.819068000000001</v>
      </c>
      <c r="AM109">
        <v>25</v>
      </c>
      <c r="AN109">
        <v>1600</v>
      </c>
      <c r="AO109" t="s">
        <v>118</v>
      </c>
      <c r="AP109">
        <v>85</v>
      </c>
      <c r="AQ109">
        <v>4</v>
      </c>
      <c r="AR109">
        <v>960</v>
      </c>
      <c r="AZ109">
        <v>1200</v>
      </c>
      <c r="BA109">
        <v>1</v>
      </c>
      <c r="BB109" t="str">
        <f t="shared" si="29"/>
        <v xml:space="preserve">N733KP  </v>
      </c>
      <c r="BC109">
        <v>1</v>
      </c>
      <c r="BE109">
        <v>0</v>
      </c>
      <c r="BF109">
        <v>0</v>
      </c>
      <c r="BG109">
        <v>0</v>
      </c>
      <c r="BH109">
        <v>1575</v>
      </c>
      <c r="BI109">
        <v>1</v>
      </c>
      <c r="BJ109">
        <v>1</v>
      </c>
      <c r="BK109">
        <v>0</v>
      </c>
      <c r="BL109">
        <v>0</v>
      </c>
      <c r="BO109">
        <v>0</v>
      </c>
      <c r="BP109">
        <v>0</v>
      </c>
      <c r="BW109" t="str">
        <f>"22:09:45.583"</f>
        <v>22:09:45.583</v>
      </c>
      <c r="CJ109">
        <v>0</v>
      </c>
      <c r="CK109">
        <v>1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364</v>
      </c>
      <c r="CR109">
        <v>0</v>
      </c>
      <c r="CW109">
        <v>1368292</v>
      </c>
      <c r="CY109">
        <v>1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1</v>
      </c>
      <c r="DH109">
        <v>0</v>
      </c>
      <c r="DI109">
        <v>0</v>
      </c>
    </row>
    <row r="110" spans="1:113" x14ac:dyDescent="0.3">
      <c r="A110" t="str">
        <f>"03/24/2022 22:09:46.801"</f>
        <v>03/24/2022 22:09:46.801</v>
      </c>
      <c r="C110" t="str">
        <f t="shared" si="27"/>
        <v>FFDFD3C0</v>
      </c>
      <c r="D110" t="s">
        <v>126</v>
      </c>
      <c r="E110">
        <v>3</v>
      </c>
      <c r="H110">
        <v>160</v>
      </c>
      <c r="I110" t="s">
        <v>121</v>
      </c>
      <c r="J110" t="s">
        <v>127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 t="shared" ref="S110:T113" si="35">"22:09:46.000"</f>
        <v>22:09:46.000</v>
      </c>
      <c r="T110" t="str">
        <f t="shared" si="35"/>
        <v>22:09:46.000</v>
      </c>
      <c r="U110" t="str">
        <f t="shared" si="22"/>
        <v>A9D71F</v>
      </c>
      <c r="V110">
        <v>0</v>
      </c>
      <c r="W110">
        <v>0</v>
      </c>
      <c r="X110">
        <v>2</v>
      </c>
      <c r="Z110">
        <v>1</v>
      </c>
      <c r="AA110">
        <v>6</v>
      </c>
      <c r="AB110">
        <v>3</v>
      </c>
      <c r="AC110">
        <v>0</v>
      </c>
      <c r="AD110">
        <v>9</v>
      </c>
      <c r="AE110">
        <v>0</v>
      </c>
      <c r="AF110">
        <v>3</v>
      </c>
      <c r="AG110">
        <v>1</v>
      </c>
      <c r="AH110">
        <v>0</v>
      </c>
      <c r="AI110" t="s">
        <v>174</v>
      </c>
      <c r="AJ110">
        <v>33.188817999999998</v>
      </c>
      <c r="AK110" t="s">
        <v>176</v>
      </c>
      <c r="AL110">
        <v>-97.818595999999999</v>
      </c>
      <c r="AM110">
        <v>25</v>
      </c>
      <c r="AN110">
        <v>1600</v>
      </c>
      <c r="AO110" t="s">
        <v>118</v>
      </c>
      <c r="AP110">
        <v>84</v>
      </c>
      <c r="AQ110">
        <v>4</v>
      </c>
      <c r="AR110">
        <v>1024</v>
      </c>
      <c r="AZ110">
        <v>1200</v>
      </c>
      <c r="BA110">
        <v>1</v>
      </c>
      <c r="BB110" t="str">
        <f t="shared" si="29"/>
        <v xml:space="preserve">N733KP  </v>
      </c>
      <c r="BC110">
        <v>1</v>
      </c>
      <c r="BE110">
        <v>0</v>
      </c>
      <c r="BF110">
        <v>0</v>
      </c>
      <c r="BG110">
        <v>0</v>
      </c>
      <c r="BH110">
        <v>1575</v>
      </c>
      <c r="BI110">
        <v>1</v>
      </c>
      <c r="BJ110">
        <v>1</v>
      </c>
      <c r="BK110">
        <v>0</v>
      </c>
      <c r="BL110">
        <v>0</v>
      </c>
      <c r="BO110">
        <v>0</v>
      </c>
      <c r="BP110">
        <v>0</v>
      </c>
      <c r="BW110" t="str">
        <f>"22:09:46.613"</f>
        <v>22:09:46.613</v>
      </c>
      <c r="CJ110">
        <v>0</v>
      </c>
      <c r="CK110">
        <v>1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364</v>
      </c>
      <c r="CR110">
        <v>0</v>
      </c>
      <c r="CW110">
        <v>1368415</v>
      </c>
      <c r="CY110">
        <v>1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1</v>
      </c>
      <c r="DH110">
        <v>0</v>
      </c>
      <c r="DI110">
        <v>0</v>
      </c>
    </row>
    <row r="111" spans="1:113" x14ac:dyDescent="0.3">
      <c r="A111" t="str">
        <f>"03/24/2022 22:09:46.801"</f>
        <v>03/24/2022 22:09:46.801</v>
      </c>
      <c r="C111" t="str">
        <f t="shared" si="27"/>
        <v>FFDFD3C0</v>
      </c>
      <c r="D111" t="s">
        <v>123</v>
      </c>
      <c r="E111">
        <v>8</v>
      </c>
      <c r="H111">
        <v>31</v>
      </c>
      <c r="I111" t="s">
        <v>124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 t="shared" si="35"/>
        <v>22:09:46.000</v>
      </c>
      <c r="T111" t="str">
        <f t="shared" si="35"/>
        <v>22:09:46.000</v>
      </c>
      <c r="U111" t="str">
        <f t="shared" si="22"/>
        <v>A9D71F</v>
      </c>
      <c r="V111">
        <v>0</v>
      </c>
      <c r="W111">
        <v>0</v>
      </c>
      <c r="X111">
        <v>2</v>
      </c>
      <c r="Z111">
        <v>1</v>
      </c>
      <c r="AA111">
        <v>6</v>
      </c>
      <c r="AB111">
        <v>3</v>
      </c>
      <c r="AC111">
        <v>0</v>
      </c>
      <c r="AD111">
        <v>9</v>
      </c>
      <c r="AE111">
        <v>0</v>
      </c>
      <c r="AF111">
        <v>3</v>
      </c>
      <c r="AG111">
        <v>1</v>
      </c>
      <c r="AH111">
        <v>0</v>
      </c>
      <c r="AI111" t="s">
        <v>174</v>
      </c>
      <c r="AJ111">
        <v>33.188817999999998</v>
      </c>
      <c r="AK111" t="s">
        <v>176</v>
      </c>
      <c r="AL111">
        <v>-97.818595999999999</v>
      </c>
      <c r="AM111">
        <v>25</v>
      </c>
      <c r="AN111">
        <v>1600</v>
      </c>
      <c r="AO111" t="s">
        <v>118</v>
      </c>
      <c r="AP111">
        <v>84</v>
      </c>
      <c r="AQ111">
        <v>4</v>
      </c>
      <c r="AR111">
        <v>1024</v>
      </c>
      <c r="AZ111">
        <v>1200</v>
      </c>
      <c r="BA111">
        <v>1</v>
      </c>
      <c r="BB111" t="str">
        <f t="shared" si="29"/>
        <v xml:space="preserve">N733KP  </v>
      </c>
      <c r="BC111">
        <v>1</v>
      </c>
      <c r="BE111">
        <v>0</v>
      </c>
      <c r="BF111">
        <v>0</v>
      </c>
      <c r="BG111">
        <v>0</v>
      </c>
      <c r="BH111">
        <v>1575</v>
      </c>
      <c r="BI111">
        <v>1</v>
      </c>
      <c r="BJ111">
        <v>1</v>
      </c>
      <c r="BK111">
        <v>0</v>
      </c>
      <c r="BL111">
        <v>0</v>
      </c>
      <c r="BO111">
        <v>0</v>
      </c>
      <c r="BP111">
        <v>0</v>
      </c>
      <c r="BW111" t="str">
        <f>"22:09:46.613"</f>
        <v>22:09:46.613</v>
      </c>
      <c r="CJ111">
        <v>0</v>
      </c>
      <c r="CK111">
        <v>1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364</v>
      </c>
      <c r="CR111">
        <v>0</v>
      </c>
      <c r="CW111">
        <v>1368415</v>
      </c>
      <c r="CY111">
        <v>1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1</v>
      </c>
      <c r="DH111">
        <v>0</v>
      </c>
      <c r="DI111">
        <v>0</v>
      </c>
    </row>
    <row r="112" spans="1:113" x14ac:dyDescent="0.3">
      <c r="A112" t="str">
        <f>"03/24/2022 22:09:46.879"</f>
        <v>03/24/2022 22:09:46.879</v>
      </c>
      <c r="C112" t="str">
        <f t="shared" si="27"/>
        <v>FFDFD3C0</v>
      </c>
      <c r="D112" t="s">
        <v>120</v>
      </c>
      <c r="E112">
        <v>14</v>
      </c>
      <c r="F112">
        <v>1014</v>
      </c>
      <c r="G112" t="s">
        <v>121</v>
      </c>
      <c r="J112" t="s">
        <v>122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 t="shared" si="35"/>
        <v>22:09:46.000</v>
      </c>
      <c r="T112" t="str">
        <f t="shared" si="35"/>
        <v>22:09:46.000</v>
      </c>
      <c r="U112" t="str">
        <f t="shared" si="22"/>
        <v>A9D71F</v>
      </c>
      <c r="V112">
        <v>0</v>
      </c>
      <c r="W112">
        <v>0</v>
      </c>
      <c r="X112">
        <v>2</v>
      </c>
      <c r="Z112">
        <v>1</v>
      </c>
      <c r="AA112">
        <v>6</v>
      </c>
      <c r="AB112">
        <v>3</v>
      </c>
      <c r="AC112">
        <v>0</v>
      </c>
      <c r="AD112">
        <v>9</v>
      </c>
      <c r="AE112">
        <v>0</v>
      </c>
      <c r="AF112">
        <v>3</v>
      </c>
      <c r="AG112">
        <v>1</v>
      </c>
      <c r="AH112">
        <v>0</v>
      </c>
      <c r="AI112" t="s">
        <v>174</v>
      </c>
      <c r="AJ112">
        <v>33.188817999999998</v>
      </c>
      <c r="AK112" t="s">
        <v>176</v>
      </c>
      <c r="AL112">
        <v>-97.818595999999999</v>
      </c>
      <c r="AM112">
        <v>25</v>
      </c>
      <c r="AN112">
        <v>1600</v>
      </c>
      <c r="AO112" t="s">
        <v>118</v>
      </c>
      <c r="AP112">
        <v>84</v>
      </c>
      <c r="AQ112">
        <v>4</v>
      </c>
      <c r="AR112">
        <v>1024</v>
      </c>
      <c r="AZ112">
        <v>1200</v>
      </c>
      <c r="BA112">
        <v>1</v>
      </c>
      <c r="BB112" t="str">
        <f t="shared" si="29"/>
        <v xml:space="preserve">N733KP  </v>
      </c>
      <c r="BC112">
        <v>1</v>
      </c>
      <c r="BE112">
        <v>0</v>
      </c>
      <c r="BF112">
        <v>0</v>
      </c>
      <c r="BG112">
        <v>0</v>
      </c>
      <c r="BH112">
        <v>1575</v>
      </c>
      <c r="BI112">
        <v>1</v>
      </c>
      <c r="BJ112">
        <v>1</v>
      </c>
      <c r="BK112">
        <v>0</v>
      </c>
      <c r="BL112">
        <v>0</v>
      </c>
      <c r="BO112">
        <v>0</v>
      </c>
      <c r="BP112">
        <v>0</v>
      </c>
      <c r="BW112" t="str">
        <f>"22:09:46.613"</f>
        <v>22:09:46.613</v>
      </c>
      <c r="CJ112">
        <v>0</v>
      </c>
      <c r="CK112">
        <v>1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364</v>
      </c>
      <c r="CR112">
        <v>0</v>
      </c>
      <c r="CW112">
        <v>1368415</v>
      </c>
      <c r="CY112">
        <v>1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1</v>
      </c>
      <c r="DH112">
        <v>0</v>
      </c>
      <c r="DI112">
        <v>0</v>
      </c>
    </row>
    <row r="113" spans="1:113" x14ac:dyDescent="0.3">
      <c r="A113" t="str">
        <f>"03/24/2022 22:09:46.910"</f>
        <v>03/24/2022 22:09:46.910</v>
      </c>
      <c r="C113" t="str">
        <f t="shared" si="27"/>
        <v>FFDFD3C0</v>
      </c>
      <c r="D113" t="s">
        <v>113</v>
      </c>
      <c r="E113">
        <v>24</v>
      </c>
      <c r="F113">
        <v>2024</v>
      </c>
      <c r="G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 t="shared" si="35"/>
        <v>22:09:46.000</v>
      </c>
      <c r="T113" t="str">
        <f t="shared" si="35"/>
        <v>22:09:46.000</v>
      </c>
      <c r="U113" t="str">
        <f t="shared" si="22"/>
        <v>A9D71F</v>
      </c>
      <c r="V113">
        <v>0</v>
      </c>
      <c r="W113">
        <v>0</v>
      </c>
      <c r="X113">
        <v>2</v>
      </c>
      <c r="Z113">
        <v>1</v>
      </c>
      <c r="AA113">
        <v>6</v>
      </c>
      <c r="AB113">
        <v>3</v>
      </c>
      <c r="AC113">
        <v>0</v>
      </c>
      <c r="AD113">
        <v>9</v>
      </c>
      <c r="AE113">
        <v>0</v>
      </c>
      <c r="AF113">
        <v>3</v>
      </c>
      <c r="AG113">
        <v>1</v>
      </c>
      <c r="AH113">
        <v>0</v>
      </c>
      <c r="AI113" t="s">
        <v>174</v>
      </c>
      <c r="AJ113">
        <v>33.188817999999998</v>
      </c>
      <c r="AK113" t="s">
        <v>176</v>
      </c>
      <c r="AL113">
        <v>-97.818595999999999</v>
      </c>
      <c r="AM113">
        <v>25</v>
      </c>
      <c r="AN113">
        <v>1600</v>
      </c>
      <c r="AO113" t="s">
        <v>118</v>
      </c>
      <c r="AP113">
        <v>84</v>
      </c>
      <c r="AQ113">
        <v>4</v>
      </c>
      <c r="AR113">
        <v>1024</v>
      </c>
      <c r="AZ113">
        <v>1200</v>
      </c>
      <c r="BA113">
        <v>1</v>
      </c>
      <c r="BB113" t="str">
        <f t="shared" si="29"/>
        <v xml:space="preserve">N733KP  </v>
      </c>
      <c r="BC113">
        <v>1</v>
      </c>
      <c r="BE113">
        <v>0</v>
      </c>
      <c r="BF113">
        <v>0</v>
      </c>
      <c r="BG113">
        <v>0</v>
      </c>
      <c r="BH113">
        <v>1575</v>
      </c>
      <c r="BI113">
        <v>1</v>
      </c>
      <c r="BJ113">
        <v>1</v>
      </c>
      <c r="BK113">
        <v>0</v>
      </c>
      <c r="BL113">
        <v>0</v>
      </c>
      <c r="BO113">
        <v>0</v>
      </c>
      <c r="BP113">
        <v>0</v>
      </c>
      <c r="BW113" t="str">
        <f>"22:09:46.613"</f>
        <v>22:09:46.613</v>
      </c>
      <c r="CJ113">
        <v>0</v>
      </c>
      <c r="CK113">
        <v>1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364</v>
      </c>
      <c r="CR113">
        <v>0</v>
      </c>
      <c r="CW113">
        <v>1368415</v>
      </c>
      <c r="CY113">
        <v>1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1</v>
      </c>
      <c r="DH113">
        <v>0</v>
      </c>
      <c r="DI113">
        <v>0</v>
      </c>
    </row>
    <row r="114" spans="1:113" x14ac:dyDescent="0.3">
      <c r="A114" t="str">
        <f>"03/24/2022 22:09:47.910"</f>
        <v>03/24/2022 22:09:47.910</v>
      </c>
      <c r="C114" t="str">
        <f t="shared" si="27"/>
        <v>FFDFD3C0</v>
      </c>
      <c r="D114" t="s">
        <v>120</v>
      </c>
      <c r="E114">
        <v>14</v>
      </c>
      <c r="F114">
        <v>1014</v>
      </c>
      <c r="G114" t="s">
        <v>121</v>
      </c>
      <c r="J114" t="s">
        <v>122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 t="shared" ref="S114:T117" si="36">"22:09:47.000"</f>
        <v>22:09:47.000</v>
      </c>
      <c r="T114" t="str">
        <f t="shared" si="36"/>
        <v>22:09:47.000</v>
      </c>
      <c r="U114" t="str">
        <f t="shared" si="22"/>
        <v>A9D71F</v>
      </c>
      <c r="V114">
        <v>0</v>
      </c>
      <c r="W114">
        <v>0</v>
      </c>
      <c r="X114">
        <v>2</v>
      </c>
      <c r="Z114">
        <v>1</v>
      </c>
      <c r="AA114">
        <v>6</v>
      </c>
      <c r="AB114">
        <v>3</v>
      </c>
      <c r="AC114">
        <v>0</v>
      </c>
      <c r="AD114">
        <v>9</v>
      </c>
      <c r="AE114">
        <v>0</v>
      </c>
      <c r="AF114">
        <v>3</v>
      </c>
      <c r="AG114">
        <v>1</v>
      </c>
      <c r="AH114">
        <v>0</v>
      </c>
      <c r="AI114" t="s">
        <v>177</v>
      </c>
      <c r="AJ114">
        <v>33.188839000000002</v>
      </c>
      <c r="AK114" t="s">
        <v>178</v>
      </c>
      <c r="AL114">
        <v>-97.818102999999994</v>
      </c>
      <c r="AM114">
        <v>25</v>
      </c>
      <c r="AN114">
        <v>1600</v>
      </c>
      <c r="AO114" t="s">
        <v>118</v>
      </c>
      <c r="AP114">
        <v>84</v>
      </c>
      <c r="AQ114">
        <v>2</v>
      </c>
      <c r="AR114">
        <v>1088</v>
      </c>
      <c r="AZ114">
        <v>1200</v>
      </c>
      <c r="BA114">
        <v>1</v>
      </c>
      <c r="BB114" t="str">
        <f t="shared" si="29"/>
        <v xml:space="preserve">N733KP  </v>
      </c>
      <c r="BC114">
        <v>1</v>
      </c>
      <c r="BE114">
        <v>0</v>
      </c>
      <c r="BF114">
        <v>0</v>
      </c>
      <c r="BG114">
        <v>0</v>
      </c>
      <c r="BH114">
        <v>1600</v>
      </c>
      <c r="BI114">
        <v>1</v>
      </c>
      <c r="BJ114">
        <v>1</v>
      </c>
      <c r="BK114">
        <v>0</v>
      </c>
      <c r="BL114">
        <v>0</v>
      </c>
      <c r="BO114">
        <v>0</v>
      </c>
      <c r="BP114">
        <v>0</v>
      </c>
      <c r="BW114" t="str">
        <f>"22:09:47.662"</f>
        <v>22:09:47.662</v>
      </c>
      <c r="CJ114">
        <v>0</v>
      </c>
      <c r="CK114">
        <v>1</v>
      </c>
      <c r="CL114">
        <v>0</v>
      </c>
      <c r="CM114">
        <v>2</v>
      </c>
      <c r="CN114">
        <v>0</v>
      </c>
      <c r="CO114">
        <v>6</v>
      </c>
      <c r="CP114" t="s">
        <v>119</v>
      </c>
      <c r="CQ114">
        <v>364</v>
      </c>
      <c r="CR114">
        <v>0</v>
      </c>
      <c r="CW114">
        <v>1368552</v>
      </c>
      <c r="CY114">
        <v>1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1</v>
      </c>
      <c r="DH114">
        <v>0</v>
      </c>
      <c r="DI114">
        <v>0</v>
      </c>
    </row>
    <row r="115" spans="1:113" x14ac:dyDescent="0.3">
      <c r="A115" t="str">
        <f>"03/24/2022 22:09:47.910"</f>
        <v>03/24/2022 22:09:47.910</v>
      </c>
      <c r="C115" t="str">
        <f t="shared" si="27"/>
        <v>FFDFD3C0</v>
      </c>
      <c r="D115" t="s">
        <v>113</v>
      </c>
      <c r="E115">
        <v>24</v>
      </c>
      <c r="F115">
        <v>2024</v>
      </c>
      <c r="G115" t="s">
        <v>114</v>
      </c>
      <c r="J115" t="s">
        <v>115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 t="shared" si="36"/>
        <v>22:09:47.000</v>
      </c>
      <c r="T115" t="str">
        <f t="shared" si="36"/>
        <v>22:09:47.000</v>
      </c>
      <c r="U115" t="str">
        <f t="shared" si="22"/>
        <v>A9D71F</v>
      </c>
      <c r="V115">
        <v>0</v>
      </c>
      <c r="W115">
        <v>0</v>
      </c>
      <c r="X115">
        <v>2</v>
      </c>
      <c r="Z115">
        <v>1</v>
      </c>
      <c r="AA115">
        <v>6</v>
      </c>
      <c r="AB115">
        <v>3</v>
      </c>
      <c r="AC115">
        <v>0</v>
      </c>
      <c r="AD115">
        <v>9</v>
      </c>
      <c r="AE115">
        <v>0</v>
      </c>
      <c r="AF115">
        <v>3</v>
      </c>
      <c r="AG115">
        <v>1</v>
      </c>
      <c r="AH115">
        <v>0</v>
      </c>
      <c r="AI115" t="s">
        <v>177</v>
      </c>
      <c r="AJ115">
        <v>33.188839000000002</v>
      </c>
      <c r="AK115" t="s">
        <v>178</v>
      </c>
      <c r="AL115">
        <v>-97.818102999999994</v>
      </c>
      <c r="AM115">
        <v>25</v>
      </c>
      <c r="AN115">
        <v>1600</v>
      </c>
      <c r="AO115" t="s">
        <v>118</v>
      </c>
      <c r="AP115">
        <v>84</v>
      </c>
      <c r="AQ115">
        <v>2</v>
      </c>
      <c r="AR115">
        <v>1088</v>
      </c>
      <c r="AZ115">
        <v>1200</v>
      </c>
      <c r="BA115">
        <v>1</v>
      </c>
      <c r="BB115" t="str">
        <f t="shared" si="29"/>
        <v xml:space="preserve">N733KP  </v>
      </c>
      <c r="BC115">
        <v>1</v>
      </c>
      <c r="BE115">
        <v>0</v>
      </c>
      <c r="BF115">
        <v>0</v>
      </c>
      <c r="BG115">
        <v>0</v>
      </c>
      <c r="BH115">
        <v>1600</v>
      </c>
      <c r="BI115">
        <v>1</v>
      </c>
      <c r="BJ115">
        <v>1</v>
      </c>
      <c r="BK115">
        <v>0</v>
      </c>
      <c r="BL115">
        <v>0</v>
      </c>
      <c r="BO115">
        <v>0</v>
      </c>
      <c r="BP115">
        <v>0</v>
      </c>
      <c r="BW115" t="str">
        <f>"22:09:47.662"</f>
        <v>22:09:47.662</v>
      </c>
      <c r="CJ115">
        <v>0</v>
      </c>
      <c r="CK115">
        <v>1</v>
      </c>
      <c r="CL115">
        <v>0</v>
      </c>
      <c r="CM115">
        <v>2</v>
      </c>
      <c r="CN115">
        <v>0</v>
      </c>
      <c r="CO115">
        <v>6</v>
      </c>
      <c r="CP115" t="s">
        <v>119</v>
      </c>
      <c r="CQ115">
        <v>364</v>
      </c>
      <c r="CR115">
        <v>0</v>
      </c>
      <c r="CW115">
        <v>1368552</v>
      </c>
      <c r="CY115">
        <v>1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1</v>
      </c>
      <c r="DH115">
        <v>0</v>
      </c>
      <c r="DI115">
        <v>0</v>
      </c>
    </row>
    <row r="116" spans="1:113" x14ac:dyDescent="0.3">
      <c r="A116" t="str">
        <f>"03/24/2022 22:09:47.910"</f>
        <v>03/24/2022 22:09:47.910</v>
      </c>
      <c r="C116" t="str">
        <f t="shared" si="27"/>
        <v>FFDFD3C0</v>
      </c>
      <c r="D116" t="s">
        <v>126</v>
      </c>
      <c r="E116">
        <v>3</v>
      </c>
      <c r="H116">
        <v>160</v>
      </c>
      <c r="I116" t="s">
        <v>121</v>
      </c>
      <c r="J116" t="s">
        <v>127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 t="shared" si="36"/>
        <v>22:09:47.000</v>
      </c>
      <c r="T116" t="str">
        <f t="shared" si="36"/>
        <v>22:09:47.000</v>
      </c>
      <c r="U116" t="str">
        <f t="shared" si="22"/>
        <v>A9D71F</v>
      </c>
      <c r="V116">
        <v>0</v>
      </c>
      <c r="W116">
        <v>0</v>
      </c>
      <c r="X116">
        <v>2</v>
      </c>
      <c r="Z116">
        <v>1</v>
      </c>
      <c r="AA116">
        <v>6</v>
      </c>
      <c r="AB116">
        <v>3</v>
      </c>
      <c r="AC116">
        <v>0</v>
      </c>
      <c r="AD116">
        <v>9</v>
      </c>
      <c r="AE116">
        <v>0</v>
      </c>
      <c r="AF116">
        <v>3</v>
      </c>
      <c r="AG116">
        <v>1</v>
      </c>
      <c r="AH116">
        <v>0</v>
      </c>
      <c r="AI116" t="s">
        <v>177</v>
      </c>
      <c r="AJ116">
        <v>33.188839000000002</v>
      </c>
      <c r="AK116" t="s">
        <v>178</v>
      </c>
      <c r="AL116">
        <v>-97.818102999999994</v>
      </c>
      <c r="AM116">
        <v>25</v>
      </c>
      <c r="AN116">
        <v>1600</v>
      </c>
      <c r="AO116" t="s">
        <v>118</v>
      </c>
      <c r="AP116">
        <v>84</v>
      </c>
      <c r="AQ116">
        <v>2</v>
      </c>
      <c r="AR116">
        <v>1088</v>
      </c>
      <c r="AZ116">
        <v>1200</v>
      </c>
      <c r="BA116">
        <v>1</v>
      </c>
      <c r="BB116" t="str">
        <f t="shared" si="29"/>
        <v xml:space="preserve">N733KP  </v>
      </c>
      <c r="BC116">
        <v>1</v>
      </c>
      <c r="BE116">
        <v>0</v>
      </c>
      <c r="BF116">
        <v>0</v>
      </c>
      <c r="BG116">
        <v>0</v>
      </c>
      <c r="BH116">
        <v>1600</v>
      </c>
      <c r="BI116">
        <v>1</v>
      </c>
      <c r="BJ116">
        <v>1</v>
      </c>
      <c r="BK116">
        <v>0</v>
      </c>
      <c r="BL116">
        <v>0</v>
      </c>
      <c r="BO116">
        <v>0</v>
      </c>
      <c r="BP116">
        <v>0</v>
      </c>
      <c r="BW116" t="str">
        <f>"22:09:47.662"</f>
        <v>22:09:47.662</v>
      </c>
      <c r="CJ116">
        <v>0</v>
      </c>
      <c r="CK116">
        <v>1</v>
      </c>
      <c r="CL116">
        <v>0</v>
      </c>
      <c r="CM116">
        <v>2</v>
      </c>
      <c r="CN116">
        <v>0</v>
      </c>
      <c r="CO116">
        <v>6</v>
      </c>
      <c r="CP116" t="s">
        <v>119</v>
      </c>
      <c r="CQ116">
        <v>364</v>
      </c>
      <c r="CR116">
        <v>0</v>
      </c>
      <c r="CW116">
        <v>1368552</v>
      </c>
      <c r="CY116">
        <v>1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1</v>
      </c>
      <c r="DH116">
        <v>0</v>
      </c>
      <c r="DI116">
        <v>0</v>
      </c>
    </row>
    <row r="117" spans="1:113" x14ac:dyDescent="0.3">
      <c r="A117" t="str">
        <f>"03/24/2022 22:09:47.910"</f>
        <v>03/24/2022 22:09:47.910</v>
      </c>
      <c r="C117" t="str">
        <f t="shared" si="27"/>
        <v>FFDFD3C0</v>
      </c>
      <c r="D117" t="s">
        <v>123</v>
      </c>
      <c r="E117">
        <v>8</v>
      </c>
      <c r="H117">
        <v>31</v>
      </c>
      <c r="I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 t="shared" si="36"/>
        <v>22:09:47.000</v>
      </c>
      <c r="T117" t="str">
        <f t="shared" si="36"/>
        <v>22:09:47.000</v>
      </c>
      <c r="U117" t="str">
        <f t="shared" si="22"/>
        <v>A9D71F</v>
      </c>
      <c r="V117">
        <v>0</v>
      </c>
      <c r="W117">
        <v>0</v>
      </c>
      <c r="X117">
        <v>2</v>
      </c>
      <c r="Z117">
        <v>1</v>
      </c>
      <c r="AA117">
        <v>6</v>
      </c>
      <c r="AB117">
        <v>3</v>
      </c>
      <c r="AC117">
        <v>0</v>
      </c>
      <c r="AD117">
        <v>9</v>
      </c>
      <c r="AE117">
        <v>0</v>
      </c>
      <c r="AF117">
        <v>3</v>
      </c>
      <c r="AG117">
        <v>1</v>
      </c>
      <c r="AH117">
        <v>0</v>
      </c>
      <c r="AI117" t="s">
        <v>177</v>
      </c>
      <c r="AJ117">
        <v>33.188839000000002</v>
      </c>
      <c r="AK117" t="s">
        <v>178</v>
      </c>
      <c r="AL117">
        <v>-97.818102999999994</v>
      </c>
      <c r="AM117">
        <v>25</v>
      </c>
      <c r="AN117">
        <v>1600</v>
      </c>
      <c r="AO117" t="s">
        <v>118</v>
      </c>
      <c r="AP117">
        <v>84</v>
      </c>
      <c r="AQ117">
        <v>2</v>
      </c>
      <c r="AR117">
        <v>1088</v>
      </c>
      <c r="AZ117">
        <v>1200</v>
      </c>
      <c r="BA117">
        <v>1</v>
      </c>
      <c r="BB117" t="str">
        <f t="shared" si="29"/>
        <v xml:space="preserve">N733KP  </v>
      </c>
      <c r="BC117">
        <v>1</v>
      </c>
      <c r="BE117">
        <v>0</v>
      </c>
      <c r="BF117">
        <v>0</v>
      </c>
      <c r="BG117">
        <v>0</v>
      </c>
      <c r="BH117">
        <v>1600</v>
      </c>
      <c r="BI117">
        <v>1</v>
      </c>
      <c r="BJ117">
        <v>1</v>
      </c>
      <c r="BK117">
        <v>0</v>
      </c>
      <c r="BL117">
        <v>0</v>
      </c>
      <c r="BO117">
        <v>0</v>
      </c>
      <c r="BP117">
        <v>0</v>
      </c>
      <c r="BW117" t="str">
        <f>"22:09:47.662"</f>
        <v>22:09:47.662</v>
      </c>
      <c r="CJ117">
        <v>0</v>
      </c>
      <c r="CK117">
        <v>1</v>
      </c>
      <c r="CL117">
        <v>0</v>
      </c>
      <c r="CM117">
        <v>2</v>
      </c>
      <c r="CN117">
        <v>0</v>
      </c>
      <c r="CO117">
        <v>6</v>
      </c>
      <c r="CP117" t="s">
        <v>119</v>
      </c>
      <c r="CQ117">
        <v>364</v>
      </c>
      <c r="CR117">
        <v>0</v>
      </c>
      <c r="CW117">
        <v>1368552</v>
      </c>
      <c r="CY117">
        <v>1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1</v>
      </c>
      <c r="DH117">
        <v>0</v>
      </c>
      <c r="DI117">
        <v>0</v>
      </c>
    </row>
    <row r="118" spans="1:113" x14ac:dyDescent="0.3">
      <c r="A118" t="str">
        <f>"03/24/2022 22:09:49.131"</f>
        <v>03/24/2022 22:09:49.131</v>
      </c>
      <c r="C118" t="str">
        <f t="shared" si="27"/>
        <v>FFDFD3C0</v>
      </c>
      <c r="D118" t="s">
        <v>120</v>
      </c>
      <c r="E118">
        <v>14</v>
      </c>
      <c r="F118">
        <v>1014</v>
      </c>
      <c r="G118" t="s">
        <v>121</v>
      </c>
      <c r="J118" t="s">
        <v>122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 t="shared" ref="S118:T121" si="37">"22:09:48.000"</f>
        <v>22:09:48.000</v>
      </c>
      <c r="T118" t="str">
        <f t="shared" si="37"/>
        <v>22:09:48.000</v>
      </c>
      <c r="U118" t="str">
        <f t="shared" si="22"/>
        <v>A9D71F</v>
      </c>
      <c r="V118">
        <v>0</v>
      </c>
      <c r="W118">
        <v>0</v>
      </c>
      <c r="X118">
        <v>2</v>
      </c>
      <c r="Z118">
        <v>1</v>
      </c>
      <c r="AA118">
        <v>6</v>
      </c>
      <c r="AB118">
        <v>3</v>
      </c>
      <c r="AC118">
        <v>0</v>
      </c>
      <c r="AD118">
        <v>9</v>
      </c>
      <c r="AE118">
        <v>0</v>
      </c>
      <c r="AF118">
        <v>3</v>
      </c>
      <c r="AG118">
        <v>1</v>
      </c>
      <c r="AH118">
        <v>0</v>
      </c>
      <c r="AI118" t="s">
        <v>179</v>
      </c>
      <c r="AJ118">
        <v>33.188859999999998</v>
      </c>
      <c r="AK118" t="s">
        <v>180</v>
      </c>
      <c r="AL118">
        <v>-97.817631000000006</v>
      </c>
      <c r="AM118">
        <v>25</v>
      </c>
      <c r="AN118">
        <v>1700</v>
      </c>
      <c r="AO118" t="s">
        <v>118</v>
      </c>
      <c r="AP118">
        <v>85</v>
      </c>
      <c r="AQ118">
        <v>2</v>
      </c>
      <c r="AR118">
        <v>960</v>
      </c>
      <c r="AZ118">
        <v>1200</v>
      </c>
      <c r="BA118">
        <v>1</v>
      </c>
      <c r="BB118" t="str">
        <f t="shared" si="29"/>
        <v xml:space="preserve">N733KP  </v>
      </c>
      <c r="BC118">
        <v>1</v>
      </c>
      <c r="BE118">
        <v>0</v>
      </c>
      <c r="BF118">
        <v>0</v>
      </c>
      <c r="BG118">
        <v>0</v>
      </c>
      <c r="BH118">
        <v>1600</v>
      </c>
      <c r="BI118">
        <v>1</v>
      </c>
      <c r="BJ118">
        <v>1</v>
      </c>
      <c r="BK118">
        <v>0</v>
      </c>
      <c r="BL118">
        <v>0</v>
      </c>
      <c r="BO118">
        <v>0</v>
      </c>
      <c r="BP118">
        <v>0</v>
      </c>
      <c r="BW118" t="str">
        <f>"22:09:48.892"</f>
        <v>22:09:48.892</v>
      </c>
      <c r="CJ118">
        <v>0</v>
      </c>
      <c r="CK118">
        <v>1</v>
      </c>
      <c r="CL118">
        <v>0</v>
      </c>
      <c r="CM118">
        <v>2</v>
      </c>
      <c r="CN118">
        <v>0</v>
      </c>
      <c r="CO118">
        <v>6</v>
      </c>
      <c r="CP118" t="s">
        <v>119</v>
      </c>
      <c r="CQ118">
        <v>364</v>
      </c>
      <c r="CR118">
        <v>0</v>
      </c>
      <c r="CW118">
        <v>1368713</v>
      </c>
      <c r="CY118">
        <v>1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1</v>
      </c>
      <c r="DH118">
        <v>0</v>
      </c>
      <c r="DI118">
        <v>0</v>
      </c>
    </row>
    <row r="119" spans="1:113" x14ac:dyDescent="0.3">
      <c r="A119" t="str">
        <f>"03/24/2022 22:09:49.131"</f>
        <v>03/24/2022 22:09:49.131</v>
      </c>
      <c r="C119" t="str">
        <f t="shared" si="27"/>
        <v>FFDFD3C0</v>
      </c>
      <c r="D119" t="s">
        <v>113</v>
      </c>
      <c r="E119">
        <v>24</v>
      </c>
      <c r="F119">
        <v>2024</v>
      </c>
      <c r="G119" t="s">
        <v>114</v>
      </c>
      <c r="J119" t="s">
        <v>115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 t="shared" si="37"/>
        <v>22:09:48.000</v>
      </c>
      <c r="T119" t="str">
        <f t="shared" si="37"/>
        <v>22:09:48.000</v>
      </c>
      <c r="U119" t="str">
        <f t="shared" si="22"/>
        <v>A9D71F</v>
      </c>
      <c r="V119">
        <v>0</v>
      </c>
      <c r="W119">
        <v>0</v>
      </c>
      <c r="X119">
        <v>2</v>
      </c>
      <c r="Z119">
        <v>1</v>
      </c>
      <c r="AA119">
        <v>6</v>
      </c>
      <c r="AB119">
        <v>3</v>
      </c>
      <c r="AC119">
        <v>0</v>
      </c>
      <c r="AD119">
        <v>9</v>
      </c>
      <c r="AE119">
        <v>0</v>
      </c>
      <c r="AF119">
        <v>3</v>
      </c>
      <c r="AG119">
        <v>1</v>
      </c>
      <c r="AH119">
        <v>0</v>
      </c>
      <c r="AI119" t="s">
        <v>179</v>
      </c>
      <c r="AJ119">
        <v>33.188859999999998</v>
      </c>
      <c r="AK119" t="s">
        <v>180</v>
      </c>
      <c r="AL119">
        <v>-97.817631000000006</v>
      </c>
      <c r="AM119">
        <v>25</v>
      </c>
      <c r="AN119">
        <v>1700</v>
      </c>
      <c r="AO119" t="s">
        <v>118</v>
      </c>
      <c r="AP119">
        <v>85</v>
      </c>
      <c r="AQ119">
        <v>2</v>
      </c>
      <c r="AR119">
        <v>960</v>
      </c>
      <c r="AZ119">
        <v>1200</v>
      </c>
      <c r="BA119">
        <v>1</v>
      </c>
      <c r="BB119" t="str">
        <f t="shared" si="29"/>
        <v xml:space="preserve">N733KP  </v>
      </c>
      <c r="BC119">
        <v>1</v>
      </c>
      <c r="BE119">
        <v>0</v>
      </c>
      <c r="BF119">
        <v>0</v>
      </c>
      <c r="BG119">
        <v>0</v>
      </c>
      <c r="BH119">
        <v>1600</v>
      </c>
      <c r="BI119">
        <v>1</v>
      </c>
      <c r="BJ119">
        <v>1</v>
      </c>
      <c r="BK119">
        <v>0</v>
      </c>
      <c r="BL119">
        <v>0</v>
      </c>
      <c r="BO119">
        <v>0</v>
      </c>
      <c r="BP119">
        <v>0</v>
      </c>
      <c r="BW119" t="str">
        <f>"22:09:48.892"</f>
        <v>22:09:48.892</v>
      </c>
      <c r="CJ119">
        <v>0</v>
      </c>
      <c r="CK119">
        <v>1</v>
      </c>
      <c r="CL119">
        <v>0</v>
      </c>
      <c r="CM119">
        <v>2</v>
      </c>
      <c r="CN119">
        <v>0</v>
      </c>
      <c r="CO119">
        <v>6</v>
      </c>
      <c r="CP119" t="s">
        <v>119</v>
      </c>
      <c r="CQ119">
        <v>364</v>
      </c>
      <c r="CR119">
        <v>0</v>
      </c>
      <c r="CW119">
        <v>1368713</v>
      </c>
      <c r="CY119">
        <v>1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1</v>
      </c>
      <c r="DH119">
        <v>0</v>
      </c>
      <c r="DI119">
        <v>0</v>
      </c>
    </row>
    <row r="120" spans="1:113" x14ac:dyDescent="0.3">
      <c r="A120" t="str">
        <f>"03/24/2022 22:09:49.163"</f>
        <v>03/24/2022 22:09:49.163</v>
      </c>
      <c r="C120" t="str">
        <f t="shared" si="27"/>
        <v>FFDFD3C0</v>
      </c>
      <c r="D120" t="s">
        <v>126</v>
      </c>
      <c r="E120">
        <v>3</v>
      </c>
      <c r="H120">
        <v>160</v>
      </c>
      <c r="I120" t="s">
        <v>121</v>
      </c>
      <c r="J120" t="s">
        <v>127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 t="shared" si="37"/>
        <v>22:09:48.000</v>
      </c>
      <c r="T120" t="str">
        <f t="shared" si="37"/>
        <v>22:09:48.000</v>
      </c>
      <c r="U120" t="str">
        <f t="shared" si="22"/>
        <v>A9D71F</v>
      </c>
      <c r="V120">
        <v>0</v>
      </c>
      <c r="W120">
        <v>0</v>
      </c>
      <c r="X120">
        <v>2</v>
      </c>
      <c r="Z120">
        <v>1</v>
      </c>
      <c r="AA120">
        <v>6</v>
      </c>
      <c r="AB120">
        <v>3</v>
      </c>
      <c r="AC120">
        <v>0</v>
      </c>
      <c r="AD120">
        <v>9</v>
      </c>
      <c r="AE120">
        <v>0</v>
      </c>
      <c r="AF120">
        <v>3</v>
      </c>
      <c r="AG120">
        <v>1</v>
      </c>
      <c r="AH120">
        <v>0</v>
      </c>
      <c r="AI120" t="s">
        <v>179</v>
      </c>
      <c r="AJ120">
        <v>33.188859999999998</v>
      </c>
      <c r="AK120" t="s">
        <v>180</v>
      </c>
      <c r="AL120">
        <v>-97.817631000000006</v>
      </c>
      <c r="AM120">
        <v>25</v>
      </c>
      <c r="AN120">
        <v>1700</v>
      </c>
      <c r="AO120" t="s">
        <v>118</v>
      </c>
      <c r="AP120">
        <v>85</v>
      </c>
      <c r="AQ120">
        <v>2</v>
      </c>
      <c r="AR120">
        <v>960</v>
      </c>
      <c r="AZ120">
        <v>1200</v>
      </c>
      <c r="BA120">
        <v>1</v>
      </c>
      <c r="BB120" t="str">
        <f t="shared" si="29"/>
        <v xml:space="preserve">N733KP  </v>
      </c>
      <c r="BC120">
        <v>1</v>
      </c>
      <c r="BE120">
        <v>0</v>
      </c>
      <c r="BF120">
        <v>0</v>
      </c>
      <c r="BG120">
        <v>0</v>
      </c>
      <c r="BH120">
        <v>1600</v>
      </c>
      <c r="BI120">
        <v>1</v>
      </c>
      <c r="BJ120">
        <v>1</v>
      </c>
      <c r="BK120">
        <v>0</v>
      </c>
      <c r="BL120">
        <v>0</v>
      </c>
      <c r="BO120">
        <v>0</v>
      </c>
      <c r="BP120">
        <v>0</v>
      </c>
      <c r="BW120" t="str">
        <f>"22:09:48.892"</f>
        <v>22:09:48.892</v>
      </c>
      <c r="CJ120">
        <v>0</v>
      </c>
      <c r="CK120">
        <v>1</v>
      </c>
      <c r="CL120">
        <v>0</v>
      </c>
      <c r="CM120">
        <v>2</v>
      </c>
      <c r="CN120">
        <v>0</v>
      </c>
      <c r="CO120">
        <v>6</v>
      </c>
      <c r="CP120" t="s">
        <v>119</v>
      </c>
      <c r="CQ120">
        <v>364</v>
      </c>
      <c r="CR120">
        <v>0</v>
      </c>
      <c r="CW120">
        <v>1368713</v>
      </c>
      <c r="CY120">
        <v>1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1</v>
      </c>
      <c r="DH120">
        <v>0</v>
      </c>
      <c r="DI120">
        <v>0</v>
      </c>
    </row>
    <row r="121" spans="1:113" x14ac:dyDescent="0.3">
      <c r="A121" t="str">
        <f>"03/24/2022 22:09:49.163"</f>
        <v>03/24/2022 22:09:49.163</v>
      </c>
      <c r="C121" t="str">
        <f t="shared" si="27"/>
        <v>FFDFD3C0</v>
      </c>
      <c r="D121" t="s">
        <v>123</v>
      </c>
      <c r="E121">
        <v>8</v>
      </c>
      <c r="H121">
        <v>31</v>
      </c>
      <c r="I121" t="s">
        <v>124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 t="shared" si="37"/>
        <v>22:09:48.000</v>
      </c>
      <c r="T121" t="str">
        <f t="shared" si="37"/>
        <v>22:09:48.000</v>
      </c>
      <c r="U121" t="str">
        <f t="shared" si="22"/>
        <v>A9D71F</v>
      </c>
      <c r="V121">
        <v>0</v>
      </c>
      <c r="W121">
        <v>0</v>
      </c>
      <c r="X121">
        <v>2</v>
      </c>
      <c r="Z121">
        <v>1</v>
      </c>
      <c r="AA121">
        <v>6</v>
      </c>
      <c r="AB121">
        <v>3</v>
      </c>
      <c r="AC121">
        <v>0</v>
      </c>
      <c r="AD121">
        <v>9</v>
      </c>
      <c r="AE121">
        <v>0</v>
      </c>
      <c r="AF121">
        <v>3</v>
      </c>
      <c r="AG121">
        <v>1</v>
      </c>
      <c r="AH121">
        <v>0</v>
      </c>
      <c r="AI121" t="s">
        <v>179</v>
      </c>
      <c r="AJ121">
        <v>33.188859999999998</v>
      </c>
      <c r="AK121" t="s">
        <v>180</v>
      </c>
      <c r="AL121">
        <v>-97.817631000000006</v>
      </c>
      <c r="AM121">
        <v>25</v>
      </c>
      <c r="AN121">
        <v>1700</v>
      </c>
      <c r="AO121" t="s">
        <v>118</v>
      </c>
      <c r="AP121">
        <v>85</v>
      </c>
      <c r="AQ121">
        <v>2</v>
      </c>
      <c r="AR121">
        <v>960</v>
      </c>
      <c r="AZ121">
        <v>1200</v>
      </c>
      <c r="BA121">
        <v>1</v>
      </c>
      <c r="BB121" t="str">
        <f t="shared" si="29"/>
        <v xml:space="preserve">N733KP  </v>
      </c>
      <c r="BC121">
        <v>1</v>
      </c>
      <c r="BE121">
        <v>0</v>
      </c>
      <c r="BF121">
        <v>0</v>
      </c>
      <c r="BG121">
        <v>0</v>
      </c>
      <c r="BH121">
        <v>1600</v>
      </c>
      <c r="BI121">
        <v>1</v>
      </c>
      <c r="BJ121">
        <v>1</v>
      </c>
      <c r="BK121">
        <v>0</v>
      </c>
      <c r="BL121">
        <v>0</v>
      </c>
      <c r="BO121">
        <v>0</v>
      </c>
      <c r="BP121">
        <v>0</v>
      </c>
      <c r="BW121" t="str">
        <f>"22:09:48.892"</f>
        <v>22:09:48.892</v>
      </c>
      <c r="CJ121">
        <v>0</v>
      </c>
      <c r="CK121">
        <v>1</v>
      </c>
      <c r="CL121">
        <v>0</v>
      </c>
      <c r="CM121">
        <v>2</v>
      </c>
      <c r="CN121">
        <v>0</v>
      </c>
      <c r="CO121">
        <v>6</v>
      </c>
      <c r="CP121" t="s">
        <v>119</v>
      </c>
      <c r="CQ121">
        <v>364</v>
      </c>
      <c r="CR121">
        <v>0</v>
      </c>
      <c r="CW121">
        <v>1368713</v>
      </c>
      <c r="CY121">
        <v>1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1</v>
      </c>
      <c r="DH121">
        <v>0</v>
      </c>
      <c r="DI121">
        <v>0</v>
      </c>
    </row>
    <row r="122" spans="1:113" x14ac:dyDescent="0.3">
      <c r="A122" t="str">
        <f>"03/24/2022 22:09:49.725"</f>
        <v>03/24/2022 22:09:49.725</v>
      </c>
      <c r="C122" t="str">
        <f t="shared" si="27"/>
        <v>FFDFD3C0</v>
      </c>
      <c r="D122" t="s">
        <v>113</v>
      </c>
      <c r="E122">
        <v>24</v>
      </c>
      <c r="F122">
        <v>2024</v>
      </c>
      <c r="G122" t="s">
        <v>114</v>
      </c>
      <c r="J122" t="s">
        <v>115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 t="shared" ref="S122:T125" si="38">"22:09:49.000"</f>
        <v>22:09:49.000</v>
      </c>
      <c r="T122" t="str">
        <f t="shared" si="38"/>
        <v>22:09:49.000</v>
      </c>
      <c r="U122" t="str">
        <f t="shared" si="22"/>
        <v>A9D71F</v>
      </c>
      <c r="V122">
        <v>0</v>
      </c>
      <c r="W122">
        <v>0</v>
      </c>
      <c r="X122">
        <v>2</v>
      </c>
      <c r="Z122">
        <v>1</v>
      </c>
      <c r="AA122">
        <v>6</v>
      </c>
      <c r="AB122">
        <v>3</v>
      </c>
      <c r="AC122">
        <v>0</v>
      </c>
      <c r="AD122">
        <v>9</v>
      </c>
      <c r="AE122">
        <v>0</v>
      </c>
      <c r="AF122">
        <v>3</v>
      </c>
      <c r="AG122">
        <v>1</v>
      </c>
      <c r="AH122">
        <v>0</v>
      </c>
      <c r="AI122" t="s">
        <v>181</v>
      </c>
      <c r="AJ122">
        <v>33.188882</v>
      </c>
      <c r="AK122" t="s">
        <v>182</v>
      </c>
      <c r="AL122">
        <v>-97.817179999999993</v>
      </c>
      <c r="AM122">
        <v>25</v>
      </c>
      <c r="AN122">
        <v>1700</v>
      </c>
      <c r="AO122" t="s">
        <v>118</v>
      </c>
      <c r="AP122">
        <v>86</v>
      </c>
      <c r="AQ122">
        <v>2</v>
      </c>
      <c r="AR122">
        <v>832</v>
      </c>
      <c r="AZ122">
        <v>1200</v>
      </c>
      <c r="BA122">
        <v>1</v>
      </c>
      <c r="BB122" t="str">
        <f t="shared" si="29"/>
        <v xml:space="preserve">N733KP  </v>
      </c>
      <c r="BC122">
        <v>1</v>
      </c>
      <c r="BE122">
        <v>0</v>
      </c>
      <c r="BF122">
        <v>0</v>
      </c>
      <c r="BG122">
        <v>0</v>
      </c>
      <c r="BH122">
        <v>1600</v>
      </c>
      <c r="BI122">
        <v>1</v>
      </c>
      <c r="BJ122">
        <v>1</v>
      </c>
      <c r="BK122">
        <v>0</v>
      </c>
      <c r="BL122">
        <v>0</v>
      </c>
      <c r="BO122">
        <v>0</v>
      </c>
      <c r="BP122">
        <v>0</v>
      </c>
      <c r="BW122" t="str">
        <f>"22:09:49.551"</f>
        <v>22:09:49.551</v>
      </c>
      <c r="CJ122">
        <v>0</v>
      </c>
      <c r="CK122">
        <v>1</v>
      </c>
      <c r="CL122">
        <v>0</v>
      </c>
      <c r="CM122">
        <v>2</v>
      </c>
      <c r="CN122">
        <v>0</v>
      </c>
      <c r="CO122">
        <v>6</v>
      </c>
      <c r="CP122" t="s">
        <v>119</v>
      </c>
      <c r="CQ122">
        <v>364</v>
      </c>
      <c r="CR122">
        <v>0</v>
      </c>
      <c r="CW122">
        <v>1368793</v>
      </c>
      <c r="CY122">
        <v>1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1</v>
      </c>
      <c r="DH122">
        <v>0</v>
      </c>
      <c r="DI122">
        <v>0</v>
      </c>
    </row>
    <row r="123" spans="1:113" x14ac:dyDescent="0.3">
      <c r="A123" t="str">
        <f>"03/24/2022 22:09:49.725"</f>
        <v>03/24/2022 22:09:49.725</v>
      </c>
      <c r="C123" t="str">
        <f t="shared" si="27"/>
        <v>FFDFD3C0</v>
      </c>
      <c r="D123" t="s">
        <v>126</v>
      </c>
      <c r="E123">
        <v>3</v>
      </c>
      <c r="H123">
        <v>160</v>
      </c>
      <c r="I123" t="s">
        <v>121</v>
      </c>
      <c r="J123" t="s">
        <v>127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 t="shared" si="38"/>
        <v>22:09:49.000</v>
      </c>
      <c r="T123" t="str">
        <f t="shared" si="38"/>
        <v>22:09:49.000</v>
      </c>
      <c r="U123" t="str">
        <f t="shared" si="22"/>
        <v>A9D71F</v>
      </c>
      <c r="V123">
        <v>0</v>
      </c>
      <c r="W123">
        <v>0</v>
      </c>
      <c r="X123">
        <v>2</v>
      </c>
      <c r="Z123">
        <v>1</v>
      </c>
      <c r="AA123">
        <v>6</v>
      </c>
      <c r="AB123">
        <v>3</v>
      </c>
      <c r="AC123">
        <v>0</v>
      </c>
      <c r="AD123">
        <v>9</v>
      </c>
      <c r="AE123">
        <v>0</v>
      </c>
      <c r="AF123">
        <v>3</v>
      </c>
      <c r="AG123">
        <v>1</v>
      </c>
      <c r="AH123">
        <v>0</v>
      </c>
      <c r="AI123" t="s">
        <v>181</v>
      </c>
      <c r="AJ123">
        <v>33.188882</v>
      </c>
      <c r="AK123" t="s">
        <v>182</v>
      </c>
      <c r="AL123">
        <v>-97.817179999999993</v>
      </c>
      <c r="AM123">
        <v>25</v>
      </c>
      <c r="AN123">
        <v>1700</v>
      </c>
      <c r="AO123" t="s">
        <v>118</v>
      </c>
      <c r="AP123">
        <v>86</v>
      </c>
      <c r="AQ123">
        <v>2</v>
      </c>
      <c r="AR123">
        <v>832</v>
      </c>
      <c r="AZ123">
        <v>1200</v>
      </c>
      <c r="BA123">
        <v>1</v>
      </c>
      <c r="BB123" t="str">
        <f t="shared" si="29"/>
        <v xml:space="preserve">N733KP  </v>
      </c>
      <c r="BC123">
        <v>1</v>
      </c>
      <c r="BE123">
        <v>0</v>
      </c>
      <c r="BF123">
        <v>0</v>
      </c>
      <c r="BG123">
        <v>0</v>
      </c>
      <c r="BH123">
        <v>1600</v>
      </c>
      <c r="BI123">
        <v>1</v>
      </c>
      <c r="BJ123">
        <v>1</v>
      </c>
      <c r="BK123">
        <v>0</v>
      </c>
      <c r="BL123">
        <v>0</v>
      </c>
      <c r="BO123">
        <v>0</v>
      </c>
      <c r="BP123">
        <v>0</v>
      </c>
      <c r="BW123" t="str">
        <f>"22:09:49.551"</f>
        <v>22:09:49.551</v>
      </c>
      <c r="CJ123">
        <v>0</v>
      </c>
      <c r="CK123">
        <v>1</v>
      </c>
      <c r="CL123">
        <v>0</v>
      </c>
      <c r="CM123">
        <v>2</v>
      </c>
      <c r="CN123">
        <v>0</v>
      </c>
      <c r="CO123">
        <v>6</v>
      </c>
      <c r="CP123" t="s">
        <v>119</v>
      </c>
      <c r="CQ123">
        <v>364</v>
      </c>
      <c r="CR123">
        <v>0</v>
      </c>
      <c r="CW123">
        <v>1368793</v>
      </c>
      <c r="CY123">
        <v>1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1</v>
      </c>
      <c r="DH123">
        <v>0</v>
      </c>
      <c r="DI123">
        <v>0</v>
      </c>
    </row>
    <row r="124" spans="1:113" x14ac:dyDescent="0.3">
      <c r="A124" t="str">
        <f>"03/24/2022 22:09:49.741"</f>
        <v>03/24/2022 22:09:49.741</v>
      </c>
      <c r="C124" t="str">
        <f t="shared" si="27"/>
        <v>FFDFD3C0</v>
      </c>
      <c r="D124" t="s">
        <v>123</v>
      </c>
      <c r="E124">
        <v>8</v>
      </c>
      <c r="H124">
        <v>31</v>
      </c>
      <c r="I124" t="s">
        <v>124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 t="shared" si="38"/>
        <v>22:09:49.000</v>
      </c>
      <c r="T124" t="str">
        <f t="shared" si="38"/>
        <v>22:09:49.000</v>
      </c>
      <c r="U124" t="str">
        <f t="shared" si="22"/>
        <v>A9D71F</v>
      </c>
      <c r="V124">
        <v>0</v>
      </c>
      <c r="W124">
        <v>0</v>
      </c>
      <c r="X124">
        <v>2</v>
      </c>
      <c r="Z124">
        <v>1</v>
      </c>
      <c r="AA124">
        <v>6</v>
      </c>
      <c r="AB124">
        <v>3</v>
      </c>
      <c r="AC124">
        <v>0</v>
      </c>
      <c r="AD124">
        <v>9</v>
      </c>
      <c r="AE124">
        <v>0</v>
      </c>
      <c r="AF124">
        <v>3</v>
      </c>
      <c r="AG124">
        <v>1</v>
      </c>
      <c r="AH124">
        <v>0</v>
      </c>
      <c r="AI124" t="s">
        <v>181</v>
      </c>
      <c r="AJ124">
        <v>33.188882</v>
      </c>
      <c r="AK124" t="s">
        <v>182</v>
      </c>
      <c r="AL124">
        <v>-97.817179999999993</v>
      </c>
      <c r="AM124">
        <v>25</v>
      </c>
      <c r="AN124">
        <v>1700</v>
      </c>
      <c r="AO124" t="s">
        <v>118</v>
      </c>
      <c r="AP124">
        <v>86</v>
      </c>
      <c r="AQ124">
        <v>2</v>
      </c>
      <c r="AR124">
        <v>832</v>
      </c>
      <c r="AZ124">
        <v>1200</v>
      </c>
      <c r="BA124">
        <v>1</v>
      </c>
      <c r="BB124" t="str">
        <f t="shared" si="29"/>
        <v xml:space="preserve">N733KP  </v>
      </c>
      <c r="BC124">
        <v>1</v>
      </c>
      <c r="BE124">
        <v>0</v>
      </c>
      <c r="BF124">
        <v>0</v>
      </c>
      <c r="BG124">
        <v>0</v>
      </c>
      <c r="BH124">
        <v>1600</v>
      </c>
      <c r="BI124">
        <v>1</v>
      </c>
      <c r="BJ124">
        <v>1</v>
      </c>
      <c r="BK124">
        <v>0</v>
      </c>
      <c r="BL124">
        <v>0</v>
      </c>
      <c r="BO124">
        <v>0</v>
      </c>
      <c r="BP124">
        <v>0</v>
      </c>
      <c r="BW124" t="str">
        <f>"22:09:49.551"</f>
        <v>22:09:49.551</v>
      </c>
      <c r="CJ124">
        <v>0</v>
      </c>
      <c r="CK124">
        <v>1</v>
      </c>
      <c r="CL124">
        <v>0</v>
      </c>
      <c r="CM124">
        <v>2</v>
      </c>
      <c r="CN124">
        <v>0</v>
      </c>
      <c r="CO124">
        <v>6</v>
      </c>
      <c r="CP124" t="s">
        <v>119</v>
      </c>
      <c r="CQ124">
        <v>364</v>
      </c>
      <c r="CR124">
        <v>0</v>
      </c>
      <c r="CW124">
        <v>1368793</v>
      </c>
      <c r="CY124">
        <v>1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1</v>
      </c>
      <c r="DH124">
        <v>0</v>
      </c>
      <c r="DI124">
        <v>0</v>
      </c>
    </row>
    <row r="125" spans="1:113" x14ac:dyDescent="0.3">
      <c r="A125" t="str">
        <f>"03/24/2022 22:09:49.756"</f>
        <v>03/24/2022 22:09:49.756</v>
      </c>
      <c r="C125" t="str">
        <f t="shared" si="27"/>
        <v>FFDFD3C0</v>
      </c>
      <c r="D125" t="s">
        <v>120</v>
      </c>
      <c r="E125">
        <v>14</v>
      </c>
      <c r="F125">
        <v>1014</v>
      </c>
      <c r="G125" t="s">
        <v>121</v>
      </c>
      <c r="J125" t="s">
        <v>122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 t="shared" si="38"/>
        <v>22:09:49.000</v>
      </c>
      <c r="T125" t="str">
        <f t="shared" si="38"/>
        <v>22:09:49.000</v>
      </c>
      <c r="U125" t="str">
        <f t="shared" si="22"/>
        <v>A9D71F</v>
      </c>
      <c r="V125">
        <v>0</v>
      </c>
      <c r="W125">
        <v>0</v>
      </c>
      <c r="X125">
        <v>2</v>
      </c>
      <c r="Z125">
        <v>1</v>
      </c>
      <c r="AA125">
        <v>6</v>
      </c>
      <c r="AB125">
        <v>3</v>
      </c>
      <c r="AC125">
        <v>0</v>
      </c>
      <c r="AD125">
        <v>9</v>
      </c>
      <c r="AE125">
        <v>0</v>
      </c>
      <c r="AF125">
        <v>3</v>
      </c>
      <c r="AG125">
        <v>1</v>
      </c>
      <c r="AH125">
        <v>0</v>
      </c>
      <c r="AI125" t="s">
        <v>181</v>
      </c>
      <c r="AJ125">
        <v>33.188882</v>
      </c>
      <c r="AK125" t="s">
        <v>182</v>
      </c>
      <c r="AL125">
        <v>-97.817179999999993</v>
      </c>
      <c r="AM125">
        <v>25</v>
      </c>
      <c r="AN125">
        <v>1700</v>
      </c>
      <c r="AO125" t="s">
        <v>118</v>
      </c>
      <c r="AP125">
        <v>86</v>
      </c>
      <c r="AQ125">
        <v>2</v>
      </c>
      <c r="AR125">
        <v>832</v>
      </c>
      <c r="AZ125">
        <v>1200</v>
      </c>
      <c r="BA125">
        <v>1</v>
      </c>
      <c r="BB125" t="str">
        <f t="shared" si="29"/>
        <v xml:space="preserve">N733KP  </v>
      </c>
      <c r="BC125">
        <v>1</v>
      </c>
      <c r="BE125">
        <v>0</v>
      </c>
      <c r="BF125">
        <v>0</v>
      </c>
      <c r="BG125">
        <v>0</v>
      </c>
      <c r="BH125">
        <v>1600</v>
      </c>
      <c r="BI125">
        <v>1</v>
      </c>
      <c r="BJ125">
        <v>1</v>
      </c>
      <c r="BK125">
        <v>0</v>
      </c>
      <c r="BL125">
        <v>0</v>
      </c>
      <c r="BO125">
        <v>0</v>
      </c>
      <c r="BP125">
        <v>0</v>
      </c>
      <c r="BW125" t="str">
        <f>"22:09:49.551"</f>
        <v>22:09:49.551</v>
      </c>
      <c r="CJ125">
        <v>0</v>
      </c>
      <c r="CK125">
        <v>1</v>
      </c>
      <c r="CL125">
        <v>0</v>
      </c>
      <c r="CM125">
        <v>2</v>
      </c>
      <c r="CN125">
        <v>0</v>
      </c>
      <c r="CO125">
        <v>6</v>
      </c>
      <c r="CP125" t="s">
        <v>119</v>
      </c>
      <c r="CQ125">
        <v>364</v>
      </c>
      <c r="CR125">
        <v>0</v>
      </c>
      <c r="CW125">
        <v>1368793</v>
      </c>
      <c r="CY125">
        <v>1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1</v>
      </c>
      <c r="DH125">
        <v>0</v>
      </c>
      <c r="DI125">
        <v>0</v>
      </c>
    </row>
    <row r="126" spans="1:113" x14ac:dyDescent="0.3">
      <c r="A126" t="str">
        <f>"03/24/2022 22:09:51.241"</f>
        <v>03/24/2022 22:09:51.241</v>
      </c>
      <c r="C126" t="str">
        <f t="shared" si="27"/>
        <v>FFDFD3C0</v>
      </c>
      <c r="D126" t="s">
        <v>123</v>
      </c>
      <c r="E126">
        <v>8</v>
      </c>
      <c r="H126">
        <v>31</v>
      </c>
      <c r="I126" t="s">
        <v>124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 t="shared" ref="S126:T129" si="39">"22:09:50.000"</f>
        <v>22:09:50.000</v>
      </c>
      <c r="T126" t="str">
        <f t="shared" si="39"/>
        <v>22:09:50.000</v>
      </c>
      <c r="U126" t="str">
        <f t="shared" si="22"/>
        <v>A9D71F</v>
      </c>
      <c r="V126">
        <v>0</v>
      </c>
      <c r="W126">
        <v>0</v>
      </c>
      <c r="X126">
        <v>2</v>
      </c>
      <c r="Z126">
        <v>1</v>
      </c>
      <c r="AA126">
        <v>8</v>
      </c>
      <c r="AB126">
        <v>3</v>
      </c>
      <c r="AC126">
        <v>0</v>
      </c>
      <c r="AD126">
        <v>9</v>
      </c>
      <c r="AE126">
        <v>0</v>
      </c>
      <c r="AF126">
        <v>3</v>
      </c>
      <c r="AG126">
        <v>1</v>
      </c>
      <c r="AH126">
        <v>0</v>
      </c>
      <c r="AI126" t="s">
        <v>181</v>
      </c>
      <c r="AJ126">
        <v>33.188882</v>
      </c>
      <c r="AK126" t="s">
        <v>183</v>
      </c>
      <c r="AL126">
        <v>-97.816730000000007</v>
      </c>
      <c r="AM126">
        <v>25</v>
      </c>
      <c r="AN126">
        <v>1700</v>
      </c>
      <c r="AO126" t="s">
        <v>118</v>
      </c>
      <c r="AP126">
        <v>86</v>
      </c>
      <c r="AQ126">
        <v>1</v>
      </c>
      <c r="AR126">
        <v>896</v>
      </c>
      <c r="AZ126">
        <v>1200</v>
      </c>
      <c r="BA126">
        <v>1</v>
      </c>
      <c r="BB126" t="str">
        <f t="shared" si="29"/>
        <v xml:space="preserve">N733KP  </v>
      </c>
      <c r="BC126">
        <v>1</v>
      </c>
      <c r="BE126">
        <v>0</v>
      </c>
      <c r="BF126">
        <v>0</v>
      </c>
      <c r="BG126">
        <v>0</v>
      </c>
      <c r="BH126">
        <v>1625</v>
      </c>
      <c r="BI126">
        <v>1</v>
      </c>
      <c r="BJ126">
        <v>1</v>
      </c>
      <c r="BK126">
        <v>0</v>
      </c>
      <c r="BL126">
        <v>0</v>
      </c>
      <c r="BO126">
        <v>0</v>
      </c>
      <c r="BP126">
        <v>0</v>
      </c>
      <c r="BW126" t="str">
        <f>"22:09:50.981"</f>
        <v>22:09:50.981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6</v>
      </c>
      <c r="CP126" t="s">
        <v>119</v>
      </c>
      <c r="CQ126">
        <v>364</v>
      </c>
      <c r="CR126">
        <v>0</v>
      </c>
      <c r="CW126">
        <v>1368982</v>
      </c>
      <c r="CY126">
        <v>1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"03/24/2022 22:09:51.241"</f>
        <v>03/24/2022 22:09:51.241</v>
      </c>
      <c r="C127" t="str">
        <f t="shared" si="27"/>
        <v>FFDFD3C0</v>
      </c>
      <c r="D127" t="s">
        <v>120</v>
      </c>
      <c r="E127">
        <v>14</v>
      </c>
      <c r="F127">
        <v>1014</v>
      </c>
      <c r="G127" t="s">
        <v>121</v>
      </c>
      <c r="J127" t="s">
        <v>122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 t="shared" si="39"/>
        <v>22:09:50.000</v>
      </c>
      <c r="T127" t="str">
        <f t="shared" si="39"/>
        <v>22:09:50.000</v>
      </c>
      <c r="U127" t="str">
        <f t="shared" si="22"/>
        <v>A9D71F</v>
      </c>
      <c r="V127">
        <v>0</v>
      </c>
      <c r="W127">
        <v>0</v>
      </c>
      <c r="X127">
        <v>2</v>
      </c>
      <c r="Z127">
        <v>1</v>
      </c>
      <c r="AA127">
        <v>8</v>
      </c>
      <c r="AB127">
        <v>3</v>
      </c>
      <c r="AC127">
        <v>0</v>
      </c>
      <c r="AD127">
        <v>9</v>
      </c>
      <c r="AE127">
        <v>0</v>
      </c>
      <c r="AF127">
        <v>3</v>
      </c>
      <c r="AG127">
        <v>1</v>
      </c>
      <c r="AH127">
        <v>0</v>
      </c>
      <c r="AI127" t="s">
        <v>181</v>
      </c>
      <c r="AJ127">
        <v>33.188882</v>
      </c>
      <c r="AK127" t="s">
        <v>183</v>
      </c>
      <c r="AL127">
        <v>-97.816730000000007</v>
      </c>
      <c r="AM127">
        <v>25</v>
      </c>
      <c r="AN127">
        <v>1700</v>
      </c>
      <c r="AO127" t="s">
        <v>118</v>
      </c>
      <c r="AP127">
        <v>86</v>
      </c>
      <c r="AQ127">
        <v>1</v>
      </c>
      <c r="AR127">
        <v>896</v>
      </c>
      <c r="AZ127">
        <v>1200</v>
      </c>
      <c r="BA127">
        <v>1</v>
      </c>
      <c r="BB127" t="str">
        <f t="shared" si="29"/>
        <v xml:space="preserve">N733KP  </v>
      </c>
      <c r="BC127">
        <v>1</v>
      </c>
      <c r="BE127">
        <v>0</v>
      </c>
      <c r="BF127">
        <v>0</v>
      </c>
      <c r="BG127">
        <v>0</v>
      </c>
      <c r="BH127">
        <v>1625</v>
      </c>
      <c r="BI127">
        <v>1</v>
      </c>
      <c r="BJ127">
        <v>1</v>
      </c>
      <c r="BK127">
        <v>0</v>
      </c>
      <c r="BL127">
        <v>0</v>
      </c>
      <c r="BO127">
        <v>0</v>
      </c>
      <c r="BP127">
        <v>0</v>
      </c>
      <c r="BW127" t="str">
        <f>"22:09:50.981"</f>
        <v>22:09:50.981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6</v>
      </c>
      <c r="CP127" t="s">
        <v>119</v>
      </c>
      <c r="CQ127">
        <v>364</v>
      </c>
      <c r="CR127">
        <v>0</v>
      </c>
      <c r="CW127">
        <v>1368982</v>
      </c>
      <c r="CY127">
        <v>1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"03/24/2022 22:09:51.272"</f>
        <v>03/24/2022 22:09:51.272</v>
      </c>
      <c r="C128" t="str">
        <f t="shared" si="27"/>
        <v>FFDFD3C0</v>
      </c>
      <c r="D128" t="s">
        <v>113</v>
      </c>
      <c r="E128">
        <v>24</v>
      </c>
      <c r="F128">
        <v>2024</v>
      </c>
      <c r="G128" t="s">
        <v>114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 t="shared" si="39"/>
        <v>22:09:50.000</v>
      </c>
      <c r="T128" t="str">
        <f t="shared" si="39"/>
        <v>22:09:50.000</v>
      </c>
      <c r="U128" t="str">
        <f t="shared" si="22"/>
        <v>A9D71F</v>
      </c>
      <c r="V128">
        <v>0</v>
      </c>
      <c r="W128">
        <v>0</v>
      </c>
      <c r="X128">
        <v>2</v>
      </c>
      <c r="Z128">
        <v>1</v>
      </c>
      <c r="AA128">
        <v>8</v>
      </c>
      <c r="AB128">
        <v>3</v>
      </c>
      <c r="AC128">
        <v>0</v>
      </c>
      <c r="AD128">
        <v>9</v>
      </c>
      <c r="AE128">
        <v>0</v>
      </c>
      <c r="AF128">
        <v>3</v>
      </c>
      <c r="AG128">
        <v>1</v>
      </c>
      <c r="AH128">
        <v>0</v>
      </c>
      <c r="AI128" t="s">
        <v>181</v>
      </c>
      <c r="AJ128">
        <v>33.188882</v>
      </c>
      <c r="AK128" t="s">
        <v>183</v>
      </c>
      <c r="AL128">
        <v>-97.816730000000007</v>
      </c>
      <c r="AM128">
        <v>25</v>
      </c>
      <c r="AN128">
        <v>1700</v>
      </c>
      <c r="AO128" t="s">
        <v>118</v>
      </c>
      <c r="AP128">
        <v>86</v>
      </c>
      <c r="AQ128">
        <v>1</v>
      </c>
      <c r="AR128">
        <v>896</v>
      </c>
      <c r="AZ128">
        <v>1200</v>
      </c>
      <c r="BA128">
        <v>1</v>
      </c>
      <c r="BB128" t="str">
        <f t="shared" si="29"/>
        <v xml:space="preserve">N733KP  </v>
      </c>
      <c r="BC128">
        <v>1</v>
      </c>
      <c r="BE128">
        <v>0</v>
      </c>
      <c r="BF128">
        <v>0</v>
      </c>
      <c r="BG128">
        <v>0</v>
      </c>
      <c r="BH128">
        <v>1625</v>
      </c>
      <c r="BI128">
        <v>1</v>
      </c>
      <c r="BJ128">
        <v>1</v>
      </c>
      <c r="BK128">
        <v>0</v>
      </c>
      <c r="BL128">
        <v>0</v>
      </c>
      <c r="BO128">
        <v>0</v>
      </c>
      <c r="BP128">
        <v>0</v>
      </c>
      <c r="BW128" t="str">
        <f>"22:09:50.981"</f>
        <v>22:09:50.981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6</v>
      </c>
      <c r="CP128" t="s">
        <v>119</v>
      </c>
      <c r="CQ128">
        <v>364</v>
      </c>
      <c r="CR128">
        <v>0</v>
      </c>
      <c r="CW128">
        <v>1368982</v>
      </c>
      <c r="CY128">
        <v>1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"03/24/2022 22:09:51.272"</f>
        <v>03/24/2022 22:09:51.272</v>
      </c>
      <c r="C129" t="str">
        <f t="shared" si="27"/>
        <v>FFDFD3C0</v>
      </c>
      <c r="D129" t="s">
        <v>126</v>
      </c>
      <c r="E129">
        <v>3</v>
      </c>
      <c r="H129">
        <v>160</v>
      </c>
      <c r="I129" t="s">
        <v>121</v>
      </c>
      <c r="J129" t="s">
        <v>127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 t="shared" si="39"/>
        <v>22:09:50.000</v>
      </c>
      <c r="T129" t="str">
        <f t="shared" si="39"/>
        <v>22:09:50.000</v>
      </c>
      <c r="U129" t="str">
        <f t="shared" si="22"/>
        <v>A9D71F</v>
      </c>
      <c r="V129">
        <v>0</v>
      </c>
      <c r="W129">
        <v>0</v>
      </c>
      <c r="X129">
        <v>2</v>
      </c>
      <c r="Z129">
        <v>1</v>
      </c>
      <c r="AA129">
        <v>8</v>
      </c>
      <c r="AB129">
        <v>3</v>
      </c>
      <c r="AC129">
        <v>0</v>
      </c>
      <c r="AD129">
        <v>9</v>
      </c>
      <c r="AE129">
        <v>0</v>
      </c>
      <c r="AF129">
        <v>3</v>
      </c>
      <c r="AG129">
        <v>1</v>
      </c>
      <c r="AH129">
        <v>0</v>
      </c>
      <c r="AI129" t="s">
        <v>181</v>
      </c>
      <c r="AJ129">
        <v>33.188882</v>
      </c>
      <c r="AK129" t="s">
        <v>183</v>
      </c>
      <c r="AL129">
        <v>-97.816730000000007</v>
      </c>
      <c r="AM129">
        <v>25</v>
      </c>
      <c r="AN129">
        <v>1700</v>
      </c>
      <c r="AO129" t="s">
        <v>118</v>
      </c>
      <c r="AP129">
        <v>86</v>
      </c>
      <c r="AQ129">
        <v>1</v>
      </c>
      <c r="AR129">
        <v>896</v>
      </c>
      <c r="AZ129">
        <v>1200</v>
      </c>
      <c r="BA129">
        <v>1</v>
      </c>
      <c r="BB129" t="str">
        <f t="shared" si="29"/>
        <v xml:space="preserve">N733KP  </v>
      </c>
      <c r="BC129">
        <v>1</v>
      </c>
      <c r="BE129">
        <v>0</v>
      </c>
      <c r="BF129">
        <v>0</v>
      </c>
      <c r="BG129">
        <v>0</v>
      </c>
      <c r="BH129">
        <v>1625</v>
      </c>
      <c r="BI129">
        <v>1</v>
      </c>
      <c r="BJ129">
        <v>1</v>
      </c>
      <c r="BK129">
        <v>0</v>
      </c>
      <c r="BL129">
        <v>0</v>
      </c>
      <c r="BO129">
        <v>0</v>
      </c>
      <c r="BP129">
        <v>0</v>
      </c>
      <c r="BW129" t="str">
        <f>"22:09:50.981"</f>
        <v>22:09:50.981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6</v>
      </c>
      <c r="CP129" t="s">
        <v>119</v>
      </c>
      <c r="CQ129">
        <v>364</v>
      </c>
      <c r="CR129">
        <v>0</v>
      </c>
      <c r="CW129">
        <v>1368982</v>
      </c>
      <c r="CY129">
        <v>1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"03/24/2022 22:09:51.617"</f>
        <v>03/24/2022 22:09:51.617</v>
      </c>
      <c r="C130" t="str">
        <f t="shared" si="27"/>
        <v>FFDFD3C0</v>
      </c>
      <c r="D130" t="s">
        <v>123</v>
      </c>
      <c r="E130">
        <v>8</v>
      </c>
      <c r="H130">
        <v>31</v>
      </c>
      <c r="I130" t="s">
        <v>124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 t="shared" ref="S130:T133" si="40">"22:09:51.000"</f>
        <v>22:09:51.000</v>
      </c>
      <c r="T130" t="str">
        <f t="shared" si="40"/>
        <v>22:09:51.000</v>
      </c>
      <c r="U130" t="str">
        <f t="shared" ref="U130:U193" si="41">"A9D71F"</f>
        <v>A9D71F</v>
      </c>
      <c r="V130">
        <v>0</v>
      </c>
      <c r="W130">
        <v>0</v>
      </c>
      <c r="X130">
        <v>2</v>
      </c>
      <c r="Z130">
        <v>1</v>
      </c>
      <c r="AA130">
        <v>8</v>
      </c>
      <c r="AB130">
        <v>3</v>
      </c>
      <c r="AC130">
        <v>0</v>
      </c>
      <c r="AD130">
        <v>9</v>
      </c>
      <c r="AE130">
        <v>0</v>
      </c>
      <c r="AF130">
        <v>3</v>
      </c>
      <c r="AG130">
        <v>1</v>
      </c>
      <c r="AH130">
        <v>0</v>
      </c>
      <c r="AI130" t="s">
        <v>184</v>
      </c>
      <c r="AJ130">
        <v>33.188946000000001</v>
      </c>
      <c r="AK130" t="s">
        <v>185</v>
      </c>
      <c r="AL130">
        <v>-97.816256999999993</v>
      </c>
      <c r="AM130">
        <v>25</v>
      </c>
      <c r="AN130">
        <v>1700</v>
      </c>
      <c r="AO130" t="s">
        <v>118</v>
      </c>
      <c r="AP130">
        <v>84</v>
      </c>
      <c r="AQ130">
        <v>4</v>
      </c>
      <c r="AR130">
        <v>896</v>
      </c>
      <c r="AZ130">
        <v>1200</v>
      </c>
      <c r="BA130">
        <v>1</v>
      </c>
      <c r="BB130" t="str">
        <f t="shared" si="29"/>
        <v xml:space="preserve">N733KP  </v>
      </c>
      <c r="BC130">
        <v>1</v>
      </c>
      <c r="BE130">
        <v>0</v>
      </c>
      <c r="BF130">
        <v>0</v>
      </c>
      <c r="BG130">
        <v>0</v>
      </c>
      <c r="BH130">
        <v>1625</v>
      </c>
      <c r="BI130">
        <v>1</v>
      </c>
      <c r="BJ130">
        <v>1</v>
      </c>
      <c r="BK130">
        <v>0</v>
      </c>
      <c r="BL130">
        <v>0</v>
      </c>
      <c r="BO130">
        <v>0</v>
      </c>
      <c r="BP130">
        <v>0</v>
      </c>
      <c r="BW130" t="str">
        <f>"22:09:51.451"</f>
        <v>22:09:51.451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6</v>
      </c>
      <c r="CP130" t="s">
        <v>119</v>
      </c>
      <c r="CQ130">
        <v>364</v>
      </c>
      <c r="CR130">
        <v>0</v>
      </c>
      <c r="CW130">
        <v>1369045</v>
      </c>
      <c r="CY130">
        <v>1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"03/24/2022 22:09:51.617"</f>
        <v>03/24/2022 22:09:51.617</v>
      </c>
      <c r="C131" t="str">
        <f t="shared" si="27"/>
        <v>FFDFD3C0</v>
      </c>
      <c r="D131" t="s">
        <v>120</v>
      </c>
      <c r="E131">
        <v>14</v>
      </c>
      <c r="F131">
        <v>1014</v>
      </c>
      <c r="G131" t="s">
        <v>121</v>
      </c>
      <c r="J131" t="s">
        <v>122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 t="shared" si="40"/>
        <v>22:09:51.000</v>
      </c>
      <c r="T131" t="str">
        <f t="shared" si="40"/>
        <v>22:09:51.000</v>
      </c>
      <c r="U131" t="str">
        <f t="shared" si="41"/>
        <v>A9D71F</v>
      </c>
      <c r="V131">
        <v>0</v>
      </c>
      <c r="W131">
        <v>0</v>
      </c>
      <c r="X131">
        <v>2</v>
      </c>
      <c r="Z131">
        <v>1</v>
      </c>
      <c r="AA131">
        <v>8</v>
      </c>
      <c r="AB131">
        <v>3</v>
      </c>
      <c r="AC131">
        <v>0</v>
      </c>
      <c r="AD131">
        <v>9</v>
      </c>
      <c r="AE131">
        <v>0</v>
      </c>
      <c r="AF131">
        <v>3</v>
      </c>
      <c r="AG131">
        <v>1</v>
      </c>
      <c r="AH131">
        <v>0</v>
      </c>
      <c r="AI131" t="s">
        <v>184</v>
      </c>
      <c r="AJ131">
        <v>33.188946000000001</v>
      </c>
      <c r="AK131" t="s">
        <v>185</v>
      </c>
      <c r="AL131">
        <v>-97.816256999999993</v>
      </c>
      <c r="AM131">
        <v>25</v>
      </c>
      <c r="AN131">
        <v>1700</v>
      </c>
      <c r="AO131" t="s">
        <v>118</v>
      </c>
      <c r="AP131">
        <v>84</v>
      </c>
      <c r="AQ131">
        <v>4</v>
      </c>
      <c r="AR131">
        <v>896</v>
      </c>
      <c r="AZ131">
        <v>1200</v>
      </c>
      <c r="BA131">
        <v>1</v>
      </c>
      <c r="BB131" t="str">
        <f t="shared" si="29"/>
        <v xml:space="preserve">N733KP  </v>
      </c>
      <c r="BC131">
        <v>1</v>
      </c>
      <c r="BE131">
        <v>0</v>
      </c>
      <c r="BF131">
        <v>0</v>
      </c>
      <c r="BG131">
        <v>0</v>
      </c>
      <c r="BH131">
        <v>1625</v>
      </c>
      <c r="BI131">
        <v>1</v>
      </c>
      <c r="BJ131">
        <v>1</v>
      </c>
      <c r="BK131">
        <v>0</v>
      </c>
      <c r="BL131">
        <v>0</v>
      </c>
      <c r="BO131">
        <v>0</v>
      </c>
      <c r="BP131">
        <v>0</v>
      </c>
      <c r="BW131" t="str">
        <f>"22:09:51.451"</f>
        <v>22:09:51.451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6</v>
      </c>
      <c r="CP131" t="s">
        <v>119</v>
      </c>
      <c r="CQ131">
        <v>364</v>
      </c>
      <c r="CR131">
        <v>0</v>
      </c>
      <c r="CW131">
        <v>1369045</v>
      </c>
      <c r="CY131">
        <v>1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"03/24/2022 22:09:51.664"</f>
        <v>03/24/2022 22:09:51.664</v>
      </c>
      <c r="C132" t="str">
        <f t="shared" si="27"/>
        <v>FFDFD3C0</v>
      </c>
      <c r="D132" t="s">
        <v>113</v>
      </c>
      <c r="E132">
        <v>24</v>
      </c>
      <c r="F132">
        <v>2024</v>
      </c>
      <c r="G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 t="shared" si="40"/>
        <v>22:09:51.000</v>
      </c>
      <c r="T132" t="str">
        <f t="shared" si="40"/>
        <v>22:09:51.000</v>
      </c>
      <c r="U132" t="str">
        <f t="shared" si="41"/>
        <v>A9D71F</v>
      </c>
      <c r="V132">
        <v>0</v>
      </c>
      <c r="W132">
        <v>0</v>
      </c>
      <c r="X132">
        <v>2</v>
      </c>
      <c r="Z132">
        <v>1</v>
      </c>
      <c r="AA132">
        <v>8</v>
      </c>
      <c r="AB132">
        <v>3</v>
      </c>
      <c r="AC132">
        <v>0</v>
      </c>
      <c r="AD132">
        <v>9</v>
      </c>
      <c r="AE132">
        <v>0</v>
      </c>
      <c r="AF132">
        <v>3</v>
      </c>
      <c r="AG132">
        <v>1</v>
      </c>
      <c r="AH132">
        <v>0</v>
      </c>
      <c r="AI132" t="s">
        <v>184</v>
      </c>
      <c r="AJ132">
        <v>33.188946000000001</v>
      </c>
      <c r="AK132" t="s">
        <v>185</v>
      </c>
      <c r="AL132">
        <v>-97.816256999999993</v>
      </c>
      <c r="AM132">
        <v>25</v>
      </c>
      <c r="AN132">
        <v>1700</v>
      </c>
      <c r="AO132" t="s">
        <v>118</v>
      </c>
      <c r="AP132">
        <v>84</v>
      </c>
      <c r="AQ132">
        <v>4</v>
      </c>
      <c r="AR132">
        <v>896</v>
      </c>
      <c r="AZ132">
        <v>1200</v>
      </c>
      <c r="BA132">
        <v>1</v>
      </c>
      <c r="BB132" t="str">
        <f t="shared" si="29"/>
        <v xml:space="preserve">N733KP  </v>
      </c>
      <c r="BC132">
        <v>1</v>
      </c>
      <c r="BE132">
        <v>0</v>
      </c>
      <c r="BF132">
        <v>0</v>
      </c>
      <c r="BG132">
        <v>0</v>
      </c>
      <c r="BH132">
        <v>1625</v>
      </c>
      <c r="BI132">
        <v>1</v>
      </c>
      <c r="BJ132">
        <v>1</v>
      </c>
      <c r="BK132">
        <v>0</v>
      </c>
      <c r="BL132">
        <v>0</v>
      </c>
      <c r="BO132">
        <v>0</v>
      </c>
      <c r="BP132">
        <v>0</v>
      </c>
      <c r="BW132" t="str">
        <f>"22:09:51.451"</f>
        <v>22:09:51.451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6</v>
      </c>
      <c r="CP132" t="s">
        <v>119</v>
      </c>
      <c r="CQ132">
        <v>364</v>
      </c>
      <c r="CR132">
        <v>0</v>
      </c>
      <c r="CW132">
        <v>1369045</v>
      </c>
      <c r="CY132">
        <v>1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"03/24/2022 22:09:51.679"</f>
        <v>03/24/2022 22:09:51.679</v>
      </c>
      <c r="C133" t="str">
        <f t="shared" si="27"/>
        <v>FFDFD3C0</v>
      </c>
      <c r="D133" t="s">
        <v>126</v>
      </c>
      <c r="E133">
        <v>3</v>
      </c>
      <c r="H133">
        <v>160</v>
      </c>
      <c r="I133" t="s">
        <v>121</v>
      </c>
      <c r="J133" t="s">
        <v>127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 t="shared" si="40"/>
        <v>22:09:51.000</v>
      </c>
      <c r="T133" t="str">
        <f t="shared" si="40"/>
        <v>22:09:51.000</v>
      </c>
      <c r="U133" t="str">
        <f t="shared" si="41"/>
        <v>A9D71F</v>
      </c>
      <c r="V133">
        <v>0</v>
      </c>
      <c r="W133">
        <v>0</v>
      </c>
      <c r="X133">
        <v>2</v>
      </c>
      <c r="Z133">
        <v>1</v>
      </c>
      <c r="AA133">
        <v>8</v>
      </c>
      <c r="AB133">
        <v>3</v>
      </c>
      <c r="AC133">
        <v>0</v>
      </c>
      <c r="AD133">
        <v>9</v>
      </c>
      <c r="AE133">
        <v>0</v>
      </c>
      <c r="AF133">
        <v>3</v>
      </c>
      <c r="AG133">
        <v>1</v>
      </c>
      <c r="AH133">
        <v>0</v>
      </c>
      <c r="AI133" t="s">
        <v>184</v>
      </c>
      <c r="AJ133">
        <v>33.188946000000001</v>
      </c>
      <c r="AK133" t="s">
        <v>185</v>
      </c>
      <c r="AL133">
        <v>-97.816256999999993</v>
      </c>
      <c r="AM133">
        <v>25</v>
      </c>
      <c r="AN133">
        <v>1700</v>
      </c>
      <c r="AO133" t="s">
        <v>118</v>
      </c>
      <c r="AP133">
        <v>84</v>
      </c>
      <c r="AQ133">
        <v>4</v>
      </c>
      <c r="AR133">
        <v>896</v>
      </c>
      <c r="AZ133">
        <v>1200</v>
      </c>
      <c r="BA133">
        <v>1</v>
      </c>
      <c r="BB133" t="str">
        <f t="shared" si="29"/>
        <v xml:space="preserve">N733KP  </v>
      </c>
      <c r="BC133">
        <v>1</v>
      </c>
      <c r="BE133">
        <v>0</v>
      </c>
      <c r="BF133">
        <v>0</v>
      </c>
      <c r="BG133">
        <v>0</v>
      </c>
      <c r="BH133">
        <v>1625</v>
      </c>
      <c r="BI133">
        <v>1</v>
      </c>
      <c r="BJ133">
        <v>1</v>
      </c>
      <c r="BK133">
        <v>0</v>
      </c>
      <c r="BL133">
        <v>0</v>
      </c>
      <c r="BO133">
        <v>0</v>
      </c>
      <c r="BP133">
        <v>0</v>
      </c>
      <c r="BW133" t="str">
        <f>"22:09:51.451"</f>
        <v>22:09:51.451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6</v>
      </c>
      <c r="CP133" t="s">
        <v>119</v>
      </c>
      <c r="CQ133">
        <v>364</v>
      </c>
      <c r="CR133">
        <v>0</v>
      </c>
      <c r="CW133">
        <v>1369045</v>
      </c>
      <c r="CY133">
        <v>1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"03/24/2022 22:09:52.648"</f>
        <v>03/24/2022 22:09:52.648</v>
      </c>
      <c r="C134" t="str">
        <f t="shared" si="27"/>
        <v>FFDFD3C0</v>
      </c>
      <c r="D134" t="s">
        <v>113</v>
      </c>
      <c r="E134">
        <v>24</v>
      </c>
      <c r="F134">
        <v>2024</v>
      </c>
      <c r="G134" t="s">
        <v>114</v>
      </c>
      <c r="J134" t="s">
        <v>115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 t="shared" ref="S134:T137" si="42">"22:09:52.000"</f>
        <v>22:09:52.000</v>
      </c>
      <c r="T134" t="str">
        <f t="shared" si="42"/>
        <v>22:09:52.000</v>
      </c>
      <c r="U134" t="str">
        <f t="shared" si="41"/>
        <v>A9D71F</v>
      </c>
      <c r="V134">
        <v>0</v>
      </c>
      <c r="W134">
        <v>0</v>
      </c>
      <c r="X134">
        <v>2</v>
      </c>
      <c r="Z134">
        <v>1</v>
      </c>
      <c r="AA134">
        <v>8</v>
      </c>
      <c r="AB134">
        <v>3</v>
      </c>
      <c r="AC134">
        <v>0</v>
      </c>
      <c r="AD134">
        <v>9</v>
      </c>
      <c r="AE134">
        <v>0</v>
      </c>
      <c r="AF134">
        <v>3</v>
      </c>
      <c r="AG134">
        <v>1</v>
      </c>
      <c r="AH134">
        <v>0</v>
      </c>
      <c r="AI134" t="s">
        <v>186</v>
      </c>
      <c r="AJ134">
        <v>33.188924999999998</v>
      </c>
      <c r="AK134" t="s">
        <v>187</v>
      </c>
      <c r="AL134">
        <v>-97.815764000000001</v>
      </c>
      <c r="AM134">
        <v>25</v>
      </c>
      <c r="AN134">
        <v>1700</v>
      </c>
      <c r="AO134" t="s">
        <v>118</v>
      </c>
      <c r="AP134">
        <v>86</v>
      </c>
      <c r="AQ134">
        <v>2</v>
      </c>
      <c r="AR134">
        <v>960</v>
      </c>
      <c r="AZ134">
        <v>1200</v>
      </c>
      <c r="BA134">
        <v>1</v>
      </c>
      <c r="BB134" t="str">
        <f t="shared" si="29"/>
        <v xml:space="preserve">N733KP  </v>
      </c>
      <c r="BC134">
        <v>1</v>
      </c>
      <c r="BE134">
        <v>0</v>
      </c>
      <c r="BF134">
        <v>0</v>
      </c>
      <c r="BG134">
        <v>0</v>
      </c>
      <c r="BH134">
        <v>1675</v>
      </c>
      <c r="BI134">
        <v>1</v>
      </c>
      <c r="BJ134">
        <v>1</v>
      </c>
      <c r="BK134">
        <v>0</v>
      </c>
      <c r="BL134">
        <v>0</v>
      </c>
      <c r="BO134">
        <v>0</v>
      </c>
      <c r="BP134">
        <v>0</v>
      </c>
      <c r="BW134" t="str">
        <f>"22:09:52.482"</f>
        <v>22:09:52.482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6</v>
      </c>
      <c r="CP134" t="s">
        <v>119</v>
      </c>
      <c r="CQ134">
        <v>364</v>
      </c>
      <c r="CR134">
        <v>0</v>
      </c>
      <c r="CW134">
        <v>1369168</v>
      </c>
      <c r="CY134">
        <v>1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"03/24/2022 22:09:52.664"</f>
        <v>03/24/2022 22:09:52.664</v>
      </c>
      <c r="C135" t="str">
        <f t="shared" si="27"/>
        <v>FFDFD3C0</v>
      </c>
      <c r="D135" t="s">
        <v>126</v>
      </c>
      <c r="E135">
        <v>3</v>
      </c>
      <c r="H135">
        <v>160</v>
      </c>
      <c r="I135" t="s">
        <v>121</v>
      </c>
      <c r="J135" t="s">
        <v>127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 t="shared" si="42"/>
        <v>22:09:52.000</v>
      </c>
      <c r="T135" t="str">
        <f t="shared" si="42"/>
        <v>22:09:52.000</v>
      </c>
      <c r="U135" t="str">
        <f t="shared" si="41"/>
        <v>A9D71F</v>
      </c>
      <c r="V135">
        <v>0</v>
      </c>
      <c r="W135">
        <v>0</v>
      </c>
      <c r="X135">
        <v>2</v>
      </c>
      <c r="Z135">
        <v>1</v>
      </c>
      <c r="AA135">
        <v>8</v>
      </c>
      <c r="AB135">
        <v>3</v>
      </c>
      <c r="AC135">
        <v>0</v>
      </c>
      <c r="AD135">
        <v>9</v>
      </c>
      <c r="AE135">
        <v>0</v>
      </c>
      <c r="AF135">
        <v>3</v>
      </c>
      <c r="AG135">
        <v>1</v>
      </c>
      <c r="AH135">
        <v>0</v>
      </c>
      <c r="AI135" t="s">
        <v>186</v>
      </c>
      <c r="AJ135">
        <v>33.188924999999998</v>
      </c>
      <c r="AK135" t="s">
        <v>187</v>
      </c>
      <c r="AL135">
        <v>-97.815764000000001</v>
      </c>
      <c r="AM135">
        <v>25</v>
      </c>
      <c r="AN135">
        <v>1700</v>
      </c>
      <c r="AO135" t="s">
        <v>118</v>
      </c>
      <c r="AP135">
        <v>86</v>
      </c>
      <c r="AQ135">
        <v>2</v>
      </c>
      <c r="AR135">
        <v>960</v>
      </c>
      <c r="AZ135">
        <v>1200</v>
      </c>
      <c r="BA135">
        <v>1</v>
      </c>
      <c r="BB135" t="str">
        <f t="shared" si="29"/>
        <v xml:space="preserve">N733KP  </v>
      </c>
      <c r="BC135">
        <v>1</v>
      </c>
      <c r="BE135">
        <v>0</v>
      </c>
      <c r="BF135">
        <v>0</v>
      </c>
      <c r="BG135">
        <v>0</v>
      </c>
      <c r="BH135">
        <v>1675</v>
      </c>
      <c r="BI135">
        <v>1</v>
      </c>
      <c r="BJ135">
        <v>1</v>
      </c>
      <c r="BK135">
        <v>0</v>
      </c>
      <c r="BL135">
        <v>0</v>
      </c>
      <c r="BO135">
        <v>0</v>
      </c>
      <c r="BP135">
        <v>0</v>
      </c>
      <c r="BW135" t="str">
        <f>"22:09:52.482"</f>
        <v>22:09:52.482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6</v>
      </c>
      <c r="CP135" t="s">
        <v>119</v>
      </c>
      <c r="CQ135">
        <v>364</v>
      </c>
      <c r="CR135">
        <v>0</v>
      </c>
      <c r="CW135">
        <v>1369168</v>
      </c>
      <c r="CY135">
        <v>1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"03/24/2022 22:09:52.726"</f>
        <v>03/24/2022 22:09:52.726</v>
      </c>
      <c r="C136" t="str">
        <f t="shared" si="27"/>
        <v>FFDFD3C0</v>
      </c>
      <c r="D136" t="s">
        <v>123</v>
      </c>
      <c r="E136">
        <v>8</v>
      </c>
      <c r="H136">
        <v>31</v>
      </c>
      <c r="I136" t="s">
        <v>124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 t="shared" si="42"/>
        <v>22:09:52.000</v>
      </c>
      <c r="T136" t="str">
        <f t="shared" si="42"/>
        <v>22:09:52.000</v>
      </c>
      <c r="U136" t="str">
        <f t="shared" si="41"/>
        <v>A9D71F</v>
      </c>
      <c r="V136">
        <v>0</v>
      </c>
      <c r="W136">
        <v>0</v>
      </c>
      <c r="X136">
        <v>2</v>
      </c>
      <c r="Z136">
        <v>1</v>
      </c>
      <c r="AA136">
        <v>8</v>
      </c>
      <c r="AB136">
        <v>3</v>
      </c>
      <c r="AC136">
        <v>0</v>
      </c>
      <c r="AD136">
        <v>9</v>
      </c>
      <c r="AE136">
        <v>0</v>
      </c>
      <c r="AF136">
        <v>3</v>
      </c>
      <c r="AG136">
        <v>1</v>
      </c>
      <c r="AH136">
        <v>0</v>
      </c>
      <c r="AI136" t="s">
        <v>186</v>
      </c>
      <c r="AJ136">
        <v>33.188924999999998</v>
      </c>
      <c r="AK136" t="s">
        <v>187</v>
      </c>
      <c r="AL136">
        <v>-97.815764000000001</v>
      </c>
      <c r="AM136">
        <v>25</v>
      </c>
      <c r="AN136">
        <v>1700</v>
      </c>
      <c r="AO136" t="s">
        <v>118</v>
      </c>
      <c r="AP136">
        <v>86</v>
      </c>
      <c r="AQ136">
        <v>2</v>
      </c>
      <c r="AR136">
        <v>960</v>
      </c>
      <c r="AZ136">
        <v>1200</v>
      </c>
      <c r="BA136">
        <v>1</v>
      </c>
      <c r="BB136" t="str">
        <f t="shared" si="29"/>
        <v xml:space="preserve">N733KP  </v>
      </c>
      <c r="BC136">
        <v>1</v>
      </c>
      <c r="BE136">
        <v>0</v>
      </c>
      <c r="BF136">
        <v>0</v>
      </c>
      <c r="BG136">
        <v>0</v>
      </c>
      <c r="BH136">
        <v>1675</v>
      </c>
      <c r="BI136">
        <v>1</v>
      </c>
      <c r="BJ136">
        <v>1</v>
      </c>
      <c r="BK136">
        <v>0</v>
      </c>
      <c r="BL136">
        <v>0</v>
      </c>
      <c r="BO136">
        <v>0</v>
      </c>
      <c r="BP136">
        <v>0</v>
      </c>
      <c r="BW136" t="str">
        <f>"22:09:52.482"</f>
        <v>22:09:52.482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6</v>
      </c>
      <c r="CP136" t="s">
        <v>119</v>
      </c>
      <c r="CQ136">
        <v>364</v>
      </c>
      <c r="CR136">
        <v>0</v>
      </c>
      <c r="CW136">
        <v>1369168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"03/24/2022 22:09:52.789"</f>
        <v>03/24/2022 22:09:52.789</v>
      </c>
      <c r="C137" t="str">
        <f t="shared" si="27"/>
        <v>FFDFD3C0</v>
      </c>
      <c r="D137" t="s">
        <v>120</v>
      </c>
      <c r="E137">
        <v>14</v>
      </c>
      <c r="F137">
        <v>1014</v>
      </c>
      <c r="G137" t="s">
        <v>121</v>
      </c>
      <c r="J137" t="s">
        <v>122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 t="shared" si="42"/>
        <v>22:09:52.000</v>
      </c>
      <c r="T137" t="str">
        <f t="shared" si="42"/>
        <v>22:09:52.000</v>
      </c>
      <c r="U137" t="str">
        <f t="shared" si="41"/>
        <v>A9D71F</v>
      </c>
      <c r="V137">
        <v>0</v>
      </c>
      <c r="W137">
        <v>0</v>
      </c>
      <c r="X137">
        <v>2</v>
      </c>
      <c r="Z137">
        <v>1</v>
      </c>
      <c r="AA137">
        <v>8</v>
      </c>
      <c r="AB137">
        <v>3</v>
      </c>
      <c r="AC137">
        <v>0</v>
      </c>
      <c r="AD137">
        <v>9</v>
      </c>
      <c r="AE137">
        <v>0</v>
      </c>
      <c r="AF137">
        <v>3</v>
      </c>
      <c r="AG137">
        <v>1</v>
      </c>
      <c r="AH137">
        <v>0</v>
      </c>
      <c r="AI137" t="s">
        <v>186</v>
      </c>
      <c r="AJ137">
        <v>33.188924999999998</v>
      </c>
      <c r="AK137" t="s">
        <v>187</v>
      </c>
      <c r="AL137">
        <v>-97.815764000000001</v>
      </c>
      <c r="AM137">
        <v>25</v>
      </c>
      <c r="AN137">
        <v>1700</v>
      </c>
      <c r="AO137" t="s">
        <v>118</v>
      </c>
      <c r="AP137">
        <v>86</v>
      </c>
      <c r="AQ137">
        <v>2</v>
      </c>
      <c r="AR137">
        <v>960</v>
      </c>
      <c r="AZ137">
        <v>1200</v>
      </c>
      <c r="BA137">
        <v>1</v>
      </c>
      <c r="BB137" t="str">
        <f t="shared" si="29"/>
        <v xml:space="preserve">N733KP  </v>
      </c>
      <c r="BC137">
        <v>1</v>
      </c>
      <c r="BE137">
        <v>0</v>
      </c>
      <c r="BF137">
        <v>0</v>
      </c>
      <c r="BG137">
        <v>0</v>
      </c>
      <c r="BH137">
        <v>1675</v>
      </c>
      <c r="BI137">
        <v>1</v>
      </c>
      <c r="BJ137">
        <v>1</v>
      </c>
      <c r="BK137">
        <v>0</v>
      </c>
      <c r="BL137">
        <v>0</v>
      </c>
      <c r="BO137">
        <v>0</v>
      </c>
      <c r="BP137">
        <v>0</v>
      </c>
      <c r="BW137" t="str">
        <f>"22:09:52.482"</f>
        <v>22:09:52.482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6</v>
      </c>
      <c r="CP137" t="s">
        <v>119</v>
      </c>
      <c r="CQ137">
        <v>364</v>
      </c>
      <c r="CR137">
        <v>0</v>
      </c>
      <c r="CW137">
        <v>1369168</v>
      </c>
      <c r="CY137">
        <v>1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"03/24/2022 22:09:54.369"</f>
        <v>03/24/2022 22:09:54.369</v>
      </c>
      <c r="C138" t="str">
        <f t="shared" si="27"/>
        <v>FFDFD3C0</v>
      </c>
      <c r="D138" t="s">
        <v>120</v>
      </c>
      <c r="E138">
        <v>14</v>
      </c>
      <c r="F138">
        <v>1014</v>
      </c>
      <c r="G138" t="s">
        <v>121</v>
      </c>
      <c r="J138" t="s">
        <v>122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 t="shared" ref="S138:T141" si="43">"22:09:54.000"</f>
        <v>22:09:54.000</v>
      </c>
      <c r="T138" t="str">
        <f t="shared" si="43"/>
        <v>22:09:54.000</v>
      </c>
      <c r="U138" t="str">
        <f t="shared" si="41"/>
        <v>A9D71F</v>
      </c>
      <c r="V138">
        <v>0</v>
      </c>
      <c r="W138">
        <v>0</v>
      </c>
      <c r="X138">
        <v>2</v>
      </c>
      <c r="Z138">
        <v>1</v>
      </c>
      <c r="AA138">
        <v>6</v>
      </c>
      <c r="AB138">
        <v>3</v>
      </c>
      <c r="AC138">
        <v>0</v>
      </c>
      <c r="AD138">
        <v>9</v>
      </c>
      <c r="AE138">
        <v>0</v>
      </c>
      <c r="AF138">
        <v>3</v>
      </c>
      <c r="AG138">
        <v>1</v>
      </c>
      <c r="AH138">
        <v>0</v>
      </c>
      <c r="AI138" t="s">
        <v>186</v>
      </c>
      <c r="AJ138">
        <v>33.188924999999998</v>
      </c>
      <c r="AK138" t="s">
        <v>188</v>
      </c>
      <c r="AL138">
        <v>-97.814819999999997</v>
      </c>
      <c r="AM138">
        <v>25</v>
      </c>
      <c r="AN138">
        <v>1700</v>
      </c>
      <c r="AO138" t="s">
        <v>118</v>
      </c>
      <c r="AP138">
        <v>87</v>
      </c>
      <c r="AQ138">
        <v>0</v>
      </c>
      <c r="AR138">
        <v>1152</v>
      </c>
      <c r="AZ138">
        <v>1200</v>
      </c>
      <c r="BA138">
        <v>1</v>
      </c>
      <c r="BB138" t="str">
        <f t="shared" si="29"/>
        <v xml:space="preserve">N733KP  </v>
      </c>
      <c r="BC138">
        <v>1</v>
      </c>
      <c r="BE138">
        <v>0</v>
      </c>
      <c r="BF138">
        <v>0</v>
      </c>
      <c r="BG138">
        <v>0</v>
      </c>
      <c r="BH138">
        <v>1675</v>
      </c>
      <c r="BI138">
        <v>1</v>
      </c>
      <c r="BJ138">
        <v>1</v>
      </c>
      <c r="BK138">
        <v>0</v>
      </c>
      <c r="BL138">
        <v>0</v>
      </c>
      <c r="BO138">
        <v>0</v>
      </c>
      <c r="BP138">
        <v>0</v>
      </c>
      <c r="BW138" t="str">
        <f>"22:09:54.195"</f>
        <v>22:09:54.195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6</v>
      </c>
      <c r="CP138" t="s">
        <v>119</v>
      </c>
      <c r="CQ138">
        <v>364</v>
      </c>
      <c r="CR138">
        <v>0</v>
      </c>
      <c r="CW138">
        <v>1369362</v>
      </c>
      <c r="CY138">
        <v>1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1</v>
      </c>
      <c r="DH138">
        <v>0</v>
      </c>
      <c r="DI138">
        <v>0</v>
      </c>
    </row>
    <row r="139" spans="1:113" x14ac:dyDescent="0.3">
      <c r="A139" t="str">
        <f>"03/24/2022 22:09:54.369"</f>
        <v>03/24/2022 22:09:54.369</v>
      </c>
      <c r="C139" t="str">
        <f t="shared" si="27"/>
        <v>FFDFD3C0</v>
      </c>
      <c r="D139" t="s">
        <v>113</v>
      </c>
      <c r="E139">
        <v>24</v>
      </c>
      <c r="F139">
        <v>2024</v>
      </c>
      <c r="G139" t="s">
        <v>114</v>
      </c>
      <c r="J139" t="s">
        <v>115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 t="shared" si="43"/>
        <v>22:09:54.000</v>
      </c>
      <c r="T139" t="str">
        <f t="shared" si="43"/>
        <v>22:09:54.000</v>
      </c>
      <c r="U139" t="str">
        <f t="shared" si="41"/>
        <v>A9D71F</v>
      </c>
      <c r="V139">
        <v>0</v>
      </c>
      <c r="W139">
        <v>0</v>
      </c>
      <c r="X139">
        <v>2</v>
      </c>
      <c r="Z139">
        <v>1</v>
      </c>
      <c r="AA139">
        <v>6</v>
      </c>
      <c r="AB139">
        <v>3</v>
      </c>
      <c r="AC139">
        <v>0</v>
      </c>
      <c r="AD139">
        <v>9</v>
      </c>
      <c r="AE139">
        <v>0</v>
      </c>
      <c r="AF139">
        <v>3</v>
      </c>
      <c r="AG139">
        <v>1</v>
      </c>
      <c r="AH139">
        <v>0</v>
      </c>
      <c r="AI139" t="s">
        <v>186</v>
      </c>
      <c r="AJ139">
        <v>33.188924999999998</v>
      </c>
      <c r="AK139" t="s">
        <v>188</v>
      </c>
      <c r="AL139">
        <v>-97.814819999999997</v>
      </c>
      <c r="AM139">
        <v>25</v>
      </c>
      <c r="AN139">
        <v>1700</v>
      </c>
      <c r="AO139" t="s">
        <v>118</v>
      </c>
      <c r="AP139">
        <v>87</v>
      </c>
      <c r="AQ139">
        <v>0</v>
      </c>
      <c r="AR139">
        <v>1152</v>
      </c>
      <c r="AZ139">
        <v>1200</v>
      </c>
      <c r="BA139">
        <v>1</v>
      </c>
      <c r="BB139" t="str">
        <f t="shared" si="29"/>
        <v xml:space="preserve">N733KP  </v>
      </c>
      <c r="BC139">
        <v>1</v>
      </c>
      <c r="BE139">
        <v>0</v>
      </c>
      <c r="BF139">
        <v>0</v>
      </c>
      <c r="BG139">
        <v>0</v>
      </c>
      <c r="BH139">
        <v>1675</v>
      </c>
      <c r="BI139">
        <v>1</v>
      </c>
      <c r="BJ139">
        <v>1</v>
      </c>
      <c r="BK139">
        <v>0</v>
      </c>
      <c r="BL139">
        <v>0</v>
      </c>
      <c r="BO139">
        <v>0</v>
      </c>
      <c r="BP139">
        <v>0</v>
      </c>
      <c r="BW139" t="str">
        <f>"22:09:54.195"</f>
        <v>22:09:54.195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6</v>
      </c>
      <c r="CP139" t="s">
        <v>119</v>
      </c>
      <c r="CQ139">
        <v>364</v>
      </c>
      <c r="CR139">
        <v>0</v>
      </c>
      <c r="CW139">
        <v>1369362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1</v>
      </c>
      <c r="DH139">
        <v>0</v>
      </c>
      <c r="DI139">
        <v>0</v>
      </c>
    </row>
    <row r="140" spans="1:113" x14ac:dyDescent="0.3">
      <c r="A140" t="str">
        <f>"03/24/2022 22:09:54.447"</f>
        <v>03/24/2022 22:09:54.447</v>
      </c>
      <c r="C140" t="str">
        <f t="shared" si="27"/>
        <v>FFDFD3C0</v>
      </c>
      <c r="D140" t="s">
        <v>126</v>
      </c>
      <c r="E140">
        <v>3</v>
      </c>
      <c r="H140">
        <v>160</v>
      </c>
      <c r="I140" t="s">
        <v>121</v>
      </c>
      <c r="J140" t="s">
        <v>127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 t="shared" si="43"/>
        <v>22:09:54.000</v>
      </c>
      <c r="T140" t="str">
        <f t="shared" si="43"/>
        <v>22:09:54.000</v>
      </c>
      <c r="U140" t="str">
        <f t="shared" si="41"/>
        <v>A9D71F</v>
      </c>
      <c r="V140">
        <v>0</v>
      </c>
      <c r="W140">
        <v>0</v>
      </c>
      <c r="X140">
        <v>2</v>
      </c>
      <c r="Z140">
        <v>1</v>
      </c>
      <c r="AA140">
        <v>6</v>
      </c>
      <c r="AB140">
        <v>3</v>
      </c>
      <c r="AC140">
        <v>0</v>
      </c>
      <c r="AD140">
        <v>9</v>
      </c>
      <c r="AE140">
        <v>0</v>
      </c>
      <c r="AF140">
        <v>3</v>
      </c>
      <c r="AG140">
        <v>1</v>
      </c>
      <c r="AH140">
        <v>0</v>
      </c>
      <c r="AI140" t="s">
        <v>186</v>
      </c>
      <c r="AJ140">
        <v>33.188924999999998</v>
      </c>
      <c r="AK140" t="s">
        <v>188</v>
      </c>
      <c r="AL140">
        <v>-97.814819999999997</v>
      </c>
      <c r="AM140">
        <v>25</v>
      </c>
      <c r="AN140">
        <v>1700</v>
      </c>
      <c r="AO140" t="s">
        <v>118</v>
      </c>
      <c r="AP140">
        <v>87</v>
      </c>
      <c r="AQ140">
        <v>0</v>
      </c>
      <c r="AR140">
        <v>1152</v>
      </c>
      <c r="AZ140">
        <v>1200</v>
      </c>
      <c r="BA140">
        <v>1</v>
      </c>
      <c r="BB140" t="str">
        <f t="shared" si="29"/>
        <v xml:space="preserve">N733KP  </v>
      </c>
      <c r="BC140">
        <v>1</v>
      </c>
      <c r="BE140">
        <v>0</v>
      </c>
      <c r="BF140">
        <v>0</v>
      </c>
      <c r="BG140">
        <v>0</v>
      </c>
      <c r="BH140">
        <v>1675</v>
      </c>
      <c r="BI140">
        <v>1</v>
      </c>
      <c r="BJ140">
        <v>1</v>
      </c>
      <c r="BK140">
        <v>0</v>
      </c>
      <c r="BL140">
        <v>0</v>
      </c>
      <c r="BO140">
        <v>0</v>
      </c>
      <c r="BP140">
        <v>0</v>
      </c>
      <c r="BW140" t="str">
        <f>"22:09:54.195"</f>
        <v>22:09:54.195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6</v>
      </c>
      <c r="CP140" t="s">
        <v>119</v>
      </c>
      <c r="CQ140">
        <v>364</v>
      </c>
      <c r="CR140">
        <v>0</v>
      </c>
      <c r="CW140">
        <v>1369362</v>
      </c>
      <c r="CY140">
        <v>1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1</v>
      </c>
      <c r="DH140">
        <v>0</v>
      </c>
      <c r="DI140">
        <v>0</v>
      </c>
    </row>
    <row r="141" spans="1:113" x14ac:dyDescent="0.3">
      <c r="A141" t="str">
        <f>"03/24/2022 22:09:54.447"</f>
        <v>03/24/2022 22:09:54.447</v>
      </c>
      <c r="C141" t="str">
        <f t="shared" si="27"/>
        <v>FFDFD3C0</v>
      </c>
      <c r="D141" t="s">
        <v>123</v>
      </c>
      <c r="E141">
        <v>8</v>
      </c>
      <c r="H141">
        <v>31</v>
      </c>
      <c r="I141" t="s">
        <v>124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 t="shared" si="43"/>
        <v>22:09:54.000</v>
      </c>
      <c r="T141" t="str">
        <f t="shared" si="43"/>
        <v>22:09:54.000</v>
      </c>
      <c r="U141" t="str">
        <f t="shared" si="41"/>
        <v>A9D71F</v>
      </c>
      <c r="V141">
        <v>0</v>
      </c>
      <c r="W141">
        <v>0</v>
      </c>
      <c r="X141">
        <v>2</v>
      </c>
      <c r="Z141">
        <v>1</v>
      </c>
      <c r="AA141">
        <v>6</v>
      </c>
      <c r="AB141">
        <v>3</v>
      </c>
      <c r="AC141">
        <v>0</v>
      </c>
      <c r="AD141">
        <v>9</v>
      </c>
      <c r="AE141">
        <v>0</v>
      </c>
      <c r="AF141">
        <v>3</v>
      </c>
      <c r="AG141">
        <v>1</v>
      </c>
      <c r="AH141">
        <v>0</v>
      </c>
      <c r="AI141" t="s">
        <v>186</v>
      </c>
      <c r="AJ141">
        <v>33.188924999999998</v>
      </c>
      <c r="AK141" t="s">
        <v>188</v>
      </c>
      <c r="AL141">
        <v>-97.814819999999997</v>
      </c>
      <c r="AM141">
        <v>25</v>
      </c>
      <c r="AN141">
        <v>1700</v>
      </c>
      <c r="AO141" t="s">
        <v>118</v>
      </c>
      <c r="AP141">
        <v>87</v>
      </c>
      <c r="AQ141">
        <v>0</v>
      </c>
      <c r="AR141">
        <v>1152</v>
      </c>
      <c r="AZ141">
        <v>1200</v>
      </c>
      <c r="BA141">
        <v>1</v>
      </c>
      <c r="BB141" t="str">
        <f t="shared" si="29"/>
        <v xml:space="preserve">N733KP  </v>
      </c>
      <c r="BC141">
        <v>1</v>
      </c>
      <c r="BE141">
        <v>0</v>
      </c>
      <c r="BF141">
        <v>0</v>
      </c>
      <c r="BG141">
        <v>0</v>
      </c>
      <c r="BH141">
        <v>1675</v>
      </c>
      <c r="BI141">
        <v>1</v>
      </c>
      <c r="BJ141">
        <v>1</v>
      </c>
      <c r="BK141">
        <v>0</v>
      </c>
      <c r="BL141">
        <v>0</v>
      </c>
      <c r="BO141">
        <v>0</v>
      </c>
      <c r="BP141">
        <v>0</v>
      </c>
      <c r="BW141" t="str">
        <f>"22:09:54.195"</f>
        <v>22:09:54.195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6</v>
      </c>
      <c r="CP141" t="s">
        <v>119</v>
      </c>
      <c r="CQ141">
        <v>364</v>
      </c>
      <c r="CR141">
        <v>0</v>
      </c>
      <c r="CW141">
        <v>1369362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1</v>
      </c>
      <c r="DH141">
        <v>0</v>
      </c>
      <c r="DI141">
        <v>0</v>
      </c>
    </row>
    <row r="142" spans="1:113" x14ac:dyDescent="0.3">
      <c r="A142" t="str">
        <f>"03/24/2022 22:09:55.854"</f>
        <v>03/24/2022 22:09:55.854</v>
      </c>
      <c r="C142" t="str">
        <f t="shared" si="27"/>
        <v>FFDFD3C0</v>
      </c>
      <c r="D142" t="s">
        <v>126</v>
      </c>
      <c r="E142">
        <v>3</v>
      </c>
      <c r="H142">
        <v>160</v>
      </c>
      <c r="I142" t="s">
        <v>121</v>
      </c>
      <c r="J142" t="s">
        <v>127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 t="shared" ref="S142:T145" si="44">"22:09:55.000"</f>
        <v>22:09:55.000</v>
      </c>
      <c r="T142" t="str">
        <f t="shared" si="44"/>
        <v>22:09:55.000</v>
      </c>
      <c r="U142" t="str">
        <f t="shared" si="41"/>
        <v>A9D71F</v>
      </c>
      <c r="V142">
        <v>0</v>
      </c>
      <c r="W142">
        <v>0</v>
      </c>
      <c r="X142">
        <v>2</v>
      </c>
      <c r="Z142">
        <v>1</v>
      </c>
      <c r="AA142">
        <v>6</v>
      </c>
      <c r="AB142">
        <v>3</v>
      </c>
      <c r="AC142">
        <v>0</v>
      </c>
      <c r="AD142">
        <v>9</v>
      </c>
      <c r="AE142">
        <v>0</v>
      </c>
      <c r="AF142">
        <v>3</v>
      </c>
      <c r="AG142">
        <v>1</v>
      </c>
      <c r="AH142">
        <v>0</v>
      </c>
      <c r="AI142" t="s">
        <v>189</v>
      </c>
      <c r="AJ142">
        <v>33.188903000000003</v>
      </c>
      <c r="AK142" t="s">
        <v>190</v>
      </c>
      <c r="AL142">
        <v>-97.814325999999994</v>
      </c>
      <c r="AM142">
        <v>25</v>
      </c>
      <c r="AN142">
        <v>1800</v>
      </c>
      <c r="AO142" t="s">
        <v>118</v>
      </c>
      <c r="AP142">
        <v>88</v>
      </c>
      <c r="AQ142">
        <v>0</v>
      </c>
      <c r="AR142">
        <v>896</v>
      </c>
      <c r="AZ142">
        <v>1200</v>
      </c>
      <c r="BA142">
        <v>1</v>
      </c>
      <c r="BB142" t="str">
        <f t="shared" si="29"/>
        <v xml:space="preserve">N733KP  </v>
      </c>
      <c r="BC142">
        <v>1</v>
      </c>
      <c r="BE142">
        <v>0</v>
      </c>
      <c r="BF142">
        <v>0</v>
      </c>
      <c r="BG142">
        <v>0</v>
      </c>
      <c r="BH142">
        <v>1725</v>
      </c>
      <c r="BI142">
        <v>1</v>
      </c>
      <c r="BJ142">
        <v>1</v>
      </c>
      <c r="BK142">
        <v>0</v>
      </c>
      <c r="BL142">
        <v>0</v>
      </c>
      <c r="BO142">
        <v>0</v>
      </c>
      <c r="BP142">
        <v>0</v>
      </c>
      <c r="BW142" t="str">
        <f>"22:09:55.687"</f>
        <v>22:09:55.687</v>
      </c>
      <c r="CJ142">
        <v>0</v>
      </c>
      <c r="CK142">
        <v>1</v>
      </c>
      <c r="CL142">
        <v>0</v>
      </c>
      <c r="CM142">
        <v>2</v>
      </c>
      <c r="CN142">
        <v>0</v>
      </c>
      <c r="CO142">
        <v>6</v>
      </c>
      <c r="CP142" t="s">
        <v>119</v>
      </c>
      <c r="CQ142">
        <v>364</v>
      </c>
      <c r="CR142">
        <v>0</v>
      </c>
      <c r="CW142">
        <v>1369579</v>
      </c>
      <c r="CY142">
        <v>1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1</v>
      </c>
      <c r="DH142">
        <v>0</v>
      </c>
      <c r="DI142">
        <v>0</v>
      </c>
    </row>
    <row r="143" spans="1:113" x14ac:dyDescent="0.3">
      <c r="A143" t="str">
        <f>"03/24/2022 22:09:55.854"</f>
        <v>03/24/2022 22:09:55.854</v>
      </c>
      <c r="C143" t="str">
        <f t="shared" si="27"/>
        <v>FFDFD3C0</v>
      </c>
      <c r="D143" t="s">
        <v>123</v>
      </c>
      <c r="E143">
        <v>8</v>
      </c>
      <c r="H143">
        <v>31</v>
      </c>
      <c r="I143" t="s">
        <v>124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 t="shared" si="44"/>
        <v>22:09:55.000</v>
      </c>
      <c r="T143" t="str">
        <f t="shared" si="44"/>
        <v>22:09:55.000</v>
      </c>
      <c r="U143" t="str">
        <f t="shared" si="41"/>
        <v>A9D71F</v>
      </c>
      <c r="V143">
        <v>0</v>
      </c>
      <c r="W143">
        <v>0</v>
      </c>
      <c r="X143">
        <v>2</v>
      </c>
      <c r="Z143">
        <v>1</v>
      </c>
      <c r="AA143">
        <v>6</v>
      </c>
      <c r="AB143">
        <v>3</v>
      </c>
      <c r="AC143">
        <v>0</v>
      </c>
      <c r="AD143">
        <v>9</v>
      </c>
      <c r="AE143">
        <v>0</v>
      </c>
      <c r="AF143">
        <v>3</v>
      </c>
      <c r="AG143">
        <v>1</v>
      </c>
      <c r="AH143">
        <v>0</v>
      </c>
      <c r="AI143" t="s">
        <v>189</v>
      </c>
      <c r="AJ143">
        <v>33.188903000000003</v>
      </c>
      <c r="AK143" t="s">
        <v>190</v>
      </c>
      <c r="AL143">
        <v>-97.814325999999994</v>
      </c>
      <c r="AM143">
        <v>25</v>
      </c>
      <c r="AN143">
        <v>1800</v>
      </c>
      <c r="AO143" t="s">
        <v>118</v>
      </c>
      <c r="AP143">
        <v>88</v>
      </c>
      <c r="AQ143">
        <v>0</v>
      </c>
      <c r="AR143">
        <v>896</v>
      </c>
      <c r="AZ143">
        <v>1200</v>
      </c>
      <c r="BA143">
        <v>1</v>
      </c>
      <c r="BB143" t="str">
        <f t="shared" si="29"/>
        <v xml:space="preserve">N733KP  </v>
      </c>
      <c r="BC143">
        <v>1</v>
      </c>
      <c r="BE143">
        <v>0</v>
      </c>
      <c r="BF143">
        <v>0</v>
      </c>
      <c r="BG143">
        <v>0</v>
      </c>
      <c r="BH143">
        <v>1725</v>
      </c>
      <c r="BI143">
        <v>1</v>
      </c>
      <c r="BJ143">
        <v>1</v>
      </c>
      <c r="BK143">
        <v>0</v>
      </c>
      <c r="BL143">
        <v>0</v>
      </c>
      <c r="BO143">
        <v>0</v>
      </c>
      <c r="BP143">
        <v>0</v>
      </c>
      <c r="BW143" t="str">
        <f>"22:09:55.687"</f>
        <v>22:09:55.687</v>
      </c>
      <c r="CJ143">
        <v>0</v>
      </c>
      <c r="CK143">
        <v>1</v>
      </c>
      <c r="CL143">
        <v>0</v>
      </c>
      <c r="CM143">
        <v>2</v>
      </c>
      <c r="CN143">
        <v>0</v>
      </c>
      <c r="CO143">
        <v>6</v>
      </c>
      <c r="CP143" t="s">
        <v>119</v>
      </c>
      <c r="CQ143">
        <v>364</v>
      </c>
      <c r="CR143">
        <v>0</v>
      </c>
      <c r="CW143">
        <v>1369579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1</v>
      </c>
      <c r="DH143">
        <v>0</v>
      </c>
      <c r="DI143">
        <v>0</v>
      </c>
    </row>
    <row r="144" spans="1:113" x14ac:dyDescent="0.3">
      <c r="A144" t="str">
        <f>"03/24/2022 22:09:55.916"</f>
        <v>03/24/2022 22:09:55.916</v>
      </c>
      <c r="C144" t="str">
        <f t="shared" si="27"/>
        <v>FFDFD3C0</v>
      </c>
      <c r="D144" t="s">
        <v>120</v>
      </c>
      <c r="E144">
        <v>14</v>
      </c>
      <c r="F144">
        <v>1014</v>
      </c>
      <c r="G144" t="s">
        <v>121</v>
      </c>
      <c r="J144" t="s">
        <v>122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 t="shared" si="44"/>
        <v>22:09:55.000</v>
      </c>
      <c r="T144" t="str">
        <f t="shared" si="44"/>
        <v>22:09:55.000</v>
      </c>
      <c r="U144" t="str">
        <f t="shared" si="41"/>
        <v>A9D71F</v>
      </c>
      <c r="V144">
        <v>0</v>
      </c>
      <c r="W144">
        <v>0</v>
      </c>
      <c r="X144">
        <v>2</v>
      </c>
      <c r="Z144">
        <v>1</v>
      </c>
      <c r="AA144">
        <v>6</v>
      </c>
      <c r="AB144">
        <v>3</v>
      </c>
      <c r="AC144">
        <v>0</v>
      </c>
      <c r="AD144">
        <v>9</v>
      </c>
      <c r="AE144">
        <v>0</v>
      </c>
      <c r="AF144">
        <v>3</v>
      </c>
      <c r="AG144">
        <v>1</v>
      </c>
      <c r="AH144">
        <v>0</v>
      </c>
      <c r="AI144" t="s">
        <v>189</v>
      </c>
      <c r="AJ144">
        <v>33.188903000000003</v>
      </c>
      <c r="AK144" t="s">
        <v>190</v>
      </c>
      <c r="AL144">
        <v>-97.814325999999994</v>
      </c>
      <c r="AM144">
        <v>25</v>
      </c>
      <c r="AN144">
        <v>1800</v>
      </c>
      <c r="AO144" t="s">
        <v>118</v>
      </c>
      <c r="AP144">
        <v>88</v>
      </c>
      <c r="AQ144">
        <v>0</v>
      </c>
      <c r="AR144">
        <v>896</v>
      </c>
      <c r="AZ144">
        <v>1200</v>
      </c>
      <c r="BA144">
        <v>1</v>
      </c>
      <c r="BB144" t="str">
        <f t="shared" si="29"/>
        <v xml:space="preserve">N733KP  </v>
      </c>
      <c r="BC144">
        <v>1</v>
      </c>
      <c r="BE144">
        <v>0</v>
      </c>
      <c r="BF144">
        <v>0</v>
      </c>
      <c r="BG144">
        <v>0</v>
      </c>
      <c r="BH144">
        <v>1725</v>
      </c>
      <c r="BI144">
        <v>1</v>
      </c>
      <c r="BJ144">
        <v>1</v>
      </c>
      <c r="BK144">
        <v>0</v>
      </c>
      <c r="BL144">
        <v>0</v>
      </c>
      <c r="BO144">
        <v>0</v>
      </c>
      <c r="BP144">
        <v>0</v>
      </c>
      <c r="BW144" t="str">
        <f>"22:09:55.687"</f>
        <v>22:09:55.687</v>
      </c>
      <c r="CJ144">
        <v>0</v>
      </c>
      <c r="CK144">
        <v>1</v>
      </c>
      <c r="CL144">
        <v>0</v>
      </c>
      <c r="CM144">
        <v>2</v>
      </c>
      <c r="CN144">
        <v>0</v>
      </c>
      <c r="CO144">
        <v>6</v>
      </c>
      <c r="CP144" t="s">
        <v>119</v>
      </c>
      <c r="CQ144">
        <v>364</v>
      </c>
      <c r="CR144">
        <v>0</v>
      </c>
      <c r="CW144">
        <v>1369579</v>
      </c>
      <c r="CY144">
        <v>1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1</v>
      </c>
      <c r="DH144">
        <v>0</v>
      </c>
      <c r="DI144">
        <v>0</v>
      </c>
    </row>
    <row r="145" spans="1:113" x14ac:dyDescent="0.3">
      <c r="A145" t="str">
        <f>"03/24/2022 22:09:55.932"</f>
        <v>03/24/2022 22:09:55.932</v>
      </c>
      <c r="C145" t="str">
        <f t="shared" si="27"/>
        <v>FFDFD3C0</v>
      </c>
      <c r="D145" t="s">
        <v>113</v>
      </c>
      <c r="E145">
        <v>24</v>
      </c>
      <c r="F145">
        <v>2024</v>
      </c>
      <c r="G145" t="s">
        <v>114</v>
      </c>
      <c r="J145" t="s">
        <v>115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 t="shared" si="44"/>
        <v>22:09:55.000</v>
      </c>
      <c r="T145" t="str">
        <f t="shared" si="44"/>
        <v>22:09:55.000</v>
      </c>
      <c r="U145" t="str">
        <f t="shared" si="41"/>
        <v>A9D71F</v>
      </c>
      <c r="V145">
        <v>0</v>
      </c>
      <c r="W145">
        <v>0</v>
      </c>
      <c r="X145">
        <v>2</v>
      </c>
      <c r="Z145">
        <v>1</v>
      </c>
      <c r="AA145">
        <v>6</v>
      </c>
      <c r="AB145">
        <v>3</v>
      </c>
      <c r="AC145">
        <v>0</v>
      </c>
      <c r="AD145">
        <v>9</v>
      </c>
      <c r="AE145">
        <v>0</v>
      </c>
      <c r="AF145">
        <v>3</v>
      </c>
      <c r="AG145">
        <v>1</v>
      </c>
      <c r="AH145">
        <v>0</v>
      </c>
      <c r="AI145" t="s">
        <v>189</v>
      </c>
      <c r="AJ145">
        <v>33.188903000000003</v>
      </c>
      <c r="AK145" t="s">
        <v>190</v>
      </c>
      <c r="AL145">
        <v>-97.814325999999994</v>
      </c>
      <c r="AM145">
        <v>25</v>
      </c>
      <c r="AN145">
        <v>1800</v>
      </c>
      <c r="AO145" t="s">
        <v>118</v>
      </c>
      <c r="AP145">
        <v>88</v>
      </c>
      <c r="AQ145">
        <v>0</v>
      </c>
      <c r="AR145">
        <v>896</v>
      </c>
      <c r="AZ145">
        <v>1200</v>
      </c>
      <c r="BA145">
        <v>1</v>
      </c>
      <c r="BB145" t="str">
        <f t="shared" si="29"/>
        <v xml:space="preserve">N733KP  </v>
      </c>
      <c r="BC145">
        <v>1</v>
      </c>
      <c r="BE145">
        <v>0</v>
      </c>
      <c r="BF145">
        <v>0</v>
      </c>
      <c r="BG145">
        <v>0</v>
      </c>
      <c r="BH145">
        <v>1725</v>
      </c>
      <c r="BI145">
        <v>1</v>
      </c>
      <c r="BJ145">
        <v>1</v>
      </c>
      <c r="BK145">
        <v>0</v>
      </c>
      <c r="BL145">
        <v>0</v>
      </c>
      <c r="BO145">
        <v>0</v>
      </c>
      <c r="BP145">
        <v>0</v>
      </c>
      <c r="BW145" t="str">
        <f>"22:09:55.687"</f>
        <v>22:09:55.687</v>
      </c>
      <c r="CJ145">
        <v>0</v>
      </c>
      <c r="CK145">
        <v>1</v>
      </c>
      <c r="CL145">
        <v>0</v>
      </c>
      <c r="CM145">
        <v>2</v>
      </c>
      <c r="CN145">
        <v>0</v>
      </c>
      <c r="CO145">
        <v>6</v>
      </c>
      <c r="CP145" t="s">
        <v>119</v>
      </c>
      <c r="CQ145">
        <v>364</v>
      </c>
      <c r="CR145">
        <v>0</v>
      </c>
      <c r="CW145">
        <v>1369579</v>
      </c>
      <c r="CY145">
        <v>1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1</v>
      </c>
      <c r="DH145">
        <v>0</v>
      </c>
      <c r="DI145">
        <v>0</v>
      </c>
    </row>
    <row r="146" spans="1:113" x14ac:dyDescent="0.3">
      <c r="A146" t="str">
        <f>"03/24/2022 22:09:56.699"</f>
        <v>03/24/2022 22:09:56.699</v>
      </c>
      <c r="C146" t="str">
        <f t="shared" si="27"/>
        <v>FFDFD3C0</v>
      </c>
      <c r="D146" t="s">
        <v>120</v>
      </c>
      <c r="E146">
        <v>14</v>
      </c>
      <c r="F146">
        <v>1014</v>
      </c>
      <c r="G146" t="s">
        <v>121</v>
      </c>
      <c r="J146" t="s">
        <v>122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 t="shared" ref="S146:T149" si="45">"22:09:56.000"</f>
        <v>22:09:56.000</v>
      </c>
      <c r="T146" t="str">
        <f t="shared" si="45"/>
        <v>22:09:56.000</v>
      </c>
      <c r="U146" t="str">
        <f t="shared" si="41"/>
        <v>A9D71F</v>
      </c>
      <c r="V146">
        <v>0</v>
      </c>
      <c r="W146">
        <v>0</v>
      </c>
      <c r="X146">
        <v>2</v>
      </c>
      <c r="Z146">
        <v>1</v>
      </c>
      <c r="AA146">
        <v>6</v>
      </c>
      <c r="AB146">
        <v>3</v>
      </c>
      <c r="AC146">
        <v>0</v>
      </c>
      <c r="AD146">
        <v>9</v>
      </c>
      <c r="AE146">
        <v>0</v>
      </c>
      <c r="AF146">
        <v>3</v>
      </c>
      <c r="AG146">
        <v>1</v>
      </c>
      <c r="AH146">
        <v>0</v>
      </c>
      <c r="AI146" t="s">
        <v>184</v>
      </c>
      <c r="AJ146">
        <v>33.188946000000001</v>
      </c>
      <c r="AK146" t="s">
        <v>191</v>
      </c>
      <c r="AL146">
        <v>-97.813854000000006</v>
      </c>
      <c r="AM146">
        <v>25</v>
      </c>
      <c r="AN146">
        <v>1800</v>
      </c>
      <c r="AO146" t="s">
        <v>118</v>
      </c>
      <c r="AP146">
        <v>87</v>
      </c>
      <c r="AQ146">
        <v>-1</v>
      </c>
      <c r="AR146">
        <v>768</v>
      </c>
      <c r="AZ146">
        <v>1200</v>
      </c>
      <c r="BA146">
        <v>1</v>
      </c>
      <c r="BB146" t="str">
        <f t="shared" si="29"/>
        <v xml:space="preserve">N733KP  </v>
      </c>
      <c r="BC146">
        <v>1</v>
      </c>
      <c r="BE146">
        <v>0</v>
      </c>
      <c r="BF146">
        <v>0</v>
      </c>
      <c r="BG146">
        <v>0</v>
      </c>
      <c r="BH146">
        <v>1725</v>
      </c>
      <c r="BI146">
        <v>1</v>
      </c>
      <c r="BJ146">
        <v>1</v>
      </c>
      <c r="BK146">
        <v>0</v>
      </c>
      <c r="BL146">
        <v>0</v>
      </c>
      <c r="BO146">
        <v>0</v>
      </c>
      <c r="BP146">
        <v>0</v>
      </c>
      <c r="BW146" t="str">
        <f>"22:09:56.518"</f>
        <v>22:09:56.518</v>
      </c>
      <c r="CJ146">
        <v>0</v>
      </c>
      <c r="CK146">
        <v>1</v>
      </c>
      <c r="CL146">
        <v>0</v>
      </c>
      <c r="CM146">
        <v>2</v>
      </c>
      <c r="CN146">
        <v>0</v>
      </c>
      <c r="CO146">
        <v>6</v>
      </c>
      <c r="CP146" t="s">
        <v>119</v>
      </c>
      <c r="CQ146">
        <v>364</v>
      </c>
      <c r="CR146">
        <v>0</v>
      </c>
      <c r="CW146">
        <v>1369692</v>
      </c>
      <c r="CY146">
        <v>1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1</v>
      </c>
      <c r="DH146">
        <v>0</v>
      </c>
      <c r="DI146">
        <v>0</v>
      </c>
    </row>
    <row r="147" spans="1:113" x14ac:dyDescent="0.3">
      <c r="A147" t="str">
        <f>"03/24/2022 22:09:56.699"</f>
        <v>03/24/2022 22:09:56.699</v>
      </c>
      <c r="C147" t="str">
        <f t="shared" si="27"/>
        <v>FFDFD3C0</v>
      </c>
      <c r="D147" t="s">
        <v>113</v>
      </c>
      <c r="E147">
        <v>24</v>
      </c>
      <c r="F147">
        <v>2024</v>
      </c>
      <c r="G147" t="s">
        <v>114</v>
      </c>
      <c r="J147" t="s">
        <v>115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 t="shared" si="45"/>
        <v>22:09:56.000</v>
      </c>
      <c r="T147" t="str">
        <f t="shared" si="45"/>
        <v>22:09:56.000</v>
      </c>
      <c r="U147" t="str">
        <f t="shared" si="41"/>
        <v>A9D71F</v>
      </c>
      <c r="V147">
        <v>0</v>
      </c>
      <c r="W147">
        <v>0</v>
      </c>
      <c r="X147">
        <v>2</v>
      </c>
      <c r="Z147">
        <v>1</v>
      </c>
      <c r="AA147">
        <v>6</v>
      </c>
      <c r="AB147">
        <v>3</v>
      </c>
      <c r="AC147">
        <v>0</v>
      </c>
      <c r="AD147">
        <v>9</v>
      </c>
      <c r="AE147">
        <v>0</v>
      </c>
      <c r="AF147">
        <v>3</v>
      </c>
      <c r="AG147">
        <v>1</v>
      </c>
      <c r="AH147">
        <v>0</v>
      </c>
      <c r="AI147" t="s">
        <v>184</v>
      </c>
      <c r="AJ147">
        <v>33.188946000000001</v>
      </c>
      <c r="AK147" t="s">
        <v>191</v>
      </c>
      <c r="AL147">
        <v>-97.813854000000006</v>
      </c>
      <c r="AM147">
        <v>25</v>
      </c>
      <c r="AN147">
        <v>1800</v>
      </c>
      <c r="AO147" t="s">
        <v>118</v>
      </c>
      <c r="AP147">
        <v>87</v>
      </c>
      <c r="AQ147">
        <v>-1</v>
      </c>
      <c r="AR147">
        <v>768</v>
      </c>
      <c r="AZ147">
        <v>1200</v>
      </c>
      <c r="BA147">
        <v>1</v>
      </c>
      <c r="BB147" t="str">
        <f t="shared" si="29"/>
        <v xml:space="preserve">N733KP  </v>
      </c>
      <c r="BC147">
        <v>1</v>
      </c>
      <c r="BE147">
        <v>0</v>
      </c>
      <c r="BF147">
        <v>0</v>
      </c>
      <c r="BG147">
        <v>0</v>
      </c>
      <c r="BH147">
        <v>1725</v>
      </c>
      <c r="BI147">
        <v>1</v>
      </c>
      <c r="BJ147">
        <v>1</v>
      </c>
      <c r="BK147">
        <v>0</v>
      </c>
      <c r="BL147">
        <v>0</v>
      </c>
      <c r="BO147">
        <v>0</v>
      </c>
      <c r="BP147">
        <v>0</v>
      </c>
      <c r="BW147" t="str">
        <f>"22:09:56.518"</f>
        <v>22:09:56.518</v>
      </c>
      <c r="CJ147">
        <v>0</v>
      </c>
      <c r="CK147">
        <v>1</v>
      </c>
      <c r="CL147">
        <v>0</v>
      </c>
      <c r="CM147">
        <v>2</v>
      </c>
      <c r="CN147">
        <v>0</v>
      </c>
      <c r="CO147">
        <v>6</v>
      </c>
      <c r="CP147" t="s">
        <v>119</v>
      </c>
      <c r="CQ147">
        <v>364</v>
      </c>
      <c r="CR147">
        <v>0</v>
      </c>
      <c r="CW147">
        <v>1369692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1</v>
      </c>
      <c r="DH147">
        <v>0</v>
      </c>
      <c r="DI147">
        <v>0</v>
      </c>
    </row>
    <row r="148" spans="1:113" x14ac:dyDescent="0.3">
      <c r="A148" t="str">
        <f>"03/24/2022 22:09:56.730"</f>
        <v>03/24/2022 22:09:56.730</v>
      </c>
      <c r="C148" t="str">
        <f t="shared" si="27"/>
        <v>FFDFD3C0</v>
      </c>
      <c r="D148" t="s">
        <v>126</v>
      </c>
      <c r="E148">
        <v>3</v>
      </c>
      <c r="H148">
        <v>160</v>
      </c>
      <c r="I148" t="s">
        <v>121</v>
      </c>
      <c r="J148" t="s">
        <v>127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 t="shared" si="45"/>
        <v>22:09:56.000</v>
      </c>
      <c r="T148" t="str">
        <f t="shared" si="45"/>
        <v>22:09:56.000</v>
      </c>
      <c r="U148" t="str">
        <f t="shared" si="41"/>
        <v>A9D71F</v>
      </c>
      <c r="V148">
        <v>0</v>
      </c>
      <c r="W148">
        <v>0</v>
      </c>
      <c r="X148">
        <v>2</v>
      </c>
      <c r="Z148">
        <v>1</v>
      </c>
      <c r="AA148">
        <v>6</v>
      </c>
      <c r="AB148">
        <v>3</v>
      </c>
      <c r="AC148">
        <v>0</v>
      </c>
      <c r="AD148">
        <v>9</v>
      </c>
      <c r="AE148">
        <v>0</v>
      </c>
      <c r="AF148">
        <v>3</v>
      </c>
      <c r="AG148">
        <v>1</v>
      </c>
      <c r="AH148">
        <v>0</v>
      </c>
      <c r="AI148" t="s">
        <v>184</v>
      </c>
      <c r="AJ148">
        <v>33.188946000000001</v>
      </c>
      <c r="AK148" t="s">
        <v>191</v>
      </c>
      <c r="AL148">
        <v>-97.813854000000006</v>
      </c>
      <c r="AM148">
        <v>25</v>
      </c>
      <c r="AN148">
        <v>1800</v>
      </c>
      <c r="AO148" t="s">
        <v>118</v>
      </c>
      <c r="AP148">
        <v>87</v>
      </c>
      <c r="AQ148">
        <v>-1</v>
      </c>
      <c r="AR148">
        <v>768</v>
      </c>
      <c r="AZ148">
        <v>1200</v>
      </c>
      <c r="BA148">
        <v>1</v>
      </c>
      <c r="BB148" t="str">
        <f t="shared" si="29"/>
        <v xml:space="preserve">N733KP  </v>
      </c>
      <c r="BC148">
        <v>1</v>
      </c>
      <c r="BE148">
        <v>0</v>
      </c>
      <c r="BF148">
        <v>0</v>
      </c>
      <c r="BG148">
        <v>0</v>
      </c>
      <c r="BH148">
        <v>1725</v>
      </c>
      <c r="BI148">
        <v>1</v>
      </c>
      <c r="BJ148">
        <v>1</v>
      </c>
      <c r="BK148">
        <v>0</v>
      </c>
      <c r="BL148">
        <v>0</v>
      </c>
      <c r="BO148">
        <v>0</v>
      </c>
      <c r="BP148">
        <v>0</v>
      </c>
      <c r="BW148" t="str">
        <f>"22:09:56.518"</f>
        <v>22:09:56.518</v>
      </c>
      <c r="CJ148">
        <v>0</v>
      </c>
      <c r="CK148">
        <v>1</v>
      </c>
      <c r="CL148">
        <v>0</v>
      </c>
      <c r="CM148">
        <v>2</v>
      </c>
      <c r="CN148">
        <v>0</v>
      </c>
      <c r="CO148">
        <v>6</v>
      </c>
      <c r="CP148" t="s">
        <v>119</v>
      </c>
      <c r="CQ148">
        <v>364</v>
      </c>
      <c r="CR148">
        <v>0</v>
      </c>
      <c r="CW148">
        <v>1369692</v>
      </c>
      <c r="CY148">
        <v>1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1</v>
      </c>
      <c r="DH148">
        <v>0</v>
      </c>
      <c r="DI148">
        <v>0</v>
      </c>
    </row>
    <row r="149" spans="1:113" x14ac:dyDescent="0.3">
      <c r="A149" t="str">
        <f>"03/24/2022 22:09:56.730"</f>
        <v>03/24/2022 22:09:56.730</v>
      </c>
      <c r="C149" t="str">
        <f t="shared" si="27"/>
        <v>FFDFD3C0</v>
      </c>
      <c r="D149" t="s">
        <v>123</v>
      </c>
      <c r="E149">
        <v>8</v>
      </c>
      <c r="H149">
        <v>31</v>
      </c>
      <c r="I149" t="s">
        <v>124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 t="shared" si="45"/>
        <v>22:09:56.000</v>
      </c>
      <c r="T149" t="str">
        <f t="shared" si="45"/>
        <v>22:09:56.000</v>
      </c>
      <c r="U149" t="str">
        <f t="shared" si="41"/>
        <v>A9D71F</v>
      </c>
      <c r="V149">
        <v>0</v>
      </c>
      <c r="W149">
        <v>0</v>
      </c>
      <c r="X149">
        <v>2</v>
      </c>
      <c r="Z149">
        <v>1</v>
      </c>
      <c r="AA149">
        <v>6</v>
      </c>
      <c r="AB149">
        <v>3</v>
      </c>
      <c r="AC149">
        <v>0</v>
      </c>
      <c r="AD149">
        <v>9</v>
      </c>
      <c r="AE149">
        <v>0</v>
      </c>
      <c r="AF149">
        <v>3</v>
      </c>
      <c r="AG149">
        <v>1</v>
      </c>
      <c r="AH149">
        <v>0</v>
      </c>
      <c r="AI149" t="s">
        <v>184</v>
      </c>
      <c r="AJ149">
        <v>33.188946000000001</v>
      </c>
      <c r="AK149" t="s">
        <v>191</v>
      </c>
      <c r="AL149">
        <v>-97.813854000000006</v>
      </c>
      <c r="AM149">
        <v>25</v>
      </c>
      <c r="AN149">
        <v>1800</v>
      </c>
      <c r="AO149" t="s">
        <v>118</v>
      </c>
      <c r="AP149">
        <v>87</v>
      </c>
      <c r="AQ149">
        <v>-1</v>
      </c>
      <c r="AR149">
        <v>768</v>
      </c>
      <c r="AZ149">
        <v>1200</v>
      </c>
      <c r="BA149">
        <v>1</v>
      </c>
      <c r="BB149" t="str">
        <f t="shared" si="29"/>
        <v xml:space="preserve">N733KP  </v>
      </c>
      <c r="BC149">
        <v>1</v>
      </c>
      <c r="BE149">
        <v>0</v>
      </c>
      <c r="BF149">
        <v>0</v>
      </c>
      <c r="BG149">
        <v>0</v>
      </c>
      <c r="BH149">
        <v>1725</v>
      </c>
      <c r="BI149">
        <v>1</v>
      </c>
      <c r="BJ149">
        <v>1</v>
      </c>
      <c r="BK149">
        <v>0</v>
      </c>
      <c r="BL149">
        <v>0</v>
      </c>
      <c r="BO149">
        <v>0</v>
      </c>
      <c r="BP149">
        <v>0</v>
      </c>
      <c r="BW149" t="str">
        <f>"22:09:56.518"</f>
        <v>22:09:56.518</v>
      </c>
      <c r="CJ149">
        <v>0</v>
      </c>
      <c r="CK149">
        <v>1</v>
      </c>
      <c r="CL149">
        <v>0</v>
      </c>
      <c r="CM149">
        <v>2</v>
      </c>
      <c r="CN149">
        <v>0</v>
      </c>
      <c r="CO149">
        <v>6</v>
      </c>
      <c r="CP149" t="s">
        <v>119</v>
      </c>
      <c r="CQ149">
        <v>364</v>
      </c>
      <c r="CR149">
        <v>0</v>
      </c>
      <c r="CW149">
        <v>1369692</v>
      </c>
      <c r="CY149">
        <v>1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1</v>
      </c>
      <c r="DH149">
        <v>0</v>
      </c>
      <c r="DI149">
        <v>0</v>
      </c>
    </row>
    <row r="150" spans="1:113" x14ac:dyDescent="0.3">
      <c r="A150" t="str">
        <f>"03/24/2022 22:09:58.011"</f>
        <v>03/24/2022 22:09:58.011</v>
      </c>
      <c r="C150" t="str">
        <f t="shared" ref="C150:C213" si="46">"FFDFD3C0"</f>
        <v>FFDFD3C0</v>
      </c>
      <c r="D150" t="s">
        <v>120</v>
      </c>
      <c r="E150">
        <v>14</v>
      </c>
      <c r="F150">
        <v>1014</v>
      </c>
      <c r="G150" t="s">
        <v>121</v>
      </c>
      <c r="J150" t="s">
        <v>122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 t="shared" ref="S150:T153" si="47">"22:09:57.000"</f>
        <v>22:09:57.000</v>
      </c>
      <c r="T150" t="str">
        <f t="shared" si="47"/>
        <v>22:09:57.000</v>
      </c>
      <c r="U150" t="str">
        <f t="shared" si="41"/>
        <v>A9D71F</v>
      </c>
      <c r="V150">
        <v>0</v>
      </c>
      <c r="W150">
        <v>0</v>
      </c>
      <c r="X150">
        <v>2</v>
      </c>
      <c r="Z150">
        <v>1</v>
      </c>
      <c r="AA150">
        <v>6</v>
      </c>
      <c r="AB150">
        <v>3</v>
      </c>
      <c r="AC150">
        <v>0</v>
      </c>
      <c r="AD150">
        <v>9</v>
      </c>
      <c r="AE150">
        <v>0</v>
      </c>
      <c r="AF150">
        <v>3</v>
      </c>
      <c r="AG150">
        <v>1</v>
      </c>
      <c r="AH150">
        <v>0</v>
      </c>
      <c r="AI150" t="s">
        <v>184</v>
      </c>
      <c r="AJ150">
        <v>33.188946000000001</v>
      </c>
      <c r="AK150" t="s">
        <v>192</v>
      </c>
      <c r="AL150">
        <v>-97.813382000000004</v>
      </c>
      <c r="AM150">
        <v>25</v>
      </c>
      <c r="AN150">
        <v>1800</v>
      </c>
      <c r="AO150" t="s">
        <v>118</v>
      </c>
      <c r="AP150">
        <v>88</v>
      </c>
      <c r="AQ150">
        <v>-2</v>
      </c>
      <c r="AR150">
        <v>768</v>
      </c>
      <c r="AZ150">
        <v>1200</v>
      </c>
      <c r="BA150">
        <v>1</v>
      </c>
      <c r="BB150" t="str">
        <f t="shared" ref="BB150:BB213" si="48">"N733KP  "</f>
        <v xml:space="preserve">N733KP  </v>
      </c>
      <c r="BC150">
        <v>1</v>
      </c>
      <c r="BE150">
        <v>0</v>
      </c>
      <c r="BF150">
        <v>0</v>
      </c>
      <c r="BG150">
        <v>0</v>
      </c>
      <c r="BH150">
        <v>1725</v>
      </c>
      <c r="BI150">
        <v>1</v>
      </c>
      <c r="BJ150">
        <v>1</v>
      </c>
      <c r="BK150">
        <v>0</v>
      </c>
      <c r="BL150">
        <v>0</v>
      </c>
      <c r="BO150">
        <v>0</v>
      </c>
      <c r="BP150">
        <v>0</v>
      </c>
      <c r="BW150" t="str">
        <f>"22:09:57.822"</f>
        <v>22:09:57.822</v>
      </c>
      <c r="CJ150">
        <v>0</v>
      </c>
      <c r="CK150">
        <v>1</v>
      </c>
      <c r="CL150">
        <v>0</v>
      </c>
      <c r="CM150">
        <v>2</v>
      </c>
      <c r="CN150">
        <v>0</v>
      </c>
      <c r="CO150">
        <v>6</v>
      </c>
      <c r="CP150" t="s">
        <v>119</v>
      </c>
      <c r="CQ150">
        <v>364</v>
      </c>
      <c r="CR150">
        <v>0</v>
      </c>
      <c r="CW150">
        <v>1369856</v>
      </c>
      <c r="CY150">
        <v>1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1</v>
      </c>
      <c r="DH150">
        <v>0</v>
      </c>
      <c r="DI150">
        <v>0</v>
      </c>
    </row>
    <row r="151" spans="1:113" x14ac:dyDescent="0.3">
      <c r="A151" t="str">
        <f>"03/24/2022 22:09:58.043"</f>
        <v>03/24/2022 22:09:58.043</v>
      </c>
      <c r="C151" t="str">
        <f t="shared" si="46"/>
        <v>FFDFD3C0</v>
      </c>
      <c r="D151" t="s">
        <v>126</v>
      </c>
      <c r="E151">
        <v>3</v>
      </c>
      <c r="H151">
        <v>160</v>
      </c>
      <c r="I151" t="s">
        <v>121</v>
      </c>
      <c r="J151" t="s">
        <v>127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 t="shared" si="47"/>
        <v>22:09:57.000</v>
      </c>
      <c r="T151" t="str">
        <f t="shared" si="47"/>
        <v>22:09:57.000</v>
      </c>
      <c r="U151" t="str">
        <f t="shared" si="41"/>
        <v>A9D71F</v>
      </c>
      <c r="V151">
        <v>0</v>
      </c>
      <c r="W151">
        <v>0</v>
      </c>
      <c r="X151">
        <v>2</v>
      </c>
      <c r="Z151">
        <v>1</v>
      </c>
      <c r="AA151">
        <v>6</v>
      </c>
      <c r="AB151">
        <v>3</v>
      </c>
      <c r="AC151">
        <v>0</v>
      </c>
      <c r="AD151">
        <v>9</v>
      </c>
      <c r="AE151">
        <v>0</v>
      </c>
      <c r="AF151">
        <v>3</v>
      </c>
      <c r="AG151">
        <v>1</v>
      </c>
      <c r="AH151">
        <v>0</v>
      </c>
      <c r="AI151" t="s">
        <v>184</v>
      </c>
      <c r="AJ151">
        <v>33.188946000000001</v>
      </c>
      <c r="AK151" t="s">
        <v>192</v>
      </c>
      <c r="AL151">
        <v>-97.813382000000004</v>
      </c>
      <c r="AM151">
        <v>25</v>
      </c>
      <c r="AN151">
        <v>1800</v>
      </c>
      <c r="AO151" t="s">
        <v>118</v>
      </c>
      <c r="AP151">
        <v>88</v>
      </c>
      <c r="AQ151">
        <v>-2</v>
      </c>
      <c r="AR151">
        <v>768</v>
      </c>
      <c r="AZ151">
        <v>1200</v>
      </c>
      <c r="BA151">
        <v>1</v>
      </c>
      <c r="BB151" t="str">
        <f t="shared" si="48"/>
        <v xml:space="preserve">N733KP  </v>
      </c>
      <c r="BC151">
        <v>1</v>
      </c>
      <c r="BE151">
        <v>0</v>
      </c>
      <c r="BF151">
        <v>0</v>
      </c>
      <c r="BG151">
        <v>0</v>
      </c>
      <c r="BH151">
        <v>1725</v>
      </c>
      <c r="BI151">
        <v>1</v>
      </c>
      <c r="BJ151">
        <v>1</v>
      </c>
      <c r="BK151">
        <v>0</v>
      </c>
      <c r="BL151">
        <v>0</v>
      </c>
      <c r="BO151">
        <v>0</v>
      </c>
      <c r="BP151">
        <v>0</v>
      </c>
      <c r="BW151" t="str">
        <f>"22:09:57.822"</f>
        <v>22:09:57.822</v>
      </c>
      <c r="CJ151">
        <v>0</v>
      </c>
      <c r="CK151">
        <v>1</v>
      </c>
      <c r="CL151">
        <v>0</v>
      </c>
      <c r="CM151">
        <v>2</v>
      </c>
      <c r="CN151">
        <v>0</v>
      </c>
      <c r="CO151">
        <v>6</v>
      </c>
      <c r="CP151" t="s">
        <v>119</v>
      </c>
      <c r="CQ151">
        <v>364</v>
      </c>
      <c r="CR151">
        <v>0</v>
      </c>
      <c r="CW151">
        <v>1369856</v>
      </c>
      <c r="CY151">
        <v>1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1</v>
      </c>
      <c r="DH151">
        <v>0</v>
      </c>
      <c r="DI151">
        <v>0</v>
      </c>
    </row>
    <row r="152" spans="1:113" x14ac:dyDescent="0.3">
      <c r="A152" t="str">
        <f>"03/24/2022 22:09:58.043"</f>
        <v>03/24/2022 22:09:58.043</v>
      </c>
      <c r="C152" t="str">
        <f t="shared" si="46"/>
        <v>FFDFD3C0</v>
      </c>
      <c r="D152" t="s">
        <v>113</v>
      </c>
      <c r="E152">
        <v>24</v>
      </c>
      <c r="F152">
        <v>2024</v>
      </c>
      <c r="G152" t="s">
        <v>114</v>
      </c>
      <c r="J152" t="s">
        <v>115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 t="shared" si="47"/>
        <v>22:09:57.000</v>
      </c>
      <c r="T152" t="str">
        <f t="shared" si="47"/>
        <v>22:09:57.000</v>
      </c>
      <c r="U152" t="str">
        <f t="shared" si="41"/>
        <v>A9D71F</v>
      </c>
      <c r="V152">
        <v>0</v>
      </c>
      <c r="W152">
        <v>0</v>
      </c>
      <c r="X152">
        <v>2</v>
      </c>
      <c r="Z152">
        <v>1</v>
      </c>
      <c r="AA152">
        <v>6</v>
      </c>
      <c r="AB152">
        <v>3</v>
      </c>
      <c r="AC152">
        <v>0</v>
      </c>
      <c r="AD152">
        <v>9</v>
      </c>
      <c r="AE152">
        <v>0</v>
      </c>
      <c r="AF152">
        <v>3</v>
      </c>
      <c r="AG152">
        <v>1</v>
      </c>
      <c r="AH152">
        <v>0</v>
      </c>
      <c r="AI152" t="s">
        <v>184</v>
      </c>
      <c r="AJ152">
        <v>33.188946000000001</v>
      </c>
      <c r="AK152" t="s">
        <v>192</v>
      </c>
      <c r="AL152">
        <v>-97.813382000000004</v>
      </c>
      <c r="AM152">
        <v>25</v>
      </c>
      <c r="AN152">
        <v>1800</v>
      </c>
      <c r="AO152" t="s">
        <v>118</v>
      </c>
      <c r="AP152">
        <v>88</v>
      </c>
      <c r="AQ152">
        <v>-2</v>
      </c>
      <c r="AR152">
        <v>768</v>
      </c>
      <c r="AZ152">
        <v>1200</v>
      </c>
      <c r="BA152">
        <v>1</v>
      </c>
      <c r="BB152" t="str">
        <f t="shared" si="48"/>
        <v xml:space="preserve">N733KP  </v>
      </c>
      <c r="BC152">
        <v>1</v>
      </c>
      <c r="BE152">
        <v>0</v>
      </c>
      <c r="BF152">
        <v>0</v>
      </c>
      <c r="BG152">
        <v>0</v>
      </c>
      <c r="BH152">
        <v>1725</v>
      </c>
      <c r="BI152">
        <v>1</v>
      </c>
      <c r="BJ152">
        <v>1</v>
      </c>
      <c r="BK152">
        <v>0</v>
      </c>
      <c r="BL152">
        <v>0</v>
      </c>
      <c r="BO152">
        <v>0</v>
      </c>
      <c r="BP152">
        <v>0</v>
      </c>
      <c r="BW152" t="str">
        <f>"22:09:57.822"</f>
        <v>22:09:57.822</v>
      </c>
      <c r="CJ152">
        <v>0</v>
      </c>
      <c r="CK152">
        <v>1</v>
      </c>
      <c r="CL152">
        <v>0</v>
      </c>
      <c r="CM152">
        <v>2</v>
      </c>
      <c r="CN152">
        <v>0</v>
      </c>
      <c r="CO152">
        <v>6</v>
      </c>
      <c r="CP152" t="s">
        <v>119</v>
      </c>
      <c r="CQ152">
        <v>364</v>
      </c>
      <c r="CR152">
        <v>0</v>
      </c>
      <c r="CW152">
        <v>1369856</v>
      </c>
      <c r="CY152">
        <v>1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1</v>
      </c>
      <c r="DH152">
        <v>0</v>
      </c>
      <c r="DI152">
        <v>0</v>
      </c>
    </row>
    <row r="153" spans="1:113" x14ac:dyDescent="0.3">
      <c r="A153" t="str">
        <f>"03/24/2022 22:09:58.043"</f>
        <v>03/24/2022 22:09:58.043</v>
      </c>
      <c r="C153" t="str">
        <f t="shared" si="46"/>
        <v>FFDFD3C0</v>
      </c>
      <c r="D153" t="s">
        <v>123</v>
      </c>
      <c r="E153">
        <v>8</v>
      </c>
      <c r="H153">
        <v>31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 t="shared" si="47"/>
        <v>22:09:57.000</v>
      </c>
      <c r="T153" t="str">
        <f t="shared" si="47"/>
        <v>22:09:57.000</v>
      </c>
      <c r="U153" t="str">
        <f t="shared" si="41"/>
        <v>A9D71F</v>
      </c>
      <c r="V153">
        <v>0</v>
      </c>
      <c r="W153">
        <v>0</v>
      </c>
      <c r="X153">
        <v>2</v>
      </c>
      <c r="Z153">
        <v>1</v>
      </c>
      <c r="AA153">
        <v>6</v>
      </c>
      <c r="AB153">
        <v>3</v>
      </c>
      <c r="AC153">
        <v>0</v>
      </c>
      <c r="AD153">
        <v>9</v>
      </c>
      <c r="AE153">
        <v>0</v>
      </c>
      <c r="AF153">
        <v>3</v>
      </c>
      <c r="AG153">
        <v>1</v>
      </c>
      <c r="AH153">
        <v>0</v>
      </c>
      <c r="AI153" t="s">
        <v>184</v>
      </c>
      <c r="AJ153">
        <v>33.188946000000001</v>
      </c>
      <c r="AK153" t="s">
        <v>192</v>
      </c>
      <c r="AL153">
        <v>-97.813382000000004</v>
      </c>
      <c r="AM153">
        <v>25</v>
      </c>
      <c r="AN153">
        <v>1800</v>
      </c>
      <c r="AO153" t="s">
        <v>118</v>
      </c>
      <c r="AP153">
        <v>88</v>
      </c>
      <c r="AQ153">
        <v>-2</v>
      </c>
      <c r="AR153">
        <v>768</v>
      </c>
      <c r="AZ153">
        <v>1200</v>
      </c>
      <c r="BA153">
        <v>1</v>
      </c>
      <c r="BB153" t="str">
        <f t="shared" si="48"/>
        <v xml:space="preserve">N733KP  </v>
      </c>
      <c r="BC153">
        <v>1</v>
      </c>
      <c r="BE153">
        <v>0</v>
      </c>
      <c r="BF153">
        <v>0</v>
      </c>
      <c r="BG153">
        <v>0</v>
      </c>
      <c r="BH153">
        <v>1725</v>
      </c>
      <c r="BI153">
        <v>1</v>
      </c>
      <c r="BJ153">
        <v>1</v>
      </c>
      <c r="BK153">
        <v>0</v>
      </c>
      <c r="BL153">
        <v>0</v>
      </c>
      <c r="BO153">
        <v>0</v>
      </c>
      <c r="BP153">
        <v>0</v>
      </c>
      <c r="BW153" t="str">
        <f>"22:09:57.822"</f>
        <v>22:09:57.822</v>
      </c>
      <c r="CJ153">
        <v>0</v>
      </c>
      <c r="CK153">
        <v>1</v>
      </c>
      <c r="CL153">
        <v>0</v>
      </c>
      <c r="CM153">
        <v>2</v>
      </c>
      <c r="CN153">
        <v>0</v>
      </c>
      <c r="CO153">
        <v>6</v>
      </c>
      <c r="CP153" t="s">
        <v>119</v>
      </c>
      <c r="CQ153">
        <v>364</v>
      </c>
      <c r="CR153">
        <v>0</v>
      </c>
      <c r="CW153">
        <v>1369856</v>
      </c>
      <c r="CY153">
        <v>1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1</v>
      </c>
      <c r="DH153">
        <v>0</v>
      </c>
      <c r="DI153">
        <v>0</v>
      </c>
    </row>
    <row r="154" spans="1:113" x14ac:dyDescent="0.3">
      <c r="A154" t="str">
        <f>"03/24/2022 22:09:58.608"</f>
        <v>03/24/2022 22:09:58.608</v>
      </c>
      <c r="C154" t="str">
        <f t="shared" si="46"/>
        <v>FFDFD3C0</v>
      </c>
      <c r="D154" t="s">
        <v>120</v>
      </c>
      <c r="E154">
        <v>14</v>
      </c>
      <c r="F154">
        <v>1014</v>
      </c>
      <c r="G154" t="s">
        <v>121</v>
      </c>
      <c r="J154" t="s">
        <v>122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 t="shared" ref="S154:T157" si="49">"22:09:58.000"</f>
        <v>22:09:58.000</v>
      </c>
      <c r="T154" t="str">
        <f t="shared" si="49"/>
        <v>22:09:58.000</v>
      </c>
      <c r="U154" t="str">
        <f t="shared" si="41"/>
        <v>A9D71F</v>
      </c>
      <c r="V154">
        <v>0</v>
      </c>
      <c r="W154">
        <v>0</v>
      </c>
      <c r="X154">
        <v>2</v>
      </c>
      <c r="Z154">
        <v>1</v>
      </c>
      <c r="AA154">
        <v>6</v>
      </c>
      <c r="AB154">
        <v>3</v>
      </c>
      <c r="AC154">
        <v>0</v>
      </c>
      <c r="AD154">
        <v>9</v>
      </c>
      <c r="AE154">
        <v>0</v>
      </c>
      <c r="AF154">
        <v>3</v>
      </c>
      <c r="AG154">
        <v>1</v>
      </c>
      <c r="AH154">
        <v>0</v>
      </c>
      <c r="AI154" t="s">
        <v>186</v>
      </c>
      <c r="AJ154">
        <v>33.188924999999998</v>
      </c>
      <c r="AK154" t="s">
        <v>193</v>
      </c>
      <c r="AL154">
        <v>-97.812866999999997</v>
      </c>
      <c r="AM154">
        <v>25</v>
      </c>
      <c r="AN154">
        <v>1800</v>
      </c>
      <c r="AO154" t="s">
        <v>118</v>
      </c>
      <c r="AP154">
        <v>89</v>
      </c>
      <c r="AQ154">
        <v>-3</v>
      </c>
      <c r="AR154">
        <v>832</v>
      </c>
      <c r="AZ154">
        <v>1200</v>
      </c>
      <c r="BA154">
        <v>1</v>
      </c>
      <c r="BB154" t="str">
        <f t="shared" si="48"/>
        <v xml:space="preserve">N733KP  </v>
      </c>
      <c r="BC154">
        <v>1</v>
      </c>
      <c r="BE154">
        <v>0</v>
      </c>
      <c r="BF154">
        <v>0</v>
      </c>
      <c r="BG154">
        <v>0</v>
      </c>
      <c r="BH154">
        <v>1775</v>
      </c>
      <c r="BI154">
        <v>1</v>
      </c>
      <c r="BJ154">
        <v>1</v>
      </c>
      <c r="BK154">
        <v>0</v>
      </c>
      <c r="BL154">
        <v>0</v>
      </c>
      <c r="BO154">
        <v>0</v>
      </c>
      <c r="BP154">
        <v>0</v>
      </c>
      <c r="BW154" t="str">
        <f>"22:09:58.453"</f>
        <v>22:09:58.453</v>
      </c>
      <c r="CJ154">
        <v>0</v>
      </c>
      <c r="CK154">
        <v>1</v>
      </c>
      <c r="CL154">
        <v>0</v>
      </c>
      <c r="CM154">
        <v>2</v>
      </c>
      <c r="CN154">
        <v>0</v>
      </c>
      <c r="CO154">
        <v>6</v>
      </c>
      <c r="CP154" t="s">
        <v>119</v>
      </c>
      <c r="CQ154">
        <v>364</v>
      </c>
      <c r="CR154">
        <v>0</v>
      </c>
      <c r="CW154">
        <v>1369921</v>
      </c>
      <c r="CY154">
        <v>1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1</v>
      </c>
      <c r="DH154">
        <v>0</v>
      </c>
      <c r="DI154">
        <v>0</v>
      </c>
    </row>
    <row r="155" spans="1:113" x14ac:dyDescent="0.3">
      <c r="A155" t="str">
        <f>"03/24/2022 22:09:58.608"</f>
        <v>03/24/2022 22:09:58.608</v>
      </c>
      <c r="C155" t="str">
        <f t="shared" si="46"/>
        <v>FFDFD3C0</v>
      </c>
      <c r="D155" t="s">
        <v>126</v>
      </c>
      <c r="E155">
        <v>3</v>
      </c>
      <c r="H155">
        <v>160</v>
      </c>
      <c r="I155" t="s">
        <v>121</v>
      </c>
      <c r="J155" t="s">
        <v>127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 t="shared" si="49"/>
        <v>22:09:58.000</v>
      </c>
      <c r="T155" t="str">
        <f t="shared" si="49"/>
        <v>22:09:58.000</v>
      </c>
      <c r="U155" t="str">
        <f t="shared" si="41"/>
        <v>A9D71F</v>
      </c>
      <c r="V155">
        <v>0</v>
      </c>
      <c r="W155">
        <v>0</v>
      </c>
      <c r="X155">
        <v>2</v>
      </c>
      <c r="Z155">
        <v>1</v>
      </c>
      <c r="AA155">
        <v>6</v>
      </c>
      <c r="AB155">
        <v>3</v>
      </c>
      <c r="AC155">
        <v>0</v>
      </c>
      <c r="AD155">
        <v>9</v>
      </c>
      <c r="AE155">
        <v>0</v>
      </c>
      <c r="AF155">
        <v>3</v>
      </c>
      <c r="AG155">
        <v>1</v>
      </c>
      <c r="AH155">
        <v>0</v>
      </c>
      <c r="AI155" t="s">
        <v>186</v>
      </c>
      <c r="AJ155">
        <v>33.188924999999998</v>
      </c>
      <c r="AK155" t="s">
        <v>193</v>
      </c>
      <c r="AL155">
        <v>-97.812866999999997</v>
      </c>
      <c r="AM155">
        <v>25</v>
      </c>
      <c r="AN155">
        <v>1800</v>
      </c>
      <c r="AO155" t="s">
        <v>118</v>
      </c>
      <c r="AP155">
        <v>89</v>
      </c>
      <c r="AQ155">
        <v>-3</v>
      </c>
      <c r="AR155">
        <v>832</v>
      </c>
      <c r="AZ155">
        <v>1200</v>
      </c>
      <c r="BA155">
        <v>1</v>
      </c>
      <c r="BB155" t="str">
        <f t="shared" si="48"/>
        <v xml:space="preserve">N733KP  </v>
      </c>
      <c r="BC155">
        <v>1</v>
      </c>
      <c r="BE155">
        <v>0</v>
      </c>
      <c r="BF155">
        <v>0</v>
      </c>
      <c r="BG155">
        <v>0</v>
      </c>
      <c r="BH155">
        <v>1775</v>
      </c>
      <c r="BI155">
        <v>1</v>
      </c>
      <c r="BJ155">
        <v>1</v>
      </c>
      <c r="BK155">
        <v>0</v>
      </c>
      <c r="BL155">
        <v>0</v>
      </c>
      <c r="BO155">
        <v>0</v>
      </c>
      <c r="BP155">
        <v>0</v>
      </c>
      <c r="BW155" t="str">
        <f>"22:09:58.453"</f>
        <v>22:09:58.453</v>
      </c>
      <c r="CJ155">
        <v>0</v>
      </c>
      <c r="CK155">
        <v>1</v>
      </c>
      <c r="CL155">
        <v>0</v>
      </c>
      <c r="CM155">
        <v>2</v>
      </c>
      <c r="CN155">
        <v>0</v>
      </c>
      <c r="CO155">
        <v>6</v>
      </c>
      <c r="CP155" t="s">
        <v>119</v>
      </c>
      <c r="CQ155">
        <v>364</v>
      </c>
      <c r="CR155">
        <v>0</v>
      </c>
      <c r="CW155">
        <v>1369921</v>
      </c>
      <c r="CY155">
        <v>1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1</v>
      </c>
      <c r="DH155">
        <v>0</v>
      </c>
      <c r="DI155">
        <v>0</v>
      </c>
    </row>
    <row r="156" spans="1:113" x14ac:dyDescent="0.3">
      <c r="A156" t="str">
        <f>"03/24/2022 22:09:58.624"</f>
        <v>03/24/2022 22:09:58.624</v>
      </c>
      <c r="C156" t="str">
        <f t="shared" si="46"/>
        <v>FFDFD3C0</v>
      </c>
      <c r="D156" t="s">
        <v>123</v>
      </c>
      <c r="E156">
        <v>8</v>
      </c>
      <c r="H156">
        <v>31</v>
      </c>
      <c r="I156" t="s">
        <v>124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 t="shared" si="49"/>
        <v>22:09:58.000</v>
      </c>
      <c r="T156" t="str">
        <f t="shared" si="49"/>
        <v>22:09:58.000</v>
      </c>
      <c r="U156" t="str">
        <f t="shared" si="41"/>
        <v>A9D71F</v>
      </c>
      <c r="V156">
        <v>0</v>
      </c>
      <c r="W156">
        <v>0</v>
      </c>
      <c r="X156">
        <v>2</v>
      </c>
      <c r="Z156">
        <v>1</v>
      </c>
      <c r="AA156">
        <v>6</v>
      </c>
      <c r="AB156">
        <v>3</v>
      </c>
      <c r="AC156">
        <v>0</v>
      </c>
      <c r="AD156">
        <v>9</v>
      </c>
      <c r="AE156">
        <v>0</v>
      </c>
      <c r="AF156">
        <v>3</v>
      </c>
      <c r="AG156">
        <v>1</v>
      </c>
      <c r="AH156">
        <v>0</v>
      </c>
      <c r="AI156" t="s">
        <v>186</v>
      </c>
      <c r="AJ156">
        <v>33.188924999999998</v>
      </c>
      <c r="AK156" t="s">
        <v>193</v>
      </c>
      <c r="AL156">
        <v>-97.812866999999997</v>
      </c>
      <c r="AM156">
        <v>25</v>
      </c>
      <c r="AN156">
        <v>1800</v>
      </c>
      <c r="AO156" t="s">
        <v>118</v>
      </c>
      <c r="AP156">
        <v>89</v>
      </c>
      <c r="AQ156">
        <v>-3</v>
      </c>
      <c r="AR156">
        <v>832</v>
      </c>
      <c r="AZ156">
        <v>1200</v>
      </c>
      <c r="BA156">
        <v>1</v>
      </c>
      <c r="BB156" t="str">
        <f t="shared" si="48"/>
        <v xml:space="preserve">N733KP  </v>
      </c>
      <c r="BC156">
        <v>1</v>
      </c>
      <c r="BE156">
        <v>0</v>
      </c>
      <c r="BF156">
        <v>0</v>
      </c>
      <c r="BG156">
        <v>0</v>
      </c>
      <c r="BH156">
        <v>1775</v>
      </c>
      <c r="BI156">
        <v>1</v>
      </c>
      <c r="BJ156">
        <v>1</v>
      </c>
      <c r="BK156">
        <v>0</v>
      </c>
      <c r="BL156">
        <v>0</v>
      </c>
      <c r="BO156">
        <v>0</v>
      </c>
      <c r="BP156">
        <v>0</v>
      </c>
      <c r="BW156" t="str">
        <f>"22:09:58.453"</f>
        <v>22:09:58.453</v>
      </c>
      <c r="CJ156">
        <v>0</v>
      </c>
      <c r="CK156">
        <v>1</v>
      </c>
      <c r="CL156">
        <v>0</v>
      </c>
      <c r="CM156">
        <v>2</v>
      </c>
      <c r="CN156">
        <v>0</v>
      </c>
      <c r="CO156">
        <v>6</v>
      </c>
      <c r="CP156" t="s">
        <v>119</v>
      </c>
      <c r="CQ156">
        <v>364</v>
      </c>
      <c r="CR156">
        <v>0</v>
      </c>
      <c r="CW156">
        <v>1369921</v>
      </c>
      <c r="CY156">
        <v>1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1</v>
      </c>
      <c r="DH156">
        <v>0</v>
      </c>
      <c r="DI156">
        <v>0</v>
      </c>
    </row>
    <row r="157" spans="1:113" x14ac:dyDescent="0.3">
      <c r="A157" t="str">
        <f>"03/24/2022 22:09:58.624"</f>
        <v>03/24/2022 22:09:58.624</v>
      </c>
      <c r="C157" t="str">
        <f t="shared" si="46"/>
        <v>FFDFD3C0</v>
      </c>
      <c r="D157" t="s">
        <v>113</v>
      </c>
      <c r="E157">
        <v>24</v>
      </c>
      <c r="F157">
        <v>2024</v>
      </c>
      <c r="G157" t="s">
        <v>114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si="49"/>
        <v>22:09:58.000</v>
      </c>
      <c r="T157" t="str">
        <f t="shared" si="49"/>
        <v>22:09:58.000</v>
      </c>
      <c r="U157" t="str">
        <f t="shared" si="41"/>
        <v>A9D71F</v>
      </c>
      <c r="V157">
        <v>0</v>
      </c>
      <c r="W157">
        <v>0</v>
      </c>
      <c r="X157">
        <v>2</v>
      </c>
      <c r="Z157">
        <v>1</v>
      </c>
      <c r="AA157">
        <v>6</v>
      </c>
      <c r="AB157">
        <v>3</v>
      </c>
      <c r="AC157">
        <v>0</v>
      </c>
      <c r="AD157">
        <v>9</v>
      </c>
      <c r="AE157">
        <v>0</v>
      </c>
      <c r="AF157">
        <v>3</v>
      </c>
      <c r="AG157">
        <v>1</v>
      </c>
      <c r="AH157">
        <v>0</v>
      </c>
      <c r="AI157" t="s">
        <v>186</v>
      </c>
      <c r="AJ157">
        <v>33.188924999999998</v>
      </c>
      <c r="AK157" t="s">
        <v>193</v>
      </c>
      <c r="AL157">
        <v>-97.812866999999997</v>
      </c>
      <c r="AM157">
        <v>25</v>
      </c>
      <c r="AN157">
        <v>1800</v>
      </c>
      <c r="AO157" t="s">
        <v>118</v>
      </c>
      <c r="AP157">
        <v>89</v>
      </c>
      <c r="AQ157">
        <v>-3</v>
      </c>
      <c r="AR157">
        <v>832</v>
      </c>
      <c r="AZ157">
        <v>1200</v>
      </c>
      <c r="BA157">
        <v>1</v>
      </c>
      <c r="BB157" t="str">
        <f t="shared" si="48"/>
        <v xml:space="preserve">N733KP  </v>
      </c>
      <c r="BC157">
        <v>1</v>
      </c>
      <c r="BE157">
        <v>0</v>
      </c>
      <c r="BF157">
        <v>0</v>
      </c>
      <c r="BG157">
        <v>0</v>
      </c>
      <c r="BH157">
        <v>1775</v>
      </c>
      <c r="BI157">
        <v>1</v>
      </c>
      <c r="BJ157">
        <v>1</v>
      </c>
      <c r="BK157">
        <v>0</v>
      </c>
      <c r="BL157">
        <v>0</v>
      </c>
      <c r="BO157">
        <v>0</v>
      </c>
      <c r="BP157">
        <v>0</v>
      </c>
      <c r="BW157" t="str">
        <f>"22:09:58.453"</f>
        <v>22:09:58.453</v>
      </c>
      <c r="CJ157">
        <v>0</v>
      </c>
      <c r="CK157">
        <v>1</v>
      </c>
      <c r="CL157">
        <v>0</v>
      </c>
      <c r="CM157">
        <v>2</v>
      </c>
      <c r="CN157">
        <v>0</v>
      </c>
      <c r="CO157">
        <v>6</v>
      </c>
      <c r="CP157" t="s">
        <v>119</v>
      </c>
      <c r="CQ157">
        <v>364</v>
      </c>
      <c r="CR157">
        <v>0</v>
      </c>
      <c r="CW157">
        <v>1369921</v>
      </c>
      <c r="CY157">
        <v>1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1</v>
      </c>
      <c r="DH157">
        <v>0</v>
      </c>
      <c r="DI157">
        <v>0</v>
      </c>
    </row>
    <row r="158" spans="1:113" x14ac:dyDescent="0.3">
      <c r="A158" t="str">
        <f>"03/24/2022 22:09:59.562"</f>
        <v>03/24/2022 22:09:59.562</v>
      </c>
      <c r="C158" t="str">
        <f t="shared" si="46"/>
        <v>FFDFD3C0</v>
      </c>
      <c r="D158" t="s">
        <v>123</v>
      </c>
      <c r="E158">
        <v>8</v>
      </c>
      <c r="H158">
        <v>31</v>
      </c>
      <c r="I158" t="s">
        <v>124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ref="S158:T161" si="50">"22:09:59.000"</f>
        <v>22:09:59.000</v>
      </c>
      <c r="T158" t="str">
        <f t="shared" si="50"/>
        <v>22:09:59.000</v>
      </c>
      <c r="U158" t="str">
        <f t="shared" si="41"/>
        <v>A9D71F</v>
      </c>
      <c r="V158">
        <v>0</v>
      </c>
      <c r="W158">
        <v>0</v>
      </c>
      <c r="X158">
        <v>2</v>
      </c>
      <c r="Z158">
        <v>1</v>
      </c>
      <c r="AA158">
        <v>6</v>
      </c>
      <c r="AB158">
        <v>3</v>
      </c>
      <c r="AC158">
        <v>0</v>
      </c>
      <c r="AD158">
        <v>9</v>
      </c>
      <c r="AE158">
        <v>0</v>
      </c>
      <c r="AF158">
        <v>3</v>
      </c>
      <c r="AG158">
        <v>1</v>
      </c>
      <c r="AH158">
        <v>0</v>
      </c>
      <c r="AI158" t="s">
        <v>181</v>
      </c>
      <c r="AJ158">
        <v>33.188882</v>
      </c>
      <c r="AK158" t="s">
        <v>194</v>
      </c>
      <c r="AL158">
        <v>-97.812374000000005</v>
      </c>
      <c r="AM158">
        <v>25</v>
      </c>
      <c r="AN158">
        <v>1800</v>
      </c>
      <c r="AO158" t="s">
        <v>118</v>
      </c>
      <c r="AP158">
        <v>89</v>
      </c>
      <c r="AQ158">
        <v>-4</v>
      </c>
      <c r="AR158">
        <v>832</v>
      </c>
      <c r="AZ158">
        <v>1200</v>
      </c>
      <c r="BA158">
        <v>1</v>
      </c>
      <c r="BB158" t="str">
        <f t="shared" si="48"/>
        <v xml:space="preserve">N733KP  </v>
      </c>
      <c r="BC158">
        <v>1</v>
      </c>
      <c r="BE158">
        <v>0</v>
      </c>
      <c r="BF158">
        <v>0</v>
      </c>
      <c r="BG158">
        <v>0</v>
      </c>
      <c r="BH158">
        <v>1775</v>
      </c>
      <c r="BI158">
        <v>1</v>
      </c>
      <c r="BJ158">
        <v>1</v>
      </c>
      <c r="BK158">
        <v>0</v>
      </c>
      <c r="BL158">
        <v>0</v>
      </c>
      <c r="BO158">
        <v>0</v>
      </c>
      <c r="BP158">
        <v>0</v>
      </c>
      <c r="BW158" t="str">
        <f>"22:09:59.368"</f>
        <v>22:09:59.368</v>
      </c>
      <c r="CJ158">
        <v>0</v>
      </c>
      <c r="CK158">
        <v>1</v>
      </c>
      <c r="CL158">
        <v>0</v>
      </c>
      <c r="CM158">
        <v>2</v>
      </c>
      <c r="CN158">
        <v>0</v>
      </c>
      <c r="CO158">
        <v>6</v>
      </c>
      <c r="CP158" t="s">
        <v>119</v>
      </c>
      <c r="CQ158">
        <v>364</v>
      </c>
      <c r="CR158">
        <v>0</v>
      </c>
      <c r="CW158">
        <v>1370033</v>
      </c>
      <c r="CY158">
        <v>1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1</v>
      </c>
      <c r="DH158">
        <v>0</v>
      </c>
      <c r="DI158">
        <v>0</v>
      </c>
    </row>
    <row r="159" spans="1:113" x14ac:dyDescent="0.3">
      <c r="A159" t="str">
        <f>"03/24/2022 22:09:59.562"</f>
        <v>03/24/2022 22:09:59.562</v>
      </c>
      <c r="C159" t="str">
        <f t="shared" si="46"/>
        <v>FFDFD3C0</v>
      </c>
      <c r="D159" t="s">
        <v>113</v>
      </c>
      <c r="E159">
        <v>24</v>
      </c>
      <c r="F159">
        <v>2024</v>
      </c>
      <c r="G159" t="s">
        <v>114</v>
      </c>
      <c r="J159" t="s">
        <v>115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 t="shared" si="50"/>
        <v>22:09:59.000</v>
      </c>
      <c r="T159" t="str">
        <f t="shared" si="50"/>
        <v>22:09:59.000</v>
      </c>
      <c r="U159" t="str">
        <f t="shared" si="41"/>
        <v>A9D71F</v>
      </c>
      <c r="V159">
        <v>0</v>
      </c>
      <c r="W159">
        <v>0</v>
      </c>
      <c r="X159">
        <v>2</v>
      </c>
      <c r="Z159">
        <v>1</v>
      </c>
      <c r="AA159">
        <v>6</v>
      </c>
      <c r="AB159">
        <v>3</v>
      </c>
      <c r="AC159">
        <v>0</v>
      </c>
      <c r="AD159">
        <v>9</v>
      </c>
      <c r="AE159">
        <v>0</v>
      </c>
      <c r="AF159">
        <v>3</v>
      </c>
      <c r="AG159">
        <v>1</v>
      </c>
      <c r="AH159">
        <v>0</v>
      </c>
      <c r="AI159" t="s">
        <v>181</v>
      </c>
      <c r="AJ159">
        <v>33.188882</v>
      </c>
      <c r="AK159" t="s">
        <v>194</v>
      </c>
      <c r="AL159">
        <v>-97.812374000000005</v>
      </c>
      <c r="AM159">
        <v>25</v>
      </c>
      <c r="AN159">
        <v>1800</v>
      </c>
      <c r="AO159" t="s">
        <v>118</v>
      </c>
      <c r="AP159">
        <v>89</v>
      </c>
      <c r="AQ159">
        <v>-4</v>
      </c>
      <c r="AR159">
        <v>832</v>
      </c>
      <c r="AZ159">
        <v>1200</v>
      </c>
      <c r="BA159">
        <v>1</v>
      </c>
      <c r="BB159" t="str">
        <f t="shared" si="48"/>
        <v xml:space="preserve">N733KP  </v>
      </c>
      <c r="BC159">
        <v>1</v>
      </c>
      <c r="BE159">
        <v>0</v>
      </c>
      <c r="BF159">
        <v>0</v>
      </c>
      <c r="BG159">
        <v>0</v>
      </c>
      <c r="BH159">
        <v>1775</v>
      </c>
      <c r="BI159">
        <v>1</v>
      </c>
      <c r="BJ159">
        <v>1</v>
      </c>
      <c r="BK159">
        <v>0</v>
      </c>
      <c r="BL159">
        <v>0</v>
      </c>
      <c r="BO159">
        <v>0</v>
      </c>
      <c r="BP159">
        <v>0</v>
      </c>
      <c r="BW159" t="str">
        <f>"22:09:59.368"</f>
        <v>22:09:59.368</v>
      </c>
      <c r="CJ159">
        <v>0</v>
      </c>
      <c r="CK159">
        <v>1</v>
      </c>
      <c r="CL159">
        <v>0</v>
      </c>
      <c r="CM159">
        <v>2</v>
      </c>
      <c r="CN159">
        <v>0</v>
      </c>
      <c r="CO159">
        <v>6</v>
      </c>
      <c r="CP159" t="s">
        <v>119</v>
      </c>
      <c r="CQ159">
        <v>364</v>
      </c>
      <c r="CR159">
        <v>0</v>
      </c>
      <c r="CW159">
        <v>1370033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1</v>
      </c>
      <c r="DH159">
        <v>0</v>
      </c>
      <c r="DI159">
        <v>0</v>
      </c>
    </row>
    <row r="160" spans="1:113" x14ac:dyDescent="0.3">
      <c r="A160" t="str">
        <f>"03/24/2022 22:09:59.593"</f>
        <v>03/24/2022 22:09:59.593</v>
      </c>
      <c r="C160" t="str">
        <f t="shared" si="46"/>
        <v>FFDFD3C0</v>
      </c>
      <c r="D160" t="s">
        <v>120</v>
      </c>
      <c r="E160">
        <v>14</v>
      </c>
      <c r="F160">
        <v>1014</v>
      </c>
      <c r="G160" t="s">
        <v>121</v>
      </c>
      <c r="J160" t="s">
        <v>122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 t="shared" si="50"/>
        <v>22:09:59.000</v>
      </c>
      <c r="T160" t="str">
        <f t="shared" si="50"/>
        <v>22:09:59.000</v>
      </c>
      <c r="U160" t="str">
        <f t="shared" si="41"/>
        <v>A9D71F</v>
      </c>
      <c r="V160">
        <v>0</v>
      </c>
      <c r="W160">
        <v>0</v>
      </c>
      <c r="X160">
        <v>2</v>
      </c>
      <c r="Z160">
        <v>1</v>
      </c>
      <c r="AA160">
        <v>6</v>
      </c>
      <c r="AB160">
        <v>3</v>
      </c>
      <c r="AC160">
        <v>0</v>
      </c>
      <c r="AD160">
        <v>9</v>
      </c>
      <c r="AE160">
        <v>0</v>
      </c>
      <c r="AF160">
        <v>3</v>
      </c>
      <c r="AG160">
        <v>1</v>
      </c>
      <c r="AH160">
        <v>0</v>
      </c>
      <c r="AI160" t="s">
        <v>181</v>
      </c>
      <c r="AJ160">
        <v>33.188882</v>
      </c>
      <c r="AK160" t="s">
        <v>194</v>
      </c>
      <c r="AL160">
        <v>-97.812374000000005</v>
      </c>
      <c r="AM160">
        <v>25</v>
      </c>
      <c r="AN160">
        <v>1800</v>
      </c>
      <c r="AO160" t="s">
        <v>118</v>
      </c>
      <c r="AP160">
        <v>89</v>
      </c>
      <c r="AQ160">
        <v>-4</v>
      </c>
      <c r="AR160">
        <v>832</v>
      </c>
      <c r="AZ160">
        <v>1200</v>
      </c>
      <c r="BA160">
        <v>1</v>
      </c>
      <c r="BB160" t="str">
        <f t="shared" si="48"/>
        <v xml:space="preserve">N733KP  </v>
      </c>
      <c r="BC160">
        <v>1</v>
      </c>
      <c r="BE160">
        <v>0</v>
      </c>
      <c r="BF160">
        <v>0</v>
      </c>
      <c r="BG160">
        <v>0</v>
      </c>
      <c r="BH160">
        <v>1775</v>
      </c>
      <c r="BI160">
        <v>1</v>
      </c>
      <c r="BJ160">
        <v>1</v>
      </c>
      <c r="BK160">
        <v>0</v>
      </c>
      <c r="BL160">
        <v>0</v>
      </c>
      <c r="BO160">
        <v>0</v>
      </c>
      <c r="BP160">
        <v>0</v>
      </c>
      <c r="BW160" t="str">
        <f>"22:09:59.368"</f>
        <v>22:09:59.368</v>
      </c>
      <c r="CJ160">
        <v>0</v>
      </c>
      <c r="CK160">
        <v>1</v>
      </c>
      <c r="CL160">
        <v>0</v>
      </c>
      <c r="CM160">
        <v>2</v>
      </c>
      <c r="CN160">
        <v>0</v>
      </c>
      <c r="CO160">
        <v>6</v>
      </c>
      <c r="CP160" t="s">
        <v>119</v>
      </c>
      <c r="CQ160">
        <v>364</v>
      </c>
      <c r="CR160">
        <v>0</v>
      </c>
      <c r="CW160">
        <v>1370033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1</v>
      </c>
      <c r="DH160">
        <v>0</v>
      </c>
      <c r="DI160">
        <v>0</v>
      </c>
    </row>
    <row r="161" spans="1:113" x14ac:dyDescent="0.3">
      <c r="A161" t="str">
        <f>"03/24/2022 22:09:59.593"</f>
        <v>03/24/2022 22:09:59.593</v>
      </c>
      <c r="C161" t="str">
        <f t="shared" si="46"/>
        <v>FFDFD3C0</v>
      </c>
      <c r="D161" t="s">
        <v>126</v>
      </c>
      <c r="E161">
        <v>3</v>
      </c>
      <c r="H161">
        <v>160</v>
      </c>
      <c r="I161" t="s">
        <v>121</v>
      </c>
      <c r="J161" t="s">
        <v>127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 t="shared" si="50"/>
        <v>22:09:59.000</v>
      </c>
      <c r="T161" t="str">
        <f t="shared" si="50"/>
        <v>22:09:59.000</v>
      </c>
      <c r="U161" t="str">
        <f t="shared" si="41"/>
        <v>A9D71F</v>
      </c>
      <c r="V161">
        <v>0</v>
      </c>
      <c r="W161">
        <v>0</v>
      </c>
      <c r="X161">
        <v>2</v>
      </c>
      <c r="Z161">
        <v>1</v>
      </c>
      <c r="AA161">
        <v>6</v>
      </c>
      <c r="AB161">
        <v>3</v>
      </c>
      <c r="AC161">
        <v>0</v>
      </c>
      <c r="AD161">
        <v>9</v>
      </c>
      <c r="AE161">
        <v>0</v>
      </c>
      <c r="AF161">
        <v>3</v>
      </c>
      <c r="AG161">
        <v>1</v>
      </c>
      <c r="AH161">
        <v>0</v>
      </c>
      <c r="AI161" t="s">
        <v>181</v>
      </c>
      <c r="AJ161">
        <v>33.188882</v>
      </c>
      <c r="AK161" t="s">
        <v>194</v>
      </c>
      <c r="AL161">
        <v>-97.812374000000005</v>
      </c>
      <c r="AM161">
        <v>25</v>
      </c>
      <c r="AN161">
        <v>1800</v>
      </c>
      <c r="AO161" t="s">
        <v>118</v>
      </c>
      <c r="AP161">
        <v>89</v>
      </c>
      <c r="AQ161">
        <v>-4</v>
      </c>
      <c r="AR161">
        <v>832</v>
      </c>
      <c r="AZ161">
        <v>1200</v>
      </c>
      <c r="BA161">
        <v>1</v>
      </c>
      <c r="BB161" t="str">
        <f t="shared" si="48"/>
        <v xml:space="preserve">N733KP  </v>
      </c>
      <c r="BC161">
        <v>1</v>
      </c>
      <c r="BE161">
        <v>0</v>
      </c>
      <c r="BF161">
        <v>0</v>
      </c>
      <c r="BG161">
        <v>0</v>
      </c>
      <c r="BH161">
        <v>1775</v>
      </c>
      <c r="BI161">
        <v>1</v>
      </c>
      <c r="BJ161">
        <v>1</v>
      </c>
      <c r="BK161">
        <v>0</v>
      </c>
      <c r="BL161">
        <v>0</v>
      </c>
      <c r="BO161">
        <v>0</v>
      </c>
      <c r="BP161">
        <v>0</v>
      </c>
      <c r="BW161" t="str">
        <f>"22:09:59.368"</f>
        <v>22:09:59.368</v>
      </c>
      <c r="CJ161">
        <v>0</v>
      </c>
      <c r="CK161">
        <v>1</v>
      </c>
      <c r="CL161">
        <v>0</v>
      </c>
      <c r="CM161">
        <v>2</v>
      </c>
      <c r="CN161">
        <v>0</v>
      </c>
      <c r="CO161">
        <v>6</v>
      </c>
      <c r="CP161" t="s">
        <v>119</v>
      </c>
      <c r="CQ161">
        <v>364</v>
      </c>
      <c r="CR161">
        <v>0</v>
      </c>
      <c r="CW161">
        <v>1370033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1</v>
      </c>
      <c r="DH161">
        <v>0</v>
      </c>
      <c r="DI161">
        <v>0</v>
      </c>
    </row>
    <row r="162" spans="1:113" x14ac:dyDescent="0.3">
      <c r="A162" t="str">
        <f>"03/24/2022 22:10:01.750"</f>
        <v>03/24/2022 22:10:01.750</v>
      </c>
      <c r="C162" t="str">
        <f t="shared" si="46"/>
        <v>FFDFD3C0</v>
      </c>
      <c r="D162" t="s">
        <v>120</v>
      </c>
      <c r="E162">
        <v>14</v>
      </c>
      <c r="F162">
        <v>1014</v>
      </c>
      <c r="G162" t="s">
        <v>121</v>
      </c>
      <c r="J162" t="s">
        <v>122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ref="S162:T165" si="51">"22:10:01.000"</f>
        <v>22:10:01.000</v>
      </c>
      <c r="T162" t="str">
        <f t="shared" si="51"/>
        <v>22:10:01.000</v>
      </c>
      <c r="U162" t="str">
        <f t="shared" si="41"/>
        <v>A9D71F</v>
      </c>
      <c r="V162">
        <v>0</v>
      </c>
      <c r="W162">
        <v>0</v>
      </c>
      <c r="X162">
        <v>2</v>
      </c>
      <c r="Z162">
        <v>1</v>
      </c>
      <c r="AA162">
        <v>8</v>
      </c>
      <c r="AB162">
        <v>3</v>
      </c>
      <c r="AC162">
        <v>0</v>
      </c>
      <c r="AD162">
        <v>9</v>
      </c>
      <c r="AE162">
        <v>0</v>
      </c>
      <c r="AF162">
        <v>3</v>
      </c>
      <c r="AG162">
        <v>1</v>
      </c>
      <c r="AH162">
        <v>0</v>
      </c>
      <c r="AI162" t="s">
        <v>181</v>
      </c>
      <c r="AJ162">
        <v>33.188882</v>
      </c>
      <c r="AK162" t="s">
        <v>195</v>
      </c>
      <c r="AL162">
        <v>-97.811386999999996</v>
      </c>
      <c r="AM162">
        <v>25</v>
      </c>
      <c r="AN162">
        <v>1800</v>
      </c>
      <c r="AO162" t="s">
        <v>118</v>
      </c>
      <c r="AP162">
        <v>92</v>
      </c>
      <c r="AQ162">
        <v>-5</v>
      </c>
      <c r="AR162">
        <v>640</v>
      </c>
      <c r="AZ162">
        <v>1200</v>
      </c>
      <c r="BA162">
        <v>1</v>
      </c>
      <c r="BB162" t="str">
        <f t="shared" si="48"/>
        <v xml:space="preserve">N733KP  </v>
      </c>
      <c r="BC162">
        <v>1</v>
      </c>
      <c r="BE162">
        <v>0</v>
      </c>
      <c r="BF162">
        <v>0</v>
      </c>
      <c r="BG162">
        <v>0</v>
      </c>
      <c r="BH162">
        <v>1800</v>
      </c>
      <c r="BI162">
        <v>1</v>
      </c>
      <c r="BJ162">
        <v>1</v>
      </c>
      <c r="BK162">
        <v>0</v>
      </c>
      <c r="BL162">
        <v>0</v>
      </c>
      <c r="BO162">
        <v>0</v>
      </c>
      <c r="BP162">
        <v>0</v>
      </c>
      <c r="BW162" t="str">
        <f>"22:10:01.525"</f>
        <v>22:10:01.525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6</v>
      </c>
      <c r="CP162" t="s">
        <v>119</v>
      </c>
      <c r="CQ162">
        <v>364</v>
      </c>
      <c r="CR162">
        <v>0</v>
      </c>
      <c r="CW162">
        <v>1370315</v>
      </c>
      <c r="CY162">
        <v>1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"03/24/2022 22:10:01.782"</f>
        <v>03/24/2022 22:10:01.782</v>
      </c>
      <c r="C163" t="str">
        <f t="shared" si="46"/>
        <v>FFDFD3C0</v>
      </c>
      <c r="D163" t="s">
        <v>126</v>
      </c>
      <c r="E163">
        <v>3</v>
      </c>
      <c r="H163">
        <v>160</v>
      </c>
      <c r="I163" t="s">
        <v>121</v>
      </c>
      <c r="J163" t="s">
        <v>127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si="51"/>
        <v>22:10:01.000</v>
      </c>
      <c r="T163" t="str">
        <f t="shared" si="51"/>
        <v>22:10:01.000</v>
      </c>
      <c r="U163" t="str">
        <f t="shared" si="41"/>
        <v>A9D71F</v>
      </c>
      <c r="V163">
        <v>0</v>
      </c>
      <c r="W163">
        <v>0</v>
      </c>
      <c r="X163">
        <v>2</v>
      </c>
      <c r="Z163">
        <v>1</v>
      </c>
      <c r="AA163">
        <v>8</v>
      </c>
      <c r="AB163">
        <v>3</v>
      </c>
      <c r="AC163">
        <v>0</v>
      </c>
      <c r="AD163">
        <v>9</v>
      </c>
      <c r="AE163">
        <v>0</v>
      </c>
      <c r="AF163">
        <v>3</v>
      </c>
      <c r="AG163">
        <v>1</v>
      </c>
      <c r="AH163">
        <v>0</v>
      </c>
      <c r="AI163" t="s">
        <v>181</v>
      </c>
      <c r="AJ163">
        <v>33.188882</v>
      </c>
      <c r="AK163" t="s">
        <v>195</v>
      </c>
      <c r="AL163">
        <v>-97.811386999999996</v>
      </c>
      <c r="AM163">
        <v>25</v>
      </c>
      <c r="AN163">
        <v>1800</v>
      </c>
      <c r="AO163" t="s">
        <v>118</v>
      </c>
      <c r="AP163">
        <v>92</v>
      </c>
      <c r="AQ163">
        <v>-5</v>
      </c>
      <c r="AR163">
        <v>640</v>
      </c>
      <c r="AZ163">
        <v>1200</v>
      </c>
      <c r="BA163">
        <v>1</v>
      </c>
      <c r="BB163" t="str">
        <f t="shared" si="48"/>
        <v xml:space="preserve">N733KP  </v>
      </c>
      <c r="BC163">
        <v>1</v>
      </c>
      <c r="BE163">
        <v>0</v>
      </c>
      <c r="BF163">
        <v>0</v>
      </c>
      <c r="BG163">
        <v>0</v>
      </c>
      <c r="BH163">
        <v>1800</v>
      </c>
      <c r="BI163">
        <v>1</v>
      </c>
      <c r="BJ163">
        <v>1</v>
      </c>
      <c r="BK163">
        <v>0</v>
      </c>
      <c r="BL163">
        <v>0</v>
      </c>
      <c r="BO163">
        <v>0</v>
      </c>
      <c r="BP163">
        <v>0</v>
      </c>
      <c r="BW163" t="str">
        <f>"22:10:01.525"</f>
        <v>22:10:01.525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6</v>
      </c>
      <c r="CP163" t="s">
        <v>119</v>
      </c>
      <c r="CQ163">
        <v>364</v>
      </c>
      <c r="CR163">
        <v>0</v>
      </c>
      <c r="CW163">
        <v>1370315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"03/24/2022 22:10:01.782"</f>
        <v>03/24/2022 22:10:01.782</v>
      </c>
      <c r="C164" t="str">
        <f t="shared" si="46"/>
        <v>FFDFD3C0</v>
      </c>
      <c r="D164" t="s">
        <v>123</v>
      </c>
      <c r="E164">
        <v>8</v>
      </c>
      <c r="H164">
        <v>31</v>
      </c>
      <c r="I164" t="s">
        <v>124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si="51"/>
        <v>22:10:01.000</v>
      </c>
      <c r="T164" t="str">
        <f t="shared" si="51"/>
        <v>22:10:01.000</v>
      </c>
      <c r="U164" t="str">
        <f t="shared" si="41"/>
        <v>A9D71F</v>
      </c>
      <c r="V164">
        <v>0</v>
      </c>
      <c r="W164">
        <v>0</v>
      </c>
      <c r="X164">
        <v>2</v>
      </c>
      <c r="Z164">
        <v>1</v>
      </c>
      <c r="AA164">
        <v>8</v>
      </c>
      <c r="AB164">
        <v>3</v>
      </c>
      <c r="AC164">
        <v>0</v>
      </c>
      <c r="AD164">
        <v>9</v>
      </c>
      <c r="AE164">
        <v>0</v>
      </c>
      <c r="AF164">
        <v>3</v>
      </c>
      <c r="AG164">
        <v>1</v>
      </c>
      <c r="AH164">
        <v>0</v>
      </c>
      <c r="AI164" t="s">
        <v>181</v>
      </c>
      <c r="AJ164">
        <v>33.188882</v>
      </c>
      <c r="AK164" t="s">
        <v>195</v>
      </c>
      <c r="AL164">
        <v>-97.811386999999996</v>
      </c>
      <c r="AM164">
        <v>25</v>
      </c>
      <c r="AN164">
        <v>1800</v>
      </c>
      <c r="AO164" t="s">
        <v>118</v>
      </c>
      <c r="AP164">
        <v>92</v>
      </c>
      <c r="AQ164">
        <v>-5</v>
      </c>
      <c r="AR164">
        <v>640</v>
      </c>
      <c r="AZ164">
        <v>1200</v>
      </c>
      <c r="BA164">
        <v>1</v>
      </c>
      <c r="BB164" t="str">
        <f t="shared" si="48"/>
        <v xml:space="preserve">N733KP  </v>
      </c>
      <c r="BC164">
        <v>1</v>
      </c>
      <c r="BE164">
        <v>0</v>
      </c>
      <c r="BF164">
        <v>0</v>
      </c>
      <c r="BG164">
        <v>0</v>
      </c>
      <c r="BH164">
        <v>1800</v>
      </c>
      <c r="BI164">
        <v>1</v>
      </c>
      <c r="BJ164">
        <v>1</v>
      </c>
      <c r="BK164">
        <v>0</v>
      </c>
      <c r="BL164">
        <v>0</v>
      </c>
      <c r="BO164">
        <v>0</v>
      </c>
      <c r="BP164">
        <v>0</v>
      </c>
      <c r="BW164" t="str">
        <f>"22:10:01.525"</f>
        <v>22:10:01.525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6</v>
      </c>
      <c r="CP164" t="s">
        <v>119</v>
      </c>
      <c r="CQ164">
        <v>364</v>
      </c>
      <c r="CR164">
        <v>0</v>
      </c>
      <c r="CW164">
        <v>1370315</v>
      </c>
      <c r="CY164">
        <v>1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"03/24/2022 22:10:01.782"</f>
        <v>03/24/2022 22:10:01.782</v>
      </c>
      <c r="C165" t="str">
        <f t="shared" si="46"/>
        <v>FFDFD3C0</v>
      </c>
      <c r="D165" t="s">
        <v>113</v>
      </c>
      <c r="E165">
        <v>24</v>
      </c>
      <c r="F165">
        <v>2024</v>
      </c>
      <c r="G165" t="s">
        <v>114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 t="shared" si="51"/>
        <v>22:10:01.000</v>
      </c>
      <c r="T165" t="str">
        <f t="shared" si="51"/>
        <v>22:10:01.000</v>
      </c>
      <c r="U165" t="str">
        <f t="shared" si="41"/>
        <v>A9D71F</v>
      </c>
      <c r="V165">
        <v>0</v>
      </c>
      <c r="W165">
        <v>0</v>
      </c>
      <c r="X165">
        <v>2</v>
      </c>
      <c r="Z165">
        <v>1</v>
      </c>
      <c r="AA165">
        <v>8</v>
      </c>
      <c r="AB165">
        <v>3</v>
      </c>
      <c r="AC165">
        <v>0</v>
      </c>
      <c r="AD165">
        <v>9</v>
      </c>
      <c r="AE165">
        <v>0</v>
      </c>
      <c r="AF165">
        <v>3</v>
      </c>
      <c r="AG165">
        <v>1</v>
      </c>
      <c r="AH165">
        <v>0</v>
      </c>
      <c r="AI165" t="s">
        <v>181</v>
      </c>
      <c r="AJ165">
        <v>33.188882</v>
      </c>
      <c r="AK165" t="s">
        <v>195</v>
      </c>
      <c r="AL165">
        <v>-97.811386999999996</v>
      </c>
      <c r="AM165">
        <v>25</v>
      </c>
      <c r="AN165">
        <v>1800</v>
      </c>
      <c r="AO165" t="s">
        <v>118</v>
      </c>
      <c r="AP165">
        <v>92</v>
      </c>
      <c r="AQ165">
        <v>-5</v>
      </c>
      <c r="AR165">
        <v>640</v>
      </c>
      <c r="AZ165">
        <v>1200</v>
      </c>
      <c r="BA165">
        <v>1</v>
      </c>
      <c r="BB165" t="str">
        <f t="shared" si="48"/>
        <v xml:space="preserve">N733KP  </v>
      </c>
      <c r="BC165">
        <v>1</v>
      </c>
      <c r="BE165">
        <v>0</v>
      </c>
      <c r="BF165">
        <v>0</v>
      </c>
      <c r="BG165">
        <v>0</v>
      </c>
      <c r="BH165">
        <v>1800</v>
      </c>
      <c r="BI165">
        <v>1</v>
      </c>
      <c r="BJ165">
        <v>1</v>
      </c>
      <c r="BK165">
        <v>0</v>
      </c>
      <c r="BL165">
        <v>0</v>
      </c>
      <c r="BO165">
        <v>0</v>
      </c>
      <c r="BP165">
        <v>0</v>
      </c>
      <c r="BW165" t="str">
        <f>"22:10:01.525"</f>
        <v>22:10:01.525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6</v>
      </c>
      <c r="CP165" t="s">
        <v>119</v>
      </c>
      <c r="CQ165">
        <v>364</v>
      </c>
      <c r="CR165">
        <v>0</v>
      </c>
      <c r="CW165">
        <v>1370315</v>
      </c>
      <c r="CY165">
        <v>1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"03/24/2022 22:10:02.516"</f>
        <v>03/24/2022 22:10:02.516</v>
      </c>
      <c r="C166" t="str">
        <f t="shared" si="46"/>
        <v>FFDFD3C0</v>
      </c>
      <c r="D166" t="s">
        <v>120</v>
      </c>
      <c r="E166">
        <v>14</v>
      </c>
      <c r="F166">
        <v>1014</v>
      </c>
      <c r="G166" t="s">
        <v>121</v>
      </c>
      <c r="J166" t="s">
        <v>122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 t="shared" ref="S166:T169" si="52">"22:10:02.000"</f>
        <v>22:10:02.000</v>
      </c>
      <c r="T166" t="str">
        <f t="shared" si="52"/>
        <v>22:10:02.000</v>
      </c>
      <c r="U166" t="str">
        <f t="shared" si="41"/>
        <v>A9D71F</v>
      </c>
      <c r="V166">
        <v>0</v>
      </c>
      <c r="W166">
        <v>0</v>
      </c>
      <c r="X166">
        <v>2</v>
      </c>
      <c r="Z166">
        <v>1</v>
      </c>
      <c r="AA166">
        <v>8</v>
      </c>
      <c r="AB166">
        <v>3</v>
      </c>
      <c r="AC166">
        <v>0</v>
      </c>
      <c r="AD166">
        <v>9</v>
      </c>
      <c r="AE166">
        <v>0</v>
      </c>
      <c r="AF166">
        <v>3</v>
      </c>
      <c r="AG166">
        <v>1</v>
      </c>
      <c r="AH166">
        <v>0</v>
      </c>
      <c r="AI166" t="s">
        <v>179</v>
      </c>
      <c r="AJ166">
        <v>33.188859999999998</v>
      </c>
      <c r="AK166" t="s">
        <v>196</v>
      </c>
      <c r="AL166">
        <v>-97.810872000000003</v>
      </c>
      <c r="AM166">
        <v>25</v>
      </c>
      <c r="AN166">
        <v>1800</v>
      </c>
      <c r="AO166" t="s">
        <v>118</v>
      </c>
      <c r="AP166">
        <v>90</v>
      </c>
      <c r="AQ166">
        <v>-2</v>
      </c>
      <c r="AR166">
        <v>640</v>
      </c>
      <c r="AZ166">
        <v>1200</v>
      </c>
      <c r="BA166">
        <v>1</v>
      </c>
      <c r="BB166" t="str">
        <f t="shared" si="48"/>
        <v xml:space="preserve">N733KP  </v>
      </c>
      <c r="BC166">
        <v>1</v>
      </c>
      <c r="BE166">
        <v>0</v>
      </c>
      <c r="BF166">
        <v>0</v>
      </c>
      <c r="BG166">
        <v>0</v>
      </c>
      <c r="BH166">
        <v>1800</v>
      </c>
      <c r="BI166">
        <v>1</v>
      </c>
      <c r="BJ166">
        <v>1</v>
      </c>
      <c r="BK166">
        <v>0</v>
      </c>
      <c r="BL166">
        <v>0</v>
      </c>
      <c r="BO166">
        <v>0</v>
      </c>
      <c r="BP166">
        <v>0</v>
      </c>
      <c r="BW166" t="str">
        <f>"22:10:02.355"</f>
        <v>22:10:02.355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6</v>
      </c>
      <c r="CP166" t="s">
        <v>119</v>
      </c>
      <c r="CQ166">
        <v>364</v>
      </c>
      <c r="CR166">
        <v>0</v>
      </c>
      <c r="CW166">
        <v>1370415</v>
      </c>
      <c r="CY166">
        <v>1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"03/24/2022 22:10:02.516"</f>
        <v>03/24/2022 22:10:02.516</v>
      </c>
      <c r="C167" t="str">
        <f t="shared" si="46"/>
        <v>FFDFD3C0</v>
      </c>
      <c r="D167" t="s">
        <v>126</v>
      </c>
      <c r="E167">
        <v>3</v>
      </c>
      <c r="H167">
        <v>160</v>
      </c>
      <c r="I167" t="s">
        <v>121</v>
      </c>
      <c r="J167" t="s">
        <v>127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 t="shared" si="52"/>
        <v>22:10:02.000</v>
      </c>
      <c r="T167" t="str">
        <f t="shared" si="52"/>
        <v>22:10:02.000</v>
      </c>
      <c r="U167" t="str">
        <f t="shared" si="41"/>
        <v>A9D71F</v>
      </c>
      <c r="V167">
        <v>0</v>
      </c>
      <c r="W167">
        <v>0</v>
      </c>
      <c r="X167">
        <v>2</v>
      </c>
      <c r="Z167">
        <v>1</v>
      </c>
      <c r="AA167">
        <v>8</v>
      </c>
      <c r="AB167">
        <v>3</v>
      </c>
      <c r="AC167">
        <v>0</v>
      </c>
      <c r="AD167">
        <v>9</v>
      </c>
      <c r="AE167">
        <v>0</v>
      </c>
      <c r="AF167">
        <v>3</v>
      </c>
      <c r="AG167">
        <v>1</v>
      </c>
      <c r="AH167">
        <v>0</v>
      </c>
      <c r="AI167" t="s">
        <v>179</v>
      </c>
      <c r="AJ167">
        <v>33.188859999999998</v>
      </c>
      <c r="AK167" t="s">
        <v>196</v>
      </c>
      <c r="AL167">
        <v>-97.810872000000003</v>
      </c>
      <c r="AM167">
        <v>25</v>
      </c>
      <c r="AN167">
        <v>1800</v>
      </c>
      <c r="AO167" t="s">
        <v>118</v>
      </c>
      <c r="AP167">
        <v>90</v>
      </c>
      <c r="AQ167">
        <v>-2</v>
      </c>
      <c r="AR167">
        <v>640</v>
      </c>
      <c r="AZ167">
        <v>1200</v>
      </c>
      <c r="BA167">
        <v>1</v>
      </c>
      <c r="BB167" t="str">
        <f t="shared" si="48"/>
        <v xml:space="preserve">N733KP  </v>
      </c>
      <c r="BC167">
        <v>1</v>
      </c>
      <c r="BE167">
        <v>0</v>
      </c>
      <c r="BF167">
        <v>0</v>
      </c>
      <c r="BG167">
        <v>0</v>
      </c>
      <c r="BH167">
        <v>1800</v>
      </c>
      <c r="BI167">
        <v>1</v>
      </c>
      <c r="BJ167">
        <v>1</v>
      </c>
      <c r="BK167">
        <v>0</v>
      </c>
      <c r="BL167">
        <v>0</v>
      </c>
      <c r="BO167">
        <v>0</v>
      </c>
      <c r="BP167">
        <v>0</v>
      </c>
      <c r="BW167" t="str">
        <f>"22:10:02.355"</f>
        <v>22:10:02.355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6</v>
      </c>
      <c r="CP167" t="s">
        <v>119</v>
      </c>
      <c r="CQ167">
        <v>364</v>
      </c>
      <c r="CR167">
        <v>0</v>
      </c>
      <c r="CW167">
        <v>1370415</v>
      </c>
      <c r="CY167">
        <v>1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"03/24/2022 22:10:02.563"</f>
        <v>03/24/2022 22:10:02.563</v>
      </c>
      <c r="C168" t="str">
        <f t="shared" si="46"/>
        <v>FFDFD3C0</v>
      </c>
      <c r="D168" t="s">
        <v>123</v>
      </c>
      <c r="E168">
        <v>8</v>
      </c>
      <c r="H168">
        <v>31</v>
      </c>
      <c r="I168" t="s">
        <v>124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 t="shared" si="52"/>
        <v>22:10:02.000</v>
      </c>
      <c r="T168" t="str">
        <f t="shared" si="52"/>
        <v>22:10:02.000</v>
      </c>
      <c r="U168" t="str">
        <f t="shared" si="41"/>
        <v>A9D71F</v>
      </c>
      <c r="V168">
        <v>0</v>
      </c>
      <c r="W168">
        <v>0</v>
      </c>
      <c r="X168">
        <v>2</v>
      </c>
      <c r="Z168">
        <v>1</v>
      </c>
      <c r="AA168">
        <v>8</v>
      </c>
      <c r="AB168">
        <v>3</v>
      </c>
      <c r="AC168">
        <v>0</v>
      </c>
      <c r="AD168">
        <v>9</v>
      </c>
      <c r="AE168">
        <v>0</v>
      </c>
      <c r="AF168">
        <v>3</v>
      </c>
      <c r="AG168">
        <v>1</v>
      </c>
      <c r="AH168">
        <v>0</v>
      </c>
      <c r="AI168" t="s">
        <v>179</v>
      </c>
      <c r="AJ168">
        <v>33.188859999999998</v>
      </c>
      <c r="AK168" t="s">
        <v>196</v>
      </c>
      <c r="AL168">
        <v>-97.810872000000003</v>
      </c>
      <c r="AM168">
        <v>25</v>
      </c>
      <c r="AN168">
        <v>1800</v>
      </c>
      <c r="AO168" t="s">
        <v>118</v>
      </c>
      <c r="AP168">
        <v>90</v>
      </c>
      <c r="AQ168">
        <v>-2</v>
      </c>
      <c r="AR168">
        <v>640</v>
      </c>
      <c r="AZ168">
        <v>1200</v>
      </c>
      <c r="BA168">
        <v>1</v>
      </c>
      <c r="BB168" t="str">
        <f t="shared" si="48"/>
        <v xml:space="preserve">N733KP  </v>
      </c>
      <c r="BC168">
        <v>1</v>
      </c>
      <c r="BE168">
        <v>0</v>
      </c>
      <c r="BF168">
        <v>0</v>
      </c>
      <c r="BG168">
        <v>0</v>
      </c>
      <c r="BH168">
        <v>1800</v>
      </c>
      <c r="BI168">
        <v>1</v>
      </c>
      <c r="BJ168">
        <v>1</v>
      </c>
      <c r="BK168">
        <v>0</v>
      </c>
      <c r="BL168">
        <v>0</v>
      </c>
      <c r="BO168">
        <v>0</v>
      </c>
      <c r="BP168">
        <v>0</v>
      </c>
      <c r="BW168" t="str">
        <f>"22:10:02.355"</f>
        <v>22:10:02.355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6</v>
      </c>
      <c r="CP168" t="s">
        <v>119</v>
      </c>
      <c r="CQ168">
        <v>364</v>
      </c>
      <c r="CR168">
        <v>0</v>
      </c>
      <c r="CW168">
        <v>1370415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"03/24/2022 22:10:02.563"</f>
        <v>03/24/2022 22:10:02.563</v>
      </c>
      <c r="C169" t="str">
        <f t="shared" si="46"/>
        <v>FFDFD3C0</v>
      </c>
      <c r="D169" t="s">
        <v>113</v>
      </c>
      <c r="E169">
        <v>24</v>
      </c>
      <c r="F169">
        <v>2024</v>
      </c>
      <c r="G169" t="s">
        <v>114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 t="shared" si="52"/>
        <v>22:10:02.000</v>
      </c>
      <c r="T169" t="str">
        <f t="shared" si="52"/>
        <v>22:10:02.000</v>
      </c>
      <c r="U169" t="str">
        <f t="shared" si="41"/>
        <v>A9D71F</v>
      </c>
      <c r="V169">
        <v>0</v>
      </c>
      <c r="W169">
        <v>0</v>
      </c>
      <c r="X169">
        <v>2</v>
      </c>
      <c r="Z169">
        <v>1</v>
      </c>
      <c r="AA169">
        <v>8</v>
      </c>
      <c r="AB169">
        <v>3</v>
      </c>
      <c r="AC169">
        <v>0</v>
      </c>
      <c r="AD169">
        <v>9</v>
      </c>
      <c r="AE169">
        <v>0</v>
      </c>
      <c r="AF169">
        <v>3</v>
      </c>
      <c r="AG169">
        <v>1</v>
      </c>
      <c r="AH169">
        <v>0</v>
      </c>
      <c r="AI169" t="s">
        <v>179</v>
      </c>
      <c r="AJ169">
        <v>33.188859999999998</v>
      </c>
      <c r="AK169" t="s">
        <v>196</v>
      </c>
      <c r="AL169">
        <v>-97.810872000000003</v>
      </c>
      <c r="AM169">
        <v>25</v>
      </c>
      <c r="AN169">
        <v>1800</v>
      </c>
      <c r="AO169" t="s">
        <v>118</v>
      </c>
      <c r="AP169">
        <v>90</v>
      </c>
      <c r="AQ169">
        <v>-2</v>
      </c>
      <c r="AR169">
        <v>640</v>
      </c>
      <c r="AZ169">
        <v>1200</v>
      </c>
      <c r="BA169">
        <v>1</v>
      </c>
      <c r="BB169" t="str">
        <f t="shared" si="48"/>
        <v xml:space="preserve">N733KP  </v>
      </c>
      <c r="BC169">
        <v>1</v>
      </c>
      <c r="BE169">
        <v>0</v>
      </c>
      <c r="BF169">
        <v>0</v>
      </c>
      <c r="BG169">
        <v>0</v>
      </c>
      <c r="BH169">
        <v>1800</v>
      </c>
      <c r="BI169">
        <v>1</v>
      </c>
      <c r="BJ169">
        <v>1</v>
      </c>
      <c r="BK169">
        <v>0</v>
      </c>
      <c r="BL169">
        <v>0</v>
      </c>
      <c r="BO169">
        <v>0</v>
      </c>
      <c r="BP169">
        <v>0</v>
      </c>
      <c r="BW169" t="str">
        <f>"22:10:02.355"</f>
        <v>22:10:02.355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6</v>
      </c>
      <c r="CP169" t="s">
        <v>119</v>
      </c>
      <c r="CQ169">
        <v>364</v>
      </c>
      <c r="CR169">
        <v>0</v>
      </c>
      <c r="CW169">
        <v>1370415</v>
      </c>
      <c r="CY169">
        <v>1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"03/24/2022 22:10:03.847"</f>
        <v>03/24/2022 22:10:03.847</v>
      </c>
      <c r="C170" t="str">
        <f t="shared" si="46"/>
        <v>FFDFD3C0</v>
      </c>
      <c r="D170" t="s">
        <v>113</v>
      </c>
      <c r="E170">
        <v>24</v>
      </c>
      <c r="F170">
        <v>2024</v>
      </c>
      <c r="G170" t="s">
        <v>114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 t="shared" ref="S170:T173" si="53">"22:10:03.000"</f>
        <v>22:10:03.000</v>
      </c>
      <c r="T170" t="str">
        <f t="shared" si="53"/>
        <v>22:10:03.000</v>
      </c>
      <c r="U170" t="str">
        <f t="shared" si="41"/>
        <v>A9D71F</v>
      </c>
      <c r="V170">
        <v>0</v>
      </c>
      <c r="W170">
        <v>0</v>
      </c>
      <c r="X170">
        <v>2</v>
      </c>
      <c r="Z170">
        <v>1</v>
      </c>
      <c r="AA170">
        <v>8</v>
      </c>
      <c r="AB170">
        <v>3</v>
      </c>
      <c r="AC170">
        <v>0</v>
      </c>
      <c r="AD170">
        <v>9</v>
      </c>
      <c r="AE170">
        <v>0</v>
      </c>
      <c r="AF170">
        <v>3</v>
      </c>
      <c r="AG170">
        <v>1</v>
      </c>
      <c r="AH170">
        <v>0</v>
      </c>
      <c r="AI170" t="s">
        <v>177</v>
      </c>
      <c r="AJ170">
        <v>33.188839000000002</v>
      </c>
      <c r="AK170" t="s">
        <v>197</v>
      </c>
      <c r="AL170">
        <v>-97.810378</v>
      </c>
      <c r="AM170">
        <v>25</v>
      </c>
      <c r="AN170">
        <v>1900</v>
      </c>
      <c r="AO170" t="s">
        <v>118</v>
      </c>
      <c r="AP170">
        <v>92</v>
      </c>
      <c r="AQ170">
        <v>-3</v>
      </c>
      <c r="AR170">
        <v>704</v>
      </c>
      <c r="AZ170">
        <v>1200</v>
      </c>
      <c r="BA170">
        <v>1</v>
      </c>
      <c r="BB170" t="str">
        <f t="shared" si="48"/>
        <v xml:space="preserve">N733KP  </v>
      </c>
      <c r="BC170">
        <v>1</v>
      </c>
      <c r="BE170">
        <v>0</v>
      </c>
      <c r="BF170">
        <v>0</v>
      </c>
      <c r="BG170">
        <v>0</v>
      </c>
      <c r="BH170">
        <v>1825</v>
      </c>
      <c r="BI170">
        <v>1</v>
      </c>
      <c r="BJ170">
        <v>1</v>
      </c>
      <c r="BK170">
        <v>0</v>
      </c>
      <c r="BL170">
        <v>0</v>
      </c>
      <c r="BO170">
        <v>0</v>
      </c>
      <c r="BP170">
        <v>0</v>
      </c>
      <c r="BW170" t="str">
        <f>"22:10:03.694"</f>
        <v>22:10:03.694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364</v>
      </c>
      <c r="CR170">
        <v>0</v>
      </c>
      <c r="CW170">
        <v>1370580</v>
      </c>
      <c r="CY170">
        <v>1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"03/24/2022 22:10:03.941"</f>
        <v>03/24/2022 22:10:03.941</v>
      </c>
      <c r="C171" t="str">
        <f t="shared" si="46"/>
        <v>FFDFD3C0</v>
      </c>
      <c r="D171" t="s">
        <v>120</v>
      </c>
      <c r="E171">
        <v>14</v>
      </c>
      <c r="F171">
        <v>1014</v>
      </c>
      <c r="G171" t="s">
        <v>121</v>
      </c>
      <c r="J171" t="s">
        <v>122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 t="shared" si="53"/>
        <v>22:10:03.000</v>
      </c>
      <c r="T171" t="str">
        <f t="shared" si="53"/>
        <v>22:10:03.000</v>
      </c>
      <c r="U171" t="str">
        <f t="shared" si="41"/>
        <v>A9D71F</v>
      </c>
      <c r="V171">
        <v>0</v>
      </c>
      <c r="W171">
        <v>0</v>
      </c>
      <c r="X171">
        <v>2</v>
      </c>
      <c r="Z171">
        <v>1</v>
      </c>
      <c r="AA171">
        <v>8</v>
      </c>
      <c r="AB171">
        <v>3</v>
      </c>
      <c r="AC171">
        <v>0</v>
      </c>
      <c r="AD171">
        <v>9</v>
      </c>
      <c r="AE171">
        <v>0</v>
      </c>
      <c r="AF171">
        <v>3</v>
      </c>
      <c r="AG171">
        <v>1</v>
      </c>
      <c r="AH171">
        <v>0</v>
      </c>
      <c r="AI171" t="s">
        <v>177</v>
      </c>
      <c r="AJ171">
        <v>33.188839000000002</v>
      </c>
      <c r="AK171" t="s">
        <v>197</v>
      </c>
      <c r="AL171">
        <v>-97.810378</v>
      </c>
      <c r="AM171">
        <v>25</v>
      </c>
      <c r="AN171">
        <v>1900</v>
      </c>
      <c r="AO171" t="s">
        <v>118</v>
      </c>
      <c r="AP171">
        <v>92</v>
      </c>
      <c r="AQ171">
        <v>-3</v>
      </c>
      <c r="AR171">
        <v>704</v>
      </c>
      <c r="AZ171">
        <v>1200</v>
      </c>
      <c r="BA171">
        <v>1</v>
      </c>
      <c r="BB171" t="str">
        <f t="shared" si="48"/>
        <v xml:space="preserve">N733KP  </v>
      </c>
      <c r="BC171">
        <v>1</v>
      </c>
      <c r="BE171">
        <v>0</v>
      </c>
      <c r="BF171">
        <v>0</v>
      </c>
      <c r="BG171">
        <v>0</v>
      </c>
      <c r="BH171">
        <v>1825</v>
      </c>
      <c r="BI171">
        <v>1</v>
      </c>
      <c r="BJ171">
        <v>1</v>
      </c>
      <c r="BK171">
        <v>0</v>
      </c>
      <c r="BL171">
        <v>0</v>
      </c>
      <c r="BO171">
        <v>0</v>
      </c>
      <c r="BP171">
        <v>0</v>
      </c>
      <c r="BW171" t="str">
        <f>"22:10:03.694"</f>
        <v>22:10:03.694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364</v>
      </c>
      <c r="CR171">
        <v>0</v>
      </c>
      <c r="CW171">
        <v>1370580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"03/24/2022 22:10:03.941"</f>
        <v>03/24/2022 22:10:03.941</v>
      </c>
      <c r="C172" t="str">
        <f t="shared" si="46"/>
        <v>FFDFD3C0</v>
      </c>
      <c r="D172" t="s">
        <v>123</v>
      </c>
      <c r="E172">
        <v>8</v>
      </c>
      <c r="H172">
        <v>31</v>
      </c>
      <c r="I172" t="s">
        <v>124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 t="shared" si="53"/>
        <v>22:10:03.000</v>
      </c>
      <c r="T172" t="str">
        <f t="shared" si="53"/>
        <v>22:10:03.000</v>
      </c>
      <c r="U172" t="str">
        <f t="shared" si="41"/>
        <v>A9D71F</v>
      </c>
      <c r="V172">
        <v>0</v>
      </c>
      <c r="W172">
        <v>0</v>
      </c>
      <c r="X172">
        <v>2</v>
      </c>
      <c r="Z172">
        <v>1</v>
      </c>
      <c r="AA172">
        <v>8</v>
      </c>
      <c r="AB172">
        <v>3</v>
      </c>
      <c r="AC172">
        <v>0</v>
      </c>
      <c r="AD172">
        <v>9</v>
      </c>
      <c r="AE172">
        <v>0</v>
      </c>
      <c r="AF172">
        <v>3</v>
      </c>
      <c r="AG172">
        <v>1</v>
      </c>
      <c r="AH172">
        <v>0</v>
      </c>
      <c r="AI172" t="s">
        <v>177</v>
      </c>
      <c r="AJ172">
        <v>33.188839000000002</v>
      </c>
      <c r="AK172" t="s">
        <v>197</v>
      </c>
      <c r="AL172">
        <v>-97.810378</v>
      </c>
      <c r="AM172">
        <v>25</v>
      </c>
      <c r="AN172">
        <v>1900</v>
      </c>
      <c r="AO172" t="s">
        <v>118</v>
      </c>
      <c r="AP172">
        <v>92</v>
      </c>
      <c r="AQ172">
        <v>-3</v>
      </c>
      <c r="AR172">
        <v>704</v>
      </c>
      <c r="AZ172">
        <v>1200</v>
      </c>
      <c r="BA172">
        <v>1</v>
      </c>
      <c r="BB172" t="str">
        <f t="shared" si="48"/>
        <v xml:space="preserve">N733KP  </v>
      </c>
      <c r="BC172">
        <v>1</v>
      </c>
      <c r="BE172">
        <v>0</v>
      </c>
      <c r="BF172">
        <v>0</v>
      </c>
      <c r="BG172">
        <v>0</v>
      </c>
      <c r="BH172">
        <v>1825</v>
      </c>
      <c r="BI172">
        <v>1</v>
      </c>
      <c r="BJ172">
        <v>1</v>
      </c>
      <c r="BK172">
        <v>0</v>
      </c>
      <c r="BL172">
        <v>0</v>
      </c>
      <c r="BO172">
        <v>0</v>
      </c>
      <c r="BP172">
        <v>0</v>
      </c>
      <c r="BW172" t="str">
        <f>"22:10:03.694"</f>
        <v>22:10:03.694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364</v>
      </c>
      <c r="CR172">
        <v>0</v>
      </c>
      <c r="CW172">
        <v>1370580</v>
      </c>
      <c r="CY172">
        <v>1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"03/24/2022 22:10:03.941"</f>
        <v>03/24/2022 22:10:03.941</v>
      </c>
      <c r="C173" t="str">
        <f t="shared" si="46"/>
        <v>FFDFD3C0</v>
      </c>
      <c r="D173" t="s">
        <v>126</v>
      </c>
      <c r="E173">
        <v>3</v>
      </c>
      <c r="H173">
        <v>160</v>
      </c>
      <c r="I173" t="s">
        <v>121</v>
      </c>
      <c r="J173" t="s">
        <v>127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si="53"/>
        <v>22:10:03.000</v>
      </c>
      <c r="T173" t="str">
        <f t="shared" si="53"/>
        <v>22:10:03.000</v>
      </c>
      <c r="U173" t="str">
        <f t="shared" si="41"/>
        <v>A9D71F</v>
      </c>
      <c r="V173">
        <v>0</v>
      </c>
      <c r="W173">
        <v>0</v>
      </c>
      <c r="X173">
        <v>2</v>
      </c>
      <c r="Z173">
        <v>1</v>
      </c>
      <c r="AA173">
        <v>8</v>
      </c>
      <c r="AB173">
        <v>3</v>
      </c>
      <c r="AC173">
        <v>0</v>
      </c>
      <c r="AD173">
        <v>9</v>
      </c>
      <c r="AE173">
        <v>0</v>
      </c>
      <c r="AF173">
        <v>3</v>
      </c>
      <c r="AG173">
        <v>1</v>
      </c>
      <c r="AH173">
        <v>0</v>
      </c>
      <c r="AI173" t="s">
        <v>177</v>
      </c>
      <c r="AJ173">
        <v>33.188839000000002</v>
      </c>
      <c r="AK173" t="s">
        <v>197</v>
      </c>
      <c r="AL173">
        <v>-97.810378</v>
      </c>
      <c r="AM173">
        <v>25</v>
      </c>
      <c r="AN173">
        <v>1900</v>
      </c>
      <c r="AO173" t="s">
        <v>118</v>
      </c>
      <c r="AP173">
        <v>92</v>
      </c>
      <c r="AQ173">
        <v>-3</v>
      </c>
      <c r="AR173">
        <v>704</v>
      </c>
      <c r="AZ173">
        <v>1200</v>
      </c>
      <c r="BA173">
        <v>1</v>
      </c>
      <c r="BB173" t="str">
        <f t="shared" si="48"/>
        <v xml:space="preserve">N733KP  </v>
      </c>
      <c r="BC173">
        <v>1</v>
      </c>
      <c r="BE173">
        <v>0</v>
      </c>
      <c r="BF173">
        <v>0</v>
      </c>
      <c r="BG173">
        <v>0</v>
      </c>
      <c r="BH173">
        <v>1825</v>
      </c>
      <c r="BI173">
        <v>1</v>
      </c>
      <c r="BJ173">
        <v>1</v>
      </c>
      <c r="BK173">
        <v>0</v>
      </c>
      <c r="BL173">
        <v>0</v>
      </c>
      <c r="BO173">
        <v>0</v>
      </c>
      <c r="BP173">
        <v>0</v>
      </c>
      <c r="BW173" t="str">
        <f>"22:10:03.694"</f>
        <v>22:10:03.694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364</v>
      </c>
      <c r="CR173">
        <v>0</v>
      </c>
      <c r="CW173">
        <v>1370580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"03/24/2022 22:10:05.144"</f>
        <v>03/24/2022 22:10:05.144</v>
      </c>
      <c r="C174" t="str">
        <f t="shared" si="46"/>
        <v>FFDFD3C0</v>
      </c>
      <c r="D174" t="s">
        <v>123</v>
      </c>
      <c r="E174">
        <v>8</v>
      </c>
      <c r="H174">
        <v>31</v>
      </c>
      <c r="I174" t="s">
        <v>124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ref="S174:T177" si="54">"22:10:04.000"</f>
        <v>22:10:04.000</v>
      </c>
      <c r="T174" t="str">
        <f t="shared" si="54"/>
        <v>22:10:04.000</v>
      </c>
      <c r="U174" t="str">
        <f t="shared" si="41"/>
        <v>A9D71F</v>
      </c>
      <c r="V174">
        <v>0</v>
      </c>
      <c r="W174">
        <v>0</v>
      </c>
      <c r="X174">
        <v>2</v>
      </c>
      <c r="Z174">
        <v>1</v>
      </c>
      <c r="AA174">
        <v>8</v>
      </c>
      <c r="AB174">
        <v>3</v>
      </c>
      <c r="AC174">
        <v>0</v>
      </c>
      <c r="AD174">
        <v>9</v>
      </c>
      <c r="AE174">
        <v>0</v>
      </c>
      <c r="AF174">
        <v>3</v>
      </c>
      <c r="AG174">
        <v>1</v>
      </c>
      <c r="AH174">
        <v>0</v>
      </c>
      <c r="AI174" t="s">
        <v>174</v>
      </c>
      <c r="AJ174">
        <v>33.188817999999998</v>
      </c>
      <c r="AK174" t="s">
        <v>198</v>
      </c>
      <c r="AL174">
        <v>-97.809863000000007</v>
      </c>
      <c r="AM174">
        <v>25</v>
      </c>
      <c r="AN174">
        <v>1900</v>
      </c>
      <c r="AO174" t="s">
        <v>118</v>
      </c>
      <c r="AP174">
        <v>91</v>
      </c>
      <c r="AQ174">
        <v>-5</v>
      </c>
      <c r="AR174">
        <v>704</v>
      </c>
      <c r="AZ174">
        <v>1200</v>
      </c>
      <c r="BA174">
        <v>1</v>
      </c>
      <c r="BB174" t="str">
        <f t="shared" si="48"/>
        <v xml:space="preserve">N733KP  </v>
      </c>
      <c r="BC174">
        <v>1</v>
      </c>
      <c r="BE174">
        <v>0</v>
      </c>
      <c r="BF174">
        <v>0</v>
      </c>
      <c r="BG174">
        <v>0</v>
      </c>
      <c r="BH174">
        <v>1825</v>
      </c>
      <c r="BI174">
        <v>1</v>
      </c>
      <c r="BJ174">
        <v>1</v>
      </c>
      <c r="BK174">
        <v>0</v>
      </c>
      <c r="BL174">
        <v>0</v>
      </c>
      <c r="BO174">
        <v>0</v>
      </c>
      <c r="BP174">
        <v>0</v>
      </c>
      <c r="BW174" t="str">
        <f>"22:10:04.923"</f>
        <v>22:10:04.923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6</v>
      </c>
      <c r="CP174" t="s">
        <v>119</v>
      </c>
      <c r="CQ174">
        <v>364</v>
      </c>
      <c r="CR174">
        <v>0</v>
      </c>
      <c r="CW174">
        <v>1370745</v>
      </c>
      <c r="CY174">
        <v>1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"03/24/2022 22:10:05.144"</f>
        <v>03/24/2022 22:10:05.144</v>
      </c>
      <c r="C175" t="str">
        <f t="shared" si="46"/>
        <v>FFDFD3C0</v>
      </c>
      <c r="D175" t="s">
        <v>120</v>
      </c>
      <c r="E175">
        <v>14</v>
      </c>
      <c r="F175">
        <v>1014</v>
      </c>
      <c r="G175" t="s">
        <v>121</v>
      </c>
      <c r="J175" t="s">
        <v>122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54"/>
        <v>22:10:04.000</v>
      </c>
      <c r="T175" t="str">
        <f t="shared" si="54"/>
        <v>22:10:04.000</v>
      </c>
      <c r="U175" t="str">
        <f t="shared" si="41"/>
        <v>A9D71F</v>
      </c>
      <c r="V175">
        <v>0</v>
      </c>
      <c r="W175">
        <v>0</v>
      </c>
      <c r="X175">
        <v>2</v>
      </c>
      <c r="Z175">
        <v>1</v>
      </c>
      <c r="AA175">
        <v>8</v>
      </c>
      <c r="AB175">
        <v>3</v>
      </c>
      <c r="AC175">
        <v>0</v>
      </c>
      <c r="AD175">
        <v>9</v>
      </c>
      <c r="AE175">
        <v>0</v>
      </c>
      <c r="AF175">
        <v>3</v>
      </c>
      <c r="AG175">
        <v>1</v>
      </c>
      <c r="AH175">
        <v>0</v>
      </c>
      <c r="AI175" t="s">
        <v>174</v>
      </c>
      <c r="AJ175">
        <v>33.188817999999998</v>
      </c>
      <c r="AK175" t="s">
        <v>198</v>
      </c>
      <c r="AL175">
        <v>-97.809863000000007</v>
      </c>
      <c r="AM175">
        <v>25</v>
      </c>
      <c r="AN175">
        <v>1900</v>
      </c>
      <c r="AO175" t="s">
        <v>118</v>
      </c>
      <c r="AP175">
        <v>91</v>
      </c>
      <c r="AQ175">
        <v>-5</v>
      </c>
      <c r="AR175">
        <v>704</v>
      </c>
      <c r="AZ175">
        <v>1200</v>
      </c>
      <c r="BA175">
        <v>1</v>
      </c>
      <c r="BB175" t="str">
        <f t="shared" si="48"/>
        <v xml:space="preserve">N733KP  </v>
      </c>
      <c r="BC175">
        <v>1</v>
      </c>
      <c r="BE175">
        <v>0</v>
      </c>
      <c r="BF175">
        <v>0</v>
      </c>
      <c r="BG175">
        <v>0</v>
      </c>
      <c r="BH175">
        <v>1825</v>
      </c>
      <c r="BI175">
        <v>1</v>
      </c>
      <c r="BJ175">
        <v>1</v>
      </c>
      <c r="BK175">
        <v>0</v>
      </c>
      <c r="BL175">
        <v>0</v>
      </c>
      <c r="BO175">
        <v>0</v>
      </c>
      <c r="BP175">
        <v>0</v>
      </c>
      <c r="BW175" t="str">
        <f>"22:10:04.923"</f>
        <v>22:10:04.923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6</v>
      </c>
      <c r="CP175" t="s">
        <v>119</v>
      </c>
      <c r="CQ175">
        <v>364</v>
      </c>
      <c r="CR175">
        <v>0</v>
      </c>
      <c r="CW175">
        <v>1370745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"03/24/2022 22:10:05.144"</f>
        <v>03/24/2022 22:10:05.144</v>
      </c>
      <c r="C176" t="str">
        <f t="shared" si="46"/>
        <v>FFDFD3C0</v>
      </c>
      <c r="D176" t="s">
        <v>126</v>
      </c>
      <c r="E176">
        <v>3</v>
      </c>
      <c r="H176">
        <v>160</v>
      </c>
      <c r="I176" t="s">
        <v>121</v>
      </c>
      <c r="J176" t="s">
        <v>127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 t="shared" si="54"/>
        <v>22:10:04.000</v>
      </c>
      <c r="T176" t="str">
        <f t="shared" si="54"/>
        <v>22:10:04.000</v>
      </c>
      <c r="U176" t="str">
        <f t="shared" si="41"/>
        <v>A9D71F</v>
      </c>
      <c r="V176">
        <v>0</v>
      </c>
      <c r="W176">
        <v>0</v>
      </c>
      <c r="X176">
        <v>2</v>
      </c>
      <c r="Z176">
        <v>1</v>
      </c>
      <c r="AA176">
        <v>8</v>
      </c>
      <c r="AB176">
        <v>3</v>
      </c>
      <c r="AC176">
        <v>0</v>
      </c>
      <c r="AD176">
        <v>9</v>
      </c>
      <c r="AE176">
        <v>0</v>
      </c>
      <c r="AF176">
        <v>3</v>
      </c>
      <c r="AG176">
        <v>1</v>
      </c>
      <c r="AH176">
        <v>0</v>
      </c>
      <c r="AI176" t="s">
        <v>174</v>
      </c>
      <c r="AJ176">
        <v>33.188817999999998</v>
      </c>
      <c r="AK176" t="s">
        <v>198</v>
      </c>
      <c r="AL176">
        <v>-97.809863000000007</v>
      </c>
      <c r="AM176">
        <v>25</v>
      </c>
      <c r="AN176">
        <v>1900</v>
      </c>
      <c r="AO176" t="s">
        <v>118</v>
      </c>
      <c r="AP176">
        <v>91</v>
      </c>
      <c r="AQ176">
        <v>-5</v>
      </c>
      <c r="AR176">
        <v>704</v>
      </c>
      <c r="AZ176">
        <v>1200</v>
      </c>
      <c r="BA176">
        <v>1</v>
      </c>
      <c r="BB176" t="str">
        <f t="shared" si="48"/>
        <v xml:space="preserve">N733KP  </v>
      </c>
      <c r="BC176">
        <v>1</v>
      </c>
      <c r="BE176">
        <v>0</v>
      </c>
      <c r="BF176">
        <v>0</v>
      </c>
      <c r="BG176">
        <v>0</v>
      </c>
      <c r="BH176">
        <v>1825</v>
      </c>
      <c r="BI176">
        <v>1</v>
      </c>
      <c r="BJ176">
        <v>1</v>
      </c>
      <c r="BK176">
        <v>0</v>
      </c>
      <c r="BL176">
        <v>0</v>
      </c>
      <c r="BO176">
        <v>0</v>
      </c>
      <c r="BP176">
        <v>0</v>
      </c>
      <c r="BW176" t="str">
        <f>"22:10:04.923"</f>
        <v>22:10:04.923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6</v>
      </c>
      <c r="CP176" t="s">
        <v>119</v>
      </c>
      <c r="CQ176">
        <v>364</v>
      </c>
      <c r="CR176">
        <v>0</v>
      </c>
      <c r="CW176">
        <v>1370745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"03/24/2022 22:10:05.144"</f>
        <v>03/24/2022 22:10:05.144</v>
      </c>
      <c r="C177" t="str">
        <f t="shared" si="46"/>
        <v>FFDFD3C0</v>
      </c>
      <c r="D177" t="s">
        <v>113</v>
      </c>
      <c r="E177">
        <v>24</v>
      </c>
      <c r="F177">
        <v>2024</v>
      </c>
      <c r="G177" t="s">
        <v>114</v>
      </c>
      <c r="J177" t="s">
        <v>115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si="54"/>
        <v>22:10:04.000</v>
      </c>
      <c r="T177" t="str">
        <f t="shared" si="54"/>
        <v>22:10:04.000</v>
      </c>
      <c r="U177" t="str">
        <f t="shared" si="41"/>
        <v>A9D71F</v>
      </c>
      <c r="V177">
        <v>0</v>
      </c>
      <c r="W177">
        <v>0</v>
      </c>
      <c r="X177">
        <v>2</v>
      </c>
      <c r="Z177">
        <v>1</v>
      </c>
      <c r="AA177">
        <v>8</v>
      </c>
      <c r="AB177">
        <v>3</v>
      </c>
      <c r="AC177">
        <v>0</v>
      </c>
      <c r="AD177">
        <v>9</v>
      </c>
      <c r="AE177">
        <v>0</v>
      </c>
      <c r="AF177">
        <v>3</v>
      </c>
      <c r="AG177">
        <v>1</v>
      </c>
      <c r="AH177">
        <v>0</v>
      </c>
      <c r="AI177" t="s">
        <v>174</v>
      </c>
      <c r="AJ177">
        <v>33.188817999999998</v>
      </c>
      <c r="AK177" t="s">
        <v>198</v>
      </c>
      <c r="AL177">
        <v>-97.809863000000007</v>
      </c>
      <c r="AM177">
        <v>25</v>
      </c>
      <c r="AN177">
        <v>1900</v>
      </c>
      <c r="AO177" t="s">
        <v>118</v>
      </c>
      <c r="AP177">
        <v>91</v>
      </c>
      <c r="AQ177">
        <v>-5</v>
      </c>
      <c r="AR177">
        <v>704</v>
      </c>
      <c r="AZ177">
        <v>1200</v>
      </c>
      <c r="BA177">
        <v>1</v>
      </c>
      <c r="BB177" t="str">
        <f t="shared" si="48"/>
        <v xml:space="preserve">N733KP  </v>
      </c>
      <c r="BC177">
        <v>1</v>
      </c>
      <c r="BE177">
        <v>0</v>
      </c>
      <c r="BF177">
        <v>0</v>
      </c>
      <c r="BG177">
        <v>0</v>
      </c>
      <c r="BH177">
        <v>1825</v>
      </c>
      <c r="BI177">
        <v>1</v>
      </c>
      <c r="BJ177">
        <v>1</v>
      </c>
      <c r="BK177">
        <v>0</v>
      </c>
      <c r="BL177">
        <v>0</v>
      </c>
      <c r="BO177">
        <v>0</v>
      </c>
      <c r="BP177">
        <v>0</v>
      </c>
      <c r="BW177" t="str">
        <f>"22:10:04.923"</f>
        <v>22:10:04.923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6</v>
      </c>
      <c r="CP177" t="s">
        <v>119</v>
      </c>
      <c r="CQ177">
        <v>364</v>
      </c>
      <c r="CR177">
        <v>0</v>
      </c>
      <c r="CW177">
        <v>1370745</v>
      </c>
      <c r="CY177">
        <v>1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"03/24/2022 22:10:05.660"</f>
        <v>03/24/2022 22:10:05.660</v>
      </c>
      <c r="C178" t="str">
        <f t="shared" si="46"/>
        <v>FFDFD3C0</v>
      </c>
      <c r="D178" t="s">
        <v>123</v>
      </c>
      <c r="E178">
        <v>8</v>
      </c>
      <c r="H178">
        <v>31</v>
      </c>
      <c r="I178" t="s">
        <v>124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ref="S178:T181" si="55">"22:10:05.000"</f>
        <v>22:10:05.000</v>
      </c>
      <c r="T178" t="str">
        <f t="shared" si="55"/>
        <v>22:10:05.000</v>
      </c>
      <c r="U178" t="str">
        <f t="shared" si="41"/>
        <v>A9D71F</v>
      </c>
      <c r="V178">
        <v>0</v>
      </c>
      <c r="W178">
        <v>0</v>
      </c>
      <c r="X178">
        <v>2</v>
      </c>
      <c r="Z178">
        <v>1</v>
      </c>
      <c r="AA178">
        <v>8</v>
      </c>
      <c r="AB178">
        <v>3</v>
      </c>
      <c r="AC178">
        <v>0</v>
      </c>
      <c r="AD178">
        <v>9</v>
      </c>
      <c r="AE178">
        <v>0</v>
      </c>
      <c r="AF178">
        <v>3</v>
      </c>
      <c r="AG178">
        <v>1</v>
      </c>
      <c r="AH178">
        <v>0</v>
      </c>
      <c r="AI178" t="s">
        <v>199</v>
      </c>
      <c r="AJ178">
        <v>33.188796000000004</v>
      </c>
      <c r="AK178" t="s">
        <v>200</v>
      </c>
      <c r="AL178">
        <v>-97.809348</v>
      </c>
      <c r="AM178">
        <v>25</v>
      </c>
      <c r="AN178">
        <v>1900</v>
      </c>
      <c r="AO178" t="s">
        <v>118</v>
      </c>
      <c r="AP178">
        <v>92</v>
      </c>
      <c r="AQ178">
        <v>-5</v>
      </c>
      <c r="AR178">
        <v>704</v>
      </c>
      <c r="AZ178">
        <v>1200</v>
      </c>
      <c r="BA178">
        <v>1</v>
      </c>
      <c r="BB178" t="str">
        <f t="shared" si="48"/>
        <v xml:space="preserve">N733KP  </v>
      </c>
      <c r="BC178">
        <v>1</v>
      </c>
      <c r="BE178">
        <v>0</v>
      </c>
      <c r="BF178">
        <v>0</v>
      </c>
      <c r="BG178">
        <v>0</v>
      </c>
      <c r="BH178">
        <v>1825</v>
      </c>
      <c r="BI178">
        <v>1</v>
      </c>
      <c r="BJ178">
        <v>1</v>
      </c>
      <c r="BK178">
        <v>0</v>
      </c>
      <c r="BL178">
        <v>0</v>
      </c>
      <c r="BO178">
        <v>0</v>
      </c>
      <c r="BP178">
        <v>0</v>
      </c>
      <c r="BW178" t="str">
        <f>"22:10:05.474"</f>
        <v>22:10:05.474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364</v>
      </c>
      <c r="CR178">
        <v>0</v>
      </c>
      <c r="CW178">
        <v>1370824</v>
      </c>
      <c r="CY178">
        <v>1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"03/24/2022 22:10:05.660"</f>
        <v>03/24/2022 22:10:05.660</v>
      </c>
      <c r="C179" t="str">
        <f t="shared" si="46"/>
        <v>FFDFD3C0</v>
      </c>
      <c r="D179" t="s">
        <v>120</v>
      </c>
      <c r="E179">
        <v>14</v>
      </c>
      <c r="F179">
        <v>1014</v>
      </c>
      <c r="G179" t="s">
        <v>121</v>
      </c>
      <c r="J179" t="s">
        <v>122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si="55"/>
        <v>22:10:05.000</v>
      </c>
      <c r="T179" t="str">
        <f t="shared" si="55"/>
        <v>22:10:05.000</v>
      </c>
      <c r="U179" t="str">
        <f t="shared" si="41"/>
        <v>A9D71F</v>
      </c>
      <c r="V179">
        <v>0</v>
      </c>
      <c r="W179">
        <v>0</v>
      </c>
      <c r="X179">
        <v>2</v>
      </c>
      <c r="Z179">
        <v>1</v>
      </c>
      <c r="AA179">
        <v>8</v>
      </c>
      <c r="AB179">
        <v>3</v>
      </c>
      <c r="AC179">
        <v>0</v>
      </c>
      <c r="AD179">
        <v>9</v>
      </c>
      <c r="AE179">
        <v>0</v>
      </c>
      <c r="AF179">
        <v>3</v>
      </c>
      <c r="AG179">
        <v>1</v>
      </c>
      <c r="AH179">
        <v>0</v>
      </c>
      <c r="AI179" t="s">
        <v>199</v>
      </c>
      <c r="AJ179">
        <v>33.188796000000004</v>
      </c>
      <c r="AK179" t="s">
        <v>200</v>
      </c>
      <c r="AL179">
        <v>-97.809348</v>
      </c>
      <c r="AM179">
        <v>25</v>
      </c>
      <c r="AN179">
        <v>1900</v>
      </c>
      <c r="AO179" t="s">
        <v>118</v>
      </c>
      <c r="AP179">
        <v>92</v>
      </c>
      <c r="AQ179">
        <v>-5</v>
      </c>
      <c r="AR179">
        <v>704</v>
      </c>
      <c r="AZ179">
        <v>1200</v>
      </c>
      <c r="BA179">
        <v>1</v>
      </c>
      <c r="BB179" t="str">
        <f t="shared" si="48"/>
        <v xml:space="preserve">N733KP  </v>
      </c>
      <c r="BC179">
        <v>1</v>
      </c>
      <c r="BE179">
        <v>0</v>
      </c>
      <c r="BF179">
        <v>0</v>
      </c>
      <c r="BG179">
        <v>0</v>
      </c>
      <c r="BH179">
        <v>1825</v>
      </c>
      <c r="BI179">
        <v>1</v>
      </c>
      <c r="BJ179">
        <v>1</v>
      </c>
      <c r="BK179">
        <v>0</v>
      </c>
      <c r="BL179">
        <v>0</v>
      </c>
      <c r="BO179">
        <v>0</v>
      </c>
      <c r="BP179">
        <v>0</v>
      </c>
      <c r="BW179" t="str">
        <f>"22:10:05.474"</f>
        <v>22:10:05.474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364</v>
      </c>
      <c r="CR179">
        <v>0</v>
      </c>
      <c r="CW179">
        <v>1370824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"03/24/2022 22:10:05.660"</f>
        <v>03/24/2022 22:10:05.660</v>
      </c>
      <c r="C180" t="str">
        <f t="shared" si="46"/>
        <v>FFDFD3C0</v>
      </c>
      <c r="D180" t="s">
        <v>126</v>
      </c>
      <c r="E180">
        <v>3</v>
      </c>
      <c r="H180">
        <v>160</v>
      </c>
      <c r="I180" t="s">
        <v>121</v>
      </c>
      <c r="J180" t="s">
        <v>127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 t="shared" si="55"/>
        <v>22:10:05.000</v>
      </c>
      <c r="T180" t="str">
        <f t="shared" si="55"/>
        <v>22:10:05.000</v>
      </c>
      <c r="U180" t="str">
        <f t="shared" si="41"/>
        <v>A9D71F</v>
      </c>
      <c r="V180">
        <v>0</v>
      </c>
      <c r="W180">
        <v>0</v>
      </c>
      <c r="X180">
        <v>2</v>
      </c>
      <c r="Z180">
        <v>1</v>
      </c>
      <c r="AA180">
        <v>8</v>
      </c>
      <c r="AB180">
        <v>3</v>
      </c>
      <c r="AC180">
        <v>0</v>
      </c>
      <c r="AD180">
        <v>9</v>
      </c>
      <c r="AE180">
        <v>0</v>
      </c>
      <c r="AF180">
        <v>3</v>
      </c>
      <c r="AG180">
        <v>1</v>
      </c>
      <c r="AH180">
        <v>0</v>
      </c>
      <c r="AI180" t="s">
        <v>199</v>
      </c>
      <c r="AJ180">
        <v>33.188796000000004</v>
      </c>
      <c r="AK180" t="s">
        <v>200</v>
      </c>
      <c r="AL180">
        <v>-97.809348</v>
      </c>
      <c r="AM180">
        <v>25</v>
      </c>
      <c r="AN180">
        <v>1900</v>
      </c>
      <c r="AO180" t="s">
        <v>118</v>
      </c>
      <c r="AP180">
        <v>92</v>
      </c>
      <c r="AQ180">
        <v>-5</v>
      </c>
      <c r="AR180">
        <v>704</v>
      </c>
      <c r="AZ180">
        <v>1200</v>
      </c>
      <c r="BA180">
        <v>1</v>
      </c>
      <c r="BB180" t="str">
        <f t="shared" si="48"/>
        <v xml:space="preserve">N733KP  </v>
      </c>
      <c r="BC180">
        <v>1</v>
      </c>
      <c r="BE180">
        <v>0</v>
      </c>
      <c r="BF180">
        <v>0</v>
      </c>
      <c r="BG180">
        <v>0</v>
      </c>
      <c r="BH180">
        <v>1825</v>
      </c>
      <c r="BI180">
        <v>1</v>
      </c>
      <c r="BJ180">
        <v>1</v>
      </c>
      <c r="BK180">
        <v>0</v>
      </c>
      <c r="BL180">
        <v>0</v>
      </c>
      <c r="BO180">
        <v>0</v>
      </c>
      <c r="BP180">
        <v>0</v>
      </c>
      <c r="BW180" t="str">
        <f>"22:10:05.474"</f>
        <v>22:10:05.474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364</v>
      </c>
      <c r="CR180">
        <v>0</v>
      </c>
      <c r="CW180">
        <v>1370824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"03/24/2022 22:10:05.675"</f>
        <v>03/24/2022 22:10:05.675</v>
      </c>
      <c r="C181" t="str">
        <f t="shared" si="46"/>
        <v>FFDFD3C0</v>
      </c>
      <c r="D181" t="s">
        <v>113</v>
      </c>
      <c r="E181">
        <v>24</v>
      </c>
      <c r="F181">
        <v>2024</v>
      </c>
      <c r="G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 t="shared" si="55"/>
        <v>22:10:05.000</v>
      </c>
      <c r="T181" t="str">
        <f t="shared" si="55"/>
        <v>22:10:05.000</v>
      </c>
      <c r="U181" t="str">
        <f t="shared" si="41"/>
        <v>A9D71F</v>
      </c>
      <c r="V181">
        <v>0</v>
      </c>
      <c r="W181">
        <v>0</v>
      </c>
      <c r="X181">
        <v>2</v>
      </c>
      <c r="Z181">
        <v>1</v>
      </c>
      <c r="AA181">
        <v>8</v>
      </c>
      <c r="AB181">
        <v>3</v>
      </c>
      <c r="AC181">
        <v>0</v>
      </c>
      <c r="AD181">
        <v>9</v>
      </c>
      <c r="AE181">
        <v>0</v>
      </c>
      <c r="AF181">
        <v>3</v>
      </c>
      <c r="AG181">
        <v>1</v>
      </c>
      <c r="AH181">
        <v>0</v>
      </c>
      <c r="AI181" t="s">
        <v>199</v>
      </c>
      <c r="AJ181">
        <v>33.188796000000004</v>
      </c>
      <c r="AK181" t="s">
        <v>200</v>
      </c>
      <c r="AL181">
        <v>-97.809348</v>
      </c>
      <c r="AM181">
        <v>25</v>
      </c>
      <c r="AN181">
        <v>1900</v>
      </c>
      <c r="AO181" t="s">
        <v>118</v>
      </c>
      <c r="AP181">
        <v>92</v>
      </c>
      <c r="AQ181">
        <v>-5</v>
      </c>
      <c r="AR181">
        <v>704</v>
      </c>
      <c r="AZ181">
        <v>1200</v>
      </c>
      <c r="BA181">
        <v>1</v>
      </c>
      <c r="BB181" t="str">
        <f t="shared" si="48"/>
        <v xml:space="preserve">N733KP  </v>
      </c>
      <c r="BC181">
        <v>1</v>
      </c>
      <c r="BE181">
        <v>0</v>
      </c>
      <c r="BF181">
        <v>0</v>
      </c>
      <c r="BG181">
        <v>0</v>
      </c>
      <c r="BH181">
        <v>1825</v>
      </c>
      <c r="BI181">
        <v>1</v>
      </c>
      <c r="BJ181">
        <v>1</v>
      </c>
      <c r="BK181">
        <v>0</v>
      </c>
      <c r="BL181">
        <v>0</v>
      </c>
      <c r="BO181">
        <v>0</v>
      </c>
      <c r="BP181">
        <v>0</v>
      </c>
      <c r="BW181" t="str">
        <f>"22:10:05.474"</f>
        <v>22:10:05.474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364</v>
      </c>
      <c r="CR181">
        <v>0</v>
      </c>
      <c r="CW181">
        <v>1370824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"03/24/2022 22:10:07.412"</f>
        <v>03/24/2022 22:10:07.412</v>
      </c>
      <c r="C182" t="str">
        <f t="shared" si="46"/>
        <v>FFDFD3C0</v>
      </c>
      <c r="D182" t="s">
        <v>123</v>
      </c>
      <c r="E182">
        <v>8</v>
      </c>
      <c r="H182">
        <v>31</v>
      </c>
      <c r="I182" t="s">
        <v>124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>"22:10:07.000"</f>
        <v>22:10:07.000</v>
      </c>
      <c r="T182" t="str">
        <f>"22:10:07.000"</f>
        <v>22:10:07.000</v>
      </c>
      <c r="U182" t="str">
        <f t="shared" si="41"/>
        <v>A9D71F</v>
      </c>
      <c r="V182">
        <v>0</v>
      </c>
      <c r="W182">
        <v>0</v>
      </c>
      <c r="X182">
        <v>2</v>
      </c>
      <c r="Z182">
        <v>1</v>
      </c>
      <c r="AA182">
        <v>8</v>
      </c>
      <c r="AB182">
        <v>3</v>
      </c>
      <c r="AC182">
        <v>0</v>
      </c>
      <c r="AD182">
        <v>9</v>
      </c>
      <c r="AE182">
        <v>0</v>
      </c>
      <c r="AF182">
        <v>3</v>
      </c>
      <c r="AG182">
        <v>1</v>
      </c>
      <c r="AH182">
        <v>0</v>
      </c>
      <c r="AI182" t="s">
        <v>170</v>
      </c>
      <c r="AJ182">
        <v>33.188752999999998</v>
      </c>
      <c r="AK182" t="s">
        <v>201</v>
      </c>
      <c r="AL182">
        <v>-97.808296999999996</v>
      </c>
      <c r="AM182">
        <v>25</v>
      </c>
      <c r="AN182">
        <v>1900</v>
      </c>
      <c r="AO182" t="s">
        <v>118</v>
      </c>
      <c r="AP182">
        <v>91</v>
      </c>
      <c r="AQ182">
        <v>-5</v>
      </c>
      <c r="AR182">
        <v>768</v>
      </c>
      <c r="AZ182">
        <v>1200</v>
      </c>
      <c r="BA182">
        <v>1</v>
      </c>
      <c r="BB182" t="str">
        <f t="shared" si="48"/>
        <v xml:space="preserve">N733KP  </v>
      </c>
      <c r="BC182">
        <v>1</v>
      </c>
      <c r="BE182">
        <v>0</v>
      </c>
      <c r="BF182">
        <v>0</v>
      </c>
      <c r="BG182">
        <v>0</v>
      </c>
      <c r="BH182">
        <v>1850</v>
      </c>
      <c r="BI182">
        <v>1</v>
      </c>
      <c r="BJ182">
        <v>1</v>
      </c>
      <c r="BK182">
        <v>0</v>
      </c>
      <c r="BL182">
        <v>0</v>
      </c>
      <c r="BO182">
        <v>0</v>
      </c>
      <c r="BP182">
        <v>0</v>
      </c>
      <c r="BW182" t="str">
        <f>"22:10:07.266"</f>
        <v>22:10:07.266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364</v>
      </c>
      <c r="CR182">
        <v>0</v>
      </c>
      <c r="CW182">
        <v>1371069</v>
      </c>
      <c r="CY182">
        <v>1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"03/24/2022 22:10:07.115"</f>
        <v>03/24/2022 22:10:07.115</v>
      </c>
      <c r="C183" t="str">
        <f t="shared" si="46"/>
        <v>FFDFD3C0</v>
      </c>
      <c r="D183" t="s">
        <v>126</v>
      </c>
      <c r="E183">
        <v>3</v>
      </c>
      <c r="H183">
        <v>160</v>
      </c>
      <c r="I183" t="s">
        <v>121</v>
      </c>
      <c r="J183" t="s">
        <v>127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 t="shared" ref="S183:T186" si="56">"22:10:06.000"</f>
        <v>22:10:06.000</v>
      </c>
      <c r="T183" t="str">
        <f t="shared" si="56"/>
        <v>22:10:06.000</v>
      </c>
      <c r="U183" t="str">
        <f t="shared" si="41"/>
        <v>A9D71F</v>
      </c>
      <c r="V183">
        <v>0</v>
      </c>
      <c r="W183">
        <v>0</v>
      </c>
      <c r="X183">
        <v>2</v>
      </c>
      <c r="Z183">
        <v>1</v>
      </c>
      <c r="AA183">
        <v>8</v>
      </c>
      <c r="AB183">
        <v>3</v>
      </c>
      <c r="AC183">
        <v>0</v>
      </c>
      <c r="AD183">
        <v>9</v>
      </c>
      <c r="AE183">
        <v>0</v>
      </c>
      <c r="AF183">
        <v>3</v>
      </c>
      <c r="AG183">
        <v>1</v>
      </c>
      <c r="AH183">
        <v>0</v>
      </c>
      <c r="AI183" t="s">
        <v>172</v>
      </c>
      <c r="AJ183">
        <v>33.188775</v>
      </c>
      <c r="AK183" t="s">
        <v>202</v>
      </c>
      <c r="AL183">
        <v>-97.808812000000003</v>
      </c>
      <c r="AM183">
        <v>25</v>
      </c>
      <c r="AN183">
        <v>1900</v>
      </c>
      <c r="AO183" t="s">
        <v>118</v>
      </c>
      <c r="AP183">
        <v>90</v>
      </c>
      <c r="AQ183">
        <v>-2</v>
      </c>
      <c r="AR183">
        <v>768</v>
      </c>
      <c r="AZ183">
        <v>1200</v>
      </c>
      <c r="BA183">
        <v>1</v>
      </c>
      <c r="BB183" t="str">
        <f t="shared" si="48"/>
        <v xml:space="preserve">N733KP  </v>
      </c>
      <c r="BC183">
        <v>1</v>
      </c>
      <c r="BE183">
        <v>0</v>
      </c>
      <c r="BF183">
        <v>0</v>
      </c>
      <c r="BG183">
        <v>0</v>
      </c>
      <c r="BH183">
        <v>1850</v>
      </c>
      <c r="BI183">
        <v>1</v>
      </c>
      <c r="BJ183">
        <v>1</v>
      </c>
      <c r="BK183">
        <v>0</v>
      </c>
      <c r="BL183">
        <v>0</v>
      </c>
      <c r="BO183">
        <v>0</v>
      </c>
      <c r="BP183">
        <v>0</v>
      </c>
      <c r="BW183" t="str">
        <f>"22:10:06.903"</f>
        <v>22:10:06.903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6</v>
      </c>
      <c r="CP183" t="s">
        <v>119</v>
      </c>
      <c r="CQ183">
        <v>364</v>
      </c>
      <c r="CR183">
        <v>0</v>
      </c>
      <c r="CW183">
        <v>1371009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"03/24/2022 22:10:07.115"</f>
        <v>03/24/2022 22:10:07.115</v>
      </c>
      <c r="C184" t="str">
        <f t="shared" si="46"/>
        <v>FFDFD3C0</v>
      </c>
      <c r="D184" t="s">
        <v>120</v>
      </c>
      <c r="E184">
        <v>14</v>
      </c>
      <c r="F184">
        <v>1014</v>
      </c>
      <c r="G184" t="s">
        <v>121</v>
      </c>
      <c r="J184" t="s">
        <v>122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 t="shared" si="56"/>
        <v>22:10:06.000</v>
      </c>
      <c r="T184" t="str">
        <f t="shared" si="56"/>
        <v>22:10:06.000</v>
      </c>
      <c r="U184" t="str">
        <f t="shared" si="41"/>
        <v>A9D71F</v>
      </c>
      <c r="V184">
        <v>0</v>
      </c>
      <c r="W184">
        <v>0</v>
      </c>
      <c r="X184">
        <v>2</v>
      </c>
      <c r="Z184">
        <v>1</v>
      </c>
      <c r="AA184">
        <v>8</v>
      </c>
      <c r="AB184">
        <v>3</v>
      </c>
      <c r="AC184">
        <v>0</v>
      </c>
      <c r="AD184">
        <v>9</v>
      </c>
      <c r="AE184">
        <v>0</v>
      </c>
      <c r="AF184">
        <v>3</v>
      </c>
      <c r="AG184">
        <v>1</v>
      </c>
      <c r="AH184">
        <v>0</v>
      </c>
      <c r="AI184" t="s">
        <v>172</v>
      </c>
      <c r="AJ184">
        <v>33.188775</v>
      </c>
      <c r="AK184" t="s">
        <v>202</v>
      </c>
      <c r="AL184">
        <v>-97.808812000000003</v>
      </c>
      <c r="AM184">
        <v>25</v>
      </c>
      <c r="AN184">
        <v>1900</v>
      </c>
      <c r="AO184" t="s">
        <v>118</v>
      </c>
      <c r="AP184">
        <v>90</v>
      </c>
      <c r="AQ184">
        <v>-2</v>
      </c>
      <c r="AR184">
        <v>768</v>
      </c>
      <c r="AZ184">
        <v>1200</v>
      </c>
      <c r="BA184">
        <v>1</v>
      </c>
      <c r="BB184" t="str">
        <f t="shared" si="48"/>
        <v xml:space="preserve">N733KP  </v>
      </c>
      <c r="BC184">
        <v>1</v>
      </c>
      <c r="BE184">
        <v>0</v>
      </c>
      <c r="BF184">
        <v>0</v>
      </c>
      <c r="BG184">
        <v>0</v>
      </c>
      <c r="BH184">
        <v>1850</v>
      </c>
      <c r="BI184">
        <v>1</v>
      </c>
      <c r="BJ184">
        <v>1</v>
      </c>
      <c r="BK184">
        <v>0</v>
      </c>
      <c r="BL184">
        <v>0</v>
      </c>
      <c r="BO184">
        <v>0</v>
      </c>
      <c r="BP184">
        <v>0</v>
      </c>
      <c r="BW184" t="str">
        <f>"22:10:06.903"</f>
        <v>22:10:06.903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6</v>
      </c>
      <c r="CP184" t="s">
        <v>119</v>
      </c>
      <c r="CQ184">
        <v>364</v>
      </c>
      <c r="CR184">
        <v>0</v>
      </c>
      <c r="CW184">
        <v>1371009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"03/24/2022 22:10:07.162"</f>
        <v>03/24/2022 22:10:07.162</v>
      </c>
      <c r="C185" t="str">
        <f t="shared" si="46"/>
        <v>FFDFD3C0</v>
      </c>
      <c r="D185" t="s">
        <v>113</v>
      </c>
      <c r="E185">
        <v>24</v>
      </c>
      <c r="F185">
        <v>2024</v>
      </c>
      <c r="G185" t="s">
        <v>114</v>
      </c>
      <c r="J185" t="s">
        <v>115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si="56"/>
        <v>22:10:06.000</v>
      </c>
      <c r="T185" t="str">
        <f t="shared" si="56"/>
        <v>22:10:06.000</v>
      </c>
      <c r="U185" t="str">
        <f t="shared" si="41"/>
        <v>A9D71F</v>
      </c>
      <c r="V185">
        <v>0</v>
      </c>
      <c r="W185">
        <v>0</v>
      </c>
      <c r="X185">
        <v>2</v>
      </c>
      <c r="Z185">
        <v>1</v>
      </c>
      <c r="AA185">
        <v>8</v>
      </c>
      <c r="AB185">
        <v>3</v>
      </c>
      <c r="AC185">
        <v>0</v>
      </c>
      <c r="AD185">
        <v>9</v>
      </c>
      <c r="AE185">
        <v>0</v>
      </c>
      <c r="AF185">
        <v>3</v>
      </c>
      <c r="AG185">
        <v>1</v>
      </c>
      <c r="AH185">
        <v>0</v>
      </c>
      <c r="AI185" t="s">
        <v>172</v>
      </c>
      <c r="AJ185">
        <v>33.188775</v>
      </c>
      <c r="AK185" t="s">
        <v>202</v>
      </c>
      <c r="AL185">
        <v>-97.808812000000003</v>
      </c>
      <c r="AM185">
        <v>25</v>
      </c>
      <c r="AN185">
        <v>1900</v>
      </c>
      <c r="AO185" t="s">
        <v>118</v>
      </c>
      <c r="AP185">
        <v>90</v>
      </c>
      <c r="AQ185">
        <v>-2</v>
      </c>
      <c r="AR185">
        <v>768</v>
      </c>
      <c r="AZ185">
        <v>1200</v>
      </c>
      <c r="BA185">
        <v>1</v>
      </c>
      <c r="BB185" t="str">
        <f t="shared" si="48"/>
        <v xml:space="preserve">N733KP  </v>
      </c>
      <c r="BC185">
        <v>1</v>
      </c>
      <c r="BE185">
        <v>0</v>
      </c>
      <c r="BF185">
        <v>0</v>
      </c>
      <c r="BG185">
        <v>0</v>
      </c>
      <c r="BH185">
        <v>1850</v>
      </c>
      <c r="BI185">
        <v>1</v>
      </c>
      <c r="BJ185">
        <v>1</v>
      </c>
      <c r="BK185">
        <v>0</v>
      </c>
      <c r="BL185">
        <v>0</v>
      </c>
      <c r="BO185">
        <v>0</v>
      </c>
      <c r="BP185">
        <v>0</v>
      </c>
      <c r="BW185" t="str">
        <f>"22:10:06.903"</f>
        <v>22:10:06.903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6</v>
      </c>
      <c r="CP185" t="s">
        <v>119</v>
      </c>
      <c r="CQ185">
        <v>364</v>
      </c>
      <c r="CR185">
        <v>0</v>
      </c>
      <c r="CW185">
        <v>1371009</v>
      </c>
      <c r="CY185">
        <v>1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"03/24/2022 22:10:07.115"</f>
        <v>03/24/2022 22:10:07.115</v>
      </c>
      <c r="C186" t="str">
        <f t="shared" si="46"/>
        <v>FFDFD3C0</v>
      </c>
      <c r="D186" t="s">
        <v>123</v>
      </c>
      <c r="E186">
        <v>8</v>
      </c>
      <c r="H186">
        <v>31</v>
      </c>
      <c r="I186" t="s">
        <v>124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si="56"/>
        <v>22:10:06.000</v>
      </c>
      <c r="T186" t="str">
        <f t="shared" si="56"/>
        <v>22:10:06.000</v>
      </c>
      <c r="U186" t="str">
        <f t="shared" si="41"/>
        <v>A9D71F</v>
      </c>
      <c r="V186">
        <v>0</v>
      </c>
      <c r="W186">
        <v>0</v>
      </c>
      <c r="X186">
        <v>2</v>
      </c>
      <c r="Z186">
        <v>1</v>
      </c>
      <c r="AA186">
        <v>8</v>
      </c>
      <c r="AB186">
        <v>3</v>
      </c>
      <c r="AC186">
        <v>0</v>
      </c>
      <c r="AD186">
        <v>9</v>
      </c>
      <c r="AE186">
        <v>0</v>
      </c>
      <c r="AF186">
        <v>3</v>
      </c>
      <c r="AG186">
        <v>1</v>
      </c>
      <c r="AH186">
        <v>0</v>
      </c>
      <c r="AI186" t="s">
        <v>172</v>
      </c>
      <c r="AJ186">
        <v>33.188775</v>
      </c>
      <c r="AK186" t="s">
        <v>202</v>
      </c>
      <c r="AL186">
        <v>-97.808812000000003</v>
      </c>
      <c r="AM186">
        <v>25</v>
      </c>
      <c r="AN186">
        <v>1900</v>
      </c>
      <c r="AO186" t="s">
        <v>118</v>
      </c>
      <c r="AP186">
        <v>90</v>
      </c>
      <c r="AQ186">
        <v>-2</v>
      </c>
      <c r="AR186">
        <v>768</v>
      </c>
      <c r="AZ186">
        <v>1200</v>
      </c>
      <c r="BA186">
        <v>1</v>
      </c>
      <c r="BB186" t="str">
        <f t="shared" si="48"/>
        <v xml:space="preserve">N733KP  </v>
      </c>
      <c r="BC186">
        <v>1</v>
      </c>
      <c r="BE186">
        <v>0</v>
      </c>
      <c r="BF186">
        <v>0</v>
      </c>
      <c r="BG186">
        <v>0</v>
      </c>
      <c r="BH186">
        <v>1850</v>
      </c>
      <c r="BI186">
        <v>1</v>
      </c>
      <c r="BJ186">
        <v>1</v>
      </c>
      <c r="BK186">
        <v>0</v>
      </c>
      <c r="BL186">
        <v>0</v>
      </c>
      <c r="BO186">
        <v>0</v>
      </c>
      <c r="BP186">
        <v>0</v>
      </c>
      <c r="BW186" t="str">
        <f>"22:10:06.903"</f>
        <v>22:10:06.903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6</v>
      </c>
      <c r="CP186" t="s">
        <v>119</v>
      </c>
      <c r="CQ186">
        <v>364</v>
      </c>
      <c r="CR186">
        <v>0</v>
      </c>
      <c r="CW186">
        <v>1371009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"03/24/2022 22:10:07.475"</f>
        <v>03/24/2022 22:10:07.475</v>
      </c>
      <c r="C187" t="str">
        <f t="shared" si="46"/>
        <v>FFDFD3C0</v>
      </c>
      <c r="D187" t="s">
        <v>126</v>
      </c>
      <c r="E187">
        <v>3</v>
      </c>
      <c r="H187">
        <v>160</v>
      </c>
      <c r="I187" t="s">
        <v>121</v>
      </c>
      <c r="J187" t="s">
        <v>127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ref="S187:T189" si="57">"22:10:07.000"</f>
        <v>22:10:07.000</v>
      </c>
      <c r="T187" t="str">
        <f t="shared" si="57"/>
        <v>22:10:07.000</v>
      </c>
      <c r="U187" t="str">
        <f t="shared" si="41"/>
        <v>A9D71F</v>
      </c>
      <c r="V187">
        <v>0</v>
      </c>
      <c r="W187">
        <v>0</v>
      </c>
      <c r="X187">
        <v>2</v>
      </c>
      <c r="Z187">
        <v>1</v>
      </c>
      <c r="AA187">
        <v>8</v>
      </c>
      <c r="AB187">
        <v>3</v>
      </c>
      <c r="AC187">
        <v>0</v>
      </c>
      <c r="AD187">
        <v>9</v>
      </c>
      <c r="AE187">
        <v>0</v>
      </c>
      <c r="AF187">
        <v>3</v>
      </c>
      <c r="AG187">
        <v>1</v>
      </c>
      <c r="AH187">
        <v>0</v>
      </c>
      <c r="AI187" t="s">
        <v>170</v>
      </c>
      <c r="AJ187">
        <v>33.188752999999998</v>
      </c>
      <c r="AK187" t="s">
        <v>201</v>
      </c>
      <c r="AL187">
        <v>-97.808296999999996</v>
      </c>
      <c r="AM187">
        <v>25</v>
      </c>
      <c r="AN187">
        <v>1900</v>
      </c>
      <c r="AO187" t="s">
        <v>118</v>
      </c>
      <c r="AP187">
        <v>91</v>
      </c>
      <c r="AQ187">
        <v>-5</v>
      </c>
      <c r="AR187">
        <v>768</v>
      </c>
      <c r="AZ187">
        <v>1200</v>
      </c>
      <c r="BA187">
        <v>1</v>
      </c>
      <c r="BB187" t="str">
        <f t="shared" si="48"/>
        <v xml:space="preserve">N733KP  </v>
      </c>
      <c r="BC187">
        <v>1</v>
      </c>
      <c r="BE187">
        <v>0</v>
      </c>
      <c r="BF187">
        <v>0</v>
      </c>
      <c r="BG187">
        <v>0</v>
      </c>
      <c r="BH187">
        <v>1850</v>
      </c>
      <c r="BI187">
        <v>1</v>
      </c>
      <c r="BJ187">
        <v>1</v>
      </c>
      <c r="BK187">
        <v>0</v>
      </c>
      <c r="BL187">
        <v>0</v>
      </c>
      <c r="BO187">
        <v>0</v>
      </c>
      <c r="BP187">
        <v>0</v>
      </c>
      <c r="BW187" t="str">
        <f>"22:10:07.266"</f>
        <v>22:10:07.266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364</v>
      </c>
      <c r="CR187">
        <v>0</v>
      </c>
      <c r="CW187">
        <v>1371069</v>
      </c>
      <c r="CY187">
        <v>1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"03/24/2022 22:10:07.475"</f>
        <v>03/24/2022 22:10:07.475</v>
      </c>
      <c r="C188" t="str">
        <f t="shared" si="46"/>
        <v>FFDFD3C0</v>
      </c>
      <c r="D188" t="s">
        <v>120</v>
      </c>
      <c r="E188">
        <v>14</v>
      </c>
      <c r="F188">
        <v>1014</v>
      </c>
      <c r="G188" t="s">
        <v>121</v>
      </c>
      <c r="J188" t="s">
        <v>122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 t="shared" si="57"/>
        <v>22:10:07.000</v>
      </c>
      <c r="T188" t="str">
        <f t="shared" si="57"/>
        <v>22:10:07.000</v>
      </c>
      <c r="U188" t="str">
        <f t="shared" si="41"/>
        <v>A9D71F</v>
      </c>
      <c r="V188">
        <v>0</v>
      </c>
      <c r="W188">
        <v>0</v>
      </c>
      <c r="X188">
        <v>2</v>
      </c>
      <c r="Z188">
        <v>1</v>
      </c>
      <c r="AA188">
        <v>8</v>
      </c>
      <c r="AB188">
        <v>3</v>
      </c>
      <c r="AC188">
        <v>0</v>
      </c>
      <c r="AD188">
        <v>9</v>
      </c>
      <c r="AE188">
        <v>0</v>
      </c>
      <c r="AF188">
        <v>3</v>
      </c>
      <c r="AG188">
        <v>1</v>
      </c>
      <c r="AH188">
        <v>0</v>
      </c>
      <c r="AI188" t="s">
        <v>170</v>
      </c>
      <c r="AJ188">
        <v>33.188752999999998</v>
      </c>
      <c r="AK188" t="s">
        <v>201</v>
      </c>
      <c r="AL188">
        <v>-97.808296999999996</v>
      </c>
      <c r="AM188">
        <v>25</v>
      </c>
      <c r="AN188">
        <v>1900</v>
      </c>
      <c r="AO188" t="s">
        <v>118</v>
      </c>
      <c r="AP188">
        <v>91</v>
      </c>
      <c r="AQ188">
        <v>-5</v>
      </c>
      <c r="AR188">
        <v>768</v>
      </c>
      <c r="AZ188">
        <v>1200</v>
      </c>
      <c r="BA188">
        <v>1</v>
      </c>
      <c r="BB188" t="str">
        <f t="shared" si="48"/>
        <v xml:space="preserve">N733KP  </v>
      </c>
      <c r="BC188">
        <v>1</v>
      </c>
      <c r="BE188">
        <v>0</v>
      </c>
      <c r="BF188">
        <v>0</v>
      </c>
      <c r="BG188">
        <v>0</v>
      </c>
      <c r="BH188">
        <v>1850</v>
      </c>
      <c r="BI188">
        <v>1</v>
      </c>
      <c r="BJ188">
        <v>1</v>
      </c>
      <c r="BK188">
        <v>0</v>
      </c>
      <c r="BL188">
        <v>0</v>
      </c>
      <c r="BO188">
        <v>0</v>
      </c>
      <c r="BP188">
        <v>0</v>
      </c>
      <c r="BW188" t="str">
        <f>"22:10:07.266"</f>
        <v>22:10:07.266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364</v>
      </c>
      <c r="CR188">
        <v>0</v>
      </c>
      <c r="CW188">
        <v>1371069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"03/24/2022 22:10:07.475"</f>
        <v>03/24/2022 22:10:07.475</v>
      </c>
      <c r="C189" t="str">
        <f t="shared" si="46"/>
        <v>FFDFD3C0</v>
      </c>
      <c r="D189" t="s">
        <v>113</v>
      </c>
      <c r="E189">
        <v>24</v>
      </c>
      <c r="F189">
        <v>2024</v>
      </c>
      <c r="G189" t="s">
        <v>114</v>
      </c>
      <c r="J189" t="s">
        <v>115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 t="shared" si="57"/>
        <v>22:10:07.000</v>
      </c>
      <c r="T189" t="str">
        <f t="shared" si="57"/>
        <v>22:10:07.000</v>
      </c>
      <c r="U189" t="str">
        <f t="shared" si="41"/>
        <v>A9D71F</v>
      </c>
      <c r="V189">
        <v>0</v>
      </c>
      <c r="W189">
        <v>0</v>
      </c>
      <c r="X189">
        <v>2</v>
      </c>
      <c r="Z189">
        <v>1</v>
      </c>
      <c r="AA189">
        <v>8</v>
      </c>
      <c r="AB189">
        <v>3</v>
      </c>
      <c r="AC189">
        <v>0</v>
      </c>
      <c r="AD189">
        <v>9</v>
      </c>
      <c r="AE189">
        <v>0</v>
      </c>
      <c r="AF189">
        <v>3</v>
      </c>
      <c r="AG189">
        <v>1</v>
      </c>
      <c r="AH189">
        <v>0</v>
      </c>
      <c r="AI189" t="s">
        <v>170</v>
      </c>
      <c r="AJ189">
        <v>33.188752999999998</v>
      </c>
      <c r="AK189" t="s">
        <v>201</v>
      </c>
      <c r="AL189">
        <v>-97.808296999999996</v>
      </c>
      <c r="AM189">
        <v>25</v>
      </c>
      <c r="AN189">
        <v>1900</v>
      </c>
      <c r="AO189" t="s">
        <v>118</v>
      </c>
      <c r="AP189">
        <v>91</v>
      </c>
      <c r="AQ189">
        <v>-5</v>
      </c>
      <c r="AR189">
        <v>768</v>
      </c>
      <c r="AZ189">
        <v>1200</v>
      </c>
      <c r="BA189">
        <v>1</v>
      </c>
      <c r="BB189" t="str">
        <f t="shared" si="48"/>
        <v xml:space="preserve">N733KP  </v>
      </c>
      <c r="BC189">
        <v>1</v>
      </c>
      <c r="BE189">
        <v>0</v>
      </c>
      <c r="BF189">
        <v>0</v>
      </c>
      <c r="BG189">
        <v>0</v>
      </c>
      <c r="BH189">
        <v>1850</v>
      </c>
      <c r="BI189">
        <v>1</v>
      </c>
      <c r="BJ189">
        <v>1</v>
      </c>
      <c r="BK189">
        <v>0</v>
      </c>
      <c r="BL189">
        <v>0</v>
      </c>
      <c r="BO189">
        <v>0</v>
      </c>
      <c r="BP189">
        <v>0</v>
      </c>
      <c r="BW189" t="str">
        <f>"22:10:07.266"</f>
        <v>22:10:07.266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364</v>
      </c>
      <c r="CR189">
        <v>0</v>
      </c>
      <c r="CW189">
        <v>1371069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"03/24/2022 22:10:08.899"</f>
        <v>03/24/2022 22:10:08.899</v>
      </c>
      <c r="C190" t="str">
        <f t="shared" si="46"/>
        <v>FFDFD3C0</v>
      </c>
      <c r="D190" t="s">
        <v>113</v>
      </c>
      <c r="E190">
        <v>24</v>
      </c>
      <c r="F190">
        <v>2024</v>
      </c>
      <c r="G190" t="s">
        <v>114</v>
      </c>
      <c r="J190" t="s">
        <v>115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 t="shared" ref="S190:T193" si="58">"22:10:08.000"</f>
        <v>22:10:08.000</v>
      </c>
      <c r="T190" t="str">
        <f t="shared" si="58"/>
        <v>22:10:08.000</v>
      </c>
      <c r="U190" t="str">
        <f t="shared" si="41"/>
        <v>A9D71F</v>
      </c>
      <c r="V190">
        <v>0</v>
      </c>
      <c r="W190">
        <v>0</v>
      </c>
      <c r="X190">
        <v>2</v>
      </c>
      <c r="Z190">
        <v>1</v>
      </c>
      <c r="AA190">
        <v>8</v>
      </c>
      <c r="AB190">
        <v>3</v>
      </c>
      <c r="AC190">
        <v>0</v>
      </c>
      <c r="AD190">
        <v>9</v>
      </c>
      <c r="AE190">
        <v>0</v>
      </c>
      <c r="AF190">
        <v>3</v>
      </c>
      <c r="AG190">
        <v>1</v>
      </c>
      <c r="AH190">
        <v>0</v>
      </c>
      <c r="AI190" t="s">
        <v>203</v>
      </c>
      <c r="AJ190">
        <v>33.188732000000002</v>
      </c>
      <c r="AK190" t="s">
        <v>204</v>
      </c>
      <c r="AL190">
        <v>-97.807824999999994</v>
      </c>
      <c r="AM190">
        <v>25</v>
      </c>
      <c r="AN190">
        <v>1900</v>
      </c>
      <c r="AO190" t="s">
        <v>118</v>
      </c>
      <c r="AP190">
        <v>91</v>
      </c>
      <c r="AQ190">
        <v>-4</v>
      </c>
      <c r="AR190">
        <v>704</v>
      </c>
      <c r="AZ190">
        <v>1200</v>
      </c>
      <c r="BA190">
        <v>1</v>
      </c>
      <c r="BB190" t="str">
        <f t="shared" si="48"/>
        <v xml:space="preserve">N733KP  </v>
      </c>
      <c r="BC190">
        <v>1</v>
      </c>
      <c r="BE190">
        <v>0</v>
      </c>
      <c r="BF190">
        <v>0</v>
      </c>
      <c r="BG190">
        <v>0</v>
      </c>
      <c r="BH190">
        <v>1875</v>
      </c>
      <c r="BI190">
        <v>1</v>
      </c>
      <c r="BJ190">
        <v>1</v>
      </c>
      <c r="BK190">
        <v>0</v>
      </c>
      <c r="BL190">
        <v>0</v>
      </c>
      <c r="BO190">
        <v>0</v>
      </c>
      <c r="BP190">
        <v>0</v>
      </c>
      <c r="BW190" t="str">
        <f>"22:10:08.695"</f>
        <v>22:10:08.695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364</v>
      </c>
      <c r="CR190">
        <v>0</v>
      </c>
      <c r="CW190">
        <v>1371280</v>
      </c>
      <c r="CY190">
        <v>1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"03/24/2022 22:10:08.899"</f>
        <v>03/24/2022 22:10:08.899</v>
      </c>
      <c r="C191" t="str">
        <f t="shared" si="46"/>
        <v>FFDFD3C0</v>
      </c>
      <c r="D191" t="s">
        <v>123</v>
      </c>
      <c r="E191">
        <v>8</v>
      </c>
      <c r="H191">
        <v>31</v>
      </c>
      <c r="I191" t="s">
        <v>124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 t="shared" si="58"/>
        <v>22:10:08.000</v>
      </c>
      <c r="T191" t="str">
        <f t="shared" si="58"/>
        <v>22:10:08.000</v>
      </c>
      <c r="U191" t="str">
        <f t="shared" si="41"/>
        <v>A9D71F</v>
      </c>
      <c r="V191">
        <v>0</v>
      </c>
      <c r="W191">
        <v>0</v>
      </c>
      <c r="X191">
        <v>2</v>
      </c>
      <c r="Z191">
        <v>1</v>
      </c>
      <c r="AA191">
        <v>8</v>
      </c>
      <c r="AB191">
        <v>3</v>
      </c>
      <c r="AC191">
        <v>0</v>
      </c>
      <c r="AD191">
        <v>9</v>
      </c>
      <c r="AE191">
        <v>0</v>
      </c>
      <c r="AF191">
        <v>3</v>
      </c>
      <c r="AG191">
        <v>1</v>
      </c>
      <c r="AH191">
        <v>0</v>
      </c>
      <c r="AI191" t="s">
        <v>203</v>
      </c>
      <c r="AJ191">
        <v>33.188732000000002</v>
      </c>
      <c r="AK191" t="s">
        <v>204</v>
      </c>
      <c r="AL191">
        <v>-97.807824999999994</v>
      </c>
      <c r="AM191">
        <v>25</v>
      </c>
      <c r="AN191">
        <v>1900</v>
      </c>
      <c r="AO191" t="s">
        <v>118</v>
      </c>
      <c r="AP191">
        <v>91</v>
      </c>
      <c r="AQ191">
        <v>-4</v>
      </c>
      <c r="AR191">
        <v>704</v>
      </c>
      <c r="AZ191">
        <v>1200</v>
      </c>
      <c r="BA191">
        <v>1</v>
      </c>
      <c r="BB191" t="str">
        <f t="shared" si="48"/>
        <v xml:space="preserve">N733KP  </v>
      </c>
      <c r="BC191">
        <v>1</v>
      </c>
      <c r="BE191">
        <v>0</v>
      </c>
      <c r="BF191">
        <v>0</v>
      </c>
      <c r="BG191">
        <v>0</v>
      </c>
      <c r="BH191">
        <v>1875</v>
      </c>
      <c r="BI191">
        <v>1</v>
      </c>
      <c r="BJ191">
        <v>1</v>
      </c>
      <c r="BK191">
        <v>0</v>
      </c>
      <c r="BL191">
        <v>0</v>
      </c>
      <c r="BO191">
        <v>0</v>
      </c>
      <c r="BP191">
        <v>0</v>
      </c>
      <c r="BW191" t="str">
        <f>"22:10:08.695"</f>
        <v>22:10:08.695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364</v>
      </c>
      <c r="CR191">
        <v>0</v>
      </c>
      <c r="CW191">
        <v>1371280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"03/24/2022 22:10:08.899"</f>
        <v>03/24/2022 22:10:08.899</v>
      </c>
      <c r="C192" t="str">
        <f t="shared" si="46"/>
        <v>FFDFD3C0</v>
      </c>
      <c r="D192" t="s">
        <v>126</v>
      </c>
      <c r="E192">
        <v>3</v>
      </c>
      <c r="H192">
        <v>160</v>
      </c>
      <c r="I192" t="s">
        <v>121</v>
      </c>
      <c r="J192" t="s">
        <v>127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 t="shared" si="58"/>
        <v>22:10:08.000</v>
      </c>
      <c r="T192" t="str">
        <f t="shared" si="58"/>
        <v>22:10:08.000</v>
      </c>
      <c r="U192" t="str">
        <f t="shared" si="41"/>
        <v>A9D71F</v>
      </c>
      <c r="V192">
        <v>0</v>
      </c>
      <c r="W192">
        <v>0</v>
      </c>
      <c r="X192">
        <v>2</v>
      </c>
      <c r="Z192">
        <v>1</v>
      </c>
      <c r="AA192">
        <v>8</v>
      </c>
      <c r="AB192">
        <v>3</v>
      </c>
      <c r="AC192">
        <v>0</v>
      </c>
      <c r="AD192">
        <v>9</v>
      </c>
      <c r="AE192">
        <v>0</v>
      </c>
      <c r="AF192">
        <v>3</v>
      </c>
      <c r="AG192">
        <v>1</v>
      </c>
      <c r="AH192">
        <v>0</v>
      </c>
      <c r="AI192" t="s">
        <v>203</v>
      </c>
      <c r="AJ192">
        <v>33.188732000000002</v>
      </c>
      <c r="AK192" t="s">
        <v>204</v>
      </c>
      <c r="AL192">
        <v>-97.807824999999994</v>
      </c>
      <c r="AM192">
        <v>25</v>
      </c>
      <c r="AN192">
        <v>1900</v>
      </c>
      <c r="AO192" t="s">
        <v>118</v>
      </c>
      <c r="AP192">
        <v>91</v>
      </c>
      <c r="AQ192">
        <v>-4</v>
      </c>
      <c r="AR192">
        <v>704</v>
      </c>
      <c r="AZ192">
        <v>1200</v>
      </c>
      <c r="BA192">
        <v>1</v>
      </c>
      <c r="BB192" t="str">
        <f t="shared" si="48"/>
        <v xml:space="preserve">N733KP  </v>
      </c>
      <c r="BC192">
        <v>1</v>
      </c>
      <c r="BE192">
        <v>0</v>
      </c>
      <c r="BF192">
        <v>0</v>
      </c>
      <c r="BG192">
        <v>0</v>
      </c>
      <c r="BH192">
        <v>1875</v>
      </c>
      <c r="BI192">
        <v>1</v>
      </c>
      <c r="BJ192">
        <v>1</v>
      </c>
      <c r="BK192">
        <v>0</v>
      </c>
      <c r="BL192">
        <v>0</v>
      </c>
      <c r="BO192">
        <v>0</v>
      </c>
      <c r="BP192">
        <v>0</v>
      </c>
      <c r="BW192" t="str">
        <f>"22:10:08.695"</f>
        <v>22:10:08.695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364</v>
      </c>
      <c r="CR192">
        <v>0</v>
      </c>
      <c r="CW192">
        <v>1371280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"03/24/2022 22:10:08.946"</f>
        <v>03/24/2022 22:10:08.946</v>
      </c>
      <c r="C193" t="str">
        <f t="shared" si="46"/>
        <v>FFDFD3C0</v>
      </c>
      <c r="D193" t="s">
        <v>120</v>
      </c>
      <c r="E193">
        <v>14</v>
      </c>
      <c r="F193">
        <v>1014</v>
      </c>
      <c r="G193" t="s">
        <v>121</v>
      </c>
      <c r="J193" t="s">
        <v>122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 t="shared" si="58"/>
        <v>22:10:08.000</v>
      </c>
      <c r="T193" t="str">
        <f t="shared" si="58"/>
        <v>22:10:08.000</v>
      </c>
      <c r="U193" t="str">
        <f t="shared" si="41"/>
        <v>A9D71F</v>
      </c>
      <c r="V193">
        <v>0</v>
      </c>
      <c r="W193">
        <v>0</v>
      </c>
      <c r="X193">
        <v>2</v>
      </c>
      <c r="Z193">
        <v>1</v>
      </c>
      <c r="AA193">
        <v>8</v>
      </c>
      <c r="AB193">
        <v>3</v>
      </c>
      <c r="AC193">
        <v>0</v>
      </c>
      <c r="AD193">
        <v>9</v>
      </c>
      <c r="AE193">
        <v>0</v>
      </c>
      <c r="AF193">
        <v>3</v>
      </c>
      <c r="AG193">
        <v>1</v>
      </c>
      <c r="AH193">
        <v>0</v>
      </c>
      <c r="AI193" t="s">
        <v>203</v>
      </c>
      <c r="AJ193">
        <v>33.188732000000002</v>
      </c>
      <c r="AK193" t="s">
        <v>204</v>
      </c>
      <c r="AL193">
        <v>-97.807824999999994</v>
      </c>
      <c r="AM193">
        <v>25</v>
      </c>
      <c r="AN193">
        <v>1900</v>
      </c>
      <c r="AO193" t="s">
        <v>118</v>
      </c>
      <c r="AP193">
        <v>91</v>
      </c>
      <c r="AQ193">
        <v>-4</v>
      </c>
      <c r="AR193">
        <v>704</v>
      </c>
      <c r="AZ193">
        <v>1200</v>
      </c>
      <c r="BA193">
        <v>1</v>
      </c>
      <c r="BB193" t="str">
        <f t="shared" si="48"/>
        <v xml:space="preserve">N733KP  </v>
      </c>
      <c r="BC193">
        <v>1</v>
      </c>
      <c r="BE193">
        <v>0</v>
      </c>
      <c r="BF193">
        <v>0</v>
      </c>
      <c r="BG193">
        <v>0</v>
      </c>
      <c r="BH193">
        <v>1875</v>
      </c>
      <c r="BI193">
        <v>1</v>
      </c>
      <c r="BJ193">
        <v>1</v>
      </c>
      <c r="BK193">
        <v>0</v>
      </c>
      <c r="BL193">
        <v>0</v>
      </c>
      <c r="BO193">
        <v>0</v>
      </c>
      <c r="BP193">
        <v>0</v>
      </c>
      <c r="BW193" t="str">
        <f>"22:10:08.695"</f>
        <v>22:10:08.695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364</v>
      </c>
      <c r="CR193">
        <v>0</v>
      </c>
      <c r="CW193">
        <v>1371280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"03/24/2022 22:10:09.633"</f>
        <v>03/24/2022 22:10:09.633</v>
      </c>
      <c r="C194" t="str">
        <f t="shared" si="46"/>
        <v>FFDFD3C0</v>
      </c>
      <c r="D194" t="s">
        <v>113</v>
      </c>
      <c r="E194">
        <v>24</v>
      </c>
      <c r="F194">
        <v>2024</v>
      </c>
      <c r="G194" t="s">
        <v>114</v>
      </c>
      <c r="J194" t="s">
        <v>115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ref="S194:T197" si="59">"22:10:09.000"</f>
        <v>22:10:09.000</v>
      </c>
      <c r="T194" t="str">
        <f t="shared" si="59"/>
        <v>22:10:09.000</v>
      </c>
      <c r="U194" t="str">
        <f t="shared" ref="U194:U257" si="60">"A9D71F"</f>
        <v>A9D71F</v>
      </c>
      <c r="V194">
        <v>0</v>
      </c>
      <c r="W194">
        <v>0</v>
      </c>
      <c r="X194">
        <v>2</v>
      </c>
      <c r="Z194">
        <v>1</v>
      </c>
      <c r="AA194">
        <v>8</v>
      </c>
      <c r="AB194">
        <v>3</v>
      </c>
      <c r="AC194">
        <v>0</v>
      </c>
      <c r="AD194">
        <v>9</v>
      </c>
      <c r="AE194">
        <v>0</v>
      </c>
      <c r="AF194">
        <v>3</v>
      </c>
      <c r="AG194">
        <v>1</v>
      </c>
      <c r="AH194">
        <v>0</v>
      </c>
      <c r="AI194" t="s">
        <v>205</v>
      </c>
      <c r="AJ194">
        <v>33.18871</v>
      </c>
      <c r="AK194" t="s">
        <v>206</v>
      </c>
      <c r="AL194">
        <v>-97.807310000000001</v>
      </c>
      <c r="AM194">
        <v>25</v>
      </c>
      <c r="AN194">
        <v>1900</v>
      </c>
      <c r="AO194" t="s">
        <v>118</v>
      </c>
      <c r="AP194">
        <v>91</v>
      </c>
      <c r="AQ194">
        <v>-3</v>
      </c>
      <c r="AR194">
        <v>768</v>
      </c>
      <c r="AZ194">
        <v>1200</v>
      </c>
      <c r="BA194">
        <v>1</v>
      </c>
      <c r="BB194" t="str">
        <f t="shared" si="48"/>
        <v xml:space="preserve">N733KP  </v>
      </c>
      <c r="BC194">
        <v>1</v>
      </c>
      <c r="BE194">
        <v>0</v>
      </c>
      <c r="BF194">
        <v>0</v>
      </c>
      <c r="BG194">
        <v>0</v>
      </c>
      <c r="BH194">
        <v>1900</v>
      </c>
      <c r="BI194">
        <v>1</v>
      </c>
      <c r="BJ194">
        <v>1</v>
      </c>
      <c r="BK194">
        <v>0</v>
      </c>
      <c r="BL194">
        <v>0</v>
      </c>
      <c r="BO194">
        <v>0</v>
      </c>
      <c r="BP194">
        <v>0</v>
      </c>
      <c r="BW194" t="str">
        <f>"22:10:09.469"</f>
        <v>22:10:09.469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119</v>
      </c>
      <c r="CQ194">
        <v>364</v>
      </c>
      <c r="CR194">
        <v>0</v>
      </c>
      <c r="CW194">
        <v>1371402</v>
      </c>
      <c r="CY194">
        <v>1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"03/24/2022 22:10:09.665"</f>
        <v>03/24/2022 22:10:09.665</v>
      </c>
      <c r="C195" t="str">
        <f t="shared" si="46"/>
        <v>FFDFD3C0</v>
      </c>
      <c r="D195" t="s">
        <v>123</v>
      </c>
      <c r="E195">
        <v>8</v>
      </c>
      <c r="H195">
        <v>31</v>
      </c>
      <c r="I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59"/>
        <v>22:10:09.000</v>
      </c>
      <c r="T195" t="str">
        <f t="shared" si="59"/>
        <v>22:10:09.000</v>
      </c>
      <c r="U195" t="str">
        <f t="shared" si="60"/>
        <v>A9D71F</v>
      </c>
      <c r="V195">
        <v>0</v>
      </c>
      <c r="W195">
        <v>0</v>
      </c>
      <c r="X195">
        <v>2</v>
      </c>
      <c r="Z195">
        <v>1</v>
      </c>
      <c r="AA195">
        <v>8</v>
      </c>
      <c r="AB195">
        <v>3</v>
      </c>
      <c r="AC195">
        <v>0</v>
      </c>
      <c r="AD195">
        <v>9</v>
      </c>
      <c r="AE195">
        <v>0</v>
      </c>
      <c r="AF195">
        <v>3</v>
      </c>
      <c r="AG195">
        <v>1</v>
      </c>
      <c r="AH195">
        <v>0</v>
      </c>
      <c r="AI195" t="s">
        <v>205</v>
      </c>
      <c r="AJ195">
        <v>33.18871</v>
      </c>
      <c r="AK195" t="s">
        <v>206</v>
      </c>
      <c r="AL195">
        <v>-97.807310000000001</v>
      </c>
      <c r="AM195">
        <v>25</v>
      </c>
      <c r="AN195">
        <v>1900</v>
      </c>
      <c r="AO195" t="s">
        <v>118</v>
      </c>
      <c r="AP195">
        <v>91</v>
      </c>
      <c r="AQ195">
        <v>-3</v>
      </c>
      <c r="AR195">
        <v>768</v>
      </c>
      <c r="AZ195">
        <v>1200</v>
      </c>
      <c r="BA195">
        <v>1</v>
      </c>
      <c r="BB195" t="str">
        <f t="shared" si="48"/>
        <v xml:space="preserve">N733KP  </v>
      </c>
      <c r="BC195">
        <v>1</v>
      </c>
      <c r="BE195">
        <v>0</v>
      </c>
      <c r="BF195">
        <v>0</v>
      </c>
      <c r="BG195">
        <v>0</v>
      </c>
      <c r="BH195">
        <v>1900</v>
      </c>
      <c r="BI195">
        <v>1</v>
      </c>
      <c r="BJ195">
        <v>1</v>
      </c>
      <c r="BK195">
        <v>0</v>
      </c>
      <c r="BL195">
        <v>0</v>
      </c>
      <c r="BO195">
        <v>0</v>
      </c>
      <c r="BP195">
        <v>0</v>
      </c>
      <c r="BW195" t="str">
        <f>"22:10:09.469"</f>
        <v>22:10:09.469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119</v>
      </c>
      <c r="CQ195">
        <v>364</v>
      </c>
      <c r="CR195">
        <v>0</v>
      </c>
      <c r="CW195">
        <v>1371402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"03/24/2022 22:10:09.665"</f>
        <v>03/24/2022 22:10:09.665</v>
      </c>
      <c r="C196" t="str">
        <f t="shared" si="46"/>
        <v>FFDFD3C0</v>
      </c>
      <c r="D196" t="s">
        <v>126</v>
      </c>
      <c r="E196">
        <v>3</v>
      </c>
      <c r="H196">
        <v>160</v>
      </c>
      <c r="I196" t="s">
        <v>121</v>
      </c>
      <c r="J196" t="s">
        <v>127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59"/>
        <v>22:10:09.000</v>
      </c>
      <c r="T196" t="str">
        <f t="shared" si="59"/>
        <v>22:10:09.000</v>
      </c>
      <c r="U196" t="str">
        <f t="shared" si="60"/>
        <v>A9D71F</v>
      </c>
      <c r="V196">
        <v>0</v>
      </c>
      <c r="W196">
        <v>0</v>
      </c>
      <c r="X196">
        <v>2</v>
      </c>
      <c r="Z196">
        <v>1</v>
      </c>
      <c r="AA196">
        <v>8</v>
      </c>
      <c r="AB196">
        <v>3</v>
      </c>
      <c r="AC196">
        <v>0</v>
      </c>
      <c r="AD196">
        <v>9</v>
      </c>
      <c r="AE196">
        <v>0</v>
      </c>
      <c r="AF196">
        <v>3</v>
      </c>
      <c r="AG196">
        <v>1</v>
      </c>
      <c r="AH196">
        <v>0</v>
      </c>
      <c r="AI196" t="s">
        <v>205</v>
      </c>
      <c r="AJ196">
        <v>33.18871</v>
      </c>
      <c r="AK196" t="s">
        <v>206</v>
      </c>
      <c r="AL196">
        <v>-97.807310000000001</v>
      </c>
      <c r="AM196">
        <v>25</v>
      </c>
      <c r="AN196">
        <v>1900</v>
      </c>
      <c r="AO196" t="s">
        <v>118</v>
      </c>
      <c r="AP196">
        <v>91</v>
      </c>
      <c r="AQ196">
        <v>-3</v>
      </c>
      <c r="AR196">
        <v>768</v>
      </c>
      <c r="AZ196">
        <v>1200</v>
      </c>
      <c r="BA196">
        <v>1</v>
      </c>
      <c r="BB196" t="str">
        <f t="shared" si="48"/>
        <v xml:space="preserve">N733KP  </v>
      </c>
      <c r="BC196">
        <v>1</v>
      </c>
      <c r="BE196">
        <v>0</v>
      </c>
      <c r="BF196">
        <v>0</v>
      </c>
      <c r="BG196">
        <v>0</v>
      </c>
      <c r="BH196">
        <v>1900</v>
      </c>
      <c r="BI196">
        <v>1</v>
      </c>
      <c r="BJ196">
        <v>1</v>
      </c>
      <c r="BK196">
        <v>0</v>
      </c>
      <c r="BL196">
        <v>0</v>
      </c>
      <c r="BO196">
        <v>0</v>
      </c>
      <c r="BP196">
        <v>0</v>
      </c>
      <c r="BW196" t="str">
        <f>"22:10:09.469"</f>
        <v>22:10:09.469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119</v>
      </c>
      <c r="CQ196">
        <v>364</v>
      </c>
      <c r="CR196">
        <v>0</v>
      </c>
      <c r="CW196">
        <v>1371402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"03/24/2022 22:10:09.665"</f>
        <v>03/24/2022 22:10:09.665</v>
      </c>
      <c r="C197" t="str">
        <f t="shared" si="46"/>
        <v>FFDFD3C0</v>
      </c>
      <c r="D197" t="s">
        <v>120</v>
      </c>
      <c r="E197">
        <v>14</v>
      </c>
      <c r="F197">
        <v>1014</v>
      </c>
      <c r="G197" t="s">
        <v>121</v>
      </c>
      <c r="J197" t="s">
        <v>122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 t="shared" si="59"/>
        <v>22:10:09.000</v>
      </c>
      <c r="T197" t="str">
        <f t="shared" si="59"/>
        <v>22:10:09.000</v>
      </c>
      <c r="U197" t="str">
        <f t="shared" si="60"/>
        <v>A9D71F</v>
      </c>
      <c r="V197">
        <v>0</v>
      </c>
      <c r="W197">
        <v>0</v>
      </c>
      <c r="X197">
        <v>2</v>
      </c>
      <c r="Z197">
        <v>1</v>
      </c>
      <c r="AA197">
        <v>8</v>
      </c>
      <c r="AB197">
        <v>3</v>
      </c>
      <c r="AC197">
        <v>0</v>
      </c>
      <c r="AD197">
        <v>9</v>
      </c>
      <c r="AE197">
        <v>0</v>
      </c>
      <c r="AF197">
        <v>3</v>
      </c>
      <c r="AG197">
        <v>1</v>
      </c>
      <c r="AH197">
        <v>0</v>
      </c>
      <c r="AI197" t="s">
        <v>205</v>
      </c>
      <c r="AJ197">
        <v>33.18871</v>
      </c>
      <c r="AK197" t="s">
        <v>206</v>
      </c>
      <c r="AL197">
        <v>-97.807310000000001</v>
      </c>
      <c r="AM197">
        <v>25</v>
      </c>
      <c r="AN197">
        <v>1900</v>
      </c>
      <c r="AO197" t="s">
        <v>118</v>
      </c>
      <c r="AP197">
        <v>91</v>
      </c>
      <c r="AQ197">
        <v>-3</v>
      </c>
      <c r="AR197">
        <v>768</v>
      </c>
      <c r="AZ197">
        <v>1200</v>
      </c>
      <c r="BA197">
        <v>1</v>
      </c>
      <c r="BB197" t="str">
        <f t="shared" si="48"/>
        <v xml:space="preserve">N733KP  </v>
      </c>
      <c r="BC197">
        <v>1</v>
      </c>
      <c r="BE197">
        <v>0</v>
      </c>
      <c r="BF197">
        <v>0</v>
      </c>
      <c r="BG197">
        <v>0</v>
      </c>
      <c r="BH197">
        <v>1900</v>
      </c>
      <c r="BI197">
        <v>1</v>
      </c>
      <c r="BJ197">
        <v>1</v>
      </c>
      <c r="BK197">
        <v>0</v>
      </c>
      <c r="BL197">
        <v>0</v>
      </c>
      <c r="BO197">
        <v>0</v>
      </c>
      <c r="BP197">
        <v>0</v>
      </c>
      <c r="BW197" t="str">
        <f>"22:10:09.469"</f>
        <v>22:10:09.469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364</v>
      </c>
      <c r="CR197">
        <v>0</v>
      </c>
      <c r="CW197">
        <v>1371402</v>
      </c>
      <c r="CY197">
        <v>1</v>
      </c>
      <c r="CZ197">
        <v>0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"03/24/2022 22:10:11.071"</f>
        <v>03/24/2022 22:10:11.071</v>
      </c>
      <c r="C198" t="str">
        <f t="shared" si="46"/>
        <v>FFDFD3C0</v>
      </c>
      <c r="D198" t="s">
        <v>123</v>
      </c>
      <c r="E198">
        <v>8</v>
      </c>
      <c r="H198">
        <v>31</v>
      </c>
      <c r="I198" t="s">
        <v>124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 t="shared" ref="S198:T201" si="61">"22:10:10.000"</f>
        <v>22:10:10.000</v>
      </c>
      <c r="T198" t="str">
        <f t="shared" si="61"/>
        <v>22:10:10.000</v>
      </c>
      <c r="U198" t="str">
        <f t="shared" si="60"/>
        <v>A9D71F</v>
      </c>
      <c r="V198">
        <v>0</v>
      </c>
      <c r="W198">
        <v>0</v>
      </c>
      <c r="X198">
        <v>2</v>
      </c>
      <c r="Z198">
        <v>1</v>
      </c>
      <c r="AA198">
        <v>8</v>
      </c>
      <c r="AB198">
        <v>3</v>
      </c>
      <c r="AC198">
        <v>0</v>
      </c>
      <c r="AD198">
        <v>9</v>
      </c>
      <c r="AE198">
        <v>0</v>
      </c>
      <c r="AF198">
        <v>3</v>
      </c>
      <c r="AG198">
        <v>1</v>
      </c>
      <c r="AH198">
        <v>0</v>
      </c>
      <c r="AI198" t="s">
        <v>205</v>
      </c>
      <c r="AJ198">
        <v>33.18871</v>
      </c>
      <c r="AK198" t="s">
        <v>207</v>
      </c>
      <c r="AL198">
        <v>-97.806815999999998</v>
      </c>
      <c r="AM198">
        <v>25</v>
      </c>
      <c r="AN198">
        <v>2000</v>
      </c>
      <c r="AO198" t="s">
        <v>118</v>
      </c>
      <c r="AP198">
        <v>92</v>
      </c>
      <c r="AQ198">
        <v>-4</v>
      </c>
      <c r="AR198">
        <v>768</v>
      </c>
      <c r="AZ198">
        <v>1200</v>
      </c>
      <c r="BA198">
        <v>1</v>
      </c>
      <c r="BB198" t="str">
        <f t="shared" si="48"/>
        <v xml:space="preserve">N733KP  </v>
      </c>
      <c r="BC198">
        <v>1</v>
      </c>
      <c r="BE198">
        <v>0</v>
      </c>
      <c r="BF198">
        <v>0</v>
      </c>
      <c r="BG198">
        <v>0</v>
      </c>
      <c r="BH198">
        <v>1900</v>
      </c>
      <c r="BI198">
        <v>1</v>
      </c>
      <c r="BJ198">
        <v>1</v>
      </c>
      <c r="BK198">
        <v>0</v>
      </c>
      <c r="BL198">
        <v>0</v>
      </c>
      <c r="BO198">
        <v>0</v>
      </c>
      <c r="BP198">
        <v>0</v>
      </c>
      <c r="BW198" t="str">
        <f>"22:10:10.897"</f>
        <v>22:10:10.897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364</v>
      </c>
      <c r="CR198">
        <v>0</v>
      </c>
      <c r="CW198">
        <v>1371626</v>
      </c>
      <c r="CY198">
        <v>1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"03/24/2022 22:10:11.071"</f>
        <v>03/24/2022 22:10:11.071</v>
      </c>
      <c r="C199" t="str">
        <f t="shared" si="46"/>
        <v>FFDFD3C0</v>
      </c>
      <c r="D199" t="s">
        <v>126</v>
      </c>
      <c r="E199">
        <v>3</v>
      </c>
      <c r="H199">
        <v>160</v>
      </c>
      <c r="I199" t="s">
        <v>121</v>
      </c>
      <c r="J199" t="s">
        <v>127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 t="shared" si="61"/>
        <v>22:10:10.000</v>
      </c>
      <c r="T199" t="str">
        <f t="shared" si="61"/>
        <v>22:10:10.000</v>
      </c>
      <c r="U199" t="str">
        <f t="shared" si="60"/>
        <v>A9D71F</v>
      </c>
      <c r="V199">
        <v>0</v>
      </c>
      <c r="W199">
        <v>0</v>
      </c>
      <c r="X199">
        <v>2</v>
      </c>
      <c r="Z199">
        <v>1</v>
      </c>
      <c r="AA199">
        <v>8</v>
      </c>
      <c r="AB199">
        <v>3</v>
      </c>
      <c r="AC199">
        <v>0</v>
      </c>
      <c r="AD199">
        <v>9</v>
      </c>
      <c r="AE199">
        <v>0</v>
      </c>
      <c r="AF199">
        <v>3</v>
      </c>
      <c r="AG199">
        <v>1</v>
      </c>
      <c r="AH199">
        <v>0</v>
      </c>
      <c r="AI199" t="s">
        <v>205</v>
      </c>
      <c r="AJ199">
        <v>33.18871</v>
      </c>
      <c r="AK199" t="s">
        <v>207</v>
      </c>
      <c r="AL199">
        <v>-97.806815999999998</v>
      </c>
      <c r="AM199">
        <v>25</v>
      </c>
      <c r="AN199">
        <v>2000</v>
      </c>
      <c r="AO199" t="s">
        <v>118</v>
      </c>
      <c r="AP199">
        <v>92</v>
      </c>
      <c r="AQ199">
        <v>-4</v>
      </c>
      <c r="AR199">
        <v>768</v>
      </c>
      <c r="AZ199">
        <v>1200</v>
      </c>
      <c r="BA199">
        <v>1</v>
      </c>
      <c r="BB199" t="str">
        <f t="shared" si="48"/>
        <v xml:space="preserve">N733KP  </v>
      </c>
      <c r="BC199">
        <v>1</v>
      </c>
      <c r="BE199">
        <v>0</v>
      </c>
      <c r="BF199">
        <v>0</v>
      </c>
      <c r="BG199">
        <v>0</v>
      </c>
      <c r="BH199">
        <v>1900</v>
      </c>
      <c r="BI199">
        <v>1</v>
      </c>
      <c r="BJ199">
        <v>1</v>
      </c>
      <c r="BK199">
        <v>0</v>
      </c>
      <c r="BL199">
        <v>0</v>
      </c>
      <c r="BO199">
        <v>0</v>
      </c>
      <c r="BP199">
        <v>0</v>
      </c>
      <c r="BW199" t="str">
        <f>"22:10:10.897"</f>
        <v>22:10:10.897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364</v>
      </c>
      <c r="CR199">
        <v>0</v>
      </c>
      <c r="CW199">
        <v>1371626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"03/24/2022 22:10:11.040"</f>
        <v>03/24/2022 22:10:11.040</v>
      </c>
      <c r="C200" t="str">
        <f t="shared" si="46"/>
        <v>FFDFD3C0</v>
      </c>
      <c r="D200" t="s">
        <v>113</v>
      </c>
      <c r="E200">
        <v>24</v>
      </c>
      <c r="F200">
        <v>2024</v>
      </c>
      <c r="G200" t="s">
        <v>114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 t="shared" si="61"/>
        <v>22:10:10.000</v>
      </c>
      <c r="T200" t="str">
        <f t="shared" si="61"/>
        <v>22:10:10.000</v>
      </c>
      <c r="U200" t="str">
        <f t="shared" si="60"/>
        <v>A9D71F</v>
      </c>
      <c r="V200">
        <v>0</v>
      </c>
      <c r="W200">
        <v>0</v>
      </c>
      <c r="X200">
        <v>2</v>
      </c>
      <c r="Z200">
        <v>1</v>
      </c>
      <c r="AA200">
        <v>8</v>
      </c>
      <c r="AB200">
        <v>3</v>
      </c>
      <c r="AC200">
        <v>0</v>
      </c>
      <c r="AD200">
        <v>9</v>
      </c>
      <c r="AE200">
        <v>0</v>
      </c>
      <c r="AF200">
        <v>3</v>
      </c>
      <c r="AG200">
        <v>1</v>
      </c>
      <c r="AH200">
        <v>0</v>
      </c>
      <c r="AI200" t="s">
        <v>205</v>
      </c>
      <c r="AJ200">
        <v>33.18871</v>
      </c>
      <c r="AK200" t="s">
        <v>207</v>
      </c>
      <c r="AL200">
        <v>-97.806815999999998</v>
      </c>
      <c r="AM200">
        <v>25</v>
      </c>
      <c r="AN200">
        <v>2000</v>
      </c>
      <c r="AO200" t="s">
        <v>118</v>
      </c>
      <c r="AP200">
        <v>92</v>
      </c>
      <c r="AQ200">
        <v>-4</v>
      </c>
      <c r="AR200">
        <v>768</v>
      </c>
      <c r="AZ200">
        <v>1200</v>
      </c>
      <c r="BA200">
        <v>1</v>
      </c>
      <c r="BB200" t="str">
        <f t="shared" si="48"/>
        <v xml:space="preserve">N733KP  </v>
      </c>
      <c r="BC200">
        <v>1</v>
      </c>
      <c r="BE200">
        <v>0</v>
      </c>
      <c r="BF200">
        <v>0</v>
      </c>
      <c r="BG200">
        <v>0</v>
      </c>
      <c r="BH200">
        <v>1900</v>
      </c>
      <c r="BI200">
        <v>1</v>
      </c>
      <c r="BJ200">
        <v>1</v>
      </c>
      <c r="BK200">
        <v>0</v>
      </c>
      <c r="BL200">
        <v>0</v>
      </c>
      <c r="BO200">
        <v>0</v>
      </c>
      <c r="BP200">
        <v>0</v>
      </c>
      <c r="BW200" t="str">
        <f>"22:10:10.897"</f>
        <v>22:10:10.897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119</v>
      </c>
      <c r="CQ200">
        <v>364</v>
      </c>
      <c r="CR200">
        <v>0</v>
      </c>
      <c r="CW200">
        <v>1371626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"03/24/2022 22:10:11.133"</f>
        <v>03/24/2022 22:10:11.133</v>
      </c>
      <c r="C201" t="str">
        <f t="shared" si="46"/>
        <v>FFDFD3C0</v>
      </c>
      <c r="D201" t="s">
        <v>120</v>
      </c>
      <c r="E201">
        <v>14</v>
      </c>
      <c r="F201">
        <v>1014</v>
      </c>
      <c r="G201" t="s">
        <v>121</v>
      </c>
      <c r="J201" t="s">
        <v>122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si="61"/>
        <v>22:10:10.000</v>
      </c>
      <c r="T201" t="str">
        <f t="shared" si="61"/>
        <v>22:10:10.000</v>
      </c>
      <c r="U201" t="str">
        <f t="shared" si="60"/>
        <v>A9D71F</v>
      </c>
      <c r="V201">
        <v>0</v>
      </c>
      <c r="W201">
        <v>0</v>
      </c>
      <c r="X201">
        <v>2</v>
      </c>
      <c r="Z201">
        <v>1</v>
      </c>
      <c r="AA201">
        <v>8</v>
      </c>
      <c r="AB201">
        <v>3</v>
      </c>
      <c r="AC201">
        <v>0</v>
      </c>
      <c r="AD201">
        <v>9</v>
      </c>
      <c r="AE201">
        <v>0</v>
      </c>
      <c r="AF201">
        <v>3</v>
      </c>
      <c r="AG201">
        <v>1</v>
      </c>
      <c r="AH201">
        <v>0</v>
      </c>
      <c r="AI201" t="s">
        <v>205</v>
      </c>
      <c r="AJ201">
        <v>33.18871</v>
      </c>
      <c r="AK201" t="s">
        <v>207</v>
      </c>
      <c r="AL201">
        <v>-97.806815999999998</v>
      </c>
      <c r="AM201">
        <v>25</v>
      </c>
      <c r="AN201">
        <v>2000</v>
      </c>
      <c r="AO201" t="s">
        <v>118</v>
      </c>
      <c r="AP201">
        <v>92</v>
      </c>
      <c r="AQ201">
        <v>-4</v>
      </c>
      <c r="AR201">
        <v>768</v>
      </c>
      <c r="AZ201">
        <v>1200</v>
      </c>
      <c r="BA201">
        <v>1</v>
      </c>
      <c r="BB201" t="str">
        <f t="shared" si="48"/>
        <v xml:space="preserve">N733KP  </v>
      </c>
      <c r="BC201">
        <v>1</v>
      </c>
      <c r="BE201">
        <v>0</v>
      </c>
      <c r="BF201">
        <v>0</v>
      </c>
      <c r="BG201">
        <v>0</v>
      </c>
      <c r="BH201">
        <v>1900</v>
      </c>
      <c r="BI201">
        <v>1</v>
      </c>
      <c r="BJ201">
        <v>1</v>
      </c>
      <c r="BK201">
        <v>0</v>
      </c>
      <c r="BL201">
        <v>0</v>
      </c>
      <c r="BO201">
        <v>0</v>
      </c>
      <c r="BP201">
        <v>0</v>
      </c>
      <c r="BW201" t="str">
        <f>"22:10:10.897"</f>
        <v>22:10:10.897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364</v>
      </c>
      <c r="CR201">
        <v>0</v>
      </c>
      <c r="CW201">
        <v>1371626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"03/24/2022 22:10:11.446"</f>
        <v>03/24/2022 22:10:11.446</v>
      </c>
      <c r="C202" t="str">
        <f t="shared" si="46"/>
        <v>FFDFD3C0</v>
      </c>
      <c r="D202" t="s">
        <v>113</v>
      </c>
      <c r="E202">
        <v>24</v>
      </c>
      <c r="F202">
        <v>2024</v>
      </c>
      <c r="G202" t="s">
        <v>114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ref="S202:T205" si="62">"22:10:11.000"</f>
        <v>22:10:11.000</v>
      </c>
      <c r="T202" t="str">
        <f t="shared" si="62"/>
        <v>22:10:11.000</v>
      </c>
      <c r="U202" t="str">
        <f t="shared" si="60"/>
        <v>A9D71F</v>
      </c>
      <c r="V202">
        <v>0</v>
      </c>
      <c r="W202">
        <v>0</v>
      </c>
      <c r="X202">
        <v>2</v>
      </c>
      <c r="Z202">
        <v>1</v>
      </c>
      <c r="AA202">
        <v>8</v>
      </c>
      <c r="AB202">
        <v>3</v>
      </c>
      <c r="AC202">
        <v>0</v>
      </c>
      <c r="AD202">
        <v>9</v>
      </c>
      <c r="AE202">
        <v>0</v>
      </c>
      <c r="AF202">
        <v>3</v>
      </c>
      <c r="AG202">
        <v>1</v>
      </c>
      <c r="AH202">
        <v>0</v>
      </c>
      <c r="AI202" t="s">
        <v>208</v>
      </c>
      <c r="AJ202">
        <v>33.188667000000002</v>
      </c>
      <c r="AK202" t="s">
        <v>209</v>
      </c>
      <c r="AL202">
        <v>-97.806323000000006</v>
      </c>
      <c r="AM202">
        <v>25</v>
      </c>
      <c r="AN202">
        <v>2000</v>
      </c>
      <c r="AO202" t="s">
        <v>118</v>
      </c>
      <c r="AP202">
        <v>91</v>
      </c>
      <c r="AQ202">
        <v>-3</v>
      </c>
      <c r="AR202">
        <v>704</v>
      </c>
      <c r="AZ202">
        <v>1200</v>
      </c>
      <c r="BA202">
        <v>1</v>
      </c>
      <c r="BB202" t="str">
        <f t="shared" si="48"/>
        <v xml:space="preserve">N733KP  </v>
      </c>
      <c r="BC202">
        <v>1</v>
      </c>
      <c r="BE202">
        <v>0</v>
      </c>
      <c r="BF202">
        <v>0</v>
      </c>
      <c r="BG202">
        <v>0</v>
      </c>
      <c r="BH202">
        <v>1925</v>
      </c>
      <c r="BI202">
        <v>1</v>
      </c>
      <c r="BJ202">
        <v>1</v>
      </c>
      <c r="BK202">
        <v>0</v>
      </c>
      <c r="BL202">
        <v>0</v>
      </c>
      <c r="BO202">
        <v>0</v>
      </c>
      <c r="BP202">
        <v>0</v>
      </c>
      <c r="BW202" t="str">
        <f>"22:10:11.283"</f>
        <v>22:10:11.283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364</v>
      </c>
      <c r="CR202">
        <v>0</v>
      </c>
      <c r="CW202">
        <v>1371695</v>
      </c>
      <c r="CY202">
        <v>1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"03/24/2022 22:10:11.508"</f>
        <v>03/24/2022 22:10:11.508</v>
      </c>
      <c r="C203" t="str">
        <f t="shared" si="46"/>
        <v>FFDFD3C0</v>
      </c>
      <c r="D203" t="s">
        <v>123</v>
      </c>
      <c r="E203">
        <v>8</v>
      </c>
      <c r="H203">
        <v>31</v>
      </c>
      <c r="I203" t="s">
        <v>124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si="62"/>
        <v>22:10:11.000</v>
      </c>
      <c r="T203" t="str">
        <f t="shared" si="62"/>
        <v>22:10:11.000</v>
      </c>
      <c r="U203" t="str">
        <f t="shared" si="60"/>
        <v>A9D71F</v>
      </c>
      <c r="V203">
        <v>0</v>
      </c>
      <c r="W203">
        <v>0</v>
      </c>
      <c r="X203">
        <v>2</v>
      </c>
      <c r="Z203">
        <v>1</v>
      </c>
      <c r="AA203">
        <v>8</v>
      </c>
      <c r="AB203">
        <v>3</v>
      </c>
      <c r="AC203">
        <v>0</v>
      </c>
      <c r="AD203">
        <v>9</v>
      </c>
      <c r="AE203">
        <v>0</v>
      </c>
      <c r="AF203">
        <v>3</v>
      </c>
      <c r="AG203">
        <v>1</v>
      </c>
      <c r="AH203">
        <v>0</v>
      </c>
      <c r="AI203" t="s">
        <v>208</v>
      </c>
      <c r="AJ203">
        <v>33.188667000000002</v>
      </c>
      <c r="AK203" t="s">
        <v>209</v>
      </c>
      <c r="AL203">
        <v>-97.806323000000006</v>
      </c>
      <c r="AM203">
        <v>25</v>
      </c>
      <c r="AN203">
        <v>2000</v>
      </c>
      <c r="AO203" t="s">
        <v>118</v>
      </c>
      <c r="AP203">
        <v>91</v>
      </c>
      <c r="AQ203">
        <v>-3</v>
      </c>
      <c r="AR203">
        <v>704</v>
      </c>
      <c r="AZ203">
        <v>1200</v>
      </c>
      <c r="BA203">
        <v>1</v>
      </c>
      <c r="BB203" t="str">
        <f t="shared" si="48"/>
        <v xml:space="preserve">N733KP  </v>
      </c>
      <c r="BC203">
        <v>1</v>
      </c>
      <c r="BE203">
        <v>0</v>
      </c>
      <c r="BF203">
        <v>0</v>
      </c>
      <c r="BG203">
        <v>0</v>
      </c>
      <c r="BH203">
        <v>1925</v>
      </c>
      <c r="BI203">
        <v>1</v>
      </c>
      <c r="BJ203">
        <v>1</v>
      </c>
      <c r="BK203">
        <v>0</v>
      </c>
      <c r="BL203">
        <v>0</v>
      </c>
      <c r="BO203">
        <v>0</v>
      </c>
      <c r="BP203">
        <v>0</v>
      </c>
      <c r="BW203" t="str">
        <f>"22:10:11.283"</f>
        <v>22:10:11.283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364</v>
      </c>
      <c r="CR203">
        <v>0</v>
      </c>
      <c r="CW203">
        <v>1371695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"03/24/2022 22:10:11.508"</f>
        <v>03/24/2022 22:10:11.508</v>
      </c>
      <c r="C204" t="str">
        <f t="shared" si="46"/>
        <v>FFDFD3C0</v>
      </c>
      <c r="D204" t="s">
        <v>126</v>
      </c>
      <c r="E204">
        <v>3</v>
      </c>
      <c r="H204">
        <v>160</v>
      </c>
      <c r="I204" t="s">
        <v>121</v>
      </c>
      <c r="J204" t="s">
        <v>127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si="62"/>
        <v>22:10:11.000</v>
      </c>
      <c r="T204" t="str">
        <f t="shared" si="62"/>
        <v>22:10:11.000</v>
      </c>
      <c r="U204" t="str">
        <f t="shared" si="60"/>
        <v>A9D71F</v>
      </c>
      <c r="V204">
        <v>0</v>
      </c>
      <c r="W204">
        <v>0</v>
      </c>
      <c r="X204">
        <v>2</v>
      </c>
      <c r="Z204">
        <v>1</v>
      </c>
      <c r="AA204">
        <v>8</v>
      </c>
      <c r="AB204">
        <v>3</v>
      </c>
      <c r="AC204">
        <v>0</v>
      </c>
      <c r="AD204">
        <v>9</v>
      </c>
      <c r="AE204">
        <v>0</v>
      </c>
      <c r="AF204">
        <v>3</v>
      </c>
      <c r="AG204">
        <v>1</v>
      </c>
      <c r="AH204">
        <v>0</v>
      </c>
      <c r="AI204" t="s">
        <v>208</v>
      </c>
      <c r="AJ204">
        <v>33.188667000000002</v>
      </c>
      <c r="AK204" t="s">
        <v>209</v>
      </c>
      <c r="AL204">
        <v>-97.806323000000006</v>
      </c>
      <c r="AM204">
        <v>25</v>
      </c>
      <c r="AN204">
        <v>2000</v>
      </c>
      <c r="AO204" t="s">
        <v>118</v>
      </c>
      <c r="AP204">
        <v>91</v>
      </c>
      <c r="AQ204">
        <v>-3</v>
      </c>
      <c r="AR204">
        <v>704</v>
      </c>
      <c r="AZ204">
        <v>1200</v>
      </c>
      <c r="BA204">
        <v>1</v>
      </c>
      <c r="BB204" t="str">
        <f t="shared" si="48"/>
        <v xml:space="preserve">N733KP  </v>
      </c>
      <c r="BC204">
        <v>1</v>
      </c>
      <c r="BE204">
        <v>0</v>
      </c>
      <c r="BF204">
        <v>0</v>
      </c>
      <c r="BG204">
        <v>0</v>
      </c>
      <c r="BH204">
        <v>1925</v>
      </c>
      <c r="BI204">
        <v>1</v>
      </c>
      <c r="BJ204">
        <v>1</v>
      </c>
      <c r="BK204">
        <v>0</v>
      </c>
      <c r="BL204">
        <v>0</v>
      </c>
      <c r="BO204">
        <v>0</v>
      </c>
      <c r="BP204">
        <v>0</v>
      </c>
      <c r="BW204" t="str">
        <f>"22:10:11.283"</f>
        <v>22:10:11.283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364</v>
      </c>
      <c r="CR204">
        <v>0</v>
      </c>
      <c r="CW204">
        <v>1371695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"03/24/2022 22:10:11.508"</f>
        <v>03/24/2022 22:10:11.508</v>
      </c>
      <c r="C205" t="str">
        <f t="shared" si="46"/>
        <v>FFDFD3C0</v>
      </c>
      <c r="D205" t="s">
        <v>120</v>
      </c>
      <c r="E205">
        <v>14</v>
      </c>
      <c r="F205">
        <v>1014</v>
      </c>
      <c r="G205" t="s">
        <v>121</v>
      </c>
      <c r="J205" t="s">
        <v>122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si="62"/>
        <v>22:10:11.000</v>
      </c>
      <c r="T205" t="str">
        <f t="shared" si="62"/>
        <v>22:10:11.000</v>
      </c>
      <c r="U205" t="str">
        <f t="shared" si="60"/>
        <v>A9D71F</v>
      </c>
      <c r="V205">
        <v>0</v>
      </c>
      <c r="W205">
        <v>0</v>
      </c>
      <c r="X205">
        <v>2</v>
      </c>
      <c r="Z205">
        <v>1</v>
      </c>
      <c r="AA205">
        <v>8</v>
      </c>
      <c r="AB205">
        <v>3</v>
      </c>
      <c r="AC205">
        <v>0</v>
      </c>
      <c r="AD205">
        <v>9</v>
      </c>
      <c r="AE205">
        <v>0</v>
      </c>
      <c r="AF205">
        <v>3</v>
      </c>
      <c r="AG205">
        <v>1</v>
      </c>
      <c r="AH205">
        <v>0</v>
      </c>
      <c r="AI205" t="s">
        <v>208</v>
      </c>
      <c r="AJ205">
        <v>33.188667000000002</v>
      </c>
      <c r="AK205" t="s">
        <v>209</v>
      </c>
      <c r="AL205">
        <v>-97.806323000000006</v>
      </c>
      <c r="AM205">
        <v>25</v>
      </c>
      <c r="AN205">
        <v>2000</v>
      </c>
      <c r="AO205" t="s">
        <v>118</v>
      </c>
      <c r="AP205">
        <v>91</v>
      </c>
      <c r="AQ205">
        <v>-3</v>
      </c>
      <c r="AR205">
        <v>704</v>
      </c>
      <c r="AZ205">
        <v>1200</v>
      </c>
      <c r="BA205">
        <v>1</v>
      </c>
      <c r="BB205" t="str">
        <f t="shared" si="48"/>
        <v xml:space="preserve">N733KP  </v>
      </c>
      <c r="BC205">
        <v>1</v>
      </c>
      <c r="BE205">
        <v>0</v>
      </c>
      <c r="BF205">
        <v>0</v>
      </c>
      <c r="BG205">
        <v>0</v>
      </c>
      <c r="BH205">
        <v>1925</v>
      </c>
      <c r="BI205">
        <v>1</v>
      </c>
      <c r="BJ205">
        <v>1</v>
      </c>
      <c r="BK205">
        <v>0</v>
      </c>
      <c r="BL205">
        <v>0</v>
      </c>
      <c r="BO205">
        <v>0</v>
      </c>
      <c r="BP205">
        <v>0</v>
      </c>
      <c r="BW205" t="str">
        <f>"22:10:11.283"</f>
        <v>22:10:11.283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364</v>
      </c>
      <c r="CR205">
        <v>0</v>
      </c>
      <c r="CW205">
        <v>1371695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"03/24/2022 22:10:12.873"</f>
        <v>03/24/2022 22:10:12.873</v>
      </c>
      <c r="C206" t="str">
        <f t="shared" si="46"/>
        <v>FFDFD3C0</v>
      </c>
      <c r="D206" t="s">
        <v>113</v>
      </c>
      <c r="E206">
        <v>24</v>
      </c>
      <c r="F206">
        <v>2024</v>
      </c>
      <c r="G206" t="s">
        <v>114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ref="S206:T209" si="63">"22:10:12.000"</f>
        <v>22:10:12.000</v>
      </c>
      <c r="T206" t="str">
        <f t="shared" si="63"/>
        <v>22:10:12.000</v>
      </c>
      <c r="U206" t="str">
        <f t="shared" si="60"/>
        <v>A9D71F</v>
      </c>
      <c r="V206">
        <v>0</v>
      </c>
      <c r="W206">
        <v>0</v>
      </c>
      <c r="X206">
        <v>2</v>
      </c>
      <c r="Z206">
        <v>1</v>
      </c>
      <c r="AA206">
        <v>8</v>
      </c>
      <c r="AB206">
        <v>3</v>
      </c>
      <c r="AC206">
        <v>0</v>
      </c>
      <c r="AD206">
        <v>9</v>
      </c>
      <c r="AE206">
        <v>0</v>
      </c>
      <c r="AF206">
        <v>3</v>
      </c>
      <c r="AG206">
        <v>1</v>
      </c>
      <c r="AH206">
        <v>0</v>
      </c>
      <c r="AI206" t="s">
        <v>210</v>
      </c>
      <c r="AJ206">
        <v>33.188645999999999</v>
      </c>
      <c r="AK206" t="s">
        <v>211</v>
      </c>
      <c r="AL206">
        <v>-97.805785999999998</v>
      </c>
      <c r="AM206">
        <v>25</v>
      </c>
      <c r="AN206">
        <v>2000</v>
      </c>
      <c r="AO206" t="s">
        <v>118</v>
      </c>
      <c r="AP206">
        <v>91</v>
      </c>
      <c r="AQ206">
        <v>-5</v>
      </c>
      <c r="AR206">
        <v>704</v>
      </c>
      <c r="AZ206">
        <v>1200</v>
      </c>
      <c r="BA206">
        <v>1</v>
      </c>
      <c r="BB206" t="str">
        <f t="shared" si="48"/>
        <v xml:space="preserve">N733KP  </v>
      </c>
      <c r="BC206">
        <v>1</v>
      </c>
      <c r="BE206">
        <v>0</v>
      </c>
      <c r="BF206">
        <v>0</v>
      </c>
      <c r="BG206">
        <v>0</v>
      </c>
      <c r="BH206">
        <v>1925</v>
      </c>
      <c r="BI206">
        <v>1</v>
      </c>
      <c r="BJ206">
        <v>1</v>
      </c>
      <c r="BK206">
        <v>0</v>
      </c>
      <c r="BL206">
        <v>0</v>
      </c>
      <c r="BO206">
        <v>0</v>
      </c>
      <c r="BP206">
        <v>0</v>
      </c>
      <c r="BW206" t="str">
        <f>"22:10:12.711"</f>
        <v>22:10:12.711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6</v>
      </c>
      <c r="CP206" t="s">
        <v>119</v>
      </c>
      <c r="CQ206">
        <v>364</v>
      </c>
      <c r="CR206">
        <v>0</v>
      </c>
      <c r="CW206">
        <v>1371932</v>
      </c>
      <c r="CY206">
        <v>1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"03/24/2022 22:10:12.873"</f>
        <v>03/24/2022 22:10:12.873</v>
      </c>
      <c r="C207" t="str">
        <f t="shared" si="46"/>
        <v>FFDFD3C0</v>
      </c>
      <c r="D207" t="s">
        <v>123</v>
      </c>
      <c r="E207">
        <v>8</v>
      </c>
      <c r="H207">
        <v>31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 t="shared" si="63"/>
        <v>22:10:12.000</v>
      </c>
      <c r="T207" t="str">
        <f t="shared" si="63"/>
        <v>22:10:12.000</v>
      </c>
      <c r="U207" t="str">
        <f t="shared" si="60"/>
        <v>A9D71F</v>
      </c>
      <c r="V207">
        <v>0</v>
      </c>
      <c r="W207">
        <v>0</v>
      </c>
      <c r="X207">
        <v>2</v>
      </c>
      <c r="Z207">
        <v>1</v>
      </c>
      <c r="AA207">
        <v>8</v>
      </c>
      <c r="AB207">
        <v>3</v>
      </c>
      <c r="AC207">
        <v>0</v>
      </c>
      <c r="AD207">
        <v>9</v>
      </c>
      <c r="AE207">
        <v>0</v>
      </c>
      <c r="AF207">
        <v>3</v>
      </c>
      <c r="AG207">
        <v>1</v>
      </c>
      <c r="AH207">
        <v>0</v>
      </c>
      <c r="AI207" t="s">
        <v>210</v>
      </c>
      <c r="AJ207">
        <v>33.188645999999999</v>
      </c>
      <c r="AK207" t="s">
        <v>211</v>
      </c>
      <c r="AL207">
        <v>-97.805785999999998</v>
      </c>
      <c r="AM207">
        <v>25</v>
      </c>
      <c r="AN207">
        <v>2000</v>
      </c>
      <c r="AO207" t="s">
        <v>118</v>
      </c>
      <c r="AP207">
        <v>91</v>
      </c>
      <c r="AQ207">
        <v>-5</v>
      </c>
      <c r="AR207">
        <v>704</v>
      </c>
      <c r="AZ207">
        <v>1200</v>
      </c>
      <c r="BA207">
        <v>1</v>
      </c>
      <c r="BB207" t="str">
        <f t="shared" si="48"/>
        <v xml:space="preserve">N733KP  </v>
      </c>
      <c r="BC207">
        <v>1</v>
      </c>
      <c r="BE207">
        <v>0</v>
      </c>
      <c r="BF207">
        <v>0</v>
      </c>
      <c r="BG207">
        <v>0</v>
      </c>
      <c r="BH207">
        <v>1925</v>
      </c>
      <c r="BI207">
        <v>1</v>
      </c>
      <c r="BJ207">
        <v>1</v>
      </c>
      <c r="BK207">
        <v>0</v>
      </c>
      <c r="BL207">
        <v>0</v>
      </c>
      <c r="BO207">
        <v>0</v>
      </c>
      <c r="BP207">
        <v>0</v>
      </c>
      <c r="BW207" t="str">
        <f>"22:10:12.711"</f>
        <v>22:10:12.711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6</v>
      </c>
      <c r="CP207" t="s">
        <v>119</v>
      </c>
      <c r="CQ207">
        <v>364</v>
      </c>
      <c r="CR207">
        <v>0</v>
      </c>
      <c r="CW207">
        <v>1371932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"03/24/2022 22:10:12.904"</f>
        <v>03/24/2022 22:10:12.904</v>
      </c>
      <c r="C208" t="str">
        <f t="shared" si="46"/>
        <v>FFDFD3C0</v>
      </c>
      <c r="D208" t="s">
        <v>126</v>
      </c>
      <c r="E208">
        <v>3</v>
      </c>
      <c r="H208">
        <v>160</v>
      </c>
      <c r="I208" t="s">
        <v>121</v>
      </c>
      <c r="J208" t="s">
        <v>127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 t="shared" si="63"/>
        <v>22:10:12.000</v>
      </c>
      <c r="T208" t="str">
        <f t="shared" si="63"/>
        <v>22:10:12.000</v>
      </c>
      <c r="U208" t="str">
        <f t="shared" si="60"/>
        <v>A9D71F</v>
      </c>
      <c r="V208">
        <v>0</v>
      </c>
      <c r="W208">
        <v>0</v>
      </c>
      <c r="X208">
        <v>2</v>
      </c>
      <c r="Z208">
        <v>1</v>
      </c>
      <c r="AA208">
        <v>8</v>
      </c>
      <c r="AB208">
        <v>3</v>
      </c>
      <c r="AC208">
        <v>0</v>
      </c>
      <c r="AD208">
        <v>9</v>
      </c>
      <c r="AE208">
        <v>0</v>
      </c>
      <c r="AF208">
        <v>3</v>
      </c>
      <c r="AG208">
        <v>1</v>
      </c>
      <c r="AH208">
        <v>0</v>
      </c>
      <c r="AI208" t="s">
        <v>210</v>
      </c>
      <c r="AJ208">
        <v>33.188645999999999</v>
      </c>
      <c r="AK208" t="s">
        <v>211</v>
      </c>
      <c r="AL208">
        <v>-97.805785999999998</v>
      </c>
      <c r="AM208">
        <v>25</v>
      </c>
      <c r="AN208">
        <v>2000</v>
      </c>
      <c r="AO208" t="s">
        <v>118</v>
      </c>
      <c r="AP208">
        <v>91</v>
      </c>
      <c r="AQ208">
        <v>-5</v>
      </c>
      <c r="AR208">
        <v>704</v>
      </c>
      <c r="AZ208">
        <v>1200</v>
      </c>
      <c r="BA208">
        <v>1</v>
      </c>
      <c r="BB208" t="str">
        <f t="shared" si="48"/>
        <v xml:space="preserve">N733KP  </v>
      </c>
      <c r="BC208">
        <v>1</v>
      </c>
      <c r="BE208">
        <v>0</v>
      </c>
      <c r="BF208">
        <v>0</v>
      </c>
      <c r="BG208">
        <v>0</v>
      </c>
      <c r="BH208">
        <v>1925</v>
      </c>
      <c r="BI208">
        <v>1</v>
      </c>
      <c r="BJ208">
        <v>1</v>
      </c>
      <c r="BK208">
        <v>0</v>
      </c>
      <c r="BL208">
        <v>0</v>
      </c>
      <c r="BO208">
        <v>0</v>
      </c>
      <c r="BP208">
        <v>0</v>
      </c>
      <c r="BW208" t="str">
        <f>"22:10:12.711"</f>
        <v>22:10:12.711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6</v>
      </c>
      <c r="CP208" t="s">
        <v>119</v>
      </c>
      <c r="CQ208">
        <v>364</v>
      </c>
      <c r="CR208">
        <v>0</v>
      </c>
      <c r="CW208">
        <v>1371932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"03/24/2022 22:10:12.935"</f>
        <v>03/24/2022 22:10:12.935</v>
      </c>
      <c r="C209" t="str">
        <f t="shared" si="46"/>
        <v>FFDFD3C0</v>
      </c>
      <c r="D209" t="s">
        <v>120</v>
      </c>
      <c r="E209">
        <v>14</v>
      </c>
      <c r="F209">
        <v>1014</v>
      </c>
      <c r="G209" t="s">
        <v>121</v>
      </c>
      <c r="J209" t="s">
        <v>122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 t="shared" si="63"/>
        <v>22:10:12.000</v>
      </c>
      <c r="T209" t="str">
        <f t="shared" si="63"/>
        <v>22:10:12.000</v>
      </c>
      <c r="U209" t="str">
        <f t="shared" si="60"/>
        <v>A9D71F</v>
      </c>
      <c r="V209">
        <v>0</v>
      </c>
      <c r="W209">
        <v>0</v>
      </c>
      <c r="X209">
        <v>2</v>
      </c>
      <c r="Z209">
        <v>1</v>
      </c>
      <c r="AA209">
        <v>8</v>
      </c>
      <c r="AB209">
        <v>3</v>
      </c>
      <c r="AC209">
        <v>0</v>
      </c>
      <c r="AD209">
        <v>9</v>
      </c>
      <c r="AE209">
        <v>0</v>
      </c>
      <c r="AF209">
        <v>3</v>
      </c>
      <c r="AG209">
        <v>1</v>
      </c>
      <c r="AH209">
        <v>0</v>
      </c>
      <c r="AI209" t="s">
        <v>210</v>
      </c>
      <c r="AJ209">
        <v>33.188645999999999</v>
      </c>
      <c r="AK209" t="s">
        <v>211</v>
      </c>
      <c r="AL209">
        <v>-97.805785999999998</v>
      </c>
      <c r="AM209">
        <v>25</v>
      </c>
      <c r="AN209">
        <v>2000</v>
      </c>
      <c r="AO209" t="s">
        <v>118</v>
      </c>
      <c r="AP209">
        <v>91</v>
      </c>
      <c r="AQ209">
        <v>-5</v>
      </c>
      <c r="AR209">
        <v>704</v>
      </c>
      <c r="AZ209">
        <v>1200</v>
      </c>
      <c r="BA209">
        <v>1</v>
      </c>
      <c r="BB209" t="str">
        <f t="shared" si="48"/>
        <v xml:space="preserve">N733KP  </v>
      </c>
      <c r="BC209">
        <v>1</v>
      </c>
      <c r="BE209">
        <v>0</v>
      </c>
      <c r="BF209">
        <v>0</v>
      </c>
      <c r="BG209">
        <v>0</v>
      </c>
      <c r="BH209">
        <v>1925</v>
      </c>
      <c r="BI209">
        <v>1</v>
      </c>
      <c r="BJ209">
        <v>1</v>
      </c>
      <c r="BK209">
        <v>0</v>
      </c>
      <c r="BL209">
        <v>0</v>
      </c>
      <c r="BO209">
        <v>0</v>
      </c>
      <c r="BP209">
        <v>0</v>
      </c>
      <c r="BW209" t="str">
        <f>"22:10:12.711"</f>
        <v>22:10:12.711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6</v>
      </c>
      <c r="CP209" t="s">
        <v>119</v>
      </c>
      <c r="CQ209">
        <v>364</v>
      </c>
      <c r="CR209">
        <v>0</v>
      </c>
      <c r="CW209">
        <v>1371932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"03/24/2022 22:10:13.672"</f>
        <v>03/24/2022 22:10:13.672</v>
      </c>
      <c r="C210" t="str">
        <f t="shared" si="46"/>
        <v>FFDFD3C0</v>
      </c>
      <c r="D210" t="s">
        <v>120</v>
      </c>
      <c r="E210">
        <v>14</v>
      </c>
      <c r="F210">
        <v>1014</v>
      </c>
      <c r="G210" t="s">
        <v>121</v>
      </c>
      <c r="J210" t="s">
        <v>122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 t="shared" ref="S210:T213" si="64">"22:10:13.000"</f>
        <v>22:10:13.000</v>
      </c>
      <c r="T210" t="str">
        <f t="shared" si="64"/>
        <v>22:10:13.000</v>
      </c>
      <c r="U210" t="str">
        <f t="shared" si="60"/>
        <v>A9D71F</v>
      </c>
      <c r="V210">
        <v>0</v>
      </c>
      <c r="W210">
        <v>0</v>
      </c>
      <c r="X210">
        <v>2</v>
      </c>
      <c r="Z210">
        <v>1</v>
      </c>
      <c r="AA210">
        <v>8</v>
      </c>
      <c r="AB210">
        <v>3</v>
      </c>
      <c r="AC210">
        <v>0</v>
      </c>
      <c r="AD210">
        <v>9</v>
      </c>
      <c r="AE210">
        <v>0</v>
      </c>
      <c r="AF210">
        <v>3</v>
      </c>
      <c r="AG210">
        <v>1</v>
      </c>
      <c r="AH210">
        <v>0</v>
      </c>
      <c r="AI210" t="s">
        <v>212</v>
      </c>
      <c r="AJ210">
        <v>33.188623999999997</v>
      </c>
      <c r="AK210" t="s">
        <v>213</v>
      </c>
      <c r="AL210">
        <v>-97.805293000000006</v>
      </c>
      <c r="AM210">
        <v>25</v>
      </c>
      <c r="AN210">
        <v>2000</v>
      </c>
      <c r="AO210" t="s">
        <v>118</v>
      </c>
      <c r="AP210">
        <v>90</v>
      </c>
      <c r="AQ210">
        <v>-4</v>
      </c>
      <c r="AR210">
        <v>640</v>
      </c>
      <c r="AZ210">
        <v>1200</v>
      </c>
      <c r="BA210">
        <v>1</v>
      </c>
      <c r="BB210" t="str">
        <f t="shared" si="48"/>
        <v xml:space="preserve">N733KP  </v>
      </c>
      <c r="BC210">
        <v>1</v>
      </c>
      <c r="BE210">
        <v>0</v>
      </c>
      <c r="BF210">
        <v>0</v>
      </c>
      <c r="BG210">
        <v>0</v>
      </c>
      <c r="BH210">
        <v>1925</v>
      </c>
      <c r="BI210">
        <v>1</v>
      </c>
      <c r="BJ210">
        <v>1</v>
      </c>
      <c r="BK210">
        <v>0</v>
      </c>
      <c r="BL210">
        <v>0</v>
      </c>
      <c r="BO210">
        <v>0</v>
      </c>
      <c r="BP210">
        <v>0</v>
      </c>
      <c r="BW210" t="str">
        <f>"22:10:13.508"</f>
        <v>22:10:13.508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6</v>
      </c>
      <c r="CP210" t="s">
        <v>119</v>
      </c>
      <c r="CQ210">
        <v>364</v>
      </c>
      <c r="CR210">
        <v>0</v>
      </c>
      <c r="CW210">
        <v>1372058</v>
      </c>
      <c r="CY210">
        <v>1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"03/24/2022 22:10:13.688"</f>
        <v>03/24/2022 22:10:13.688</v>
      </c>
      <c r="C211" t="str">
        <f t="shared" si="46"/>
        <v>FFDFD3C0</v>
      </c>
      <c r="D211" t="s">
        <v>113</v>
      </c>
      <c r="E211">
        <v>24</v>
      </c>
      <c r="F211">
        <v>2024</v>
      </c>
      <c r="G211" t="s">
        <v>114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 t="shared" si="64"/>
        <v>22:10:13.000</v>
      </c>
      <c r="T211" t="str">
        <f t="shared" si="64"/>
        <v>22:10:13.000</v>
      </c>
      <c r="U211" t="str">
        <f t="shared" si="60"/>
        <v>A9D71F</v>
      </c>
      <c r="V211">
        <v>0</v>
      </c>
      <c r="W211">
        <v>0</v>
      </c>
      <c r="X211">
        <v>2</v>
      </c>
      <c r="Z211">
        <v>1</v>
      </c>
      <c r="AA211">
        <v>8</v>
      </c>
      <c r="AB211">
        <v>3</v>
      </c>
      <c r="AC211">
        <v>0</v>
      </c>
      <c r="AD211">
        <v>9</v>
      </c>
      <c r="AE211">
        <v>0</v>
      </c>
      <c r="AF211">
        <v>3</v>
      </c>
      <c r="AG211">
        <v>1</v>
      </c>
      <c r="AH211">
        <v>0</v>
      </c>
      <c r="AI211" t="s">
        <v>212</v>
      </c>
      <c r="AJ211">
        <v>33.188623999999997</v>
      </c>
      <c r="AK211" t="s">
        <v>213</v>
      </c>
      <c r="AL211">
        <v>-97.805293000000006</v>
      </c>
      <c r="AM211">
        <v>25</v>
      </c>
      <c r="AN211">
        <v>2000</v>
      </c>
      <c r="AO211" t="s">
        <v>118</v>
      </c>
      <c r="AP211">
        <v>90</v>
      </c>
      <c r="AQ211">
        <v>-4</v>
      </c>
      <c r="AR211">
        <v>640</v>
      </c>
      <c r="AZ211">
        <v>1200</v>
      </c>
      <c r="BA211">
        <v>1</v>
      </c>
      <c r="BB211" t="str">
        <f t="shared" si="48"/>
        <v xml:space="preserve">N733KP  </v>
      </c>
      <c r="BC211">
        <v>1</v>
      </c>
      <c r="BE211">
        <v>0</v>
      </c>
      <c r="BF211">
        <v>0</v>
      </c>
      <c r="BG211">
        <v>0</v>
      </c>
      <c r="BH211">
        <v>1925</v>
      </c>
      <c r="BI211">
        <v>1</v>
      </c>
      <c r="BJ211">
        <v>1</v>
      </c>
      <c r="BK211">
        <v>0</v>
      </c>
      <c r="BL211">
        <v>0</v>
      </c>
      <c r="BO211">
        <v>0</v>
      </c>
      <c r="BP211">
        <v>0</v>
      </c>
      <c r="BW211" t="str">
        <f>"22:10:13.508"</f>
        <v>22:10:13.508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6</v>
      </c>
      <c r="CP211" t="s">
        <v>119</v>
      </c>
      <c r="CQ211">
        <v>364</v>
      </c>
      <c r="CR211">
        <v>0</v>
      </c>
      <c r="CW211">
        <v>1372058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"03/24/2022 22:10:13.688"</f>
        <v>03/24/2022 22:10:13.688</v>
      </c>
      <c r="C212" t="str">
        <f t="shared" si="46"/>
        <v>FFDFD3C0</v>
      </c>
      <c r="D212" t="s">
        <v>123</v>
      </c>
      <c r="E212">
        <v>8</v>
      </c>
      <c r="H212">
        <v>31</v>
      </c>
      <c r="I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 t="shared" si="64"/>
        <v>22:10:13.000</v>
      </c>
      <c r="T212" t="str">
        <f t="shared" si="64"/>
        <v>22:10:13.000</v>
      </c>
      <c r="U212" t="str">
        <f t="shared" si="60"/>
        <v>A9D71F</v>
      </c>
      <c r="V212">
        <v>0</v>
      </c>
      <c r="W212">
        <v>0</v>
      </c>
      <c r="X212">
        <v>2</v>
      </c>
      <c r="Z212">
        <v>1</v>
      </c>
      <c r="AA212">
        <v>8</v>
      </c>
      <c r="AB212">
        <v>3</v>
      </c>
      <c r="AC212">
        <v>0</v>
      </c>
      <c r="AD212">
        <v>9</v>
      </c>
      <c r="AE212">
        <v>0</v>
      </c>
      <c r="AF212">
        <v>3</v>
      </c>
      <c r="AG212">
        <v>1</v>
      </c>
      <c r="AH212">
        <v>0</v>
      </c>
      <c r="AI212" t="s">
        <v>212</v>
      </c>
      <c r="AJ212">
        <v>33.188623999999997</v>
      </c>
      <c r="AK212" t="s">
        <v>213</v>
      </c>
      <c r="AL212">
        <v>-97.805293000000006</v>
      </c>
      <c r="AM212">
        <v>25</v>
      </c>
      <c r="AN212">
        <v>2000</v>
      </c>
      <c r="AO212" t="s">
        <v>118</v>
      </c>
      <c r="AP212">
        <v>90</v>
      </c>
      <c r="AQ212">
        <v>-4</v>
      </c>
      <c r="AR212">
        <v>640</v>
      </c>
      <c r="AZ212">
        <v>1200</v>
      </c>
      <c r="BA212">
        <v>1</v>
      </c>
      <c r="BB212" t="str">
        <f t="shared" si="48"/>
        <v xml:space="preserve">N733KP  </v>
      </c>
      <c r="BC212">
        <v>1</v>
      </c>
      <c r="BE212">
        <v>0</v>
      </c>
      <c r="BF212">
        <v>0</v>
      </c>
      <c r="BG212">
        <v>0</v>
      </c>
      <c r="BH212">
        <v>1925</v>
      </c>
      <c r="BI212">
        <v>1</v>
      </c>
      <c r="BJ212">
        <v>1</v>
      </c>
      <c r="BK212">
        <v>0</v>
      </c>
      <c r="BL212">
        <v>0</v>
      </c>
      <c r="BO212">
        <v>0</v>
      </c>
      <c r="BP212">
        <v>0</v>
      </c>
      <c r="BW212" t="str">
        <f>"22:10:13.508"</f>
        <v>22:10:13.508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6</v>
      </c>
      <c r="CP212" t="s">
        <v>119</v>
      </c>
      <c r="CQ212">
        <v>364</v>
      </c>
      <c r="CR212">
        <v>0</v>
      </c>
      <c r="CW212">
        <v>1372058</v>
      </c>
      <c r="CY212">
        <v>1</v>
      </c>
      <c r="CZ212">
        <v>0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"03/24/2022 22:10:13.703"</f>
        <v>03/24/2022 22:10:13.703</v>
      </c>
      <c r="C213" t="str">
        <f t="shared" si="46"/>
        <v>FFDFD3C0</v>
      </c>
      <c r="D213" t="s">
        <v>126</v>
      </c>
      <c r="E213">
        <v>3</v>
      </c>
      <c r="H213">
        <v>160</v>
      </c>
      <c r="I213" t="s">
        <v>121</v>
      </c>
      <c r="J213" t="s">
        <v>127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 t="shared" si="64"/>
        <v>22:10:13.000</v>
      </c>
      <c r="T213" t="str">
        <f t="shared" si="64"/>
        <v>22:10:13.000</v>
      </c>
      <c r="U213" t="str">
        <f t="shared" si="60"/>
        <v>A9D71F</v>
      </c>
      <c r="V213">
        <v>0</v>
      </c>
      <c r="W213">
        <v>0</v>
      </c>
      <c r="X213">
        <v>2</v>
      </c>
      <c r="Z213">
        <v>1</v>
      </c>
      <c r="AA213">
        <v>8</v>
      </c>
      <c r="AB213">
        <v>3</v>
      </c>
      <c r="AC213">
        <v>0</v>
      </c>
      <c r="AD213">
        <v>9</v>
      </c>
      <c r="AE213">
        <v>0</v>
      </c>
      <c r="AF213">
        <v>3</v>
      </c>
      <c r="AG213">
        <v>1</v>
      </c>
      <c r="AH213">
        <v>0</v>
      </c>
      <c r="AI213" t="s">
        <v>212</v>
      </c>
      <c r="AJ213">
        <v>33.188623999999997</v>
      </c>
      <c r="AK213" t="s">
        <v>213</v>
      </c>
      <c r="AL213">
        <v>-97.805293000000006</v>
      </c>
      <c r="AM213">
        <v>25</v>
      </c>
      <c r="AN213">
        <v>2000</v>
      </c>
      <c r="AO213" t="s">
        <v>118</v>
      </c>
      <c r="AP213">
        <v>90</v>
      </c>
      <c r="AQ213">
        <v>-4</v>
      </c>
      <c r="AR213">
        <v>640</v>
      </c>
      <c r="AZ213">
        <v>1200</v>
      </c>
      <c r="BA213">
        <v>1</v>
      </c>
      <c r="BB213" t="str">
        <f t="shared" si="48"/>
        <v xml:space="preserve">N733KP  </v>
      </c>
      <c r="BC213">
        <v>1</v>
      </c>
      <c r="BE213">
        <v>0</v>
      </c>
      <c r="BF213">
        <v>0</v>
      </c>
      <c r="BG213">
        <v>0</v>
      </c>
      <c r="BH213">
        <v>1925</v>
      </c>
      <c r="BI213">
        <v>1</v>
      </c>
      <c r="BJ213">
        <v>1</v>
      </c>
      <c r="BK213">
        <v>0</v>
      </c>
      <c r="BL213">
        <v>0</v>
      </c>
      <c r="BO213">
        <v>0</v>
      </c>
      <c r="BP213">
        <v>0</v>
      </c>
      <c r="BW213" t="str">
        <f>"22:10:13.508"</f>
        <v>22:10:13.508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6</v>
      </c>
      <c r="CP213" t="s">
        <v>119</v>
      </c>
      <c r="CQ213">
        <v>364</v>
      </c>
      <c r="CR213">
        <v>0</v>
      </c>
      <c r="CW213">
        <v>1372058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"03/24/2022 22:10:14.720"</f>
        <v>03/24/2022 22:10:14.720</v>
      </c>
      <c r="C214" t="str">
        <f t="shared" ref="C214:C277" si="65">"FFDFD3C0"</f>
        <v>FFDFD3C0</v>
      </c>
      <c r="D214" t="s">
        <v>113</v>
      </c>
      <c r="E214">
        <v>24</v>
      </c>
      <c r="F214">
        <v>2024</v>
      </c>
      <c r="G214" t="s">
        <v>114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 t="shared" ref="S214:T217" si="66">"22:10:14.000"</f>
        <v>22:10:14.000</v>
      </c>
      <c r="T214" t="str">
        <f t="shared" si="66"/>
        <v>22:10:14.000</v>
      </c>
      <c r="U214" t="str">
        <f t="shared" si="60"/>
        <v>A9D71F</v>
      </c>
      <c r="V214">
        <v>0</v>
      </c>
      <c r="W214">
        <v>0</v>
      </c>
      <c r="X214">
        <v>2</v>
      </c>
      <c r="Z214">
        <v>1</v>
      </c>
      <c r="AA214">
        <v>8</v>
      </c>
      <c r="AB214">
        <v>3</v>
      </c>
      <c r="AC214">
        <v>0</v>
      </c>
      <c r="AD214">
        <v>9</v>
      </c>
      <c r="AE214">
        <v>0</v>
      </c>
      <c r="AF214">
        <v>3</v>
      </c>
      <c r="AG214">
        <v>1</v>
      </c>
      <c r="AH214">
        <v>0</v>
      </c>
      <c r="AI214" t="s">
        <v>214</v>
      </c>
      <c r="AJ214">
        <v>33.188603000000001</v>
      </c>
      <c r="AK214" t="s">
        <v>215</v>
      </c>
      <c r="AL214">
        <v>-97.804777999999999</v>
      </c>
      <c r="AM214">
        <v>25</v>
      </c>
      <c r="AN214">
        <v>2000</v>
      </c>
      <c r="AO214" t="s">
        <v>118</v>
      </c>
      <c r="AP214">
        <v>92</v>
      </c>
      <c r="AQ214">
        <v>-7</v>
      </c>
      <c r="AR214">
        <v>640</v>
      </c>
      <c r="AZ214">
        <v>1200</v>
      </c>
      <c r="BA214">
        <v>1</v>
      </c>
      <c r="BB214" t="str">
        <f t="shared" ref="BB214:BB277" si="67">"N733KP  "</f>
        <v xml:space="preserve">N733KP  </v>
      </c>
      <c r="BC214">
        <v>1</v>
      </c>
      <c r="BE214">
        <v>0</v>
      </c>
      <c r="BF214">
        <v>0</v>
      </c>
      <c r="BG214">
        <v>0</v>
      </c>
      <c r="BH214">
        <v>1950</v>
      </c>
      <c r="BI214">
        <v>1</v>
      </c>
      <c r="BJ214">
        <v>1</v>
      </c>
      <c r="BK214">
        <v>0</v>
      </c>
      <c r="BL214">
        <v>0</v>
      </c>
      <c r="BO214">
        <v>0</v>
      </c>
      <c r="BP214">
        <v>0</v>
      </c>
      <c r="BW214" t="str">
        <f>"22:10:14.536"</f>
        <v>22:10:14.536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6</v>
      </c>
      <c r="CP214" t="s">
        <v>119</v>
      </c>
      <c r="CQ214">
        <v>364</v>
      </c>
      <c r="CR214">
        <v>0</v>
      </c>
      <c r="CW214">
        <v>1372209</v>
      </c>
      <c r="CY214">
        <v>1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"03/24/2022 22:10:14.720"</f>
        <v>03/24/2022 22:10:14.720</v>
      </c>
      <c r="C215" t="str">
        <f t="shared" si="65"/>
        <v>FFDFD3C0</v>
      </c>
      <c r="D215" t="s">
        <v>123</v>
      </c>
      <c r="E215">
        <v>8</v>
      </c>
      <c r="H215">
        <v>31</v>
      </c>
      <c r="I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 t="shared" si="66"/>
        <v>22:10:14.000</v>
      </c>
      <c r="T215" t="str">
        <f t="shared" si="66"/>
        <v>22:10:14.000</v>
      </c>
      <c r="U215" t="str">
        <f t="shared" si="60"/>
        <v>A9D71F</v>
      </c>
      <c r="V215">
        <v>0</v>
      </c>
      <c r="W215">
        <v>0</v>
      </c>
      <c r="X215">
        <v>2</v>
      </c>
      <c r="Z215">
        <v>1</v>
      </c>
      <c r="AA215">
        <v>8</v>
      </c>
      <c r="AB215">
        <v>3</v>
      </c>
      <c r="AC215">
        <v>0</v>
      </c>
      <c r="AD215">
        <v>9</v>
      </c>
      <c r="AE215">
        <v>0</v>
      </c>
      <c r="AF215">
        <v>3</v>
      </c>
      <c r="AG215">
        <v>1</v>
      </c>
      <c r="AH215">
        <v>0</v>
      </c>
      <c r="AI215" t="s">
        <v>214</v>
      </c>
      <c r="AJ215">
        <v>33.188603000000001</v>
      </c>
      <c r="AK215" t="s">
        <v>215</v>
      </c>
      <c r="AL215">
        <v>-97.804777999999999</v>
      </c>
      <c r="AM215">
        <v>25</v>
      </c>
      <c r="AN215">
        <v>2000</v>
      </c>
      <c r="AO215" t="s">
        <v>118</v>
      </c>
      <c r="AP215">
        <v>92</v>
      </c>
      <c r="AQ215">
        <v>-7</v>
      </c>
      <c r="AR215">
        <v>640</v>
      </c>
      <c r="AZ215">
        <v>1200</v>
      </c>
      <c r="BA215">
        <v>1</v>
      </c>
      <c r="BB215" t="str">
        <f t="shared" si="67"/>
        <v xml:space="preserve">N733KP  </v>
      </c>
      <c r="BC215">
        <v>1</v>
      </c>
      <c r="BE215">
        <v>0</v>
      </c>
      <c r="BF215">
        <v>0</v>
      </c>
      <c r="BG215">
        <v>0</v>
      </c>
      <c r="BH215">
        <v>1950</v>
      </c>
      <c r="BI215">
        <v>1</v>
      </c>
      <c r="BJ215">
        <v>1</v>
      </c>
      <c r="BK215">
        <v>0</v>
      </c>
      <c r="BL215">
        <v>0</v>
      </c>
      <c r="BO215">
        <v>0</v>
      </c>
      <c r="BP215">
        <v>0</v>
      </c>
      <c r="BW215" t="str">
        <f>"22:10:14.536"</f>
        <v>22:10:14.536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6</v>
      </c>
      <c r="CP215" t="s">
        <v>119</v>
      </c>
      <c r="CQ215">
        <v>364</v>
      </c>
      <c r="CR215">
        <v>0</v>
      </c>
      <c r="CW215">
        <v>1372209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"03/24/2022 22:10:14.720"</f>
        <v>03/24/2022 22:10:14.720</v>
      </c>
      <c r="C216" t="str">
        <f t="shared" si="65"/>
        <v>FFDFD3C0</v>
      </c>
      <c r="D216" t="s">
        <v>126</v>
      </c>
      <c r="E216">
        <v>3</v>
      </c>
      <c r="H216">
        <v>160</v>
      </c>
      <c r="I216" t="s">
        <v>121</v>
      </c>
      <c r="J216" t="s">
        <v>127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 t="shared" si="66"/>
        <v>22:10:14.000</v>
      </c>
      <c r="T216" t="str">
        <f t="shared" si="66"/>
        <v>22:10:14.000</v>
      </c>
      <c r="U216" t="str">
        <f t="shared" si="60"/>
        <v>A9D71F</v>
      </c>
      <c r="V216">
        <v>0</v>
      </c>
      <c r="W216">
        <v>0</v>
      </c>
      <c r="X216">
        <v>2</v>
      </c>
      <c r="Z216">
        <v>1</v>
      </c>
      <c r="AA216">
        <v>8</v>
      </c>
      <c r="AB216">
        <v>3</v>
      </c>
      <c r="AC216">
        <v>0</v>
      </c>
      <c r="AD216">
        <v>9</v>
      </c>
      <c r="AE216">
        <v>0</v>
      </c>
      <c r="AF216">
        <v>3</v>
      </c>
      <c r="AG216">
        <v>1</v>
      </c>
      <c r="AH216">
        <v>0</v>
      </c>
      <c r="AI216" t="s">
        <v>214</v>
      </c>
      <c r="AJ216">
        <v>33.188603000000001</v>
      </c>
      <c r="AK216" t="s">
        <v>215</v>
      </c>
      <c r="AL216">
        <v>-97.804777999999999</v>
      </c>
      <c r="AM216">
        <v>25</v>
      </c>
      <c r="AN216">
        <v>2000</v>
      </c>
      <c r="AO216" t="s">
        <v>118</v>
      </c>
      <c r="AP216">
        <v>92</v>
      </c>
      <c r="AQ216">
        <v>-7</v>
      </c>
      <c r="AR216">
        <v>640</v>
      </c>
      <c r="AZ216">
        <v>1200</v>
      </c>
      <c r="BA216">
        <v>1</v>
      </c>
      <c r="BB216" t="str">
        <f t="shared" si="67"/>
        <v xml:space="preserve">N733KP  </v>
      </c>
      <c r="BC216">
        <v>1</v>
      </c>
      <c r="BE216">
        <v>0</v>
      </c>
      <c r="BF216">
        <v>0</v>
      </c>
      <c r="BG216">
        <v>0</v>
      </c>
      <c r="BH216">
        <v>1950</v>
      </c>
      <c r="BI216">
        <v>1</v>
      </c>
      <c r="BJ216">
        <v>1</v>
      </c>
      <c r="BK216">
        <v>0</v>
      </c>
      <c r="BL216">
        <v>0</v>
      </c>
      <c r="BO216">
        <v>0</v>
      </c>
      <c r="BP216">
        <v>0</v>
      </c>
      <c r="BW216" t="str">
        <f>"22:10:14.536"</f>
        <v>22:10:14.536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6</v>
      </c>
      <c r="CP216" t="s">
        <v>119</v>
      </c>
      <c r="CQ216">
        <v>364</v>
      </c>
      <c r="CR216">
        <v>0</v>
      </c>
      <c r="CW216">
        <v>1372209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"03/24/2022 22:10:14.752"</f>
        <v>03/24/2022 22:10:14.752</v>
      </c>
      <c r="C217" t="str">
        <f t="shared" si="65"/>
        <v>FFDFD3C0</v>
      </c>
      <c r="D217" t="s">
        <v>120</v>
      </c>
      <c r="E217">
        <v>14</v>
      </c>
      <c r="F217">
        <v>1014</v>
      </c>
      <c r="G217" t="s">
        <v>121</v>
      </c>
      <c r="J217" t="s">
        <v>122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 t="shared" si="66"/>
        <v>22:10:14.000</v>
      </c>
      <c r="T217" t="str">
        <f t="shared" si="66"/>
        <v>22:10:14.000</v>
      </c>
      <c r="U217" t="str">
        <f t="shared" si="60"/>
        <v>A9D71F</v>
      </c>
      <c r="V217">
        <v>0</v>
      </c>
      <c r="W217">
        <v>0</v>
      </c>
      <c r="X217">
        <v>2</v>
      </c>
      <c r="Z217">
        <v>1</v>
      </c>
      <c r="AA217">
        <v>8</v>
      </c>
      <c r="AB217">
        <v>3</v>
      </c>
      <c r="AC217">
        <v>0</v>
      </c>
      <c r="AD217">
        <v>9</v>
      </c>
      <c r="AE217">
        <v>0</v>
      </c>
      <c r="AF217">
        <v>3</v>
      </c>
      <c r="AG217">
        <v>1</v>
      </c>
      <c r="AH217">
        <v>0</v>
      </c>
      <c r="AI217" t="s">
        <v>214</v>
      </c>
      <c r="AJ217">
        <v>33.188603000000001</v>
      </c>
      <c r="AK217" t="s">
        <v>215</v>
      </c>
      <c r="AL217">
        <v>-97.804777999999999</v>
      </c>
      <c r="AM217">
        <v>25</v>
      </c>
      <c r="AN217">
        <v>2000</v>
      </c>
      <c r="AO217" t="s">
        <v>118</v>
      </c>
      <c r="AP217">
        <v>92</v>
      </c>
      <c r="AQ217">
        <v>-7</v>
      </c>
      <c r="AR217">
        <v>640</v>
      </c>
      <c r="AZ217">
        <v>1200</v>
      </c>
      <c r="BA217">
        <v>1</v>
      </c>
      <c r="BB217" t="str">
        <f t="shared" si="67"/>
        <v xml:space="preserve">N733KP  </v>
      </c>
      <c r="BC217">
        <v>1</v>
      </c>
      <c r="BE217">
        <v>0</v>
      </c>
      <c r="BF217">
        <v>0</v>
      </c>
      <c r="BG217">
        <v>0</v>
      </c>
      <c r="BH217">
        <v>1950</v>
      </c>
      <c r="BI217">
        <v>1</v>
      </c>
      <c r="BJ217">
        <v>1</v>
      </c>
      <c r="BK217">
        <v>0</v>
      </c>
      <c r="BL217">
        <v>0</v>
      </c>
      <c r="BO217">
        <v>0</v>
      </c>
      <c r="BP217">
        <v>0</v>
      </c>
      <c r="BW217" t="str">
        <f>"22:10:14.536"</f>
        <v>22:10:14.536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6</v>
      </c>
      <c r="CP217" t="s">
        <v>119</v>
      </c>
      <c r="CQ217">
        <v>364</v>
      </c>
      <c r="CR217">
        <v>0</v>
      </c>
      <c r="CW217">
        <v>1372209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"03/24/2022 22:10:15.535"</f>
        <v>03/24/2022 22:10:15.535</v>
      </c>
      <c r="C218" t="str">
        <f t="shared" si="65"/>
        <v>FFDFD3C0</v>
      </c>
      <c r="D218" t="s">
        <v>126</v>
      </c>
      <c r="E218">
        <v>3</v>
      </c>
      <c r="H218">
        <v>160</v>
      </c>
      <c r="I218" t="s">
        <v>121</v>
      </c>
      <c r="J218" t="s">
        <v>127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 t="shared" ref="S218:T221" si="68">"22:10:15.000"</f>
        <v>22:10:15.000</v>
      </c>
      <c r="T218" t="str">
        <f t="shared" si="68"/>
        <v>22:10:15.000</v>
      </c>
      <c r="U218" t="str">
        <f t="shared" si="60"/>
        <v>A9D71F</v>
      </c>
      <c r="V218">
        <v>0</v>
      </c>
      <c r="W218">
        <v>0</v>
      </c>
      <c r="X218">
        <v>2</v>
      </c>
      <c r="Z218">
        <v>1</v>
      </c>
      <c r="AA218">
        <v>8</v>
      </c>
      <c r="AB218">
        <v>3</v>
      </c>
      <c r="AC218">
        <v>0</v>
      </c>
      <c r="AD218">
        <v>9</v>
      </c>
      <c r="AE218">
        <v>0</v>
      </c>
      <c r="AF218">
        <v>3</v>
      </c>
      <c r="AG218">
        <v>1</v>
      </c>
      <c r="AH218">
        <v>0</v>
      </c>
      <c r="AI218" t="s">
        <v>216</v>
      </c>
      <c r="AJ218">
        <v>33.188560000000003</v>
      </c>
      <c r="AK218" t="s">
        <v>217</v>
      </c>
      <c r="AL218">
        <v>-97.804283999999996</v>
      </c>
      <c r="AM218">
        <v>25</v>
      </c>
      <c r="AN218">
        <v>2000</v>
      </c>
      <c r="AO218" t="s">
        <v>118</v>
      </c>
      <c r="AP218">
        <v>92</v>
      </c>
      <c r="AQ218">
        <v>-6</v>
      </c>
      <c r="AR218">
        <v>576</v>
      </c>
      <c r="AZ218">
        <v>1200</v>
      </c>
      <c r="BA218">
        <v>1</v>
      </c>
      <c r="BB218" t="str">
        <f t="shared" si="67"/>
        <v xml:space="preserve">N733KP  </v>
      </c>
      <c r="BC218">
        <v>1</v>
      </c>
      <c r="BE218">
        <v>0</v>
      </c>
      <c r="BF218">
        <v>0</v>
      </c>
      <c r="BG218">
        <v>0</v>
      </c>
      <c r="BH218">
        <v>1950</v>
      </c>
      <c r="BI218">
        <v>1</v>
      </c>
      <c r="BJ218">
        <v>1</v>
      </c>
      <c r="BK218">
        <v>0</v>
      </c>
      <c r="BL218">
        <v>0</v>
      </c>
      <c r="BO218">
        <v>0</v>
      </c>
      <c r="BP218">
        <v>0</v>
      </c>
      <c r="BW218" t="str">
        <f>"22:10:15.345"</f>
        <v>22:10:15.345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6</v>
      </c>
      <c r="CP218" t="s">
        <v>119</v>
      </c>
      <c r="CQ218">
        <v>364</v>
      </c>
      <c r="CR218">
        <v>0</v>
      </c>
      <c r="CW218">
        <v>1372339</v>
      </c>
      <c r="CY218">
        <v>1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"03/24/2022 22:10:15.597"</f>
        <v>03/24/2022 22:10:15.597</v>
      </c>
      <c r="C219" t="str">
        <f t="shared" si="65"/>
        <v>FFDFD3C0</v>
      </c>
      <c r="D219" t="s">
        <v>120</v>
      </c>
      <c r="E219">
        <v>14</v>
      </c>
      <c r="F219">
        <v>1014</v>
      </c>
      <c r="G219" t="s">
        <v>121</v>
      </c>
      <c r="J219" t="s">
        <v>122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 t="shared" si="68"/>
        <v>22:10:15.000</v>
      </c>
      <c r="T219" t="str">
        <f t="shared" si="68"/>
        <v>22:10:15.000</v>
      </c>
      <c r="U219" t="str">
        <f t="shared" si="60"/>
        <v>A9D71F</v>
      </c>
      <c r="V219">
        <v>0</v>
      </c>
      <c r="W219">
        <v>0</v>
      </c>
      <c r="X219">
        <v>2</v>
      </c>
      <c r="Z219">
        <v>1</v>
      </c>
      <c r="AA219">
        <v>8</v>
      </c>
      <c r="AB219">
        <v>3</v>
      </c>
      <c r="AC219">
        <v>0</v>
      </c>
      <c r="AD219">
        <v>9</v>
      </c>
      <c r="AE219">
        <v>0</v>
      </c>
      <c r="AF219">
        <v>3</v>
      </c>
      <c r="AG219">
        <v>1</v>
      </c>
      <c r="AH219">
        <v>0</v>
      </c>
      <c r="AI219" t="s">
        <v>216</v>
      </c>
      <c r="AJ219">
        <v>33.188560000000003</v>
      </c>
      <c r="AK219" t="s">
        <v>217</v>
      </c>
      <c r="AL219">
        <v>-97.804283999999996</v>
      </c>
      <c r="AM219">
        <v>25</v>
      </c>
      <c r="AN219">
        <v>2000</v>
      </c>
      <c r="AO219" t="s">
        <v>118</v>
      </c>
      <c r="AP219">
        <v>92</v>
      </c>
      <c r="AQ219">
        <v>-6</v>
      </c>
      <c r="AR219">
        <v>576</v>
      </c>
      <c r="AZ219">
        <v>1200</v>
      </c>
      <c r="BA219">
        <v>1</v>
      </c>
      <c r="BB219" t="str">
        <f t="shared" si="67"/>
        <v xml:space="preserve">N733KP  </v>
      </c>
      <c r="BC219">
        <v>1</v>
      </c>
      <c r="BE219">
        <v>0</v>
      </c>
      <c r="BF219">
        <v>0</v>
      </c>
      <c r="BG219">
        <v>0</v>
      </c>
      <c r="BH219">
        <v>1950</v>
      </c>
      <c r="BI219">
        <v>1</v>
      </c>
      <c r="BJ219">
        <v>1</v>
      </c>
      <c r="BK219">
        <v>0</v>
      </c>
      <c r="BL219">
        <v>0</v>
      </c>
      <c r="BO219">
        <v>0</v>
      </c>
      <c r="BP219">
        <v>0</v>
      </c>
      <c r="BW219" t="str">
        <f>"22:10:15.345"</f>
        <v>22:10:15.345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6</v>
      </c>
      <c r="CP219" t="s">
        <v>119</v>
      </c>
      <c r="CQ219">
        <v>364</v>
      </c>
      <c r="CR219">
        <v>0</v>
      </c>
      <c r="CW219">
        <v>1372339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"03/24/2022 22:10:15.597"</f>
        <v>03/24/2022 22:10:15.597</v>
      </c>
      <c r="C220" t="str">
        <f t="shared" si="65"/>
        <v>FFDFD3C0</v>
      </c>
      <c r="D220" t="s">
        <v>113</v>
      </c>
      <c r="E220">
        <v>24</v>
      </c>
      <c r="F220">
        <v>2024</v>
      </c>
      <c r="G220" t="s">
        <v>114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 t="shared" si="68"/>
        <v>22:10:15.000</v>
      </c>
      <c r="T220" t="str">
        <f t="shared" si="68"/>
        <v>22:10:15.000</v>
      </c>
      <c r="U220" t="str">
        <f t="shared" si="60"/>
        <v>A9D71F</v>
      </c>
      <c r="V220">
        <v>0</v>
      </c>
      <c r="W220">
        <v>0</v>
      </c>
      <c r="X220">
        <v>2</v>
      </c>
      <c r="Z220">
        <v>1</v>
      </c>
      <c r="AA220">
        <v>8</v>
      </c>
      <c r="AB220">
        <v>3</v>
      </c>
      <c r="AC220">
        <v>0</v>
      </c>
      <c r="AD220">
        <v>9</v>
      </c>
      <c r="AE220">
        <v>0</v>
      </c>
      <c r="AF220">
        <v>3</v>
      </c>
      <c r="AG220">
        <v>1</v>
      </c>
      <c r="AH220">
        <v>0</v>
      </c>
      <c r="AI220" t="s">
        <v>216</v>
      </c>
      <c r="AJ220">
        <v>33.188560000000003</v>
      </c>
      <c r="AK220" t="s">
        <v>217</v>
      </c>
      <c r="AL220">
        <v>-97.804283999999996</v>
      </c>
      <c r="AM220">
        <v>25</v>
      </c>
      <c r="AN220">
        <v>2000</v>
      </c>
      <c r="AO220" t="s">
        <v>118</v>
      </c>
      <c r="AP220">
        <v>92</v>
      </c>
      <c r="AQ220">
        <v>-6</v>
      </c>
      <c r="AR220">
        <v>576</v>
      </c>
      <c r="AZ220">
        <v>1200</v>
      </c>
      <c r="BA220">
        <v>1</v>
      </c>
      <c r="BB220" t="str">
        <f t="shared" si="67"/>
        <v xml:space="preserve">N733KP  </v>
      </c>
      <c r="BC220">
        <v>1</v>
      </c>
      <c r="BE220">
        <v>0</v>
      </c>
      <c r="BF220">
        <v>0</v>
      </c>
      <c r="BG220">
        <v>0</v>
      </c>
      <c r="BH220">
        <v>1950</v>
      </c>
      <c r="BI220">
        <v>1</v>
      </c>
      <c r="BJ220">
        <v>1</v>
      </c>
      <c r="BK220">
        <v>0</v>
      </c>
      <c r="BL220">
        <v>0</v>
      </c>
      <c r="BO220">
        <v>0</v>
      </c>
      <c r="BP220">
        <v>0</v>
      </c>
      <c r="BW220" t="str">
        <f>"22:10:15.345"</f>
        <v>22:10:15.345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6</v>
      </c>
      <c r="CP220" t="s">
        <v>119</v>
      </c>
      <c r="CQ220">
        <v>364</v>
      </c>
      <c r="CR220">
        <v>0</v>
      </c>
      <c r="CW220">
        <v>1372339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"03/24/2022 22:10:15.597"</f>
        <v>03/24/2022 22:10:15.597</v>
      </c>
      <c r="C221" t="str">
        <f t="shared" si="65"/>
        <v>FFDFD3C0</v>
      </c>
      <c r="D221" t="s">
        <v>123</v>
      </c>
      <c r="E221">
        <v>8</v>
      </c>
      <c r="H221">
        <v>31</v>
      </c>
      <c r="I221" t="s">
        <v>124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 t="shared" si="68"/>
        <v>22:10:15.000</v>
      </c>
      <c r="T221" t="str">
        <f t="shared" si="68"/>
        <v>22:10:15.000</v>
      </c>
      <c r="U221" t="str">
        <f t="shared" si="60"/>
        <v>A9D71F</v>
      </c>
      <c r="V221">
        <v>0</v>
      </c>
      <c r="W221">
        <v>0</v>
      </c>
      <c r="X221">
        <v>2</v>
      </c>
      <c r="Z221">
        <v>1</v>
      </c>
      <c r="AA221">
        <v>8</v>
      </c>
      <c r="AB221">
        <v>3</v>
      </c>
      <c r="AC221">
        <v>0</v>
      </c>
      <c r="AD221">
        <v>9</v>
      </c>
      <c r="AE221">
        <v>0</v>
      </c>
      <c r="AF221">
        <v>3</v>
      </c>
      <c r="AG221">
        <v>1</v>
      </c>
      <c r="AH221">
        <v>0</v>
      </c>
      <c r="AI221" t="s">
        <v>216</v>
      </c>
      <c r="AJ221">
        <v>33.188560000000003</v>
      </c>
      <c r="AK221" t="s">
        <v>217</v>
      </c>
      <c r="AL221">
        <v>-97.804283999999996</v>
      </c>
      <c r="AM221">
        <v>25</v>
      </c>
      <c r="AN221">
        <v>2000</v>
      </c>
      <c r="AO221" t="s">
        <v>118</v>
      </c>
      <c r="AP221">
        <v>92</v>
      </c>
      <c r="AQ221">
        <v>-6</v>
      </c>
      <c r="AR221">
        <v>576</v>
      </c>
      <c r="AZ221">
        <v>1200</v>
      </c>
      <c r="BA221">
        <v>1</v>
      </c>
      <c r="BB221" t="str">
        <f t="shared" si="67"/>
        <v xml:space="preserve">N733KP  </v>
      </c>
      <c r="BC221">
        <v>1</v>
      </c>
      <c r="BE221">
        <v>0</v>
      </c>
      <c r="BF221">
        <v>0</v>
      </c>
      <c r="BG221">
        <v>0</v>
      </c>
      <c r="BH221">
        <v>1950</v>
      </c>
      <c r="BI221">
        <v>1</v>
      </c>
      <c r="BJ221">
        <v>1</v>
      </c>
      <c r="BK221">
        <v>0</v>
      </c>
      <c r="BL221">
        <v>0</v>
      </c>
      <c r="BO221">
        <v>0</v>
      </c>
      <c r="BP221">
        <v>0</v>
      </c>
      <c r="BW221" t="str">
        <f>"22:10:15.345"</f>
        <v>22:10:15.345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6</v>
      </c>
      <c r="CP221" t="s">
        <v>119</v>
      </c>
      <c r="CQ221">
        <v>364</v>
      </c>
      <c r="CR221">
        <v>0</v>
      </c>
      <c r="CW221">
        <v>1372339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"03/24/2022 22:10:17.177"</f>
        <v>03/24/2022 22:10:17.177</v>
      </c>
      <c r="C222" t="str">
        <f t="shared" si="65"/>
        <v>FFDFD3C0</v>
      </c>
      <c r="D222" t="s">
        <v>120</v>
      </c>
      <c r="E222">
        <v>14</v>
      </c>
      <c r="F222">
        <v>1014</v>
      </c>
      <c r="G222" t="s">
        <v>121</v>
      </c>
      <c r="J222" t="s">
        <v>122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 t="shared" ref="S222:T225" si="69">"22:10:16.000"</f>
        <v>22:10:16.000</v>
      </c>
      <c r="T222" t="str">
        <f t="shared" si="69"/>
        <v>22:10:16.000</v>
      </c>
      <c r="U222" t="str">
        <f t="shared" si="60"/>
        <v>A9D71F</v>
      </c>
      <c r="V222">
        <v>0</v>
      </c>
      <c r="W222">
        <v>0</v>
      </c>
      <c r="X222">
        <v>2</v>
      </c>
      <c r="Z222">
        <v>1</v>
      </c>
      <c r="AA222">
        <v>8</v>
      </c>
      <c r="AB222">
        <v>3</v>
      </c>
      <c r="AC222">
        <v>0</v>
      </c>
      <c r="AD222">
        <v>9</v>
      </c>
      <c r="AE222">
        <v>0</v>
      </c>
      <c r="AF222">
        <v>3</v>
      </c>
      <c r="AG222">
        <v>1</v>
      </c>
      <c r="AH222">
        <v>0</v>
      </c>
      <c r="AI222" t="s">
        <v>218</v>
      </c>
      <c r="AJ222">
        <v>33.188516999999997</v>
      </c>
      <c r="AK222" t="s">
        <v>219</v>
      </c>
      <c r="AL222">
        <v>-97.803769000000003</v>
      </c>
      <c r="AM222">
        <v>25</v>
      </c>
      <c r="AN222">
        <v>2000</v>
      </c>
      <c r="AO222" t="s">
        <v>118</v>
      </c>
      <c r="AP222">
        <v>93</v>
      </c>
      <c r="AQ222">
        <v>-7</v>
      </c>
      <c r="AR222">
        <v>512</v>
      </c>
      <c r="AZ222">
        <v>1200</v>
      </c>
      <c r="BA222">
        <v>1</v>
      </c>
      <c r="BB222" t="str">
        <f t="shared" si="67"/>
        <v xml:space="preserve">N733KP  </v>
      </c>
      <c r="BC222">
        <v>1</v>
      </c>
      <c r="BE222">
        <v>0</v>
      </c>
      <c r="BF222">
        <v>0</v>
      </c>
      <c r="BG222">
        <v>0</v>
      </c>
      <c r="BH222">
        <v>1975</v>
      </c>
      <c r="BI222">
        <v>1</v>
      </c>
      <c r="BJ222">
        <v>1</v>
      </c>
      <c r="BK222">
        <v>0</v>
      </c>
      <c r="BL222">
        <v>0</v>
      </c>
      <c r="BO222">
        <v>0</v>
      </c>
      <c r="BP222">
        <v>0</v>
      </c>
      <c r="BW222" t="str">
        <f>"22:10:16.971"</f>
        <v>22:10:16.971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119</v>
      </c>
      <c r="CQ222">
        <v>364</v>
      </c>
      <c r="CR222">
        <v>0</v>
      </c>
      <c r="CW222">
        <v>1372639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"03/24/2022 22:10:17.177"</f>
        <v>03/24/2022 22:10:17.177</v>
      </c>
      <c r="C223" t="str">
        <f t="shared" si="65"/>
        <v>FFDFD3C0</v>
      </c>
      <c r="D223" t="s">
        <v>113</v>
      </c>
      <c r="E223">
        <v>24</v>
      </c>
      <c r="F223">
        <v>2024</v>
      </c>
      <c r="G223" t="s">
        <v>114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 t="shared" si="69"/>
        <v>22:10:16.000</v>
      </c>
      <c r="T223" t="str">
        <f t="shared" si="69"/>
        <v>22:10:16.000</v>
      </c>
      <c r="U223" t="str">
        <f t="shared" si="60"/>
        <v>A9D71F</v>
      </c>
      <c r="V223">
        <v>0</v>
      </c>
      <c r="W223">
        <v>0</v>
      </c>
      <c r="X223">
        <v>2</v>
      </c>
      <c r="Z223">
        <v>1</v>
      </c>
      <c r="AA223">
        <v>8</v>
      </c>
      <c r="AB223">
        <v>3</v>
      </c>
      <c r="AC223">
        <v>0</v>
      </c>
      <c r="AD223">
        <v>9</v>
      </c>
      <c r="AE223">
        <v>0</v>
      </c>
      <c r="AF223">
        <v>3</v>
      </c>
      <c r="AG223">
        <v>1</v>
      </c>
      <c r="AH223">
        <v>0</v>
      </c>
      <c r="AI223" t="s">
        <v>218</v>
      </c>
      <c r="AJ223">
        <v>33.188516999999997</v>
      </c>
      <c r="AK223" t="s">
        <v>219</v>
      </c>
      <c r="AL223">
        <v>-97.803769000000003</v>
      </c>
      <c r="AM223">
        <v>25</v>
      </c>
      <c r="AN223">
        <v>2000</v>
      </c>
      <c r="AO223" t="s">
        <v>118</v>
      </c>
      <c r="AP223">
        <v>93</v>
      </c>
      <c r="AQ223">
        <v>-7</v>
      </c>
      <c r="AR223">
        <v>512</v>
      </c>
      <c r="AZ223">
        <v>1200</v>
      </c>
      <c r="BA223">
        <v>1</v>
      </c>
      <c r="BB223" t="str">
        <f t="shared" si="67"/>
        <v xml:space="preserve">N733KP  </v>
      </c>
      <c r="BC223">
        <v>1</v>
      </c>
      <c r="BE223">
        <v>0</v>
      </c>
      <c r="BF223">
        <v>0</v>
      </c>
      <c r="BG223">
        <v>0</v>
      </c>
      <c r="BH223">
        <v>1975</v>
      </c>
      <c r="BI223">
        <v>1</v>
      </c>
      <c r="BJ223">
        <v>1</v>
      </c>
      <c r="BK223">
        <v>0</v>
      </c>
      <c r="BL223">
        <v>0</v>
      </c>
      <c r="BO223">
        <v>0</v>
      </c>
      <c r="BP223">
        <v>0</v>
      </c>
      <c r="BW223" t="str">
        <f>"22:10:16.971"</f>
        <v>22:10:16.971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364</v>
      </c>
      <c r="CR223">
        <v>0</v>
      </c>
      <c r="CW223">
        <v>1372639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"03/24/2022 22:10:17.177"</f>
        <v>03/24/2022 22:10:17.177</v>
      </c>
      <c r="C224" t="str">
        <f t="shared" si="65"/>
        <v>FFDFD3C0</v>
      </c>
      <c r="D224" t="s">
        <v>123</v>
      </c>
      <c r="E224">
        <v>8</v>
      </c>
      <c r="H224">
        <v>31</v>
      </c>
      <c r="I224" t="s">
        <v>124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 t="shared" si="69"/>
        <v>22:10:16.000</v>
      </c>
      <c r="T224" t="str">
        <f t="shared" si="69"/>
        <v>22:10:16.000</v>
      </c>
      <c r="U224" t="str">
        <f t="shared" si="60"/>
        <v>A9D71F</v>
      </c>
      <c r="V224">
        <v>0</v>
      </c>
      <c r="W224">
        <v>0</v>
      </c>
      <c r="X224">
        <v>2</v>
      </c>
      <c r="Z224">
        <v>1</v>
      </c>
      <c r="AA224">
        <v>8</v>
      </c>
      <c r="AB224">
        <v>3</v>
      </c>
      <c r="AC224">
        <v>0</v>
      </c>
      <c r="AD224">
        <v>9</v>
      </c>
      <c r="AE224">
        <v>0</v>
      </c>
      <c r="AF224">
        <v>3</v>
      </c>
      <c r="AG224">
        <v>1</v>
      </c>
      <c r="AH224">
        <v>0</v>
      </c>
      <c r="AI224" t="s">
        <v>218</v>
      </c>
      <c r="AJ224">
        <v>33.188516999999997</v>
      </c>
      <c r="AK224" t="s">
        <v>219</v>
      </c>
      <c r="AL224">
        <v>-97.803769000000003</v>
      </c>
      <c r="AM224">
        <v>25</v>
      </c>
      <c r="AN224">
        <v>2000</v>
      </c>
      <c r="AO224" t="s">
        <v>118</v>
      </c>
      <c r="AP224">
        <v>93</v>
      </c>
      <c r="AQ224">
        <v>-7</v>
      </c>
      <c r="AR224">
        <v>512</v>
      </c>
      <c r="AZ224">
        <v>1200</v>
      </c>
      <c r="BA224">
        <v>1</v>
      </c>
      <c r="BB224" t="str">
        <f t="shared" si="67"/>
        <v xml:space="preserve">N733KP  </v>
      </c>
      <c r="BC224">
        <v>1</v>
      </c>
      <c r="BE224">
        <v>0</v>
      </c>
      <c r="BF224">
        <v>0</v>
      </c>
      <c r="BG224">
        <v>0</v>
      </c>
      <c r="BH224">
        <v>1975</v>
      </c>
      <c r="BI224">
        <v>1</v>
      </c>
      <c r="BJ224">
        <v>1</v>
      </c>
      <c r="BK224">
        <v>0</v>
      </c>
      <c r="BL224">
        <v>0</v>
      </c>
      <c r="BO224">
        <v>0</v>
      </c>
      <c r="BP224">
        <v>0</v>
      </c>
      <c r="BW224" t="str">
        <f>"22:10:16.971"</f>
        <v>22:10:16.971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364</v>
      </c>
      <c r="CR224">
        <v>0</v>
      </c>
      <c r="CW224">
        <v>1372639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"03/24/2022 22:10:17.192"</f>
        <v>03/24/2022 22:10:17.192</v>
      </c>
      <c r="C225" t="str">
        <f t="shared" si="65"/>
        <v>FFDFD3C0</v>
      </c>
      <c r="D225" t="s">
        <v>126</v>
      </c>
      <c r="E225">
        <v>3</v>
      </c>
      <c r="H225">
        <v>160</v>
      </c>
      <c r="I225" t="s">
        <v>121</v>
      </c>
      <c r="J225" t="s">
        <v>127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 t="shared" si="69"/>
        <v>22:10:16.000</v>
      </c>
      <c r="T225" t="str">
        <f t="shared" si="69"/>
        <v>22:10:16.000</v>
      </c>
      <c r="U225" t="str">
        <f t="shared" si="60"/>
        <v>A9D71F</v>
      </c>
      <c r="V225">
        <v>0</v>
      </c>
      <c r="W225">
        <v>0</v>
      </c>
      <c r="X225">
        <v>2</v>
      </c>
      <c r="Z225">
        <v>1</v>
      </c>
      <c r="AA225">
        <v>8</v>
      </c>
      <c r="AB225">
        <v>3</v>
      </c>
      <c r="AC225">
        <v>0</v>
      </c>
      <c r="AD225">
        <v>9</v>
      </c>
      <c r="AE225">
        <v>0</v>
      </c>
      <c r="AF225">
        <v>3</v>
      </c>
      <c r="AG225">
        <v>1</v>
      </c>
      <c r="AH225">
        <v>0</v>
      </c>
      <c r="AI225" t="s">
        <v>218</v>
      </c>
      <c r="AJ225">
        <v>33.188516999999997</v>
      </c>
      <c r="AK225" t="s">
        <v>219</v>
      </c>
      <c r="AL225">
        <v>-97.803769000000003</v>
      </c>
      <c r="AM225">
        <v>25</v>
      </c>
      <c r="AN225">
        <v>2000</v>
      </c>
      <c r="AO225" t="s">
        <v>118</v>
      </c>
      <c r="AP225">
        <v>93</v>
      </c>
      <c r="AQ225">
        <v>-7</v>
      </c>
      <c r="AR225">
        <v>512</v>
      </c>
      <c r="AZ225">
        <v>1200</v>
      </c>
      <c r="BA225">
        <v>1</v>
      </c>
      <c r="BB225" t="str">
        <f t="shared" si="67"/>
        <v xml:space="preserve">N733KP  </v>
      </c>
      <c r="BC225">
        <v>1</v>
      </c>
      <c r="BE225">
        <v>0</v>
      </c>
      <c r="BF225">
        <v>0</v>
      </c>
      <c r="BG225">
        <v>0</v>
      </c>
      <c r="BH225">
        <v>1975</v>
      </c>
      <c r="BI225">
        <v>1</v>
      </c>
      <c r="BJ225">
        <v>1</v>
      </c>
      <c r="BK225">
        <v>0</v>
      </c>
      <c r="BL225">
        <v>0</v>
      </c>
      <c r="BO225">
        <v>0</v>
      </c>
      <c r="BP225">
        <v>0</v>
      </c>
      <c r="BW225" t="str">
        <f>"22:10:16.971"</f>
        <v>22:10:16.971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364</v>
      </c>
      <c r="CR225">
        <v>0</v>
      </c>
      <c r="CW225">
        <v>1372639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"03/24/2022 22:10:17.770"</f>
        <v>03/24/2022 22:10:17.770</v>
      </c>
      <c r="C226" t="str">
        <f t="shared" si="65"/>
        <v>FFDFD3C0</v>
      </c>
      <c r="D226" t="s">
        <v>126</v>
      </c>
      <c r="E226">
        <v>3</v>
      </c>
      <c r="H226">
        <v>160</v>
      </c>
      <c r="I226" t="s">
        <v>121</v>
      </c>
      <c r="J226" t="s">
        <v>127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 t="shared" ref="S226:T229" si="70">"22:10:17.000"</f>
        <v>22:10:17.000</v>
      </c>
      <c r="T226" t="str">
        <f t="shared" si="70"/>
        <v>22:10:17.000</v>
      </c>
      <c r="U226" t="str">
        <f t="shared" si="60"/>
        <v>A9D71F</v>
      </c>
      <c r="V226">
        <v>0</v>
      </c>
      <c r="W226">
        <v>0</v>
      </c>
      <c r="X226">
        <v>2</v>
      </c>
      <c r="Z226">
        <v>1</v>
      </c>
      <c r="AA226">
        <v>8</v>
      </c>
      <c r="AB226">
        <v>3</v>
      </c>
      <c r="AC226">
        <v>0</v>
      </c>
      <c r="AD226">
        <v>9</v>
      </c>
      <c r="AE226">
        <v>0</v>
      </c>
      <c r="AF226">
        <v>3</v>
      </c>
      <c r="AG226">
        <v>1</v>
      </c>
      <c r="AH226">
        <v>0</v>
      </c>
      <c r="AI226" t="s">
        <v>220</v>
      </c>
      <c r="AJ226">
        <v>33.188473999999999</v>
      </c>
      <c r="AK226" t="s">
        <v>221</v>
      </c>
      <c r="AL226">
        <v>-97.803233000000006</v>
      </c>
      <c r="AM226">
        <v>25</v>
      </c>
      <c r="AN226">
        <v>2000</v>
      </c>
      <c r="AO226" t="s">
        <v>118</v>
      </c>
      <c r="AP226">
        <v>93</v>
      </c>
      <c r="AQ226">
        <v>-6</v>
      </c>
      <c r="AR226">
        <v>576</v>
      </c>
      <c r="AZ226">
        <v>1200</v>
      </c>
      <c r="BA226">
        <v>1</v>
      </c>
      <c r="BB226" t="str">
        <f t="shared" si="67"/>
        <v xml:space="preserve">N733KP  </v>
      </c>
      <c r="BC226">
        <v>1</v>
      </c>
      <c r="BE226">
        <v>0</v>
      </c>
      <c r="BF226">
        <v>0</v>
      </c>
      <c r="BG226">
        <v>0</v>
      </c>
      <c r="BH226">
        <v>1975</v>
      </c>
      <c r="BI226">
        <v>1</v>
      </c>
      <c r="BJ226">
        <v>1</v>
      </c>
      <c r="BK226">
        <v>0</v>
      </c>
      <c r="BL226">
        <v>0</v>
      </c>
      <c r="BO226">
        <v>0</v>
      </c>
      <c r="BP226">
        <v>0</v>
      </c>
      <c r="BW226" t="str">
        <f>"22:10:17.593"</f>
        <v>22:10:17.593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6</v>
      </c>
      <c r="CP226" t="s">
        <v>119</v>
      </c>
      <c r="CQ226">
        <v>364</v>
      </c>
      <c r="CR226">
        <v>0</v>
      </c>
      <c r="CW226">
        <v>1372738</v>
      </c>
      <c r="CY226">
        <v>1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"03/24/2022 22:10:17.786"</f>
        <v>03/24/2022 22:10:17.786</v>
      </c>
      <c r="C227" t="str">
        <f t="shared" si="65"/>
        <v>FFDFD3C0</v>
      </c>
      <c r="D227" t="s">
        <v>120</v>
      </c>
      <c r="E227">
        <v>14</v>
      </c>
      <c r="F227">
        <v>1014</v>
      </c>
      <c r="G227" t="s">
        <v>121</v>
      </c>
      <c r="J227" t="s">
        <v>122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 t="shared" si="70"/>
        <v>22:10:17.000</v>
      </c>
      <c r="T227" t="str">
        <f t="shared" si="70"/>
        <v>22:10:17.000</v>
      </c>
      <c r="U227" t="str">
        <f t="shared" si="60"/>
        <v>A9D71F</v>
      </c>
      <c r="V227">
        <v>0</v>
      </c>
      <c r="W227">
        <v>0</v>
      </c>
      <c r="X227">
        <v>2</v>
      </c>
      <c r="Z227">
        <v>1</v>
      </c>
      <c r="AA227">
        <v>8</v>
      </c>
      <c r="AB227">
        <v>3</v>
      </c>
      <c r="AC227">
        <v>0</v>
      </c>
      <c r="AD227">
        <v>9</v>
      </c>
      <c r="AE227">
        <v>0</v>
      </c>
      <c r="AF227">
        <v>3</v>
      </c>
      <c r="AG227">
        <v>1</v>
      </c>
      <c r="AH227">
        <v>0</v>
      </c>
      <c r="AI227" t="s">
        <v>220</v>
      </c>
      <c r="AJ227">
        <v>33.188473999999999</v>
      </c>
      <c r="AK227" t="s">
        <v>221</v>
      </c>
      <c r="AL227">
        <v>-97.803233000000006</v>
      </c>
      <c r="AM227">
        <v>25</v>
      </c>
      <c r="AN227">
        <v>2000</v>
      </c>
      <c r="AO227" t="s">
        <v>118</v>
      </c>
      <c r="AP227">
        <v>93</v>
      </c>
      <c r="AQ227">
        <v>-6</v>
      </c>
      <c r="AR227">
        <v>576</v>
      </c>
      <c r="AZ227">
        <v>1200</v>
      </c>
      <c r="BA227">
        <v>1</v>
      </c>
      <c r="BB227" t="str">
        <f t="shared" si="67"/>
        <v xml:space="preserve">N733KP  </v>
      </c>
      <c r="BC227">
        <v>1</v>
      </c>
      <c r="BE227">
        <v>0</v>
      </c>
      <c r="BF227">
        <v>0</v>
      </c>
      <c r="BG227">
        <v>0</v>
      </c>
      <c r="BH227">
        <v>1975</v>
      </c>
      <c r="BI227">
        <v>1</v>
      </c>
      <c r="BJ227">
        <v>1</v>
      </c>
      <c r="BK227">
        <v>0</v>
      </c>
      <c r="BL227">
        <v>0</v>
      </c>
      <c r="BO227">
        <v>0</v>
      </c>
      <c r="BP227">
        <v>0</v>
      </c>
      <c r="BW227" t="str">
        <f>"22:10:17.593"</f>
        <v>22:10:17.593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6</v>
      </c>
      <c r="CP227" t="s">
        <v>119</v>
      </c>
      <c r="CQ227">
        <v>364</v>
      </c>
      <c r="CR227">
        <v>0</v>
      </c>
      <c r="CW227">
        <v>1372738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"03/24/2022 22:10:17.786"</f>
        <v>03/24/2022 22:10:17.786</v>
      </c>
      <c r="C228" t="str">
        <f t="shared" si="65"/>
        <v>FFDFD3C0</v>
      </c>
      <c r="D228" t="s">
        <v>113</v>
      </c>
      <c r="E228">
        <v>24</v>
      </c>
      <c r="F228">
        <v>2024</v>
      </c>
      <c r="G228" t="s">
        <v>114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 t="shared" si="70"/>
        <v>22:10:17.000</v>
      </c>
      <c r="T228" t="str">
        <f t="shared" si="70"/>
        <v>22:10:17.000</v>
      </c>
      <c r="U228" t="str">
        <f t="shared" si="60"/>
        <v>A9D71F</v>
      </c>
      <c r="V228">
        <v>0</v>
      </c>
      <c r="W228">
        <v>0</v>
      </c>
      <c r="X228">
        <v>2</v>
      </c>
      <c r="Z228">
        <v>1</v>
      </c>
      <c r="AA228">
        <v>8</v>
      </c>
      <c r="AB228">
        <v>3</v>
      </c>
      <c r="AC228">
        <v>0</v>
      </c>
      <c r="AD228">
        <v>9</v>
      </c>
      <c r="AE228">
        <v>0</v>
      </c>
      <c r="AF228">
        <v>3</v>
      </c>
      <c r="AG228">
        <v>1</v>
      </c>
      <c r="AH228">
        <v>0</v>
      </c>
      <c r="AI228" t="s">
        <v>220</v>
      </c>
      <c r="AJ228">
        <v>33.188473999999999</v>
      </c>
      <c r="AK228" t="s">
        <v>221</v>
      </c>
      <c r="AL228">
        <v>-97.803233000000006</v>
      </c>
      <c r="AM228">
        <v>25</v>
      </c>
      <c r="AN228">
        <v>2000</v>
      </c>
      <c r="AO228" t="s">
        <v>118</v>
      </c>
      <c r="AP228">
        <v>93</v>
      </c>
      <c r="AQ228">
        <v>-6</v>
      </c>
      <c r="AR228">
        <v>576</v>
      </c>
      <c r="AZ228">
        <v>1200</v>
      </c>
      <c r="BA228">
        <v>1</v>
      </c>
      <c r="BB228" t="str">
        <f t="shared" si="67"/>
        <v xml:space="preserve">N733KP  </v>
      </c>
      <c r="BC228">
        <v>1</v>
      </c>
      <c r="BE228">
        <v>0</v>
      </c>
      <c r="BF228">
        <v>0</v>
      </c>
      <c r="BG228">
        <v>0</v>
      </c>
      <c r="BH228">
        <v>1975</v>
      </c>
      <c r="BI228">
        <v>1</v>
      </c>
      <c r="BJ228">
        <v>1</v>
      </c>
      <c r="BK228">
        <v>0</v>
      </c>
      <c r="BL228">
        <v>0</v>
      </c>
      <c r="BO228">
        <v>0</v>
      </c>
      <c r="BP228">
        <v>0</v>
      </c>
      <c r="BW228" t="str">
        <f>"22:10:17.593"</f>
        <v>22:10:17.593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6</v>
      </c>
      <c r="CP228" t="s">
        <v>119</v>
      </c>
      <c r="CQ228">
        <v>364</v>
      </c>
      <c r="CR228">
        <v>0</v>
      </c>
      <c r="CW228">
        <v>1372738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"03/24/2022 22:10:17.786"</f>
        <v>03/24/2022 22:10:17.786</v>
      </c>
      <c r="C229" t="str">
        <f t="shared" si="65"/>
        <v>FFDFD3C0</v>
      </c>
      <c r="D229" t="s">
        <v>123</v>
      </c>
      <c r="E229">
        <v>8</v>
      </c>
      <c r="H229">
        <v>31</v>
      </c>
      <c r="I229" t="s">
        <v>124</v>
      </c>
      <c r="J229" t="s">
        <v>125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 t="shared" si="70"/>
        <v>22:10:17.000</v>
      </c>
      <c r="T229" t="str">
        <f t="shared" si="70"/>
        <v>22:10:17.000</v>
      </c>
      <c r="U229" t="str">
        <f t="shared" si="60"/>
        <v>A9D71F</v>
      </c>
      <c r="V229">
        <v>0</v>
      </c>
      <c r="W229">
        <v>0</v>
      </c>
      <c r="X229">
        <v>2</v>
      </c>
      <c r="Z229">
        <v>1</v>
      </c>
      <c r="AA229">
        <v>8</v>
      </c>
      <c r="AB229">
        <v>3</v>
      </c>
      <c r="AC229">
        <v>0</v>
      </c>
      <c r="AD229">
        <v>9</v>
      </c>
      <c r="AE229">
        <v>0</v>
      </c>
      <c r="AF229">
        <v>3</v>
      </c>
      <c r="AG229">
        <v>1</v>
      </c>
      <c r="AH229">
        <v>0</v>
      </c>
      <c r="AI229" t="s">
        <v>220</v>
      </c>
      <c r="AJ229">
        <v>33.188473999999999</v>
      </c>
      <c r="AK229" t="s">
        <v>221</v>
      </c>
      <c r="AL229">
        <v>-97.803233000000006</v>
      </c>
      <c r="AM229">
        <v>25</v>
      </c>
      <c r="AN229">
        <v>2000</v>
      </c>
      <c r="AO229" t="s">
        <v>118</v>
      </c>
      <c r="AP229">
        <v>93</v>
      </c>
      <c r="AQ229">
        <v>-6</v>
      </c>
      <c r="AR229">
        <v>576</v>
      </c>
      <c r="AZ229">
        <v>1200</v>
      </c>
      <c r="BA229">
        <v>1</v>
      </c>
      <c r="BB229" t="str">
        <f t="shared" si="67"/>
        <v xml:space="preserve">N733KP  </v>
      </c>
      <c r="BC229">
        <v>1</v>
      </c>
      <c r="BE229">
        <v>0</v>
      </c>
      <c r="BF229">
        <v>0</v>
      </c>
      <c r="BG229">
        <v>0</v>
      </c>
      <c r="BH229">
        <v>1975</v>
      </c>
      <c r="BI229">
        <v>1</v>
      </c>
      <c r="BJ229">
        <v>1</v>
      </c>
      <c r="BK229">
        <v>0</v>
      </c>
      <c r="BL229">
        <v>0</v>
      </c>
      <c r="BO229">
        <v>0</v>
      </c>
      <c r="BP229">
        <v>0</v>
      </c>
      <c r="BW229" t="str">
        <f>"22:10:17.593"</f>
        <v>22:10:17.593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6</v>
      </c>
      <c r="CP229" t="s">
        <v>119</v>
      </c>
      <c r="CQ229">
        <v>364</v>
      </c>
      <c r="CR229">
        <v>0</v>
      </c>
      <c r="CW229">
        <v>1372738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"03/24/2022 22:10:18.633"</f>
        <v>03/24/2022 22:10:18.633</v>
      </c>
      <c r="C230" t="str">
        <f t="shared" si="65"/>
        <v>FFDFD3C0</v>
      </c>
      <c r="D230" t="s">
        <v>120</v>
      </c>
      <c r="E230">
        <v>14</v>
      </c>
      <c r="F230">
        <v>1014</v>
      </c>
      <c r="G230" t="s">
        <v>121</v>
      </c>
      <c r="J230" t="s">
        <v>122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 t="shared" ref="S230:T233" si="71">"22:10:18.000"</f>
        <v>22:10:18.000</v>
      </c>
      <c r="T230" t="str">
        <f t="shared" si="71"/>
        <v>22:10:18.000</v>
      </c>
      <c r="U230" t="str">
        <f t="shared" si="60"/>
        <v>A9D71F</v>
      </c>
      <c r="V230">
        <v>0</v>
      </c>
      <c r="W230">
        <v>0</v>
      </c>
      <c r="X230">
        <v>2</v>
      </c>
      <c r="Z230">
        <v>1</v>
      </c>
      <c r="AA230">
        <v>8</v>
      </c>
      <c r="AB230">
        <v>3</v>
      </c>
      <c r="AC230">
        <v>0</v>
      </c>
      <c r="AD230">
        <v>9</v>
      </c>
      <c r="AE230">
        <v>0</v>
      </c>
      <c r="AF230">
        <v>3</v>
      </c>
      <c r="AG230">
        <v>1</v>
      </c>
      <c r="AH230">
        <v>0</v>
      </c>
      <c r="AI230" t="s">
        <v>166</v>
      </c>
      <c r="AJ230">
        <v>33.188453000000003</v>
      </c>
      <c r="AK230" t="s">
        <v>222</v>
      </c>
      <c r="AL230">
        <v>-97.802717999999999</v>
      </c>
      <c r="AM230">
        <v>25</v>
      </c>
      <c r="AN230">
        <v>2000</v>
      </c>
      <c r="AO230" t="s">
        <v>118</v>
      </c>
      <c r="AP230">
        <v>92</v>
      </c>
      <c r="AQ230">
        <v>-4</v>
      </c>
      <c r="AR230">
        <v>576</v>
      </c>
      <c r="AZ230">
        <v>1200</v>
      </c>
      <c r="BA230">
        <v>1</v>
      </c>
      <c r="BB230" t="str">
        <f t="shared" si="67"/>
        <v xml:space="preserve">N733KP  </v>
      </c>
      <c r="BC230">
        <v>1</v>
      </c>
      <c r="BE230">
        <v>0</v>
      </c>
      <c r="BF230">
        <v>0</v>
      </c>
      <c r="BG230">
        <v>0</v>
      </c>
      <c r="BH230">
        <v>1975</v>
      </c>
      <c r="BI230">
        <v>1</v>
      </c>
      <c r="BJ230">
        <v>1</v>
      </c>
      <c r="BK230">
        <v>0</v>
      </c>
      <c r="BL230">
        <v>0</v>
      </c>
      <c r="BO230">
        <v>0</v>
      </c>
      <c r="BP230">
        <v>0</v>
      </c>
      <c r="BW230" t="str">
        <f>"22:10:18.419"</f>
        <v>22:10:18.419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6</v>
      </c>
      <c r="CP230" t="s">
        <v>119</v>
      </c>
      <c r="CQ230">
        <v>364</v>
      </c>
      <c r="CR230">
        <v>0</v>
      </c>
      <c r="CW230">
        <v>1372882</v>
      </c>
      <c r="CY230">
        <v>1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"03/24/2022 22:10:18.633"</f>
        <v>03/24/2022 22:10:18.633</v>
      </c>
      <c r="C231" t="str">
        <f t="shared" si="65"/>
        <v>FFDFD3C0</v>
      </c>
      <c r="D231" t="s">
        <v>113</v>
      </c>
      <c r="E231">
        <v>24</v>
      </c>
      <c r="F231">
        <v>2024</v>
      </c>
      <c r="G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 t="shared" si="71"/>
        <v>22:10:18.000</v>
      </c>
      <c r="T231" t="str">
        <f t="shared" si="71"/>
        <v>22:10:18.000</v>
      </c>
      <c r="U231" t="str">
        <f t="shared" si="60"/>
        <v>A9D71F</v>
      </c>
      <c r="V231">
        <v>0</v>
      </c>
      <c r="W231">
        <v>0</v>
      </c>
      <c r="X231">
        <v>2</v>
      </c>
      <c r="Z231">
        <v>1</v>
      </c>
      <c r="AA231">
        <v>8</v>
      </c>
      <c r="AB231">
        <v>3</v>
      </c>
      <c r="AC231">
        <v>0</v>
      </c>
      <c r="AD231">
        <v>9</v>
      </c>
      <c r="AE231">
        <v>0</v>
      </c>
      <c r="AF231">
        <v>3</v>
      </c>
      <c r="AG231">
        <v>1</v>
      </c>
      <c r="AH231">
        <v>0</v>
      </c>
      <c r="AI231" t="s">
        <v>166</v>
      </c>
      <c r="AJ231">
        <v>33.188453000000003</v>
      </c>
      <c r="AK231" t="s">
        <v>222</v>
      </c>
      <c r="AL231">
        <v>-97.802717999999999</v>
      </c>
      <c r="AM231">
        <v>25</v>
      </c>
      <c r="AN231">
        <v>2000</v>
      </c>
      <c r="AO231" t="s">
        <v>118</v>
      </c>
      <c r="AP231">
        <v>92</v>
      </c>
      <c r="AQ231">
        <v>-4</v>
      </c>
      <c r="AR231">
        <v>576</v>
      </c>
      <c r="AZ231">
        <v>1200</v>
      </c>
      <c r="BA231">
        <v>1</v>
      </c>
      <c r="BB231" t="str">
        <f t="shared" si="67"/>
        <v xml:space="preserve">N733KP  </v>
      </c>
      <c r="BC231">
        <v>1</v>
      </c>
      <c r="BE231">
        <v>0</v>
      </c>
      <c r="BF231">
        <v>0</v>
      </c>
      <c r="BG231">
        <v>0</v>
      </c>
      <c r="BH231">
        <v>1975</v>
      </c>
      <c r="BI231">
        <v>1</v>
      </c>
      <c r="BJ231">
        <v>1</v>
      </c>
      <c r="BK231">
        <v>0</v>
      </c>
      <c r="BL231">
        <v>0</v>
      </c>
      <c r="BO231">
        <v>0</v>
      </c>
      <c r="BP231">
        <v>0</v>
      </c>
      <c r="BW231" t="str">
        <f>"22:10:18.419"</f>
        <v>22:10:18.419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6</v>
      </c>
      <c r="CP231" t="s">
        <v>119</v>
      </c>
      <c r="CQ231">
        <v>364</v>
      </c>
      <c r="CR231">
        <v>0</v>
      </c>
      <c r="CW231">
        <v>1372882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"03/24/2022 22:10:18.633"</f>
        <v>03/24/2022 22:10:18.633</v>
      </c>
      <c r="C232" t="str">
        <f t="shared" si="65"/>
        <v>FFDFD3C0</v>
      </c>
      <c r="D232" t="s">
        <v>123</v>
      </c>
      <c r="E232">
        <v>8</v>
      </c>
      <c r="H232">
        <v>31</v>
      </c>
      <c r="I232" t="s">
        <v>124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 t="shared" si="71"/>
        <v>22:10:18.000</v>
      </c>
      <c r="T232" t="str">
        <f t="shared" si="71"/>
        <v>22:10:18.000</v>
      </c>
      <c r="U232" t="str">
        <f t="shared" si="60"/>
        <v>A9D71F</v>
      </c>
      <c r="V232">
        <v>0</v>
      </c>
      <c r="W232">
        <v>0</v>
      </c>
      <c r="X232">
        <v>2</v>
      </c>
      <c r="Z232">
        <v>1</v>
      </c>
      <c r="AA232">
        <v>8</v>
      </c>
      <c r="AB232">
        <v>3</v>
      </c>
      <c r="AC232">
        <v>0</v>
      </c>
      <c r="AD232">
        <v>9</v>
      </c>
      <c r="AE232">
        <v>0</v>
      </c>
      <c r="AF232">
        <v>3</v>
      </c>
      <c r="AG232">
        <v>1</v>
      </c>
      <c r="AH232">
        <v>0</v>
      </c>
      <c r="AI232" t="s">
        <v>166</v>
      </c>
      <c r="AJ232">
        <v>33.188453000000003</v>
      </c>
      <c r="AK232" t="s">
        <v>222</v>
      </c>
      <c r="AL232">
        <v>-97.802717999999999</v>
      </c>
      <c r="AM232">
        <v>25</v>
      </c>
      <c r="AN232">
        <v>2000</v>
      </c>
      <c r="AO232" t="s">
        <v>118</v>
      </c>
      <c r="AP232">
        <v>92</v>
      </c>
      <c r="AQ232">
        <v>-4</v>
      </c>
      <c r="AR232">
        <v>576</v>
      </c>
      <c r="AZ232">
        <v>1200</v>
      </c>
      <c r="BA232">
        <v>1</v>
      </c>
      <c r="BB232" t="str">
        <f t="shared" si="67"/>
        <v xml:space="preserve">N733KP  </v>
      </c>
      <c r="BC232">
        <v>1</v>
      </c>
      <c r="BE232">
        <v>0</v>
      </c>
      <c r="BF232">
        <v>0</v>
      </c>
      <c r="BG232">
        <v>0</v>
      </c>
      <c r="BH232">
        <v>1975</v>
      </c>
      <c r="BI232">
        <v>1</v>
      </c>
      <c r="BJ232">
        <v>1</v>
      </c>
      <c r="BK232">
        <v>0</v>
      </c>
      <c r="BL232">
        <v>0</v>
      </c>
      <c r="BO232">
        <v>0</v>
      </c>
      <c r="BP232">
        <v>0</v>
      </c>
      <c r="BW232" t="str">
        <f>"22:10:18.419"</f>
        <v>22:10:18.419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6</v>
      </c>
      <c r="CP232" t="s">
        <v>119</v>
      </c>
      <c r="CQ232">
        <v>364</v>
      </c>
      <c r="CR232">
        <v>0</v>
      </c>
      <c r="CW232">
        <v>1372882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"03/24/2022 22:10:18.633"</f>
        <v>03/24/2022 22:10:18.633</v>
      </c>
      <c r="C233" t="str">
        <f t="shared" si="65"/>
        <v>FFDFD3C0</v>
      </c>
      <c r="D233" t="s">
        <v>126</v>
      </c>
      <c r="E233">
        <v>3</v>
      </c>
      <c r="H233">
        <v>160</v>
      </c>
      <c r="I233" t="s">
        <v>121</v>
      </c>
      <c r="J233" t="s">
        <v>127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 t="shared" si="71"/>
        <v>22:10:18.000</v>
      </c>
      <c r="T233" t="str">
        <f t="shared" si="71"/>
        <v>22:10:18.000</v>
      </c>
      <c r="U233" t="str">
        <f t="shared" si="60"/>
        <v>A9D71F</v>
      </c>
      <c r="V233">
        <v>0</v>
      </c>
      <c r="W233">
        <v>0</v>
      </c>
      <c r="X233">
        <v>2</v>
      </c>
      <c r="Z233">
        <v>1</v>
      </c>
      <c r="AA233">
        <v>8</v>
      </c>
      <c r="AB233">
        <v>3</v>
      </c>
      <c r="AC233">
        <v>0</v>
      </c>
      <c r="AD233">
        <v>9</v>
      </c>
      <c r="AE233">
        <v>0</v>
      </c>
      <c r="AF233">
        <v>3</v>
      </c>
      <c r="AG233">
        <v>1</v>
      </c>
      <c r="AH233">
        <v>0</v>
      </c>
      <c r="AI233" t="s">
        <v>166</v>
      </c>
      <c r="AJ233">
        <v>33.188453000000003</v>
      </c>
      <c r="AK233" t="s">
        <v>222</v>
      </c>
      <c r="AL233">
        <v>-97.802717999999999</v>
      </c>
      <c r="AM233">
        <v>25</v>
      </c>
      <c r="AN233">
        <v>2000</v>
      </c>
      <c r="AO233" t="s">
        <v>118</v>
      </c>
      <c r="AP233">
        <v>92</v>
      </c>
      <c r="AQ233">
        <v>-4</v>
      </c>
      <c r="AR233">
        <v>576</v>
      </c>
      <c r="AZ233">
        <v>1200</v>
      </c>
      <c r="BA233">
        <v>1</v>
      </c>
      <c r="BB233" t="str">
        <f t="shared" si="67"/>
        <v xml:space="preserve">N733KP  </v>
      </c>
      <c r="BC233">
        <v>1</v>
      </c>
      <c r="BE233">
        <v>0</v>
      </c>
      <c r="BF233">
        <v>0</v>
      </c>
      <c r="BG233">
        <v>0</v>
      </c>
      <c r="BH233">
        <v>1975</v>
      </c>
      <c r="BI233">
        <v>1</v>
      </c>
      <c r="BJ233">
        <v>1</v>
      </c>
      <c r="BK233">
        <v>0</v>
      </c>
      <c r="BL233">
        <v>0</v>
      </c>
      <c r="BO233">
        <v>0</v>
      </c>
      <c r="BP233">
        <v>0</v>
      </c>
      <c r="BW233" t="str">
        <f>"22:10:18.419"</f>
        <v>22:10:18.419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6</v>
      </c>
      <c r="CP233" t="s">
        <v>119</v>
      </c>
      <c r="CQ233">
        <v>364</v>
      </c>
      <c r="CR233">
        <v>0</v>
      </c>
      <c r="CW233">
        <v>1372882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"03/24/2022 22:10:19.462"</f>
        <v>03/24/2022 22:10:19.462</v>
      </c>
      <c r="C234" t="str">
        <f t="shared" si="65"/>
        <v>FFDFD3C0</v>
      </c>
      <c r="D234" t="s">
        <v>120</v>
      </c>
      <c r="E234">
        <v>14</v>
      </c>
      <c r="F234">
        <v>1014</v>
      </c>
      <c r="G234" t="s">
        <v>121</v>
      </c>
      <c r="J234" t="s">
        <v>122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 t="shared" ref="S234:T237" si="72">"22:10:19.000"</f>
        <v>22:10:19.000</v>
      </c>
      <c r="T234" t="str">
        <f t="shared" si="72"/>
        <v>22:10:19.000</v>
      </c>
      <c r="U234" t="str">
        <f t="shared" si="60"/>
        <v>A9D71F</v>
      </c>
      <c r="V234">
        <v>0</v>
      </c>
      <c r="W234">
        <v>0</v>
      </c>
      <c r="X234">
        <v>2</v>
      </c>
      <c r="Z234">
        <v>1</v>
      </c>
      <c r="AA234">
        <v>8</v>
      </c>
      <c r="AB234">
        <v>3</v>
      </c>
      <c r="AC234">
        <v>0</v>
      </c>
      <c r="AD234">
        <v>9</v>
      </c>
      <c r="AE234">
        <v>0</v>
      </c>
      <c r="AF234">
        <v>3</v>
      </c>
      <c r="AG234">
        <v>1</v>
      </c>
      <c r="AH234">
        <v>0</v>
      </c>
      <c r="AI234" t="s">
        <v>223</v>
      </c>
      <c r="AJ234">
        <v>33.188409999999998</v>
      </c>
      <c r="AK234" t="s">
        <v>224</v>
      </c>
      <c r="AL234">
        <v>-97.802203000000006</v>
      </c>
      <c r="AM234">
        <v>25</v>
      </c>
      <c r="AN234">
        <v>2000</v>
      </c>
      <c r="AO234" t="s">
        <v>118</v>
      </c>
      <c r="AP234">
        <v>93</v>
      </c>
      <c r="AQ234">
        <v>-5</v>
      </c>
      <c r="AR234">
        <v>640</v>
      </c>
      <c r="AZ234">
        <v>1200</v>
      </c>
      <c r="BA234">
        <v>1</v>
      </c>
      <c r="BB234" t="str">
        <f t="shared" si="67"/>
        <v xml:space="preserve">N733KP  </v>
      </c>
      <c r="BC234">
        <v>1</v>
      </c>
      <c r="BE234">
        <v>0</v>
      </c>
      <c r="BF234">
        <v>0</v>
      </c>
      <c r="BG234">
        <v>0</v>
      </c>
      <c r="BH234">
        <v>2000</v>
      </c>
      <c r="BI234">
        <v>1</v>
      </c>
      <c r="BJ234">
        <v>1</v>
      </c>
      <c r="BK234">
        <v>0</v>
      </c>
      <c r="BL234">
        <v>0</v>
      </c>
      <c r="BO234">
        <v>0</v>
      </c>
      <c r="BP234">
        <v>0</v>
      </c>
      <c r="BW234" t="str">
        <f>"22:10:19.252"</f>
        <v>22:10:19.252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6</v>
      </c>
      <c r="CP234" t="s">
        <v>119</v>
      </c>
      <c r="CQ234">
        <v>364</v>
      </c>
      <c r="CR234">
        <v>0</v>
      </c>
      <c r="CW234">
        <v>1373017</v>
      </c>
      <c r="CY234">
        <v>1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"03/24/2022 22:10:19.462"</f>
        <v>03/24/2022 22:10:19.462</v>
      </c>
      <c r="C235" t="str">
        <f t="shared" si="65"/>
        <v>FFDFD3C0</v>
      </c>
      <c r="D235" t="s">
        <v>123</v>
      </c>
      <c r="E235">
        <v>8</v>
      </c>
      <c r="H235">
        <v>31</v>
      </c>
      <c r="I235" t="s">
        <v>124</v>
      </c>
      <c r="J235" t="s">
        <v>125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 t="shared" si="72"/>
        <v>22:10:19.000</v>
      </c>
      <c r="T235" t="str">
        <f t="shared" si="72"/>
        <v>22:10:19.000</v>
      </c>
      <c r="U235" t="str">
        <f t="shared" si="60"/>
        <v>A9D71F</v>
      </c>
      <c r="V235">
        <v>0</v>
      </c>
      <c r="W235">
        <v>0</v>
      </c>
      <c r="X235">
        <v>2</v>
      </c>
      <c r="Z235">
        <v>1</v>
      </c>
      <c r="AA235">
        <v>8</v>
      </c>
      <c r="AB235">
        <v>3</v>
      </c>
      <c r="AC235">
        <v>0</v>
      </c>
      <c r="AD235">
        <v>9</v>
      </c>
      <c r="AE235">
        <v>0</v>
      </c>
      <c r="AF235">
        <v>3</v>
      </c>
      <c r="AG235">
        <v>1</v>
      </c>
      <c r="AH235">
        <v>0</v>
      </c>
      <c r="AI235" t="s">
        <v>223</v>
      </c>
      <c r="AJ235">
        <v>33.188409999999998</v>
      </c>
      <c r="AK235" t="s">
        <v>224</v>
      </c>
      <c r="AL235">
        <v>-97.802203000000006</v>
      </c>
      <c r="AM235">
        <v>25</v>
      </c>
      <c r="AN235">
        <v>2000</v>
      </c>
      <c r="AO235" t="s">
        <v>118</v>
      </c>
      <c r="AP235">
        <v>93</v>
      </c>
      <c r="AQ235">
        <v>-5</v>
      </c>
      <c r="AR235">
        <v>640</v>
      </c>
      <c r="AZ235">
        <v>1200</v>
      </c>
      <c r="BA235">
        <v>1</v>
      </c>
      <c r="BB235" t="str">
        <f t="shared" si="67"/>
        <v xml:space="preserve">N733KP  </v>
      </c>
      <c r="BC235">
        <v>1</v>
      </c>
      <c r="BE235">
        <v>0</v>
      </c>
      <c r="BF235">
        <v>0</v>
      </c>
      <c r="BG235">
        <v>0</v>
      </c>
      <c r="BH235">
        <v>2000</v>
      </c>
      <c r="BI235">
        <v>1</v>
      </c>
      <c r="BJ235">
        <v>1</v>
      </c>
      <c r="BK235">
        <v>0</v>
      </c>
      <c r="BL235">
        <v>0</v>
      </c>
      <c r="BO235">
        <v>0</v>
      </c>
      <c r="BP235">
        <v>0</v>
      </c>
      <c r="BW235" t="str">
        <f>"22:10:19.252"</f>
        <v>22:10:19.252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6</v>
      </c>
      <c r="CP235" t="s">
        <v>119</v>
      </c>
      <c r="CQ235">
        <v>364</v>
      </c>
      <c r="CR235">
        <v>0</v>
      </c>
      <c r="CW235">
        <v>1373017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"03/24/2022 22:10:19.462"</f>
        <v>03/24/2022 22:10:19.462</v>
      </c>
      <c r="C236" t="str">
        <f t="shared" si="65"/>
        <v>FFDFD3C0</v>
      </c>
      <c r="D236" t="s">
        <v>113</v>
      </c>
      <c r="E236">
        <v>24</v>
      </c>
      <c r="F236">
        <v>2024</v>
      </c>
      <c r="G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 t="shared" si="72"/>
        <v>22:10:19.000</v>
      </c>
      <c r="T236" t="str">
        <f t="shared" si="72"/>
        <v>22:10:19.000</v>
      </c>
      <c r="U236" t="str">
        <f t="shared" si="60"/>
        <v>A9D71F</v>
      </c>
      <c r="V236">
        <v>0</v>
      </c>
      <c r="W236">
        <v>0</v>
      </c>
      <c r="X236">
        <v>2</v>
      </c>
      <c r="Z236">
        <v>1</v>
      </c>
      <c r="AA236">
        <v>8</v>
      </c>
      <c r="AB236">
        <v>3</v>
      </c>
      <c r="AC236">
        <v>0</v>
      </c>
      <c r="AD236">
        <v>9</v>
      </c>
      <c r="AE236">
        <v>0</v>
      </c>
      <c r="AF236">
        <v>3</v>
      </c>
      <c r="AG236">
        <v>1</v>
      </c>
      <c r="AH236">
        <v>0</v>
      </c>
      <c r="AI236" t="s">
        <v>223</v>
      </c>
      <c r="AJ236">
        <v>33.188409999999998</v>
      </c>
      <c r="AK236" t="s">
        <v>224</v>
      </c>
      <c r="AL236">
        <v>-97.802203000000006</v>
      </c>
      <c r="AM236">
        <v>25</v>
      </c>
      <c r="AN236">
        <v>2000</v>
      </c>
      <c r="AO236" t="s">
        <v>118</v>
      </c>
      <c r="AP236">
        <v>93</v>
      </c>
      <c r="AQ236">
        <v>-5</v>
      </c>
      <c r="AR236">
        <v>640</v>
      </c>
      <c r="AZ236">
        <v>1200</v>
      </c>
      <c r="BA236">
        <v>1</v>
      </c>
      <c r="BB236" t="str">
        <f t="shared" si="67"/>
        <v xml:space="preserve">N733KP  </v>
      </c>
      <c r="BC236">
        <v>1</v>
      </c>
      <c r="BE236">
        <v>0</v>
      </c>
      <c r="BF236">
        <v>0</v>
      </c>
      <c r="BG236">
        <v>0</v>
      </c>
      <c r="BH236">
        <v>2000</v>
      </c>
      <c r="BI236">
        <v>1</v>
      </c>
      <c r="BJ236">
        <v>1</v>
      </c>
      <c r="BK236">
        <v>0</v>
      </c>
      <c r="BL236">
        <v>0</v>
      </c>
      <c r="BO236">
        <v>0</v>
      </c>
      <c r="BP236">
        <v>0</v>
      </c>
      <c r="BW236" t="str">
        <f>"22:10:19.252"</f>
        <v>22:10:19.252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6</v>
      </c>
      <c r="CP236" t="s">
        <v>119</v>
      </c>
      <c r="CQ236">
        <v>364</v>
      </c>
      <c r="CR236">
        <v>0</v>
      </c>
      <c r="CW236">
        <v>1373017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"03/24/2022 22:10:19.462"</f>
        <v>03/24/2022 22:10:19.462</v>
      </c>
      <c r="C237" t="str">
        <f t="shared" si="65"/>
        <v>FFDFD3C0</v>
      </c>
      <c r="D237" t="s">
        <v>126</v>
      </c>
      <c r="E237">
        <v>3</v>
      </c>
      <c r="H237">
        <v>160</v>
      </c>
      <c r="I237" t="s">
        <v>121</v>
      </c>
      <c r="J237" t="s">
        <v>127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 t="shared" si="72"/>
        <v>22:10:19.000</v>
      </c>
      <c r="T237" t="str">
        <f t="shared" si="72"/>
        <v>22:10:19.000</v>
      </c>
      <c r="U237" t="str">
        <f t="shared" si="60"/>
        <v>A9D71F</v>
      </c>
      <c r="V237">
        <v>0</v>
      </c>
      <c r="W237">
        <v>0</v>
      </c>
      <c r="X237">
        <v>2</v>
      </c>
      <c r="Z237">
        <v>1</v>
      </c>
      <c r="AA237">
        <v>8</v>
      </c>
      <c r="AB237">
        <v>3</v>
      </c>
      <c r="AC237">
        <v>0</v>
      </c>
      <c r="AD237">
        <v>9</v>
      </c>
      <c r="AE237">
        <v>0</v>
      </c>
      <c r="AF237">
        <v>3</v>
      </c>
      <c r="AG237">
        <v>1</v>
      </c>
      <c r="AH237">
        <v>0</v>
      </c>
      <c r="AI237" t="s">
        <v>223</v>
      </c>
      <c r="AJ237">
        <v>33.188409999999998</v>
      </c>
      <c r="AK237" t="s">
        <v>224</v>
      </c>
      <c r="AL237">
        <v>-97.802203000000006</v>
      </c>
      <c r="AM237">
        <v>25</v>
      </c>
      <c r="AN237">
        <v>2000</v>
      </c>
      <c r="AO237" t="s">
        <v>118</v>
      </c>
      <c r="AP237">
        <v>93</v>
      </c>
      <c r="AQ237">
        <v>-5</v>
      </c>
      <c r="AR237">
        <v>640</v>
      </c>
      <c r="AZ237">
        <v>1200</v>
      </c>
      <c r="BA237">
        <v>1</v>
      </c>
      <c r="BB237" t="str">
        <f t="shared" si="67"/>
        <v xml:space="preserve">N733KP  </v>
      </c>
      <c r="BC237">
        <v>1</v>
      </c>
      <c r="BE237">
        <v>0</v>
      </c>
      <c r="BF237">
        <v>0</v>
      </c>
      <c r="BG237">
        <v>0</v>
      </c>
      <c r="BH237">
        <v>2000</v>
      </c>
      <c r="BI237">
        <v>1</v>
      </c>
      <c r="BJ237">
        <v>1</v>
      </c>
      <c r="BK237">
        <v>0</v>
      </c>
      <c r="BL237">
        <v>0</v>
      </c>
      <c r="BO237">
        <v>0</v>
      </c>
      <c r="BP237">
        <v>0</v>
      </c>
      <c r="BW237" t="str">
        <f>"22:10:19.252"</f>
        <v>22:10:19.252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6</v>
      </c>
      <c r="CP237" t="s">
        <v>119</v>
      </c>
      <c r="CQ237">
        <v>364</v>
      </c>
      <c r="CR237">
        <v>0</v>
      </c>
      <c r="CW237">
        <v>1373017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"03/24/2022 22:10:20.524"</f>
        <v>03/24/2022 22:10:20.524</v>
      </c>
      <c r="C238" t="str">
        <f t="shared" si="65"/>
        <v>FFDFD3C0</v>
      </c>
      <c r="D238" t="s">
        <v>123</v>
      </c>
      <c r="E238">
        <v>8</v>
      </c>
      <c r="H238">
        <v>31</v>
      </c>
      <c r="I238" t="s">
        <v>124</v>
      </c>
      <c r="J238" t="s">
        <v>125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 t="shared" ref="S238:T241" si="73">"22:10:20.000"</f>
        <v>22:10:20.000</v>
      </c>
      <c r="T238" t="str">
        <f t="shared" si="73"/>
        <v>22:10:20.000</v>
      </c>
      <c r="U238" t="str">
        <f t="shared" si="60"/>
        <v>A9D71F</v>
      </c>
      <c r="V238">
        <v>0</v>
      </c>
      <c r="W238">
        <v>0</v>
      </c>
      <c r="X238">
        <v>2</v>
      </c>
      <c r="Z238">
        <v>1</v>
      </c>
      <c r="AA238">
        <v>8</v>
      </c>
      <c r="AB238">
        <v>3</v>
      </c>
      <c r="AC238">
        <v>0</v>
      </c>
      <c r="AD238">
        <v>9</v>
      </c>
      <c r="AE238">
        <v>0</v>
      </c>
      <c r="AF238">
        <v>3</v>
      </c>
      <c r="AG238">
        <v>1</v>
      </c>
      <c r="AH238">
        <v>0</v>
      </c>
      <c r="AI238" t="s">
        <v>223</v>
      </c>
      <c r="AJ238">
        <v>33.188409999999998</v>
      </c>
      <c r="AK238" t="s">
        <v>225</v>
      </c>
      <c r="AL238">
        <v>-97.801687999999999</v>
      </c>
      <c r="AM238">
        <v>25</v>
      </c>
      <c r="AN238">
        <v>2000</v>
      </c>
      <c r="AO238" t="s">
        <v>118</v>
      </c>
      <c r="AP238">
        <v>93</v>
      </c>
      <c r="AQ238">
        <v>-5</v>
      </c>
      <c r="AR238">
        <v>640</v>
      </c>
      <c r="AZ238">
        <v>1200</v>
      </c>
      <c r="BA238">
        <v>1</v>
      </c>
      <c r="BB238" t="str">
        <f t="shared" si="67"/>
        <v xml:space="preserve">N733KP  </v>
      </c>
      <c r="BC238">
        <v>1</v>
      </c>
      <c r="BE238">
        <v>0</v>
      </c>
      <c r="BF238">
        <v>0</v>
      </c>
      <c r="BG238">
        <v>0</v>
      </c>
      <c r="BH238">
        <v>2000</v>
      </c>
      <c r="BI238">
        <v>1</v>
      </c>
      <c r="BJ238">
        <v>1</v>
      </c>
      <c r="BK238">
        <v>0</v>
      </c>
      <c r="BL238">
        <v>0</v>
      </c>
      <c r="BO238">
        <v>0</v>
      </c>
      <c r="BP238">
        <v>0</v>
      </c>
      <c r="BW238" t="str">
        <f>"22:10:20.277"</f>
        <v>22:10:20.277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6</v>
      </c>
      <c r="CP238" t="s">
        <v>119</v>
      </c>
      <c r="CQ238">
        <v>364</v>
      </c>
      <c r="CR238">
        <v>0</v>
      </c>
      <c r="CW238">
        <v>1373200</v>
      </c>
      <c r="CY238">
        <v>1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"03/24/2022 22:10:20.524"</f>
        <v>03/24/2022 22:10:20.524</v>
      </c>
      <c r="C239" t="str">
        <f t="shared" si="65"/>
        <v>FFDFD3C0</v>
      </c>
      <c r="D239" t="s">
        <v>120</v>
      </c>
      <c r="E239">
        <v>14</v>
      </c>
      <c r="F239">
        <v>1014</v>
      </c>
      <c r="G239" t="s">
        <v>121</v>
      </c>
      <c r="J239" t="s">
        <v>122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 t="shared" si="73"/>
        <v>22:10:20.000</v>
      </c>
      <c r="T239" t="str">
        <f t="shared" si="73"/>
        <v>22:10:20.000</v>
      </c>
      <c r="U239" t="str">
        <f t="shared" si="60"/>
        <v>A9D71F</v>
      </c>
      <c r="V239">
        <v>0</v>
      </c>
      <c r="W239">
        <v>0</v>
      </c>
      <c r="X239">
        <v>2</v>
      </c>
      <c r="Z239">
        <v>1</v>
      </c>
      <c r="AA239">
        <v>8</v>
      </c>
      <c r="AB239">
        <v>3</v>
      </c>
      <c r="AC239">
        <v>0</v>
      </c>
      <c r="AD239">
        <v>9</v>
      </c>
      <c r="AE239">
        <v>0</v>
      </c>
      <c r="AF239">
        <v>3</v>
      </c>
      <c r="AG239">
        <v>1</v>
      </c>
      <c r="AH239">
        <v>0</v>
      </c>
      <c r="AI239" t="s">
        <v>223</v>
      </c>
      <c r="AJ239">
        <v>33.188409999999998</v>
      </c>
      <c r="AK239" t="s">
        <v>225</v>
      </c>
      <c r="AL239">
        <v>-97.801687999999999</v>
      </c>
      <c r="AM239">
        <v>25</v>
      </c>
      <c r="AN239">
        <v>2000</v>
      </c>
      <c r="AO239" t="s">
        <v>118</v>
      </c>
      <c r="AP239">
        <v>93</v>
      </c>
      <c r="AQ239">
        <v>-5</v>
      </c>
      <c r="AR239">
        <v>640</v>
      </c>
      <c r="AZ239">
        <v>1200</v>
      </c>
      <c r="BA239">
        <v>1</v>
      </c>
      <c r="BB239" t="str">
        <f t="shared" si="67"/>
        <v xml:space="preserve">N733KP  </v>
      </c>
      <c r="BC239">
        <v>1</v>
      </c>
      <c r="BE239">
        <v>0</v>
      </c>
      <c r="BF239">
        <v>0</v>
      </c>
      <c r="BG239">
        <v>0</v>
      </c>
      <c r="BH239">
        <v>2000</v>
      </c>
      <c r="BI239">
        <v>1</v>
      </c>
      <c r="BJ239">
        <v>1</v>
      </c>
      <c r="BK239">
        <v>0</v>
      </c>
      <c r="BL239">
        <v>0</v>
      </c>
      <c r="BO239">
        <v>0</v>
      </c>
      <c r="BP239">
        <v>0</v>
      </c>
      <c r="BW239" t="str">
        <f>"22:10:20.277"</f>
        <v>22:10:20.277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6</v>
      </c>
      <c r="CP239" t="s">
        <v>119</v>
      </c>
      <c r="CQ239">
        <v>364</v>
      </c>
      <c r="CR239">
        <v>0</v>
      </c>
      <c r="CW239">
        <v>1373200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"03/24/2022 22:10:20.524"</f>
        <v>03/24/2022 22:10:20.524</v>
      </c>
      <c r="C240" t="str">
        <f t="shared" si="65"/>
        <v>FFDFD3C0</v>
      </c>
      <c r="D240" t="s">
        <v>113</v>
      </c>
      <c r="E240">
        <v>24</v>
      </c>
      <c r="F240">
        <v>2024</v>
      </c>
      <c r="G240" t="s">
        <v>114</v>
      </c>
      <c r="J240" t="s">
        <v>115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 t="shared" si="73"/>
        <v>22:10:20.000</v>
      </c>
      <c r="T240" t="str">
        <f t="shared" si="73"/>
        <v>22:10:20.000</v>
      </c>
      <c r="U240" t="str">
        <f t="shared" si="60"/>
        <v>A9D71F</v>
      </c>
      <c r="V240">
        <v>0</v>
      </c>
      <c r="W240">
        <v>0</v>
      </c>
      <c r="X240">
        <v>2</v>
      </c>
      <c r="Z240">
        <v>1</v>
      </c>
      <c r="AA240">
        <v>8</v>
      </c>
      <c r="AB240">
        <v>3</v>
      </c>
      <c r="AC240">
        <v>0</v>
      </c>
      <c r="AD240">
        <v>9</v>
      </c>
      <c r="AE240">
        <v>0</v>
      </c>
      <c r="AF240">
        <v>3</v>
      </c>
      <c r="AG240">
        <v>1</v>
      </c>
      <c r="AH240">
        <v>0</v>
      </c>
      <c r="AI240" t="s">
        <v>223</v>
      </c>
      <c r="AJ240">
        <v>33.188409999999998</v>
      </c>
      <c r="AK240" t="s">
        <v>225</v>
      </c>
      <c r="AL240">
        <v>-97.801687999999999</v>
      </c>
      <c r="AM240">
        <v>25</v>
      </c>
      <c r="AN240">
        <v>2000</v>
      </c>
      <c r="AO240" t="s">
        <v>118</v>
      </c>
      <c r="AP240">
        <v>93</v>
      </c>
      <c r="AQ240">
        <v>-5</v>
      </c>
      <c r="AR240">
        <v>640</v>
      </c>
      <c r="AZ240">
        <v>1200</v>
      </c>
      <c r="BA240">
        <v>1</v>
      </c>
      <c r="BB240" t="str">
        <f t="shared" si="67"/>
        <v xml:space="preserve">N733KP  </v>
      </c>
      <c r="BC240">
        <v>1</v>
      </c>
      <c r="BE240">
        <v>0</v>
      </c>
      <c r="BF240">
        <v>0</v>
      </c>
      <c r="BG240">
        <v>0</v>
      </c>
      <c r="BH240">
        <v>2000</v>
      </c>
      <c r="BI240">
        <v>1</v>
      </c>
      <c r="BJ240">
        <v>1</v>
      </c>
      <c r="BK240">
        <v>0</v>
      </c>
      <c r="BL240">
        <v>0</v>
      </c>
      <c r="BO240">
        <v>0</v>
      </c>
      <c r="BP240">
        <v>0</v>
      </c>
      <c r="BW240" t="str">
        <f>"22:10:20.277"</f>
        <v>22:10:20.277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6</v>
      </c>
      <c r="CP240" t="s">
        <v>119</v>
      </c>
      <c r="CQ240">
        <v>364</v>
      </c>
      <c r="CR240">
        <v>0</v>
      </c>
      <c r="CW240">
        <v>1373200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"03/24/2022 22:10:20.524"</f>
        <v>03/24/2022 22:10:20.524</v>
      </c>
      <c r="C241" t="str">
        <f t="shared" si="65"/>
        <v>FFDFD3C0</v>
      </c>
      <c r="D241" t="s">
        <v>126</v>
      </c>
      <c r="E241">
        <v>3</v>
      </c>
      <c r="H241">
        <v>160</v>
      </c>
      <c r="I241" t="s">
        <v>121</v>
      </c>
      <c r="J241" t="s">
        <v>127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 t="shared" si="73"/>
        <v>22:10:20.000</v>
      </c>
      <c r="T241" t="str">
        <f t="shared" si="73"/>
        <v>22:10:20.000</v>
      </c>
      <c r="U241" t="str">
        <f t="shared" si="60"/>
        <v>A9D71F</v>
      </c>
      <c r="V241">
        <v>0</v>
      </c>
      <c r="W241">
        <v>0</v>
      </c>
      <c r="X241">
        <v>2</v>
      </c>
      <c r="Z241">
        <v>1</v>
      </c>
      <c r="AA241">
        <v>8</v>
      </c>
      <c r="AB241">
        <v>3</v>
      </c>
      <c r="AC241">
        <v>0</v>
      </c>
      <c r="AD241">
        <v>9</v>
      </c>
      <c r="AE241">
        <v>0</v>
      </c>
      <c r="AF241">
        <v>3</v>
      </c>
      <c r="AG241">
        <v>1</v>
      </c>
      <c r="AH241">
        <v>0</v>
      </c>
      <c r="AI241" t="s">
        <v>223</v>
      </c>
      <c r="AJ241">
        <v>33.188409999999998</v>
      </c>
      <c r="AK241" t="s">
        <v>225</v>
      </c>
      <c r="AL241">
        <v>-97.801687999999999</v>
      </c>
      <c r="AM241">
        <v>25</v>
      </c>
      <c r="AN241">
        <v>2000</v>
      </c>
      <c r="AO241" t="s">
        <v>118</v>
      </c>
      <c r="AP241">
        <v>93</v>
      </c>
      <c r="AQ241">
        <v>-5</v>
      </c>
      <c r="AR241">
        <v>640</v>
      </c>
      <c r="AZ241">
        <v>1200</v>
      </c>
      <c r="BA241">
        <v>1</v>
      </c>
      <c r="BB241" t="str">
        <f t="shared" si="67"/>
        <v xml:space="preserve">N733KP  </v>
      </c>
      <c r="BC241">
        <v>1</v>
      </c>
      <c r="BE241">
        <v>0</v>
      </c>
      <c r="BF241">
        <v>0</v>
      </c>
      <c r="BG241">
        <v>0</v>
      </c>
      <c r="BH241">
        <v>2000</v>
      </c>
      <c r="BI241">
        <v>1</v>
      </c>
      <c r="BJ241">
        <v>1</v>
      </c>
      <c r="BK241">
        <v>0</v>
      </c>
      <c r="BL241">
        <v>0</v>
      </c>
      <c r="BO241">
        <v>0</v>
      </c>
      <c r="BP241">
        <v>0</v>
      </c>
      <c r="BW241" t="str">
        <f>"22:10:20.277"</f>
        <v>22:10:20.277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6</v>
      </c>
      <c r="CP241" t="s">
        <v>119</v>
      </c>
      <c r="CQ241">
        <v>364</v>
      </c>
      <c r="CR241">
        <v>0</v>
      </c>
      <c r="CW241">
        <v>1373200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"03/24/2022 22:10:22.760"</f>
        <v>03/24/2022 22:10:22.760</v>
      </c>
      <c r="C242" t="str">
        <f t="shared" si="65"/>
        <v>FFDFD3C0</v>
      </c>
      <c r="D242" t="s">
        <v>120</v>
      </c>
      <c r="E242">
        <v>14</v>
      </c>
      <c r="F242">
        <v>1014</v>
      </c>
      <c r="G242" t="s">
        <v>121</v>
      </c>
      <c r="J242" t="s">
        <v>122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 t="shared" ref="S242:T245" si="74">"22:10:22.000"</f>
        <v>22:10:22.000</v>
      </c>
      <c r="T242" t="str">
        <f t="shared" si="74"/>
        <v>22:10:22.000</v>
      </c>
      <c r="U242" t="str">
        <f t="shared" si="60"/>
        <v>A9D71F</v>
      </c>
      <c r="V242">
        <v>0</v>
      </c>
      <c r="W242">
        <v>0</v>
      </c>
      <c r="X242">
        <v>2</v>
      </c>
      <c r="Z242">
        <v>1</v>
      </c>
      <c r="AA242">
        <v>8</v>
      </c>
      <c r="AB242">
        <v>3</v>
      </c>
      <c r="AC242">
        <v>0</v>
      </c>
      <c r="AD242">
        <v>9</v>
      </c>
      <c r="AE242">
        <v>0</v>
      </c>
      <c r="AF242">
        <v>3</v>
      </c>
      <c r="AG242">
        <v>1</v>
      </c>
      <c r="AH242">
        <v>0</v>
      </c>
      <c r="AI242" t="s">
        <v>226</v>
      </c>
      <c r="AJ242">
        <v>33.188344999999998</v>
      </c>
      <c r="AK242" t="s">
        <v>227</v>
      </c>
      <c r="AL242">
        <v>-97.800635999999997</v>
      </c>
      <c r="AM242">
        <v>25</v>
      </c>
      <c r="AN242">
        <v>2100</v>
      </c>
      <c r="AO242" t="s">
        <v>118</v>
      </c>
      <c r="AP242">
        <v>94</v>
      </c>
      <c r="AQ242">
        <v>-7</v>
      </c>
      <c r="AR242">
        <v>512</v>
      </c>
      <c r="AZ242">
        <v>1200</v>
      </c>
      <c r="BA242">
        <v>1</v>
      </c>
      <c r="BB242" t="str">
        <f t="shared" si="67"/>
        <v xml:space="preserve">N733KP  </v>
      </c>
      <c r="BC242">
        <v>1</v>
      </c>
      <c r="BE242">
        <v>0</v>
      </c>
      <c r="BF242">
        <v>0</v>
      </c>
      <c r="BG242">
        <v>0</v>
      </c>
      <c r="BH242">
        <v>2025</v>
      </c>
      <c r="BI242">
        <v>1</v>
      </c>
      <c r="BJ242">
        <v>1</v>
      </c>
      <c r="BK242">
        <v>0</v>
      </c>
      <c r="BL242">
        <v>0</v>
      </c>
      <c r="BO242">
        <v>0</v>
      </c>
      <c r="BP242">
        <v>0</v>
      </c>
      <c r="BW242" t="str">
        <f>"22:10:22.547"</f>
        <v>22:10:22.547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6</v>
      </c>
      <c r="CP242" t="s">
        <v>119</v>
      </c>
      <c r="CQ242">
        <v>364</v>
      </c>
      <c r="CR242">
        <v>0</v>
      </c>
      <c r="CW242">
        <v>1373567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"03/24/2022 22:10:22.760"</f>
        <v>03/24/2022 22:10:22.760</v>
      </c>
      <c r="C243" t="str">
        <f t="shared" si="65"/>
        <v>FFDFD3C0</v>
      </c>
      <c r="D243" t="s">
        <v>123</v>
      </c>
      <c r="E243">
        <v>8</v>
      </c>
      <c r="H243">
        <v>31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 t="shared" si="74"/>
        <v>22:10:22.000</v>
      </c>
      <c r="T243" t="str">
        <f t="shared" si="74"/>
        <v>22:10:22.000</v>
      </c>
      <c r="U243" t="str">
        <f t="shared" si="60"/>
        <v>A9D71F</v>
      </c>
      <c r="V243">
        <v>0</v>
      </c>
      <c r="W243">
        <v>0</v>
      </c>
      <c r="X243">
        <v>2</v>
      </c>
      <c r="Z243">
        <v>1</v>
      </c>
      <c r="AA243">
        <v>8</v>
      </c>
      <c r="AB243">
        <v>3</v>
      </c>
      <c r="AC243">
        <v>0</v>
      </c>
      <c r="AD243">
        <v>9</v>
      </c>
      <c r="AE243">
        <v>0</v>
      </c>
      <c r="AF243">
        <v>3</v>
      </c>
      <c r="AG243">
        <v>1</v>
      </c>
      <c r="AH243">
        <v>0</v>
      </c>
      <c r="AI243" t="s">
        <v>226</v>
      </c>
      <c r="AJ243">
        <v>33.188344999999998</v>
      </c>
      <c r="AK243" t="s">
        <v>227</v>
      </c>
      <c r="AL243">
        <v>-97.800635999999997</v>
      </c>
      <c r="AM243">
        <v>25</v>
      </c>
      <c r="AN243">
        <v>2100</v>
      </c>
      <c r="AO243" t="s">
        <v>118</v>
      </c>
      <c r="AP243">
        <v>94</v>
      </c>
      <c r="AQ243">
        <v>-7</v>
      </c>
      <c r="AR243">
        <v>512</v>
      </c>
      <c r="AZ243">
        <v>1200</v>
      </c>
      <c r="BA243">
        <v>1</v>
      </c>
      <c r="BB243" t="str">
        <f t="shared" si="67"/>
        <v xml:space="preserve">N733KP  </v>
      </c>
      <c r="BC243">
        <v>1</v>
      </c>
      <c r="BE243">
        <v>0</v>
      </c>
      <c r="BF243">
        <v>0</v>
      </c>
      <c r="BG243">
        <v>0</v>
      </c>
      <c r="BH243">
        <v>2025</v>
      </c>
      <c r="BI243">
        <v>1</v>
      </c>
      <c r="BJ243">
        <v>1</v>
      </c>
      <c r="BK243">
        <v>0</v>
      </c>
      <c r="BL243">
        <v>0</v>
      </c>
      <c r="BO243">
        <v>0</v>
      </c>
      <c r="BP243">
        <v>0</v>
      </c>
      <c r="BW243" t="str">
        <f>"22:10:22.547"</f>
        <v>22:10:22.547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6</v>
      </c>
      <c r="CP243" t="s">
        <v>119</v>
      </c>
      <c r="CQ243">
        <v>364</v>
      </c>
      <c r="CR243">
        <v>0</v>
      </c>
      <c r="CW243">
        <v>1373567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"03/24/2022 22:10:22.760"</f>
        <v>03/24/2022 22:10:22.760</v>
      </c>
      <c r="C244" t="str">
        <f t="shared" si="65"/>
        <v>FFDFD3C0</v>
      </c>
      <c r="D244" t="s">
        <v>126</v>
      </c>
      <c r="E244">
        <v>3</v>
      </c>
      <c r="H244">
        <v>160</v>
      </c>
      <c r="I244" t="s">
        <v>121</v>
      </c>
      <c r="J244" t="s">
        <v>127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 t="shared" si="74"/>
        <v>22:10:22.000</v>
      </c>
      <c r="T244" t="str">
        <f t="shared" si="74"/>
        <v>22:10:22.000</v>
      </c>
      <c r="U244" t="str">
        <f t="shared" si="60"/>
        <v>A9D71F</v>
      </c>
      <c r="V244">
        <v>0</v>
      </c>
      <c r="W244">
        <v>0</v>
      </c>
      <c r="X244">
        <v>2</v>
      </c>
      <c r="Z244">
        <v>1</v>
      </c>
      <c r="AA244">
        <v>8</v>
      </c>
      <c r="AB244">
        <v>3</v>
      </c>
      <c r="AC244">
        <v>0</v>
      </c>
      <c r="AD244">
        <v>9</v>
      </c>
      <c r="AE244">
        <v>0</v>
      </c>
      <c r="AF244">
        <v>3</v>
      </c>
      <c r="AG244">
        <v>1</v>
      </c>
      <c r="AH244">
        <v>0</v>
      </c>
      <c r="AI244" t="s">
        <v>226</v>
      </c>
      <c r="AJ244">
        <v>33.188344999999998</v>
      </c>
      <c r="AK244" t="s">
        <v>227</v>
      </c>
      <c r="AL244">
        <v>-97.800635999999997</v>
      </c>
      <c r="AM244">
        <v>25</v>
      </c>
      <c r="AN244">
        <v>2100</v>
      </c>
      <c r="AO244" t="s">
        <v>118</v>
      </c>
      <c r="AP244">
        <v>94</v>
      </c>
      <c r="AQ244">
        <v>-7</v>
      </c>
      <c r="AR244">
        <v>512</v>
      </c>
      <c r="AZ244">
        <v>1200</v>
      </c>
      <c r="BA244">
        <v>1</v>
      </c>
      <c r="BB244" t="str">
        <f t="shared" si="67"/>
        <v xml:space="preserve">N733KP  </v>
      </c>
      <c r="BC244">
        <v>1</v>
      </c>
      <c r="BE244">
        <v>0</v>
      </c>
      <c r="BF244">
        <v>0</v>
      </c>
      <c r="BG244">
        <v>0</v>
      </c>
      <c r="BH244">
        <v>2025</v>
      </c>
      <c r="BI244">
        <v>1</v>
      </c>
      <c r="BJ244">
        <v>1</v>
      </c>
      <c r="BK244">
        <v>0</v>
      </c>
      <c r="BL244">
        <v>0</v>
      </c>
      <c r="BO244">
        <v>0</v>
      </c>
      <c r="BP244">
        <v>0</v>
      </c>
      <c r="BW244" t="str">
        <f>"22:10:22.547"</f>
        <v>22:10:22.547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6</v>
      </c>
      <c r="CP244" t="s">
        <v>119</v>
      </c>
      <c r="CQ244">
        <v>364</v>
      </c>
      <c r="CR244">
        <v>0</v>
      </c>
      <c r="CW244">
        <v>1373567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"03/24/2022 22:10:22.760"</f>
        <v>03/24/2022 22:10:22.760</v>
      </c>
      <c r="C245" t="str">
        <f t="shared" si="65"/>
        <v>FFDFD3C0</v>
      </c>
      <c r="D245" t="s">
        <v>113</v>
      </c>
      <c r="E245">
        <v>24</v>
      </c>
      <c r="F245">
        <v>2024</v>
      </c>
      <c r="G245" t="s">
        <v>114</v>
      </c>
      <c r="J245" t="s">
        <v>115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 t="shared" si="74"/>
        <v>22:10:22.000</v>
      </c>
      <c r="T245" t="str">
        <f t="shared" si="74"/>
        <v>22:10:22.000</v>
      </c>
      <c r="U245" t="str">
        <f t="shared" si="60"/>
        <v>A9D71F</v>
      </c>
      <c r="V245">
        <v>0</v>
      </c>
      <c r="W245">
        <v>0</v>
      </c>
      <c r="X245">
        <v>2</v>
      </c>
      <c r="Z245">
        <v>1</v>
      </c>
      <c r="AA245">
        <v>8</v>
      </c>
      <c r="AB245">
        <v>3</v>
      </c>
      <c r="AC245">
        <v>0</v>
      </c>
      <c r="AD245">
        <v>9</v>
      </c>
      <c r="AE245">
        <v>0</v>
      </c>
      <c r="AF245">
        <v>3</v>
      </c>
      <c r="AG245">
        <v>1</v>
      </c>
      <c r="AH245">
        <v>0</v>
      </c>
      <c r="AI245" t="s">
        <v>226</v>
      </c>
      <c r="AJ245">
        <v>33.188344999999998</v>
      </c>
      <c r="AK245" t="s">
        <v>227</v>
      </c>
      <c r="AL245">
        <v>-97.800635999999997</v>
      </c>
      <c r="AM245">
        <v>25</v>
      </c>
      <c r="AN245">
        <v>2100</v>
      </c>
      <c r="AO245" t="s">
        <v>118</v>
      </c>
      <c r="AP245">
        <v>94</v>
      </c>
      <c r="AQ245">
        <v>-7</v>
      </c>
      <c r="AR245">
        <v>512</v>
      </c>
      <c r="AZ245">
        <v>1200</v>
      </c>
      <c r="BA245">
        <v>1</v>
      </c>
      <c r="BB245" t="str">
        <f t="shared" si="67"/>
        <v xml:space="preserve">N733KP  </v>
      </c>
      <c r="BC245">
        <v>1</v>
      </c>
      <c r="BE245">
        <v>0</v>
      </c>
      <c r="BF245">
        <v>0</v>
      </c>
      <c r="BG245">
        <v>0</v>
      </c>
      <c r="BH245">
        <v>2025</v>
      </c>
      <c r="BI245">
        <v>1</v>
      </c>
      <c r="BJ245">
        <v>1</v>
      </c>
      <c r="BK245">
        <v>0</v>
      </c>
      <c r="BL245">
        <v>0</v>
      </c>
      <c r="BO245">
        <v>0</v>
      </c>
      <c r="BP245">
        <v>0</v>
      </c>
      <c r="BW245" t="str">
        <f>"22:10:22.547"</f>
        <v>22:10:22.547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6</v>
      </c>
      <c r="CP245" t="s">
        <v>119</v>
      </c>
      <c r="CQ245">
        <v>364</v>
      </c>
      <c r="CR245">
        <v>0</v>
      </c>
      <c r="CW245">
        <v>1373567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"03/24/2022 22:10:23.370"</f>
        <v>03/24/2022 22:10:23.370</v>
      </c>
      <c r="C246" t="str">
        <f t="shared" si="65"/>
        <v>FFDFD3C0</v>
      </c>
      <c r="D246" t="s">
        <v>113</v>
      </c>
      <c r="E246">
        <v>24</v>
      </c>
      <c r="F246">
        <v>2024</v>
      </c>
      <c r="G246" t="s">
        <v>114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 t="shared" ref="S246:T249" si="75">"22:10:23.000"</f>
        <v>22:10:23.000</v>
      </c>
      <c r="T246" t="str">
        <f t="shared" si="75"/>
        <v>22:10:23.000</v>
      </c>
      <c r="U246" t="str">
        <f t="shared" si="60"/>
        <v>A9D71F</v>
      </c>
      <c r="V246">
        <v>0</v>
      </c>
      <c r="W246">
        <v>0</v>
      </c>
      <c r="X246">
        <v>2</v>
      </c>
      <c r="Z246">
        <v>1</v>
      </c>
      <c r="AA246">
        <v>8</v>
      </c>
      <c r="AB246">
        <v>3</v>
      </c>
      <c r="AC246">
        <v>0</v>
      </c>
      <c r="AD246">
        <v>9</v>
      </c>
      <c r="AE246">
        <v>0</v>
      </c>
      <c r="AF246">
        <v>3</v>
      </c>
      <c r="AG246">
        <v>1</v>
      </c>
      <c r="AH246">
        <v>0</v>
      </c>
      <c r="AI246" t="s">
        <v>164</v>
      </c>
      <c r="AJ246">
        <v>33.188324000000001</v>
      </c>
      <c r="AK246" t="s">
        <v>228</v>
      </c>
      <c r="AL246">
        <v>-97.800143000000006</v>
      </c>
      <c r="AM246">
        <v>25</v>
      </c>
      <c r="AN246">
        <v>2100</v>
      </c>
      <c r="AO246" t="s">
        <v>118</v>
      </c>
      <c r="AP246">
        <v>96</v>
      </c>
      <c r="AQ246">
        <v>-8</v>
      </c>
      <c r="AR246">
        <v>448</v>
      </c>
      <c r="AZ246">
        <v>1200</v>
      </c>
      <c r="BA246">
        <v>1</v>
      </c>
      <c r="BB246" t="str">
        <f t="shared" si="67"/>
        <v xml:space="preserve">N733KP  </v>
      </c>
      <c r="BC246">
        <v>1</v>
      </c>
      <c r="BE246">
        <v>0</v>
      </c>
      <c r="BF246">
        <v>0</v>
      </c>
      <c r="BG246">
        <v>0</v>
      </c>
      <c r="BH246">
        <v>2025</v>
      </c>
      <c r="BI246">
        <v>1</v>
      </c>
      <c r="BJ246">
        <v>1</v>
      </c>
      <c r="BK246">
        <v>0</v>
      </c>
      <c r="BL246">
        <v>0</v>
      </c>
      <c r="BO246">
        <v>0</v>
      </c>
      <c r="BP246">
        <v>0</v>
      </c>
      <c r="BW246" t="str">
        <f>"22:10:23.205"</f>
        <v>22:10:23.205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6</v>
      </c>
      <c r="CP246" t="s">
        <v>119</v>
      </c>
      <c r="CQ246">
        <v>364</v>
      </c>
      <c r="CR246">
        <v>0</v>
      </c>
      <c r="CW246">
        <v>1373662</v>
      </c>
      <c r="CY246">
        <v>1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"03/24/2022 22:10:23.370"</f>
        <v>03/24/2022 22:10:23.370</v>
      </c>
      <c r="C247" t="str">
        <f t="shared" si="65"/>
        <v>FFDFD3C0</v>
      </c>
      <c r="D247" t="s">
        <v>120</v>
      </c>
      <c r="E247">
        <v>14</v>
      </c>
      <c r="F247">
        <v>1014</v>
      </c>
      <c r="G247" t="s">
        <v>121</v>
      </c>
      <c r="J247" t="s">
        <v>122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 t="shared" si="75"/>
        <v>22:10:23.000</v>
      </c>
      <c r="T247" t="str">
        <f t="shared" si="75"/>
        <v>22:10:23.000</v>
      </c>
      <c r="U247" t="str">
        <f t="shared" si="60"/>
        <v>A9D71F</v>
      </c>
      <c r="V247">
        <v>0</v>
      </c>
      <c r="W247">
        <v>0</v>
      </c>
      <c r="X247">
        <v>2</v>
      </c>
      <c r="Z247">
        <v>1</v>
      </c>
      <c r="AA247">
        <v>8</v>
      </c>
      <c r="AB247">
        <v>3</v>
      </c>
      <c r="AC247">
        <v>0</v>
      </c>
      <c r="AD247">
        <v>9</v>
      </c>
      <c r="AE247">
        <v>0</v>
      </c>
      <c r="AF247">
        <v>3</v>
      </c>
      <c r="AG247">
        <v>1</v>
      </c>
      <c r="AH247">
        <v>0</v>
      </c>
      <c r="AI247" t="s">
        <v>164</v>
      </c>
      <c r="AJ247">
        <v>33.188324000000001</v>
      </c>
      <c r="AK247" t="s">
        <v>228</v>
      </c>
      <c r="AL247">
        <v>-97.800143000000006</v>
      </c>
      <c r="AM247">
        <v>25</v>
      </c>
      <c r="AN247">
        <v>2100</v>
      </c>
      <c r="AO247" t="s">
        <v>118</v>
      </c>
      <c r="AP247">
        <v>96</v>
      </c>
      <c r="AQ247">
        <v>-8</v>
      </c>
      <c r="AR247">
        <v>448</v>
      </c>
      <c r="AZ247">
        <v>1200</v>
      </c>
      <c r="BA247">
        <v>1</v>
      </c>
      <c r="BB247" t="str">
        <f t="shared" si="67"/>
        <v xml:space="preserve">N733KP  </v>
      </c>
      <c r="BC247">
        <v>1</v>
      </c>
      <c r="BE247">
        <v>0</v>
      </c>
      <c r="BF247">
        <v>0</v>
      </c>
      <c r="BG247">
        <v>0</v>
      </c>
      <c r="BH247">
        <v>2025</v>
      </c>
      <c r="BI247">
        <v>1</v>
      </c>
      <c r="BJ247">
        <v>1</v>
      </c>
      <c r="BK247">
        <v>0</v>
      </c>
      <c r="BL247">
        <v>0</v>
      </c>
      <c r="BO247">
        <v>0</v>
      </c>
      <c r="BP247">
        <v>0</v>
      </c>
      <c r="BW247" t="str">
        <f>"22:10:23.205"</f>
        <v>22:10:23.205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6</v>
      </c>
      <c r="CP247" t="s">
        <v>119</v>
      </c>
      <c r="CQ247">
        <v>364</v>
      </c>
      <c r="CR247">
        <v>0</v>
      </c>
      <c r="CW247">
        <v>1373662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"03/24/2022 22:10:23.417"</f>
        <v>03/24/2022 22:10:23.417</v>
      </c>
      <c r="C248" t="str">
        <f t="shared" si="65"/>
        <v>FFDFD3C0</v>
      </c>
      <c r="D248" t="s">
        <v>123</v>
      </c>
      <c r="E248">
        <v>8</v>
      </c>
      <c r="H248">
        <v>31</v>
      </c>
      <c r="I248" t="s">
        <v>124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 t="shared" si="75"/>
        <v>22:10:23.000</v>
      </c>
      <c r="T248" t="str">
        <f t="shared" si="75"/>
        <v>22:10:23.000</v>
      </c>
      <c r="U248" t="str">
        <f t="shared" si="60"/>
        <v>A9D71F</v>
      </c>
      <c r="V248">
        <v>0</v>
      </c>
      <c r="W248">
        <v>0</v>
      </c>
      <c r="X248">
        <v>2</v>
      </c>
      <c r="Z248">
        <v>1</v>
      </c>
      <c r="AA248">
        <v>8</v>
      </c>
      <c r="AB248">
        <v>3</v>
      </c>
      <c r="AC248">
        <v>0</v>
      </c>
      <c r="AD248">
        <v>9</v>
      </c>
      <c r="AE248">
        <v>0</v>
      </c>
      <c r="AF248">
        <v>3</v>
      </c>
      <c r="AG248">
        <v>1</v>
      </c>
      <c r="AH248">
        <v>0</v>
      </c>
      <c r="AI248" t="s">
        <v>164</v>
      </c>
      <c r="AJ248">
        <v>33.188324000000001</v>
      </c>
      <c r="AK248" t="s">
        <v>228</v>
      </c>
      <c r="AL248">
        <v>-97.800143000000006</v>
      </c>
      <c r="AM248">
        <v>25</v>
      </c>
      <c r="AN248">
        <v>2100</v>
      </c>
      <c r="AO248" t="s">
        <v>118</v>
      </c>
      <c r="AP248">
        <v>96</v>
      </c>
      <c r="AQ248">
        <v>-8</v>
      </c>
      <c r="AR248">
        <v>448</v>
      </c>
      <c r="AZ248">
        <v>1200</v>
      </c>
      <c r="BA248">
        <v>1</v>
      </c>
      <c r="BB248" t="str">
        <f t="shared" si="67"/>
        <v xml:space="preserve">N733KP  </v>
      </c>
      <c r="BC248">
        <v>1</v>
      </c>
      <c r="BE248">
        <v>0</v>
      </c>
      <c r="BF248">
        <v>0</v>
      </c>
      <c r="BG248">
        <v>0</v>
      </c>
      <c r="BH248">
        <v>2025</v>
      </c>
      <c r="BI248">
        <v>1</v>
      </c>
      <c r="BJ248">
        <v>1</v>
      </c>
      <c r="BK248">
        <v>0</v>
      </c>
      <c r="BL248">
        <v>0</v>
      </c>
      <c r="BO248">
        <v>0</v>
      </c>
      <c r="BP248">
        <v>0</v>
      </c>
      <c r="BW248" t="str">
        <f>"22:10:23.205"</f>
        <v>22:10:23.205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6</v>
      </c>
      <c r="CP248" t="s">
        <v>119</v>
      </c>
      <c r="CQ248">
        <v>364</v>
      </c>
      <c r="CR248">
        <v>0</v>
      </c>
      <c r="CW248">
        <v>1373662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"03/24/2022 22:10:23.417"</f>
        <v>03/24/2022 22:10:23.417</v>
      </c>
      <c r="C249" t="str">
        <f t="shared" si="65"/>
        <v>FFDFD3C0</v>
      </c>
      <c r="D249" t="s">
        <v>126</v>
      </c>
      <c r="E249">
        <v>3</v>
      </c>
      <c r="H249">
        <v>160</v>
      </c>
      <c r="I249" t="s">
        <v>121</v>
      </c>
      <c r="J249" t="s">
        <v>127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 t="shared" si="75"/>
        <v>22:10:23.000</v>
      </c>
      <c r="T249" t="str">
        <f t="shared" si="75"/>
        <v>22:10:23.000</v>
      </c>
      <c r="U249" t="str">
        <f t="shared" si="60"/>
        <v>A9D71F</v>
      </c>
      <c r="V249">
        <v>0</v>
      </c>
      <c r="W249">
        <v>0</v>
      </c>
      <c r="X249">
        <v>2</v>
      </c>
      <c r="Z249">
        <v>1</v>
      </c>
      <c r="AA249">
        <v>8</v>
      </c>
      <c r="AB249">
        <v>3</v>
      </c>
      <c r="AC249">
        <v>0</v>
      </c>
      <c r="AD249">
        <v>9</v>
      </c>
      <c r="AE249">
        <v>0</v>
      </c>
      <c r="AF249">
        <v>3</v>
      </c>
      <c r="AG249">
        <v>1</v>
      </c>
      <c r="AH249">
        <v>0</v>
      </c>
      <c r="AI249" t="s">
        <v>164</v>
      </c>
      <c r="AJ249">
        <v>33.188324000000001</v>
      </c>
      <c r="AK249" t="s">
        <v>228</v>
      </c>
      <c r="AL249">
        <v>-97.800143000000006</v>
      </c>
      <c r="AM249">
        <v>25</v>
      </c>
      <c r="AN249">
        <v>2100</v>
      </c>
      <c r="AO249" t="s">
        <v>118</v>
      </c>
      <c r="AP249">
        <v>96</v>
      </c>
      <c r="AQ249">
        <v>-8</v>
      </c>
      <c r="AR249">
        <v>448</v>
      </c>
      <c r="AZ249">
        <v>1200</v>
      </c>
      <c r="BA249">
        <v>1</v>
      </c>
      <c r="BB249" t="str">
        <f t="shared" si="67"/>
        <v xml:space="preserve">N733KP  </v>
      </c>
      <c r="BC249">
        <v>1</v>
      </c>
      <c r="BE249">
        <v>0</v>
      </c>
      <c r="BF249">
        <v>0</v>
      </c>
      <c r="BG249">
        <v>0</v>
      </c>
      <c r="BH249">
        <v>2025</v>
      </c>
      <c r="BI249">
        <v>1</v>
      </c>
      <c r="BJ249">
        <v>1</v>
      </c>
      <c r="BK249">
        <v>0</v>
      </c>
      <c r="BL249">
        <v>0</v>
      </c>
      <c r="BO249">
        <v>0</v>
      </c>
      <c r="BP249">
        <v>0</v>
      </c>
      <c r="BW249" t="str">
        <f>"22:10:23.205"</f>
        <v>22:10:23.205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6</v>
      </c>
      <c r="CP249" t="s">
        <v>119</v>
      </c>
      <c r="CQ249">
        <v>364</v>
      </c>
      <c r="CR249">
        <v>0</v>
      </c>
      <c r="CW249">
        <v>1373662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"03/24/2022 22:10:26.090"</f>
        <v>03/24/2022 22:10:26.090</v>
      </c>
      <c r="C250" t="str">
        <f t="shared" si="65"/>
        <v>FFDFD3C0</v>
      </c>
      <c r="D250" t="s">
        <v>126</v>
      </c>
      <c r="E250">
        <v>3</v>
      </c>
      <c r="H250">
        <v>160</v>
      </c>
      <c r="I250" t="s">
        <v>121</v>
      </c>
      <c r="J250" t="s">
        <v>127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 t="shared" ref="S250:T253" si="76">"22:10:25.000"</f>
        <v>22:10:25.000</v>
      </c>
      <c r="T250" t="str">
        <f t="shared" si="76"/>
        <v>22:10:25.000</v>
      </c>
      <c r="U250" t="str">
        <f t="shared" si="60"/>
        <v>A9D71F</v>
      </c>
      <c r="V250">
        <v>0</v>
      </c>
      <c r="W250">
        <v>0</v>
      </c>
      <c r="X250">
        <v>2</v>
      </c>
      <c r="Z250">
        <v>1</v>
      </c>
      <c r="AA250">
        <v>8</v>
      </c>
      <c r="AB250">
        <v>3</v>
      </c>
      <c r="AC250">
        <v>0</v>
      </c>
      <c r="AD250">
        <v>9</v>
      </c>
      <c r="AE250">
        <v>0</v>
      </c>
      <c r="AF250">
        <v>3</v>
      </c>
      <c r="AG250">
        <v>1</v>
      </c>
      <c r="AH250">
        <v>0</v>
      </c>
      <c r="AI250" t="s">
        <v>229</v>
      </c>
      <c r="AJ250">
        <v>33.18826</v>
      </c>
      <c r="AK250" t="s">
        <v>230</v>
      </c>
      <c r="AL250">
        <v>-97.799091000000004</v>
      </c>
      <c r="AM250">
        <v>25</v>
      </c>
      <c r="AN250">
        <v>2100</v>
      </c>
      <c r="AO250" t="s">
        <v>118</v>
      </c>
      <c r="AP250">
        <v>97</v>
      </c>
      <c r="AQ250">
        <v>-11</v>
      </c>
      <c r="AR250">
        <v>448</v>
      </c>
      <c r="AZ250">
        <v>1200</v>
      </c>
      <c r="BA250">
        <v>1</v>
      </c>
      <c r="BB250" t="str">
        <f t="shared" si="67"/>
        <v xml:space="preserve">N733KP  </v>
      </c>
      <c r="BC250">
        <v>1</v>
      </c>
      <c r="BE250">
        <v>0</v>
      </c>
      <c r="BF250">
        <v>0</v>
      </c>
      <c r="BG250">
        <v>0</v>
      </c>
      <c r="BH250">
        <v>2050</v>
      </c>
      <c r="BI250">
        <v>1</v>
      </c>
      <c r="BJ250">
        <v>1</v>
      </c>
      <c r="BK250">
        <v>0</v>
      </c>
      <c r="BL250">
        <v>0</v>
      </c>
      <c r="BO250">
        <v>0</v>
      </c>
      <c r="BP250">
        <v>0</v>
      </c>
      <c r="BW250" t="str">
        <f>"22:10:25.899"</f>
        <v>22:10:25.899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6</v>
      </c>
      <c r="CP250" t="s">
        <v>119</v>
      </c>
      <c r="CQ250">
        <v>364</v>
      </c>
      <c r="CR250">
        <v>0</v>
      </c>
      <c r="CW250">
        <v>1374119</v>
      </c>
      <c r="CY250">
        <v>1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"03/24/2022 22:10:26.090"</f>
        <v>03/24/2022 22:10:26.090</v>
      </c>
      <c r="C251" t="str">
        <f t="shared" si="65"/>
        <v>FFDFD3C0</v>
      </c>
      <c r="D251" t="s">
        <v>113</v>
      </c>
      <c r="E251">
        <v>24</v>
      </c>
      <c r="F251">
        <v>2024</v>
      </c>
      <c r="G251" t="s">
        <v>114</v>
      </c>
      <c r="J251" t="s">
        <v>115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 t="shared" si="76"/>
        <v>22:10:25.000</v>
      </c>
      <c r="T251" t="str">
        <f t="shared" si="76"/>
        <v>22:10:25.000</v>
      </c>
      <c r="U251" t="str">
        <f t="shared" si="60"/>
        <v>A9D71F</v>
      </c>
      <c r="V251">
        <v>0</v>
      </c>
      <c r="W251">
        <v>0</v>
      </c>
      <c r="X251">
        <v>2</v>
      </c>
      <c r="Z251">
        <v>1</v>
      </c>
      <c r="AA251">
        <v>8</v>
      </c>
      <c r="AB251">
        <v>3</v>
      </c>
      <c r="AC251">
        <v>0</v>
      </c>
      <c r="AD251">
        <v>9</v>
      </c>
      <c r="AE251">
        <v>0</v>
      </c>
      <c r="AF251">
        <v>3</v>
      </c>
      <c r="AG251">
        <v>1</v>
      </c>
      <c r="AH251">
        <v>0</v>
      </c>
      <c r="AI251" t="s">
        <v>229</v>
      </c>
      <c r="AJ251">
        <v>33.18826</v>
      </c>
      <c r="AK251" t="s">
        <v>230</v>
      </c>
      <c r="AL251">
        <v>-97.799091000000004</v>
      </c>
      <c r="AM251">
        <v>25</v>
      </c>
      <c r="AN251">
        <v>2100</v>
      </c>
      <c r="AO251" t="s">
        <v>118</v>
      </c>
      <c r="AP251">
        <v>97</v>
      </c>
      <c r="AQ251">
        <v>-11</v>
      </c>
      <c r="AR251">
        <v>448</v>
      </c>
      <c r="AZ251">
        <v>1200</v>
      </c>
      <c r="BA251">
        <v>1</v>
      </c>
      <c r="BB251" t="str">
        <f t="shared" si="67"/>
        <v xml:space="preserve">N733KP  </v>
      </c>
      <c r="BC251">
        <v>1</v>
      </c>
      <c r="BE251">
        <v>0</v>
      </c>
      <c r="BF251">
        <v>0</v>
      </c>
      <c r="BG251">
        <v>0</v>
      </c>
      <c r="BH251">
        <v>2050</v>
      </c>
      <c r="BI251">
        <v>1</v>
      </c>
      <c r="BJ251">
        <v>1</v>
      </c>
      <c r="BK251">
        <v>0</v>
      </c>
      <c r="BL251">
        <v>0</v>
      </c>
      <c r="BO251">
        <v>0</v>
      </c>
      <c r="BP251">
        <v>0</v>
      </c>
      <c r="BW251" t="str">
        <f>"22:10:25.899"</f>
        <v>22:10:25.899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6</v>
      </c>
      <c r="CP251" t="s">
        <v>119</v>
      </c>
      <c r="CQ251">
        <v>364</v>
      </c>
      <c r="CR251">
        <v>0</v>
      </c>
      <c r="CW251">
        <v>1374119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"03/24/2022 22:10:26.137"</f>
        <v>03/24/2022 22:10:26.137</v>
      </c>
      <c r="C252" t="str">
        <f t="shared" si="65"/>
        <v>FFDFD3C0</v>
      </c>
      <c r="D252" t="s">
        <v>120</v>
      </c>
      <c r="E252">
        <v>14</v>
      </c>
      <c r="F252">
        <v>1014</v>
      </c>
      <c r="G252" t="s">
        <v>121</v>
      </c>
      <c r="J252" t="s">
        <v>122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 t="shared" si="76"/>
        <v>22:10:25.000</v>
      </c>
      <c r="T252" t="str">
        <f t="shared" si="76"/>
        <v>22:10:25.000</v>
      </c>
      <c r="U252" t="str">
        <f t="shared" si="60"/>
        <v>A9D71F</v>
      </c>
      <c r="V252">
        <v>0</v>
      </c>
      <c r="W252">
        <v>0</v>
      </c>
      <c r="X252">
        <v>2</v>
      </c>
      <c r="Z252">
        <v>1</v>
      </c>
      <c r="AA252">
        <v>8</v>
      </c>
      <c r="AB252">
        <v>3</v>
      </c>
      <c r="AC252">
        <v>0</v>
      </c>
      <c r="AD252">
        <v>9</v>
      </c>
      <c r="AE252">
        <v>0</v>
      </c>
      <c r="AF252">
        <v>3</v>
      </c>
      <c r="AG252">
        <v>1</v>
      </c>
      <c r="AH252">
        <v>0</v>
      </c>
      <c r="AI252" t="s">
        <v>229</v>
      </c>
      <c r="AJ252">
        <v>33.18826</v>
      </c>
      <c r="AK252" t="s">
        <v>230</v>
      </c>
      <c r="AL252">
        <v>-97.799091000000004</v>
      </c>
      <c r="AM252">
        <v>25</v>
      </c>
      <c r="AN252">
        <v>2100</v>
      </c>
      <c r="AO252" t="s">
        <v>118</v>
      </c>
      <c r="AP252">
        <v>97</v>
      </c>
      <c r="AQ252">
        <v>-11</v>
      </c>
      <c r="AR252">
        <v>448</v>
      </c>
      <c r="AZ252">
        <v>1200</v>
      </c>
      <c r="BA252">
        <v>1</v>
      </c>
      <c r="BB252" t="str">
        <f t="shared" si="67"/>
        <v xml:space="preserve">N733KP  </v>
      </c>
      <c r="BC252">
        <v>1</v>
      </c>
      <c r="BE252">
        <v>0</v>
      </c>
      <c r="BF252">
        <v>0</v>
      </c>
      <c r="BG252">
        <v>0</v>
      </c>
      <c r="BH252">
        <v>2050</v>
      </c>
      <c r="BI252">
        <v>1</v>
      </c>
      <c r="BJ252">
        <v>1</v>
      </c>
      <c r="BK252">
        <v>0</v>
      </c>
      <c r="BL252">
        <v>0</v>
      </c>
      <c r="BO252">
        <v>0</v>
      </c>
      <c r="BP252">
        <v>0</v>
      </c>
      <c r="BW252" t="str">
        <f>"22:10:25.899"</f>
        <v>22:10:25.899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6</v>
      </c>
      <c r="CP252" t="s">
        <v>119</v>
      </c>
      <c r="CQ252">
        <v>364</v>
      </c>
      <c r="CR252">
        <v>0</v>
      </c>
      <c r="CW252">
        <v>1374119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"03/24/2022 22:10:26.137"</f>
        <v>03/24/2022 22:10:26.137</v>
      </c>
      <c r="C253" t="str">
        <f t="shared" si="65"/>
        <v>FFDFD3C0</v>
      </c>
      <c r="D253" t="s">
        <v>123</v>
      </c>
      <c r="E253">
        <v>8</v>
      </c>
      <c r="H253">
        <v>31</v>
      </c>
      <c r="I253" t="s">
        <v>124</v>
      </c>
      <c r="J253" t="s">
        <v>125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 t="shared" si="76"/>
        <v>22:10:25.000</v>
      </c>
      <c r="T253" t="str">
        <f t="shared" si="76"/>
        <v>22:10:25.000</v>
      </c>
      <c r="U253" t="str">
        <f t="shared" si="60"/>
        <v>A9D71F</v>
      </c>
      <c r="V253">
        <v>0</v>
      </c>
      <c r="W253">
        <v>0</v>
      </c>
      <c r="X253">
        <v>2</v>
      </c>
      <c r="Z253">
        <v>1</v>
      </c>
      <c r="AA253">
        <v>8</v>
      </c>
      <c r="AB253">
        <v>3</v>
      </c>
      <c r="AC253">
        <v>0</v>
      </c>
      <c r="AD253">
        <v>9</v>
      </c>
      <c r="AE253">
        <v>0</v>
      </c>
      <c r="AF253">
        <v>3</v>
      </c>
      <c r="AG253">
        <v>1</v>
      </c>
      <c r="AH253">
        <v>0</v>
      </c>
      <c r="AI253" t="s">
        <v>229</v>
      </c>
      <c r="AJ253">
        <v>33.18826</v>
      </c>
      <c r="AK253" t="s">
        <v>230</v>
      </c>
      <c r="AL253">
        <v>-97.799091000000004</v>
      </c>
      <c r="AM253">
        <v>25</v>
      </c>
      <c r="AN253">
        <v>2100</v>
      </c>
      <c r="AO253" t="s">
        <v>118</v>
      </c>
      <c r="AP253">
        <v>97</v>
      </c>
      <c r="AQ253">
        <v>-11</v>
      </c>
      <c r="AR253">
        <v>448</v>
      </c>
      <c r="AZ253">
        <v>1200</v>
      </c>
      <c r="BA253">
        <v>1</v>
      </c>
      <c r="BB253" t="str">
        <f t="shared" si="67"/>
        <v xml:space="preserve">N733KP  </v>
      </c>
      <c r="BC253">
        <v>1</v>
      </c>
      <c r="BE253">
        <v>0</v>
      </c>
      <c r="BF253">
        <v>0</v>
      </c>
      <c r="BG253">
        <v>0</v>
      </c>
      <c r="BH253">
        <v>2050</v>
      </c>
      <c r="BI253">
        <v>1</v>
      </c>
      <c r="BJ253">
        <v>1</v>
      </c>
      <c r="BK253">
        <v>0</v>
      </c>
      <c r="BL253">
        <v>0</v>
      </c>
      <c r="BO253">
        <v>0</v>
      </c>
      <c r="BP253">
        <v>0</v>
      </c>
      <c r="BW253" t="str">
        <f>"22:10:25.899"</f>
        <v>22:10:25.899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6</v>
      </c>
      <c r="CP253" t="s">
        <v>119</v>
      </c>
      <c r="CQ253">
        <v>364</v>
      </c>
      <c r="CR253">
        <v>0</v>
      </c>
      <c r="CW253">
        <v>1374119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"03/24/2022 22:10:26.481"</f>
        <v>03/24/2022 22:10:26.481</v>
      </c>
      <c r="C254" t="str">
        <f t="shared" si="65"/>
        <v>FFDFD3C0</v>
      </c>
      <c r="D254" t="s">
        <v>123</v>
      </c>
      <c r="E254">
        <v>8</v>
      </c>
      <c r="H254">
        <v>31</v>
      </c>
      <c r="I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 t="shared" ref="S254:T257" si="77">"22:10:26.000"</f>
        <v>22:10:26.000</v>
      </c>
      <c r="T254" t="str">
        <f t="shared" si="77"/>
        <v>22:10:26.000</v>
      </c>
      <c r="U254" t="str">
        <f t="shared" si="60"/>
        <v>A9D71F</v>
      </c>
      <c r="V254">
        <v>0</v>
      </c>
      <c r="W254">
        <v>0</v>
      </c>
      <c r="X254">
        <v>2</v>
      </c>
      <c r="Z254">
        <v>1</v>
      </c>
      <c r="AA254">
        <v>8</v>
      </c>
      <c r="AB254">
        <v>3</v>
      </c>
      <c r="AC254">
        <v>0</v>
      </c>
      <c r="AD254">
        <v>9</v>
      </c>
      <c r="AE254">
        <v>0</v>
      </c>
      <c r="AF254">
        <v>3</v>
      </c>
      <c r="AG254">
        <v>1</v>
      </c>
      <c r="AH254">
        <v>0</v>
      </c>
      <c r="AI254" t="s">
        <v>231</v>
      </c>
      <c r="AJ254">
        <v>33.188237999999998</v>
      </c>
      <c r="AK254" t="s">
        <v>232</v>
      </c>
      <c r="AL254">
        <v>-97.798575999999997</v>
      </c>
      <c r="AM254">
        <v>25</v>
      </c>
      <c r="AN254">
        <v>2100</v>
      </c>
      <c r="AO254" t="s">
        <v>118</v>
      </c>
      <c r="AP254">
        <v>95</v>
      </c>
      <c r="AQ254">
        <v>-9</v>
      </c>
      <c r="AR254">
        <v>512</v>
      </c>
      <c r="AZ254">
        <v>1200</v>
      </c>
      <c r="BA254">
        <v>1</v>
      </c>
      <c r="BB254" t="str">
        <f t="shared" si="67"/>
        <v xml:space="preserve">N733KP  </v>
      </c>
      <c r="BC254">
        <v>1</v>
      </c>
      <c r="BE254">
        <v>0</v>
      </c>
      <c r="BF254">
        <v>0</v>
      </c>
      <c r="BG254">
        <v>0</v>
      </c>
      <c r="BH254">
        <v>2050</v>
      </c>
      <c r="BI254">
        <v>1</v>
      </c>
      <c r="BJ254">
        <v>1</v>
      </c>
      <c r="BK254">
        <v>0</v>
      </c>
      <c r="BL254">
        <v>0</v>
      </c>
      <c r="BO254">
        <v>0</v>
      </c>
      <c r="BP254">
        <v>0</v>
      </c>
      <c r="BW254" t="str">
        <f>"22:10:26.321"</f>
        <v>22:10:26.321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6</v>
      </c>
      <c r="CP254" t="s">
        <v>119</v>
      </c>
      <c r="CQ254">
        <v>364</v>
      </c>
      <c r="CR254">
        <v>0</v>
      </c>
      <c r="CW254">
        <v>1374182</v>
      </c>
      <c r="CY254">
        <v>1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"03/24/2022 22:10:26.481"</f>
        <v>03/24/2022 22:10:26.481</v>
      </c>
      <c r="C255" t="str">
        <f t="shared" si="65"/>
        <v>FFDFD3C0</v>
      </c>
      <c r="D255" t="s">
        <v>126</v>
      </c>
      <c r="E255">
        <v>3</v>
      </c>
      <c r="H255">
        <v>160</v>
      </c>
      <c r="I255" t="s">
        <v>121</v>
      </c>
      <c r="J255" t="s">
        <v>127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 t="shared" si="77"/>
        <v>22:10:26.000</v>
      </c>
      <c r="T255" t="str">
        <f t="shared" si="77"/>
        <v>22:10:26.000</v>
      </c>
      <c r="U255" t="str">
        <f t="shared" si="60"/>
        <v>A9D71F</v>
      </c>
      <c r="V255">
        <v>0</v>
      </c>
      <c r="W255">
        <v>0</v>
      </c>
      <c r="X255">
        <v>2</v>
      </c>
      <c r="Z255">
        <v>1</v>
      </c>
      <c r="AA255">
        <v>8</v>
      </c>
      <c r="AB255">
        <v>3</v>
      </c>
      <c r="AC255">
        <v>0</v>
      </c>
      <c r="AD255">
        <v>9</v>
      </c>
      <c r="AE255">
        <v>0</v>
      </c>
      <c r="AF255">
        <v>3</v>
      </c>
      <c r="AG255">
        <v>1</v>
      </c>
      <c r="AH255">
        <v>0</v>
      </c>
      <c r="AI255" t="s">
        <v>231</v>
      </c>
      <c r="AJ255">
        <v>33.188237999999998</v>
      </c>
      <c r="AK255" t="s">
        <v>232</v>
      </c>
      <c r="AL255">
        <v>-97.798575999999997</v>
      </c>
      <c r="AM255">
        <v>25</v>
      </c>
      <c r="AN255">
        <v>2100</v>
      </c>
      <c r="AO255" t="s">
        <v>118</v>
      </c>
      <c r="AP255">
        <v>95</v>
      </c>
      <c r="AQ255">
        <v>-9</v>
      </c>
      <c r="AR255">
        <v>512</v>
      </c>
      <c r="AZ255">
        <v>1200</v>
      </c>
      <c r="BA255">
        <v>1</v>
      </c>
      <c r="BB255" t="str">
        <f t="shared" si="67"/>
        <v xml:space="preserve">N733KP  </v>
      </c>
      <c r="BC255">
        <v>1</v>
      </c>
      <c r="BE255">
        <v>0</v>
      </c>
      <c r="BF255">
        <v>0</v>
      </c>
      <c r="BG255">
        <v>0</v>
      </c>
      <c r="BH255">
        <v>2050</v>
      </c>
      <c r="BI255">
        <v>1</v>
      </c>
      <c r="BJ255">
        <v>1</v>
      </c>
      <c r="BK255">
        <v>0</v>
      </c>
      <c r="BL255">
        <v>0</v>
      </c>
      <c r="BO255">
        <v>0</v>
      </c>
      <c r="BP255">
        <v>0</v>
      </c>
      <c r="BW255" t="str">
        <f>"22:10:26.321"</f>
        <v>22:10:26.321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6</v>
      </c>
      <c r="CP255" t="s">
        <v>119</v>
      </c>
      <c r="CQ255">
        <v>364</v>
      </c>
      <c r="CR255">
        <v>0</v>
      </c>
      <c r="CW255">
        <v>1374182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"03/24/2022 22:10:26.528"</f>
        <v>03/24/2022 22:10:26.528</v>
      </c>
      <c r="C256" t="str">
        <f t="shared" si="65"/>
        <v>FFDFD3C0</v>
      </c>
      <c r="D256" t="s">
        <v>113</v>
      </c>
      <c r="E256">
        <v>24</v>
      </c>
      <c r="F256">
        <v>2024</v>
      </c>
      <c r="G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 t="shared" si="77"/>
        <v>22:10:26.000</v>
      </c>
      <c r="T256" t="str">
        <f t="shared" si="77"/>
        <v>22:10:26.000</v>
      </c>
      <c r="U256" t="str">
        <f t="shared" si="60"/>
        <v>A9D71F</v>
      </c>
      <c r="V256">
        <v>0</v>
      </c>
      <c r="W256">
        <v>0</v>
      </c>
      <c r="X256">
        <v>2</v>
      </c>
      <c r="Z256">
        <v>1</v>
      </c>
      <c r="AA256">
        <v>8</v>
      </c>
      <c r="AB256">
        <v>3</v>
      </c>
      <c r="AC256">
        <v>0</v>
      </c>
      <c r="AD256">
        <v>9</v>
      </c>
      <c r="AE256">
        <v>0</v>
      </c>
      <c r="AF256">
        <v>3</v>
      </c>
      <c r="AG256">
        <v>1</v>
      </c>
      <c r="AH256">
        <v>0</v>
      </c>
      <c r="AI256" t="s">
        <v>231</v>
      </c>
      <c r="AJ256">
        <v>33.188237999999998</v>
      </c>
      <c r="AK256" t="s">
        <v>232</v>
      </c>
      <c r="AL256">
        <v>-97.798575999999997</v>
      </c>
      <c r="AM256">
        <v>25</v>
      </c>
      <c r="AN256">
        <v>2100</v>
      </c>
      <c r="AO256" t="s">
        <v>118</v>
      </c>
      <c r="AP256">
        <v>95</v>
      </c>
      <c r="AQ256">
        <v>-9</v>
      </c>
      <c r="AR256">
        <v>512</v>
      </c>
      <c r="AZ256">
        <v>1200</v>
      </c>
      <c r="BA256">
        <v>1</v>
      </c>
      <c r="BB256" t="str">
        <f t="shared" si="67"/>
        <v xml:space="preserve">N733KP  </v>
      </c>
      <c r="BC256">
        <v>1</v>
      </c>
      <c r="BE256">
        <v>0</v>
      </c>
      <c r="BF256">
        <v>0</v>
      </c>
      <c r="BG256">
        <v>0</v>
      </c>
      <c r="BH256">
        <v>2050</v>
      </c>
      <c r="BI256">
        <v>1</v>
      </c>
      <c r="BJ256">
        <v>1</v>
      </c>
      <c r="BK256">
        <v>0</v>
      </c>
      <c r="BL256">
        <v>0</v>
      </c>
      <c r="BO256">
        <v>0</v>
      </c>
      <c r="BP256">
        <v>0</v>
      </c>
      <c r="BW256" t="str">
        <f>"22:10:26.321"</f>
        <v>22:10:26.321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6</v>
      </c>
      <c r="CP256" t="s">
        <v>119</v>
      </c>
      <c r="CQ256">
        <v>364</v>
      </c>
      <c r="CR256">
        <v>0</v>
      </c>
      <c r="CW256">
        <v>1374182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"03/24/2022 22:10:26.528"</f>
        <v>03/24/2022 22:10:26.528</v>
      </c>
      <c r="C257" t="str">
        <f t="shared" si="65"/>
        <v>FFDFD3C0</v>
      </c>
      <c r="D257" t="s">
        <v>120</v>
      </c>
      <c r="E257">
        <v>14</v>
      </c>
      <c r="F257">
        <v>1014</v>
      </c>
      <c r="G257" t="s">
        <v>121</v>
      </c>
      <c r="J257" t="s">
        <v>122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 t="shared" si="77"/>
        <v>22:10:26.000</v>
      </c>
      <c r="T257" t="str">
        <f t="shared" si="77"/>
        <v>22:10:26.000</v>
      </c>
      <c r="U257" t="str">
        <f t="shared" si="60"/>
        <v>A9D71F</v>
      </c>
      <c r="V257">
        <v>0</v>
      </c>
      <c r="W257">
        <v>0</v>
      </c>
      <c r="X257">
        <v>2</v>
      </c>
      <c r="Z257">
        <v>1</v>
      </c>
      <c r="AA257">
        <v>8</v>
      </c>
      <c r="AB257">
        <v>3</v>
      </c>
      <c r="AC257">
        <v>0</v>
      </c>
      <c r="AD257">
        <v>9</v>
      </c>
      <c r="AE257">
        <v>0</v>
      </c>
      <c r="AF257">
        <v>3</v>
      </c>
      <c r="AG257">
        <v>1</v>
      </c>
      <c r="AH257">
        <v>0</v>
      </c>
      <c r="AI257" t="s">
        <v>231</v>
      </c>
      <c r="AJ257">
        <v>33.188237999999998</v>
      </c>
      <c r="AK257" t="s">
        <v>232</v>
      </c>
      <c r="AL257">
        <v>-97.798575999999997</v>
      </c>
      <c r="AM257">
        <v>25</v>
      </c>
      <c r="AN257">
        <v>2100</v>
      </c>
      <c r="AO257" t="s">
        <v>118</v>
      </c>
      <c r="AP257">
        <v>95</v>
      </c>
      <c r="AQ257">
        <v>-9</v>
      </c>
      <c r="AR257">
        <v>512</v>
      </c>
      <c r="AZ257">
        <v>1200</v>
      </c>
      <c r="BA257">
        <v>1</v>
      </c>
      <c r="BB257" t="str">
        <f t="shared" si="67"/>
        <v xml:space="preserve">N733KP  </v>
      </c>
      <c r="BC257">
        <v>1</v>
      </c>
      <c r="BE257">
        <v>0</v>
      </c>
      <c r="BF257">
        <v>0</v>
      </c>
      <c r="BG257">
        <v>0</v>
      </c>
      <c r="BH257">
        <v>2050</v>
      </c>
      <c r="BI257">
        <v>1</v>
      </c>
      <c r="BJ257">
        <v>1</v>
      </c>
      <c r="BK257">
        <v>0</v>
      </c>
      <c r="BL257">
        <v>0</v>
      </c>
      <c r="BO257">
        <v>0</v>
      </c>
      <c r="BP257">
        <v>0</v>
      </c>
      <c r="BW257" t="str">
        <f>"22:10:26.321"</f>
        <v>22:10:26.321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6</v>
      </c>
      <c r="CP257" t="s">
        <v>119</v>
      </c>
      <c r="CQ257">
        <v>364</v>
      </c>
      <c r="CR257">
        <v>0</v>
      </c>
      <c r="CW257">
        <v>1374182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"03/24/2022 22:10:27.999"</f>
        <v>03/24/2022 22:10:27.999</v>
      </c>
      <c r="C258" t="str">
        <f t="shared" si="65"/>
        <v>FFDFD3C0</v>
      </c>
      <c r="D258" t="s">
        <v>113</v>
      </c>
      <c r="E258">
        <v>24</v>
      </c>
      <c r="F258">
        <v>2024</v>
      </c>
      <c r="G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 t="shared" ref="S258:T261" si="78">"22:10:27.000"</f>
        <v>22:10:27.000</v>
      </c>
      <c r="T258" t="str">
        <f t="shared" si="78"/>
        <v>22:10:27.000</v>
      </c>
      <c r="U258" t="str">
        <f t="shared" ref="U258:U321" si="79">"A9D71F"</f>
        <v>A9D71F</v>
      </c>
      <c r="V258">
        <v>0</v>
      </c>
      <c r="W258">
        <v>0</v>
      </c>
      <c r="X258">
        <v>2</v>
      </c>
      <c r="Z258">
        <v>1</v>
      </c>
      <c r="AA258">
        <v>8</v>
      </c>
      <c r="AB258">
        <v>3</v>
      </c>
      <c r="AC258">
        <v>0</v>
      </c>
      <c r="AD258">
        <v>9</v>
      </c>
      <c r="AE258">
        <v>0</v>
      </c>
      <c r="AF258">
        <v>3</v>
      </c>
      <c r="AG258">
        <v>1</v>
      </c>
      <c r="AH258">
        <v>0</v>
      </c>
      <c r="AI258" t="s">
        <v>162</v>
      </c>
      <c r="AJ258">
        <v>33.188195</v>
      </c>
      <c r="AK258" t="s">
        <v>233</v>
      </c>
      <c r="AL258">
        <v>-97.798061000000004</v>
      </c>
      <c r="AM258">
        <v>25</v>
      </c>
      <c r="AN258">
        <v>2100</v>
      </c>
      <c r="AO258" t="s">
        <v>118</v>
      </c>
      <c r="AP258">
        <v>93</v>
      </c>
      <c r="AQ258">
        <v>-7</v>
      </c>
      <c r="AR258">
        <v>640</v>
      </c>
      <c r="AZ258">
        <v>1200</v>
      </c>
      <c r="BA258">
        <v>1</v>
      </c>
      <c r="BB258" t="str">
        <f t="shared" si="67"/>
        <v xml:space="preserve">N733KP  </v>
      </c>
      <c r="BC258">
        <v>1</v>
      </c>
      <c r="BE258">
        <v>0</v>
      </c>
      <c r="BF258">
        <v>0</v>
      </c>
      <c r="BG258">
        <v>0</v>
      </c>
      <c r="BH258">
        <v>2075</v>
      </c>
      <c r="BI258">
        <v>1</v>
      </c>
      <c r="BJ258">
        <v>1</v>
      </c>
      <c r="BK258">
        <v>0</v>
      </c>
      <c r="BL258">
        <v>0</v>
      </c>
      <c r="BO258">
        <v>0</v>
      </c>
      <c r="BP258">
        <v>0</v>
      </c>
      <c r="BW258" t="str">
        <f>"22:10:27.803"</f>
        <v>22:10:27.803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6</v>
      </c>
      <c r="CP258" t="s">
        <v>119</v>
      </c>
      <c r="CQ258">
        <v>364</v>
      </c>
      <c r="CR258">
        <v>0</v>
      </c>
      <c r="CW258">
        <v>1374410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"03/24/2022 22:10:27.999"</f>
        <v>03/24/2022 22:10:27.999</v>
      </c>
      <c r="C259" t="str">
        <f t="shared" si="65"/>
        <v>FFDFD3C0</v>
      </c>
      <c r="D259" t="s">
        <v>120</v>
      </c>
      <c r="E259">
        <v>14</v>
      </c>
      <c r="F259">
        <v>1014</v>
      </c>
      <c r="G259" t="s">
        <v>121</v>
      </c>
      <c r="J259" t="s">
        <v>122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 t="shared" si="78"/>
        <v>22:10:27.000</v>
      </c>
      <c r="T259" t="str">
        <f t="shared" si="78"/>
        <v>22:10:27.000</v>
      </c>
      <c r="U259" t="str">
        <f t="shared" si="79"/>
        <v>A9D71F</v>
      </c>
      <c r="V259">
        <v>0</v>
      </c>
      <c r="W259">
        <v>0</v>
      </c>
      <c r="X259">
        <v>2</v>
      </c>
      <c r="Z259">
        <v>1</v>
      </c>
      <c r="AA259">
        <v>8</v>
      </c>
      <c r="AB259">
        <v>3</v>
      </c>
      <c r="AC259">
        <v>0</v>
      </c>
      <c r="AD259">
        <v>9</v>
      </c>
      <c r="AE259">
        <v>0</v>
      </c>
      <c r="AF259">
        <v>3</v>
      </c>
      <c r="AG259">
        <v>1</v>
      </c>
      <c r="AH259">
        <v>0</v>
      </c>
      <c r="AI259" t="s">
        <v>162</v>
      </c>
      <c r="AJ259">
        <v>33.188195</v>
      </c>
      <c r="AK259" t="s">
        <v>233</v>
      </c>
      <c r="AL259">
        <v>-97.798061000000004</v>
      </c>
      <c r="AM259">
        <v>25</v>
      </c>
      <c r="AN259">
        <v>2100</v>
      </c>
      <c r="AO259" t="s">
        <v>118</v>
      </c>
      <c r="AP259">
        <v>93</v>
      </c>
      <c r="AQ259">
        <v>-7</v>
      </c>
      <c r="AR259">
        <v>640</v>
      </c>
      <c r="AZ259">
        <v>1200</v>
      </c>
      <c r="BA259">
        <v>1</v>
      </c>
      <c r="BB259" t="str">
        <f t="shared" si="67"/>
        <v xml:space="preserve">N733KP  </v>
      </c>
      <c r="BC259">
        <v>1</v>
      </c>
      <c r="BE259">
        <v>0</v>
      </c>
      <c r="BF259">
        <v>0</v>
      </c>
      <c r="BG259">
        <v>0</v>
      </c>
      <c r="BH259">
        <v>2075</v>
      </c>
      <c r="BI259">
        <v>1</v>
      </c>
      <c r="BJ259">
        <v>1</v>
      </c>
      <c r="BK259">
        <v>0</v>
      </c>
      <c r="BL259">
        <v>0</v>
      </c>
      <c r="BO259">
        <v>0</v>
      </c>
      <c r="BP259">
        <v>0</v>
      </c>
      <c r="BW259" t="str">
        <f>"22:10:27.803"</f>
        <v>22:10:27.803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6</v>
      </c>
      <c r="CP259" t="s">
        <v>119</v>
      </c>
      <c r="CQ259">
        <v>364</v>
      </c>
      <c r="CR259">
        <v>0</v>
      </c>
      <c r="CW259">
        <v>1374410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"03/24/2022 22:10:27.999"</f>
        <v>03/24/2022 22:10:27.999</v>
      </c>
      <c r="C260" t="str">
        <f t="shared" si="65"/>
        <v>FFDFD3C0</v>
      </c>
      <c r="D260" t="s">
        <v>126</v>
      </c>
      <c r="E260">
        <v>3</v>
      </c>
      <c r="H260">
        <v>160</v>
      </c>
      <c r="I260" t="s">
        <v>121</v>
      </c>
      <c r="J260" t="s">
        <v>127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 t="shared" si="78"/>
        <v>22:10:27.000</v>
      </c>
      <c r="T260" t="str">
        <f t="shared" si="78"/>
        <v>22:10:27.000</v>
      </c>
      <c r="U260" t="str">
        <f t="shared" si="79"/>
        <v>A9D71F</v>
      </c>
      <c r="V260">
        <v>0</v>
      </c>
      <c r="W260">
        <v>0</v>
      </c>
      <c r="X260">
        <v>2</v>
      </c>
      <c r="Z260">
        <v>1</v>
      </c>
      <c r="AA260">
        <v>8</v>
      </c>
      <c r="AB260">
        <v>3</v>
      </c>
      <c r="AC260">
        <v>0</v>
      </c>
      <c r="AD260">
        <v>9</v>
      </c>
      <c r="AE260">
        <v>0</v>
      </c>
      <c r="AF260">
        <v>3</v>
      </c>
      <c r="AG260">
        <v>1</v>
      </c>
      <c r="AH260">
        <v>0</v>
      </c>
      <c r="AI260" t="s">
        <v>162</v>
      </c>
      <c r="AJ260">
        <v>33.188195</v>
      </c>
      <c r="AK260" t="s">
        <v>233</v>
      </c>
      <c r="AL260">
        <v>-97.798061000000004</v>
      </c>
      <c r="AM260">
        <v>25</v>
      </c>
      <c r="AN260">
        <v>2100</v>
      </c>
      <c r="AO260" t="s">
        <v>118</v>
      </c>
      <c r="AP260">
        <v>93</v>
      </c>
      <c r="AQ260">
        <v>-7</v>
      </c>
      <c r="AR260">
        <v>640</v>
      </c>
      <c r="AZ260">
        <v>1200</v>
      </c>
      <c r="BA260">
        <v>1</v>
      </c>
      <c r="BB260" t="str">
        <f t="shared" si="67"/>
        <v xml:space="preserve">N733KP  </v>
      </c>
      <c r="BC260">
        <v>1</v>
      </c>
      <c r="BE260">
        <v>0</v>
      </c>
      <c r="BF260">
        <v>0</v>
      </c>
      <c r="BG260">
        <v>0</v>
      </c>
      <c r="BH260">
        <v>2075</v>
      </c>
      <c r="BI260">
        <v>1</v>
      </c>
      <c r="BJ260">
        <v>1</v>
      </c>
      <c r="BK260">
        <v>0</v>
      </c>
      <c r="BL260">
        <v>0</v>
      </c>
      <c r="BO260">
        <v>0</v>
      </c>
      <c r="BP260">
        <v>0</v>
      </c>
      <c r="BW260" t="str">
        <f>"22:10:27.803"</f>
        <v>22:10:27.803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6</v>
      </c>
      <c r="CP260" t="s">
        <v>119</v>
      </c>
      <c r="CQ260">
        <v>364</v>
      </c>
      <c r="CR260">
        <v>0</v>
      </c>
      <c r="CW260">
        <v>1374410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"03/24/2022 22:10:27.999"</f>
        <v>03/24/2022 22:10:27.999</v>
      </c>
      <c r="C261" t="str">
        <f t="shared" si="65"/>
        <v>FFDFD3C0</v>
      </c>
      <c r="D261" t="s">
        <v>123</v>
      </c>
      <c r="E261">
        <v>8</v>
      </c>
      <c r="H261">
        <v>31</v>
      </c>
      <c r="I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 t="shared" si="78"/>
        <v>22:10:27.000</v>
      </c>
      <c r="T261" t="str">
        <f t="shared" si="78"/>
        <v>22:10:27.000</v>
      </c>
      <c r="U261" t="str">
        <f t="shared" si="79"/>
        <v>A9D71F</v>
      </c>
      <c r="V261">
        <v>0</v>
      </c>
      <c r="W261">
        <v>0</v>
      </c>
      <c r="X261">
        <v>2</v>
      </c>
      <c r="Z261">
        <v>1</v>
      </c>
      <c r="AA261">
        <v>8</v>
      </c>
      <c r="AB261">
        <v>3</v>
      </c>
      <c r="AC261">
        <v>0</v>
      </c>
      <c r="AD261">
        <v>9</v>
      </c>
      <c r="AE261">
        <v>0</v>
      </c>
      <c r="AF261">
        <v>3</v>
      </c>
      <c r="AG261">
        <v>1</v>
      </c>
      <c r="AH261">
        <v>0</v>
      </c>
      <c r="AI261" t="s">
        <v>162</v>
      </c>
      <c r="AJ261">
        <v>33.188195</v>
      </c>
      <c r="AK261" t="s">
        <v>233</v>
      </c>
      <c r="AL261">
        <v>-97.798061000000004</v>
      </c>
      <c r="AM261">
        <v>25</v>
      </c>
      <c r="AN261">
        <v>2100</v>
      </c>
      <c r="AO261" t="s">
        <v>118</v>
      </c>
      <c r="AP261">
        <v>93</v>
      </c>
      <c r="AQ261">
        <v>-7</v>
      </c>
      <c r="AR261">
        <v>640</v>
      </c>
      <c r="AZ261">
        <v>1200</v>
      </c>
      <c r="BA261">
        <v>1</v>
      </c>
      <c r="BB261" t="str">
        <f t="shared" si="67"/>
        <v xml:space="preserve">N733KP  </v>
      </c>
      <c r="BC261">
        <v>1</v>
      </c>
      <c r="BE261">
        <v>0</v>
      </c>
      <c r="BF261">
        <v>0</v>
      </c>
      <c r="BG261">
        <v>0</v>
      </c>
      <c r="BH261">
        <v>2075</v>
      </c>
      <c r="BI261">
        <v>1</v>
      </c>
      <c r="BJ261">
        <v>1</v>
      </c>
      <c r="BK261">
        <v>0</v>
      </c>
      <c r="BL261">
        <v>0</v>
      </c>
      <c r="BO261">
        <v>0</v>
      </c>
      <c r="BP261">
        <v>0</v>
      </c>
      <c r="BW261" t="str">
        <f>"22:10:27.803"</f>
        <v>22:10:27.803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6</v>
      </c>
      <c r="CP261" t="s">
        <v>119</v>
      </c>
      <c r="CQ261">
        <v>364</v>
      </c>
      <c r="CR261">
        <v>0</v>
      </c>
      <c r="CW261">
        <v>1374410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"03/24/2022 22:10:28.767"</f>
        <v>03/24/2022 22:10:28.767</v>
      </c>
      <c r="C262" t="str">
        <f t="shared" si="65"/>
        <v>FFDFD3C0</v>
      </c>
      <c r="D262" t="s">
        <v>113</v>
      </c>
      <c r="E262">
        <v>24</v>
      </c>
      <c r="F262">
        <v>2024</v>
      </c>
      <c r="G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 t="shared" ref="S262:T265" si="80">"22:10:28.000"</f>
        <v>22:10:28.000</v>
      </c>
      <c r="T262" t="str">
        <f t="shared" si="80"/>
        <v>22:10:28.000</v>
      </c>
      <c r="U262" t="str">
        <f t="shared" si="79"/>
        <v>A9D71F</v>
      </c>
      <c r="V262">
        <v>0</v>
      </c>
      <c r="W262">
        <v>0</v>
      </c>
      <c r="X262">
        <v>2</v>
      </c>
      <c r="Z262">
        <v>1</v>
      </c>
      <c r="AA262">
        <v>8</v>
      </c>
      <c r="AB262">
        <v>3</v>
      </c>
      <c r="AC262">
        <v>0</v>
      </c>
      <c r="AD262">
        <v>9</v>
      </c>
      <c r="AE262">
        <v>0</v>
      </c>
      <c r="AF262">
        <v>3</v>
      </c>
      <c r="AG262">
        <v>1</v>
      </c>
      <c r="AH262">
        <v>0</v>
      </c>
      <c r="AI262" t="s">
        <v>234</v>
      </c>
      <c r="AJ262">
        <v>33.188173999999997</v>
      </c>
      <c r="AK262" t="s">
        <v>235</v>
      </c>
      <c r="AL262">
        <v>-97.797567999999998</v>
      </c>
      <c r="AM262">
        <v>25</v>
      </c>
      <c r="AN262">
        <v>2100</v>
      </c>
      <c r="AO262" t="s">
        <v>118</v>
      </c>
      <c r="AP262">
        <v>93</v>
      </c>
      <c r="AQ262">
        <v>-8</v>
      </c>
      <c r="AR262">
        <v>768</v>
      </c>
      <c r="AZ262">
        <v>1200</v>
      </c>
      <c r="BA262">
        <v>1</v>
      </c>
      <c r="BB262" t="str">
        <f t="shared" si="67"/>
        <v xml:space="preserve">N733KP  </v>
      </c>
      <c r="BC262">
        <v>1</v>
      </c>
      <c r="BE262">
        <v>0</v>
      </c>
      <c r="BF262">
        <v>0</v>
      </c>
      <c r="BG262">
        <v>0</v>
      </c>
      <c r="BH262">
        <v>2075</v>
      </c>
      <c r="BI262">
        <v>1</v>
      </c>
      <c r="BJ262">
        <v>1</v>
      </c>
      <c r="BK262">
        <v>0</v>
      </c>
      <c r="BL262">
        <v>0</v>
      </c>
      <c r="BO262">
        <v>0</v>
      </c>
      <c r="BP262">
        <v>0</v>
      </c>
      <c r="BW262" t="str">
        <f>"22:10:28.625"</f>
        <v>22:10:28.625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6</v>
      </c>
      <c r="CP262" t="s">
        <v>119</v>
      </c>
      <c r="CQ262">
        <v>364</v>
      </c>
      <c r="CR262">
        <v>0</v>
      </c>
      <c r="CW262">
        <v>1374510</v>
      </c>
      <c r="CY262">
        <v>1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"03/24/2022 22:10:28.767"</f>
        <v>03/24/2022 22:10:28.767</v>
      </c>
      <c r="C263" t="str">
        <f t="shared" si="65"/>
        <v>FFDFD3C0</v>
      </c>
      <c r="D263" t="s">
        <v>120</v>
      </c>
      <c r="E263">
        <v>14</v>
      </c>
      <c r="F263">
        <v>1014</v>
      </c>
      <c r="G263" t="s">
        <v>121</v>
      </c>
      <c r="J263" t="s">
        <v>122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 t="shared" si="80"/>
        <v>22:10:28.000</v>
      </c>
      <c r="T263" t="str">
        <f t="shared" si="80"/>
        <v>22:10:28.000</v>
      </c>
      <c r="U263" t="str">
        <f t="shared" si="79"/>
        <v>A9D71F</v>
      </c>
      <c r="V263">
        <v>0</v>
      </c>
      <c r="W263">
        <v>0</v>
      </c>
      <c r="X263">
        <v>2</v>
      </c>
      <c r="Z263">
        <v>1</v>
      </c>
      <c r="AA263">
        <v>8</v>
      </c>
      <c r="AB263">
        <v>3</v>
      </c>
      <c r="AC263">
        <v>0</v>
      </c>
      <c r="AD263">
        <v>9</v>
      </c>
      <c r="AE263">
        <v>0</v>
      </c>
      <c r="AF263">
        <v>3</v>
      </c>
      <c r="AG263">
        <v>1</v>
      </c>
      <c r="AH263">
        <v>0</v>
      </c>
      <c r="AI263" t="s">
        <v>234</v>
      </c>
      <c r="AJ263">
        <v>33.188173999999997</v>
      </c>
      <c r="AK263" t="s">
        <v>235</v>
      </c>
      <c r="AL263">
        <v>-97.797567999999998</v>
      </c>
      <c r="AM263">
        <v>25</v>
      </c>
      <c r="AN263">
        <v>2100</v>
      </c>
      <c r="AO263" t="s">
        <v>118</v>
      </c>
      <c r="AP263">
        <v>93</v>
      </c>
      <c r="AQ263">
        <v>-8</v>
      </c>
      <c r="AR263">
        <v>768</v>
      </c>
      <c r="AZ263">
        <v>1200</v>
      </c>
      <c r="BA263">
        <v>1</v>
      </c>
      <c r="BB263" t="str">
        <f t="shared" si="67"/>
        <v xml:space="preserve">N733KP  </v>
      </c>
      <c r="BC263">
        <v>1</v>
      </c>
      <c r="BE263">
        <v>0</v>
      </c>
      <c r="BF263">
        <v>0</v>
      </c>
      <c r="BG263">
        <v>0</v>
      </c>
      <c r="BH263">
        <v>2075</v>
      </c>
      <c r="BI263">
        <v>1</v>
      </c>
      <c r="BJ263">
        <v>1</v>
      </c>
      <c r="BK263">
        <v>0</v>
      </c>
      <c r="BL263">
        <v>0</v>
      </c>
      <c r="BO263">
        <v>0</v>
      </c>
      <c r="BP263">
        <v>0</v>
      </c>
      <c r="BW263" t="str">
        <f>"22:10:28.625"</f>
        <v>22:10:28.625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6</v>
      </c>
      <c r="CP263" t="s">
        <v>119</v>
      </c>
      <c r="CQ263">
        <v>364</v>
      </c>
      <c r="CR263">
        <v>0</v>
      </c>
      <c r="CW263">
        <v>1374510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"03/24/2022 22:10:28.798"</f>
        <v>03/24/2022 22:10:28.798</v>
      </c>
      <c r="C264" t="str">
        <f t="shared" si="65"/>
        <v>FFDFD3C0</v>
      </c>
      <c r="D264" t="s">
        <v>123</v>
      </c>
      <c r="E264">
        <v>8</v>
      </c>
      <c r="H264">
        <v>31</v>
      </c>
      <c r="I264" t="s">
        <v>124</v>
      </c>
      <c r="J264" t="s">
        <v>125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 t="shared" si="80"/>
        <v>22:10:28.000</v>
      </c>
      <c r="T264" t="str">
        <f t="shared" si="80"/>
        <v>22:10:28.000</v>
      </c>
      <c r="U264" t="str">
        <f t="shared" si="79"/>
        <v>A9D71F</v>
      </c>
      <c r="V264">
        <v>0</v>
      </c>
      <c r="W264">
        <v>0</v>
      </c>
      <c r="X264">
        <v>2</v>
      </c>
      <c r="Z264">
        <v>1</v>
      </c>
      <c r="AA264">
        <v>8</v>
      </c>
      <c r="AB264">
        <v>3</v>
      </c>
      <c r="AC264">
        <v>0</v>
      </c>
      <c r="AD264">
        <v>9</v>
      </c>
      <c r="AE264">
        <v>0</v>
      </c>
      <c r="AF264">
        <v>3</v>
      </c>
      <c r="AG264">
        <v>1</v>
      </c>
      <c r="AH264">
        <v>0</v>
      </c>
      <c r="AI264" t="s">
        <v>234</v>
      </c>
      <c r="AJ264">
        <v>33.188173999999997</v>
      </c>
      <c r="AK264" t="s">
        <v>235</v>
      </c>
      <c r="AL264">
        <v>-97.797567999999998</v>
      </c>
      <c r="AM264">
        <v>25</v>
      </c>
      <c r="AN264">
        <v>2100</v>
      </c>
      <c r="AO264" t="s">
        <v>118</v>
      </c>
      <c r="AP264">
        <v>93</v>
      </c>
      <c r="AQ264">
        <v>-8</v>
      </c>
      <c r="AR264">
        <v>768</v>
      </c>
      <c r="AZ264">
        <v>1200</v>
      </c>
      <c r="BA264">
        <v>1</v>
      </c>
      <c r="BB264" t="str">
        <f t="shared" si="67"/>
        <v xml:space="preserve">N733KP  </v>
      </c>
      <c r="BC264">
        <v>1</v>
      </c>
      <c r="BE264">
        <v>0</v>
      </c>
      <c r="BF264">
        <v>0</v>
      </c>
      <c r="BG264">
        <v>0</v>
      </c>
      <c r="BH264">
        <v>2075</v>
      </c>
      <c r="BI264">
        <v>1</v>
      </c>
      <c r="BJ264">
        <v>1</v>
      </c>
      <c r="BK264">
        <v>0</v>
      </c>
      <c r="BL264">
        <v>0</v>
      </c>
      <c r="BO264">
        <v>0</v>
      </c>
      <c r="BP264">
        <v>0</v>
      </c>
      <c r="BW264" t="str">
        <f>"22:10:28.625"</f>
        <v>22:10:28.625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6</v>
      </c>
      <c r="CP264" t="s">
        <v>119</v>
      </c>
      <c r="CQ264">
        <v>364</v>
      </c>
      <c r="CR264">
        <v>0</v>
      </c>
      <c r="CW264">
        <v>1374510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"03/24/2022 22:10:28.814"</f>
        <v>03/24/2022 22:10:28.814</v>
      </c>
      <c r="C265" t="str">
        <f t="shared" si="65"/>
        <v>FFDFD3C0</v>
      </c>
      <c r="D265" t="s">
        <v>126</v>
      </c>
      <c r="E265">
        <v>3</v>
      </c>
      <c r="H265">
        <v>160</v>
      </c>
      <c r="I265" t="s">
        <v>121</v>
      </c>
      <c r="J265" t="s">
        <v>127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 t="shared" si="80"/>
        <v>22:10:28.000</v>
      </c>
      <c r="T265" t="str">
        <f t="shared" si="80"/>
        <v>22:10:28.000</v>
      </c>
      <c r="U265" t="str">
        <f t="shared" si="79"/>
        <v>A9D71F</v>
      </c>
      <c r="V265">
        <v>0</v>
      </c>
      <c r="W265">
        <v>0</v>
      </c>
      <c r="X265">
        <v>2</v>
      </c>
      <c r="Z265">
        <v>1</v>
      </c>
      <c r="AA265">
        <v>8</v>
      </c>
      <c r="AB265">
        <v>3</v>
      </c>
      <c r="AC265">
        <v>0</v>
      </c>
      <c r="AD265">
        <v>9</v>
      </c>
      <c r="AE265">
        <v>0</v>
      </c>
      <c r="AF265">
        <v>3</v>
      </c>
      <c r="AG265">
        <v>1</v>
      </c>
      <c r="AH265">
        <v>0</v>
      </c>
      <c r="AI265" t="s">
        <v>234</v>
      </c>
      <c r="AJ265">
        <v>33.188173999999997</v>
      </c>
      <c r="AK265" t="s">
        <v>235</v>
      </c>
      <c r="AL265">
        <v>-97.797567999999998</v>
      </c>
      <c r="AM265">
        <v>25</v>
      </c>
      <c r="AN265">
        <v>2100</v>
      </c>
      <c r="AO265" t="s">
        <v>118</v>
      </c>
      <c r="AP265">
        <v>93</v>
      </c>
      <c r="AQ265">
        <v>-8</v>
      </c>
      <c r="AR265">
        <v>768</v>
      </c>
      <c r="AZ265">
        <v>1200</v>
      </c>
      <c r="BA265">
        <v>1</v>
      </c>
      <c r="BB265" t="str">
        <f t="shared" si="67"/>
        <v xml:space="preserve">N733KP  </v>
      </c>
      <c r="BC265">
        <v>1</v>
      </c>
      <c r="BE265">
        <v>0</v>
      </c>
      <c r="BF265">
        <v>0</v>
      </c>
      <c r="BG265">
        <v>0</v>
      </c>
      <c r="BH265">
        <v>2075</v>
      </c>
      <c r="BI265">
        <v>1</v>
      </c>
      <c r="BJ265">
        <v>1</v>
      </c>
      <c r="BK265">
        <v>0</v>
      </c>
      <c r="BL265">
        <v>0</v>
      </c>
      <c r="BO265">
        <v>0</v>
      </c>
      <c r="BP265">
        <v>0</v>
      </c>
      <c r="BW265" t="str">
        <f>"22:10:28.625"</f>
        <v>22:10:28.625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6</v>
      </c>
      <c r="CP265" t="s">
        <v>119</v>
      </c>
      <c r="CQ265">
        <v>364</v>
      </c>
      <c r="CR265">
        <v>0</v>
      </c>
      <c r="CW265">
        <v>1374510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"03/24/2022 22:10:29.486"</f>
        <v>03/24/2022 22:10:29.486</v>
      </c>
      <c r="C266" t="str">
        <f t="shared" si="65"/>
        <v>FFDFD3C0</v>
      </c>
      <c r="D266" t="s">
        <v>113</v>
      </c>
      <c r="E266">
        <v>24</v>
      </c>
      <c r="F266">
        <v>2024</v>
      </c>
      <c r="G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 t="shared" ref="S266:T269" si="81">"22:10:29.000"</f>
        <v>22:10:29.000</v>
      </c>
      <c r="T266" t="str">
        <f t="shared" si="81"/>
        <v>22:10:29.000</v>
      </c>
      <c r="U266" t="str">
        <f t="shared" si="79"/>
        <v>A9D71F</v>
      </c>
      <c r="V266">
        <v>0</v>
      </c>
      <c r="W266">
        <v>0</v>
      </c>
      <c r="X266">
        <v>2</v>
      </c>
      <c r="Z266">
        <v>1</v>
      </c>
      <c r="AA266">
        <v>8</v>
      </c>
      <c r="AB266">
        <v>3</v>
      </c>
      <c r="AC266">
        <v>0</v>
      </c>
      <c r="AD266">
        <v>9</v>
      </c>
      <c r="AE266">
        <v>0</v>
      </c>
      <c r="AF266">
        <v>3</v>
      </c>
      <c r="AG266">
        <v>1</v>
      </c>
      <c r="AH266">
        <v>0</v>
      </c>
      <c r="AI266" t="s">
        <v>236</v>
      </c>
      <c r="AJ266">
        <v>33.188108999999997</v>
      </c>
      <c r="AK266" t="s">
        <v>237</v>
      </c>
      <c r="AL266">
        <v>-97.797031000000004</v>
      </c>
      <c r="AM266">
        <v>25</v>
      </c>
      <c r="AN266">
        <v>2100</v>
      </c>
      <c r="AO266" t="s">
        <v>118</v>
      </c>
      <c r="AP266">
        <v>93</v>
      </c>
      <c r="AQ266">
        <v>-6</v>
      </c>
      <c r="AR266">
        <v>896</v>
      </c>
      <c r="AZ266">
        <v>1200</v>
      </c>
      <c r="BA266">
        <v>1</v>
      </c>
      <c r="BB266" t="str">
        <f t="shared" si="67"/>
        <v xml:space="preserve">N733KP  </v>
      </c>
      <c r="BC266">
        <v>1</v>
      </c>
      <c r="BE266">
        <v>0</v>
      </c>
      <c r="BF266">
        <v>0</v>
      </c>
      <c r="BG266">
        <v>0</v>
      </c>
      <c r="BH266">
        <v>2075</v>
      </c>
      <c r="BI266">
        <v>1</v>
      </c>
      <c r="BJ266">
        <v>1</v>
      </c>
      <c r="BK266">
        <v>0</v>
      </c>
      <c r="BL266">
        <v>0</v>
      </c>
      <c r="BO266">
        <v>0</v>
      </c>
      <c r="BP266">
        <v>0</v>
      </c>
      <c r="BW266" t="str">
        <f>"22:10:29.319"</f>
        <v>22:10:29.319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364</v>
      </c>
      <c r="CR266">
        <v>0</v>
      </c>
      <c r="CW266">
        <v>1374605</v>
      </c>
      <c r="CY266">
        <v>1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"03/24/2022 22:10:29.501"</f>
        <v>03/24/2022 22:10:29.501</v>
      </c>
      <c r="C267" t="str">
        <f t="shared" si="65"/>
        <v>FFDFD3C0</v>
      </c>
      <c r="D267" t="s">
        <v>120</v>
      </c>
      <c r="E267">
        <v>14</v>
      </c>
      <c r="F267">
        <v>1014</v>
      </c>
      <c r="G267" t="s">
        <v>121</v>
      </c>
      <c r="J267" t="s">
        <v>122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 t="shared" si="81"/>
        <v>22:10:29.000</v>
      </c>
      <c r="T267" t="str">
        <f t="shared" si="81"/>
        <v>22:10:29.000</v>
      </c>
      <c r="U267" t="str">
        <f t="shared" si="79"/>
        <v>A9D71F</v>
      </c>
      <c r="V267">
        <v>0</v>
      </c>
      <c r="W267">
        <v>0</v>
      </c>
      <c r="X267">
        <v>2</v>
      </c>
      <c r="Z267">
        <v>1</v>
      </c>
      <c r="AA267">
        <v>8</v>
      </c>
      <c r="AB267">
        <v>3</v>
      </c>
      <c r="AC267">
        <v>0</v>
      </c>
      <c r="AD267">
        <v>9</v>
      </c>
      <c r="AE267">
        <v>0</v>
      </c>
      <c r="AF267">
        <v>3</v>
      </c>
      <c r="AG267">
        <v>1</v>
      </c>
      <c r="AH267">
        <v>0</v>
      </c>
      <c r="AI267" t="s">
        <v>236</v>
      </c>
      <c r="AJ267">
        <v>33.188108999999997</v>
      </c>
      <c r="AK267" t="s">
        <v>237</v>
      </c>
      <c r="AL267">
        <v>-97.797031000000004</v>
      </c>
      <c r="AM267">
        <v>25</v>
      </c>
      <c r="AN267">
        <v>2100</v>
      </c>
      <c r="AO267" t="s">
        <v>118</v>
      </c>
      <c r="AP267">
        <v>93</v>
      </c>
      <c r="AQ267">
        <v>-6</v>
      </c>
      <c r="AR267">
        <v>896</v>
      </c>
      <c r="AZ267">
        <v>1200</v>
      </c>
      <c r="BA267">
        <v>1</v>
      </c>
      <c r="BB267" t="str">
        <f t="shared" si="67"/>
        <v xml:space="preserve">N733KP  </v>
      </c>
      <c r="BC267">
        <v>1</v>
      </c>
      <c r="BE267">
        <v>0</v>
      </c>
      <c r="BF267">
        <v>0</v>
      </c>
      <c r="BG267">
        <v>0</v>
      </c>
      <c r="BH267">
        <v>2075</v>
      </c>
      <c r="BI267">
        <v>1</v>
      </c>
      <c r="BJ267">
        <v>1</v>
      </c>
      <c r="BK267">
        <v>0</v>
      </c>
      <c r="BL267">
        <v>0</v>
      </c>
      <c r="BO267">
        <v>0</v>
      </c>
      <c r="BP267">
        <v>0</v>
      </c>
      <c r="BW267" t="str">
        <f>"22:10:29.319"</f>
        <v>22:10:29.319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7</v>
      </c>
      <c r="CP267" t="s">
        <v>119</v>
      </c>
      <c r="CQ267">
        <v>364</v>
      </c>
      <c r="CR267">
        <v>0</v>
      </c>
      <c r="CW267">
        <v>1374605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"03/24/2022 22:10:29.564"</f>
        <v>03/24/2022 22:10:29.564</v>
      </c>
      <c r="C268" t="str">
        <f t="shared" si="65"/>
        <v>FFDFD3C0</v>
      </c>
      <c r="D268" t="s">
        <v>123</v>
      </c>
      <c r="E268">
        <v>8</v>
      </c>
      <c r="H268">
        <v>31</v>
      </c>
      <c r="I268" t="s">
        <v>124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 t="shared" si="81"/>
        <v>22:10:29.000</v>
      </c>
      <c r="T268" t="str">
        <f t="shared" si="81"/>
        <v>22:10:29.000</v>
      </c>
      <c r="U268" t="str">
        <f t="shared" si="79"/>
        <v>A9D71F</v>
      </c>
      <c r="V268">
        <v>0</v>
      </c>
      <c r="W268">
        <v>0</v>
      </c>
      <c r="X268">
        <v>2</v>
      </c>
      <c r="Z268">
        <v>1</v>
      </c>
      <c r="AA268">
        <v>8</v>
      </c>
      <c r="AB268">
        <v>3</v>
      </c>
      <c r="AC268">
        <v>0</v>
      </c>
      <c r="AD268">
        <v>9</v>
      </c>
      <c r="AE268">
        <v>0</v>
      </c>
      <c r="AF268">
        <v>3</v>
      </c>
      <c r="AG268">
        <v>1</v>
      </c>
      <c r="AH268">
        <v>0</v>
      </c>
      <c r="AI268" t="s">
        <v>236</v>
      </c>
      <c r="AJ268">
        <v>33.188108999999997</v>
      </c>
      <c r="AK268" t="s">
        <v>237</v>
      </c>
      <c r="AL268">
        <v>-97.797031000000004</v>
      </c>
      <c r="AM268">
        <v>25</v>
      </c>
      <c r="AN268">
        <v>2100</v>
      </c>
      <c r="AO268" t="s">
        <v>118</v>
      </c>
      <c r="AP268">
        <v>93</v>
      </c>
      <c r="AQ268">
        <v>-6</v>
      </c>
      <c r="AR268">
        <v>896</v>
      </c>
      <c r="AZ268">
        <v>1200</v>
      </c>
      <c r="BA268">
        <v>1</v>
      </c>
      <c r="BB268" t="str">
        <f t="shared" si="67"/>
        <v xml:space="preserve">N733KP  </v>
      </c>
      <c r="BC268">
        <v>1</v>
      </c>
      <c r="BE268">
        <v>0</v>
      </c>
      <c r="BF268">
        <v>0</v>
      </c>
      <c r="BG268">
        <v>0</v>
      </c>
      <c r="BH268">
        <v>2075</v>
      </c>
      <c r="BI268">
        <v>1</v>
      </c>
      <c r="BJ268">
        <v>1</v>
      </c>
      <c r="BK268">
        <v>0</v>
      </c>
      <c r="BL268">
        <v>0</v>
      </c>
      <c r="BO268">
        <v>0</v>
      </c>
      <c r="BP268">
        <v>0</v>
      </c>
      <c r="BW268" t="str">
        <f>"22:10:29.319"</f>
        <v>22:10:29.319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119</v>
      </c>
      <c r="CQ268">
        <v>364</v>
      </c>
      <c r="CR268">
        <v>0</v>
      </c>
      <c r="CW268">
        <v>1374605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"03/24/2022 22:10:29.642"</f>
        <v>03/24/2022 22:10:29.642</v>
      </c>
      <c r="C269" t="str">
        <f t="shared" si="65"/>
        <v>FFDFD3C0</v>
      </c>
      <c r="D269" t="s">
        <v>126</v>
      </c>
      <c r="E269">
        <v>3</v>
      </c>
      <c r="H269">
        <v>160</v>
      </c>
      <c r="I269" t="s">
        <v>121</v>
      </c>
      <c r="J269" t="s">
        <v>127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 t="shared" si="81"/>
        <v>22:10:29.000</v>
      </c>
      <c r="T269" t="str">
        <f t="shared" si="81"/>
        <v>22:10:29.000</v>
      </c>
      <c r="U269" t="str">
        <f t="shared" si="79"/>
        <v>A9D71F</v>
      </c>
      <c r="V269">
        <v>0</v>
      </c>
      <c r="W269">
        <v>0</v>
      </c>
      <c r="X269">
        <v>2</v>
      </c>
      <c r="Z269">
        <v>1</v>
      </c>
      <c r="AA269">
        <v>8</v>
      </c>
      <c r="AB269">
        <v>3</v>
      </c>
      <c r="AC269">
        <v>0</v>
      </c>
      <c r="AD269">
        <v>9</v>
      </c>
      <c r="AE269">
        <v>0</v>
      </c>
      <c r="AF269">
        <v>3</v>
      </c>
      <c r="AG269">
        <v>1</v>
      </c>
      <c r="AH269">
        <v>0</v>
      </c>
      <c r="AI269" t="s">
        <v>236</v>
      </c>
      <c r="AJ269">
        <v>33.188108999999997</v>
      </c>
      <c r="AK269" t="s">
        <v>237</v>
      </c>
      <c r="AL269">
        <v>-97.797031000000004</v>
      </c>
      <c r="AM269">
        <v>25</v>
      </c>
      <c r="AN269">
        <v>2100</v>
      </c>
      <c r="AO269" t="s">
        <v>118</v>
      </c>
      <c r="AP269">
        <v>93</v>
      </c>
      <c r="AQ269">
        <v>-6</v>
      </c>
      <c r="AR269">
        <v>896</v>
      </c>
      <c r="AZ269">
        <v>1200</v>
      </c>
      <c r="BA269">
        <v>1</v>
      </c>
      <c r="BB269" t="str">
        <f t="shared" si="67"/>
        <v xml:space="preserve">N733KP  </v>
      </c>
      <c r="BC269">
        <v>1</v>
      </c>
      <c r="BE269">
        <v>0</v>
      </c>
      <c r="BF269">
        <v>0</v>
      </c>
      <c r="BG269">
        <v>0</v>
      </c>
      <c r="BH269">
        <v>2075</v>
      </c>
      <c r="BI269">
        <v>1</v>
      </c>
      <c r="BJ269">
        <v>1</v>
      </c>
      <c r="BK269">
        <v>0</v>
      </c>
      <c r="BL269">
        <v>0</v>
      </c>
      <c r="BO269">
        <v>0</v>
      </c>
      <c r="BP269">
        <v>0</v>
      </c>
      <c r="BW269" t="str">
        <f>"22:10:29.319"</f>
        <v>22:10:29.319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119</v>
      </c>
      <c r="CQ269">
        <v>364</v>
      </c>
      <c r="CR269">
        <v>0</v>
      </c>
      <c r="CW269">
        <v>1374605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"03/24/2022 22:10:30.564"</f>
        <v>03/24/2022 22:10:30.564</v>
      </c>
      <c r="C270" t="str">
        <f t="shared" si="65"/>
        <v>FFDFD3C0</v>
      </c>
      <c r="D270" t="s">
        <v>120</v>
      </c>
      <c r="E270">
        <v>14</v>
      </c>
      <c r="F270">
        <v>1014</v>
      </c>
      <c r="G270" t="s">
        <v>121</v>
      </c>
      <c r="J270" t="s">
        <v>122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 t="shared" ref="S270:T273" si="82">"22:10:30.000"</f>
        <v>22:10:30.000</v>
      </c>
      <c r="T270" t="str">
        <f t="shared" si="82"/>
        <v>22:10:30.000</v>
      </c>
      <c r="U270" t="str">
        <f t="shared" si="79"/>
        <v>A9D71F</v>
      </c>
      <c r="V270">
        <v>0</v>
      </c>
      <c r="W270">
        <v>0</v>
      </c>
      <c r="X270">
        <v>2</v>
      </c>
      <c r="Z270">
        <v>1</v>
      </c>
      <c r="AA270">
        <v>8</v>
      </c>
      <c r="AB270">
        <v>3</v>
      </c>
      <c r="AC270">
        <v>0</v>
      </c>
      <c r="AD270">
        <v>9</v>
      </c>
      <c r="AE270">
        <v>0</v>
      </c>
      <c r="AF270">
        <v>3</v>
      </c>
      <c r="AG270">
        <v>1</v>
      </c>
      <c r="AH270">
        <v>0</v>
      </c>
      <c r="AI270" t="s">
        <v>236</v>
      </c>
      <c r="AJ270">
        <v>33.188108999999997</v>
      </c>
      <c r="AK270" t="s">
        <v>238</v>
      </c>
      <c r="AL270">
        <v>-97.796515999999997</v>
      </c>
      <c r="AM270">
        <v>25</v>
      </c>
      <c r="AN270">
        <v>2100</v>
      </c>
      <c r="AO270" t="s">
        <v>118</v>
      </c>
      <c r="AP270">
        <v>93</v>
      </c>
      <c r="AQ270">
        <v>-7</v>
      </c>
      <c r="AR270">
        <v>960</v>
      </c>
      <c r="AZ270">
        <v>1200</v>
      </c>
      <c r="BA270">
        <v>1</v>
      </c>
      <c r="BB270" t="str">
        <f t="shared" si="67"/>
        <v xml:space="preserve">N733KP  </v>
      </c>
      <c r="BC270">
        <v>1</v>
      </c>
      <c r="BE270">
        <v>0</v>
      </c>
      <c r="BF270">
        <v>0</v>
      </c>
      <c r="BG270">
        <v>0</v>
      </c>
      <c r="BH270">
        <v>2125</v>
      </c>
      <c r="BI270">
        <v>1</v>
      </c>
      <c r="BJ270">
        <v>1</v>
      </c>
      <c r="BK270">
        <v>0</v>
      </c>
      <c r="BL270">
        <v>0</v>
      </c>
      <c r="BO270">
        <v>0</v>
      </c>
      <c r="BP270">
        <v>0</v>
      </c>
      <c r="BW270" t="str">
        <f>"22:10:30.341"</f>
        <v>22:10:30.341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364</v>
      </c>
      <c r="CR270">
        <v>0</v>
      </c>
      <c r="CW270">
        <v>1374754</v>
      </c>
      <c r="CY270">
        <v>1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"03/24/2022 22:10:30.564"</f>
        <v>03/24/2022 22:10:30.564</v>
      </c>
      <c r="C271" t="str">
        <f t="shared" si="65"/>
        <v>FFDFD3C0</v>
      </c>
      <c r="D271" t="s">
        <v>123</v>
      </c>
      <c r="E271">
        <v>8</v>
      </c>
      <c r="H271">
        <v>31</v>
      </c>
      <c r="I271" t="s">
        <v>124</v>
      </c>
      <c r="J271" t="s">
        <v>125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 t="shared" si="82"/>
        <v>22:10:30.000</v>
      </c>
      <c r="T271" t="str">
        <f t="shared" si="82"/>
        <v>22:10:30.000</v>
      </c>
      <c r="U271" t="str">
        <f t="shared" si="79"/>
        <v>A9D71F</v>
      </c>
      <c r="V271">
        <v>0</v>
      </c>
      <c r="W271">
        <v>0</v>
      </c>
      <c r="X271">
        <v>2</v>
      </c>
      <c r="Z271">
        <v>1</v>
      </c>
      <c r="AA271">
        <v>8</v>
      </c>
      <c r="AB271">
        <v>3</v>
      </c>
      <c r="AC271">
        <v>0</v>
      </c>
      <c r="AD271">
        <v>9</v>
      </c>
      <c r="AE271">
        <v>0</v>
      </c>
      <c r="AF271">
        <v>3</v>
      </c>
      <c r="AG271">
        <v>1</v>
      </c>
      <c r="AH271">
        <v>0</v>
      </c>
      <c r="AI271" t="s">
        <v>236</v>
      </c>
      <c r="AJ271">
        <v>33.188108999999997</v>
      </c>
      <c r="AK271" t="s">
        <v>238</v>
      </c>
      <c r="AL271">
        <v>-97.796515999999997</v>
      </c>
      <c r="AM271">
        <v>25</v>
      </c>
      <c r="AN271">
        <v>2100</v>
      </c>
      <c r="AO271" t="s">
        <v>118</v>
      </c>
      <c r="AP271">
        <v>93</v>
      </c>
      <c r="AQ271">
        <v>-7</v>
      </c>
      <c r="AR271">
        <v>960</v>
      </c>
      <c r="AZ271">
        <v>1200</v>
      </c>
      <c r="BA271">
        <v>1</v>
      </c>
      <c r="BB271" t="str">
        <f t="shared" si="67"/>
        <v xml:space="preserve">N733KP  </v>
      </c>
      <c r="BC271">
        <v>1</v>
      </c>
      <c r="BE271">
        <v>0</v>
      </c>
      <c r="BF271">
        <v>0</v>
      </c>
      <c r="BG271">
        <v>0</v>
      </c>
      <c r="BH271">
        <v>2125</v>
      </c>
      <c r="BI271">
        <v>1</v>
      </c>
      <c r="BJ271">
        <v>1</v>
      </c>
      <c r="BK271">
        <v>0</v>
      </c>
      <c r="BL271">
        <v>0</v>
      </c>
      <c r="BO271">
        <v>0</v>
      </c>
      <c r="BP271">
        <v>0</v>
      </c>
      <c r="BW271" t="str">
        <f>"22:10:30.341"</f>
        <v>22:10:30.341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364</v>
      </c>
      <c r="CR271">
        <v>0</v>
      </c>
      <c r="CW271">
        <v>1374754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"03/24/2022 22:10:30.564"</f>
        <v>03/24/2022 22:10:30.564</v>
      </c>
      <c r="C272" t="str">
        <f t="shared" si="65"/>
        <v>FFDFD3C0</v>
      </c>
      <c r="D272" t="s">
        <v>126</v>
      </c>
      <c r="E272">
        <v>3</v>
      </c>
      <c r="H272">
        <v>160</v>
      </c>
      <c r="I272" t="s">
        <v>121</v>
      </c>
      <c r="J272" t="s">
        <v>127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 t="shared" si="82"/>
        <v>22:10:30.000</v>
      </c>
      <c r="T272" t="str">
        <f t="shared" si="82"/>
        <v>22:10:30.000</v>
      </c>
      <c r="U272" t="str">
        <f t="shared" si="79"/>
        <v>A9D71F</v>
      </c>
      <c r="V272">
        <v>0</v>
      </c>
      <c r="W272">
        <v>0</v>
      </c>
      <c r="X272">
        <v>2</v>
      </c>
      <c r="Z272">
        <v>1</v>
      </c>
      <c r="AA272">
        <v>8</v>
      </c>
      <c r="AB272">
        <v>3</v>
      </c>
      <c r="AC272">
        <v>0</v>
      </c>
      <c r="AD272">
        <v>9</v>
      </c>
      <c r="AE272">
        <v>0</v>
      </c>
      <c r="AF272">
        <v>3</v>
      </c>
      <c r="AG272">
        <v>1</v>
      </c>
      <c r="AH272">
        <v>0</v>
      </c>
      <c r="AI272" t="s">
        <v>236</v>
      </c>
      <c r="AJ272">
        <v>33.188108999999997</v>
      </c>
      <c r="AK272" t="s">
        <v>238</v>
      </c>
      <c r="AL272">
        <v>-97.796515999999997</v>
      </c>
      <c r="AM272">
        <v>25</v>
      </c>
      <c r="AN272">
        <v>2100</v>
      </c>
      <c r="AO272" t="s">
        <v>118</v>
      </c>
      <c r="AP272">
        <v>93</v>
      </c>
      <c r="AQ272">
        <v>-7</v>
      </c>
      <c r="AR272">
        <v>960</v>
      </c>
      <c r="AZ272">
        <v>1200</v>
      </c>
      <c r="BA272">
        <v>1</v>
      </c>
      <c r="BB272" t="str">
        <f t="shared" si="67"/>
        <v xml:space="preserve">N733KP  </v>
      </c>
      <c r="BC272">
        <v>1</v>
      </c>
      <c r="BE272">
        <v>0</v>
      </c>
      <c r="BF272">
        <v>0</v>
      </c>
      <c r="BG272">
        <v>0</v>
      </c>
      <c r="BH272">
        <v>2125</v>
      </c>
      <c r="BI272">
        <v>1</v>
      </c>
      <c r="BJ272">
        <v>1</v>
      </c>
      <c r="BK272">
        <v>0</v>
      </c>
      <c r="BL272">
        <v>0</v>
      </c>
      <c r="BO272">
        <v>0</v>
      </c>
      <c r="BP272">
        <v>0</v>
      </c>
      <c r="BW272" t="str">
        <f>"22:10:30.341"</f>
        <v>22:10:30.341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119</v>
      </c>
      <c r="CQ272">
        <v>364</v>
      </c>
      <c r="CR272">
        <v>0</v>
      </c>
      <c r="CW272">
        <v>1374754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"03/24/2022 22:10:30.564"</f>
        <v>03/24/2022 22:10:30.564</v>
      </c>
      <c r="C273" t="str">
        <f t="shared" si="65"/>
        <v>FFDFD3C0</v>
      </c>
      <c r="D273" t="s">
        <v>113</v>
      </c>
      <c r="E273">
        <v>24</v>
      </c>
      <c r="F273">
        <v>2024</v>
      </c>
      <c r="G273" t="s">
        <v>114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 t="shared" si="82"/>
        <v>22:10:30.000</v>
      </c>
      <c r="T273" t="str">
        <f t="shared" si="82"/>
        <v>22:10:30.000</v>
      </c>
      <c r="U273" t="str">
        <f t="shared" si="79"/>
        <v>A9D71F</v>
      </c>
      <c r="V273">
        <v>0</v>
      </c>
      <c r="W273">
        <v>0</v>
      </c>
      <c r="X273">
        <v>2</v>
      </c>
      <c r="Z273">
        <v>1</v>
      </c>
      <c r="AA273">
        <v>8</v>
      </c>
      <c r="AB273">
        <v>3</v>
      </c>
      <c r="AC273">
        <v>0</v>
      </c>
      <c r="AD273">
        <v>9</v>
      </c>
      <c r="AE273">
        <v>0</v>
      </c>
      <c r="AF273">
        <v>3</v>
      </c>
      <c r="AG273">
        <v>1</v>
      </c>
      <c r="AH273">
        <v>0</v>
      </c>
      <c r="AI273" t="s">
        <v>236</v>
      </c>
      <c r="AJ273">
        <v>33.188108999999997</v>
      </c>
      <c r="AK273" t="s">
        <v>238</v>
      </c>
      <c r="AL273">
        <v>-97.796515999999997</v>
      </c>
      <c r="AM273">
        <v>25</v>
      </c>
      <c r="AN273">
        <v>2100</v>
      </c>
      <c r="AO273" t="s">
        <v>118</v>
      </c>
      <c r="AP273">
        <v>93</v>
      </c>
      <c r="AQ273">
        <v>-7</v>
      </c>
      <c r="AR273">
        <v>960</v>
      </c>
      <c r="AZ273">
        <v>1200</v>
      </c>
      <c r="BA273">
        <v>1</v>
      </c>
      <c r="BB273" t="str">
        <f t="shared" si="67"/>
        <v xml:space="preserve">N733KP  </v>
      </c>
      <c r="BC273">
        <v>1</v>
      </c>
      <c r="BE273">
        <v>0</v>
      </c>
      <c r="BF273">
        <v>0</v>
      </c>
      <c r="BG273">
        <v>0</v>
      </c>
      <c r="BH273">
        <v>2125</v>
      </c>
      <c r="BI273">
        <v>1</v>
      </c>
      <c r="BJ273">
        <v>1</v>
      </c>
      <c r="BK273">
        <v>0</v>
      </c>
      <c r="BL273">
        <v>0</v>
      </c>
      <c r="BO273">
        <v>0</v>
      </c>
      <c r="BP273">
        <v>0</v>
      </c>
      <c r="BW273" t="str">
        <f>"22:10:30.341"</f>
        <v>22:10:30.341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119</v>
      </c>
      <c r="CQ273">
        <v>364</v>
      </c>
      <c r="CR273">
        <v>0</v>
      </c>
      <c r="CW273">
        <v>1374754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"03/24/2022 22:10:31.627"</f>
        <v>03/24/2022 22:10:31.627</v>
      </c>
      <c r="C274" t="str">
        <f t="shared" si="65"/>
        <v>FFDFD3C0</v>
      </c>
      <c r="D274" t="s">
        <v>113</v>
      </c>
      <c r="E274">
        <v>24</v>
      </c>
      <c r="F274">
        <v>2024</v>
      </c>
      <c r="G274" t="s">
        <v>114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 t="shared" ref="S274:T277" si="83">"22:10:31.000"</f>
        <v>22:10:31.000</v>
      </c>
      <c r="T274" t="str">
        <f t="shared" si="83"/>
        <v>22:10:31.000</v>
      </c>
      <c r="U274" t="str">
        <f t="shared" si="79"/>
        <v>A9D71F</v>
      </c>
      <c r="V274">
        <v>0</v>
      </c>
      <c r="W274">
        <v>0</v>
      </c>
      <c r="X274">
        <v>2</v>
      </c>
      <c r="Z274">
        <v>1</v>
      </c>
      <c r="AA274">
        <v>8</v>
      </c>
      <c r="AB274">
        <v>3</v>
      </c>
      <c r="AC274">
        <v>0</v>
      </c>
      <c r="AD274">
        <v>9</v>
      </c>
      <c r="AE274">
        <v>0</v>
      </c>
      <c r="AF274">
        <v>3</v>
      </c>
      <c r="AG274">
        <v>1</v>
      </c>
      <c r="AH274">
        <v>0</v>
      </c>
      <c r="AI274" t="s">
        <v>239</v>
      </c>
      <c r="AJ274">
        <v>33.188088</v>
      </c>
      <c r="AK274" t="s">
        <v>240</v>
      </c>
      <c r="AL274">
        <v>-97.796023000000005</v>
      </c>
      <c r="AM274">
        <v>25</v>
      </c>
      <c r="AN274">
        <v>2200</v>
      </c>
      <c r="AO274" t="s">
        <v>118</v>
      </c>
      <c r="AP274">
        <v>91</v>
      </c>
      <c r="AQ274">
        <v>-5</v>
      </c>
      <c r="AR274">
        <v>960</v>
      </c>
      <c r="AZ274">
        <v>1200</v>
      </c>
      <c r="BA274">
        <v>1</v>
      </c>
      <c r="BB274" t="str">
        <f t="shared" si="67"/>
        <v xml:space="preserve">N733KP  </v>
      </c>
      <c r="BC274">
        <v>1</v>
      </c>
      <c r="BE274">
        <v>0</v>
      </c>
      <c r="BF274">
        <v>0</v>
      </c>
      <c r="BG274">
        <v>0</v>
      </c>
      <c r="BH274">
        <v>2125</v>
      </c>
      <c r="BI274">
        <v>1</v>
      </c>
      <c r="BJ274">
        <v>1</v>
      </c>
      <c r="BK274">
        <v>0</v>
      </c>
      <c r="BL274">
        <v>0</v>
      </c>
      <c r="BO274">
        <v>0</v>
      </c>
      <c r="BP274">
        <v>0</v>
      </c>
      <c r="BW274" t="str">
        <f>"22:10:31.447"</f>
        <v>22:10:31.447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364</v>
      </c>
      <c r="CR274">
        <v>0</v>
      </c>
      <c r="CW274">
        <v>1374892</v>
      </c>
      <c r="CY274">
        <v>1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"03/24/2022 22:10:31.627"</f>
        <v>03/24/2022 22:10:31.627</v>
      </c>
      <c r="C275" t="str">
        <f t="shared" si="65"/>
        <v>FFDFD3C0</v>
      </c>
      <c r="D275" t="s">
        <v>120</v>
      </c>
      <c r="E275">
        <v>14</v>
      </c>
      <c r="F275">
        <v>1014</v>
      </c>
      <c r="G275" t="s">
        <v>121</v>
      </c>
      <c r="J275" t="s">
        <v>122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 t="shared" si="83"/>
        <v>22:10:31.000</v>
      </c>
      <c r="T275" t="str">
        <f t="shared" si="83"/>
        <v>22:10:31.000</v>
      </c>
      <c r="U275" t="str">
        <f t="shared" si="79"/>
        <v>A9D71F</v>
      </c>
      <c r="V275">
        <v>0</v>
      </c>
      <c r="W275">
        <v>0</v>
      </c>
      <c r="X275">
        <v>2</v>
      </c>
      <c r="Z275">
        <v>1</v>
      </c>
      <c r="AA275">
        <v>8</v>
      </c>
      <c r="AB275">
        <v>3</v>
      </c>
      <c r="AC275">
        <v>0</v>
      </c>
      <c r="AD275">
        <v>9</v>
      </c>
      <c r="AE275">
        <v>0</v>
      </c>
      <c r="AF275">
        <v>3</v>
      </c>
      <c r="AG275">
        <v>1</v>
      </c>
      <c r="AH275">
        <v>0</v>
      </c>
      <c r="AI275" t="s">
        <v>239</v>
      </c>
      <c r="AJ275">
        <v>33.188088</v>
      </c>
      <c r="AK275" t="s">
        <v>240</v>
      </c>
      <c r="AL275">
        <v>-97.796023000000005</v>
      </c>
      <c r="AM275">
        <v>25</v>
      </c>
      <c r="AN275">
        <v>2200</v>
      </c>
      <c r="AO275" t="s">
        <v>118</v>
      </c>
      <c r="AP275">
        <v>91</v>
      </c>
      <c r="AQ275">
        <v>-5</v>
      </c>
      <c r="AR275">
        <v>960</v>
      </c>
      <c r="AZ275">
        <v>1200</v>
      </c>
      <c r="BA275">
        <v>1</v>
      </c>
      <c r="BB275" t="str">
        <f t="shared" si="67"/>
        <v xml:space="preserve">N733KP  </v>
      </c>
      <c r="BC275">
        <v>1</v>
      </c>
      <c r="BE275">
        <v>0</v>
      </c>
      <c r="BF275">
        <v>0</v>
      </c>
      <c r="BG275">
        <v>0</v>
      </c>
      <c r="BH275">
        <v>2125</v>
      </c>
      <c r="BI275">
        <v>1</v>
      </c>
      <c r="BJ275">
        <v>1</v>
      </c>
      <c r="BK275">
        <v>0</v>
      </c>
      <c r="BL275">
        <v>0</v>
      </c>
      <c r="BO275">
        <v>0</v>
      </c>
      <c r="BP275">
        <v>0</v>
      </c>
      <c r="BW275" t="str">
        <f>"22:10:31.447"</f>
        <v>22:10:31.447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119</v>
      </c>
      <c r="CQ275">
        <v>364</v>
      </c>
      <c r="CR275">
        <v>0</v>
      </c>
      <c r="CW275">
        <v>1374892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"03/24/2022 22:10:31.627"</f>
        <v>03/24/2022 22:10:31.627</v>
      </c>
      <c r="C276" t="str">
        <f t="shared" si="65"/>
        <v>FFDFD3C0</v>
      </c>
      <c r="D276" t="s">
        <v>123</v>
      </c>
      <c r="E276">
        <v>8</v>
      </c>
      <c r="H276">
        <v>31</v>
      </c>
      <c r="I276" t="s">
        <v>124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 t="shared" si="83"/>
        <v>22:10:31.000</v>
      </c>
      <c r="T276" t="str">
        <f t="shared" si="83"/>
        <v>22:10:31.000</v>
      </c>
      <c r="U276" t="str">
        <f t="shared" si="79"/>
        <v>A9D71F</v>
      </c>
      <c r="V276">
        <v>0</v>
      </c>
      <c r="W276">
        <v>0</v>
      </c>
      <c r="X276">
        <v>2</v>
      </c>
      <c r="Z276">
        <v>1</v>
      </c>
      <c r="AA276">
        <v>8</v>
      </c>
      <c r="AB276">
        <v>3</v>
      </c>
      <c r="AC276">
        <v>0</v>
      </c>
      <c r="AD276">
        <v>9</v>
      </c>
      <c r="AE276">
        <v>0</v>
      </c>
      <c r="AF276">
        <v>3</v>
      </c>
      <c r="AG276">
        <v>1</v>
      </c>
      <c r="AH276">
        <v>0</v>
      </c>
      <c r="AI276" t="s">
        <v>239</v>
      </c>
      <c r="AJ276">
        <v>33.188088</v>
      </c>
      <c r="AK276" t="s">
        <v>240</v>
      </c>
      <c r="AL276">
        <v>-97.796023000000005</v>
      </c>
      <c r="AM276">
        <v>25</v>
      </c>
      <c r="AN276">
        <v>2200</v>
      </c>
      <c r="AO276" t="s">
        <v>118</v>
      </c>
      <c r="AP276">
        <v>91</v>
      </c>
      <c r="AQ276">
        <v>-5</v>
      </c>
      <c r="AR276">
        <v>960</v>
      </c>
      <c r="AZ276">
        <v>1200</v>
      </c>
      <c r="BA276">
        <v>1</v>
      </c>
      <c r="BB276" t="str">
        <f t="shared" si="67"/>
        <v xml:space="preserve">N733KP  </v>
      </c>
      <c r="BC276">
        <v>1</v>
      </c>
      <c r="BE276">
        <v>0</v>
      </c>
      <c r="BF276">
        <v>0</v>
      </c>
      <c r="BG276">
        <v>0</v>
      </c>
      <c r="BH276">
        <v>2125</v>
      </c>
      <c r="BI276">
        <v>1</v>
      </c>
      <c r="BJ276">
        <v>1</v>
      </c>
      <c r="BK276">
        <v>0</v>
      </c>
      <c r="BL276">
        <v>0</v>
      </c>
      <c r="BO276">
        <v>0</v>
      </c>
      <c r="BP276">
        <v>0</v>
      </c>
      <c r="BW276" t="str">
        <f>"22:10:31.447"</f>
        <v>22:10:31.447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364</v>
      </c>
      <c r="CR276">
        <v>0</v>
      </c>
      <c r="CW276">
        <v>1374892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"03/24/2022 22:10:31.643"</f>
        <v>03/24/2022 22:10:31.643</v>
      </c>
      <c r="C277" t="str">
        <f t="shared" si="65"/>
        <v>FFDFD3C0</v>
      </c>
      <c r="D277" t="s">
        <v>126</v>
      </c>
      <c r="E277">
        <v>3</v>
      </c>
      <c r="H277">
        <v>160</v>
      </c>
      <c r="I277" t="s">
        <v>121</v>
      </c>
      <c r="J277" t="s">
        <v>127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 t="shared" si="83"/>
        <v>22:10:31.000</v>
      </c>
      <c r="T277" t="str">
        <f t="shared" si="83"/>
        <v>22:10:31.000</v>
      </c>
      <c r="U277" t="str">
        <f t="shared" si="79"/>
        <v>A9D71F</v>
      </c>
      <c r="V277">
        <v>0</v>
      </c>
      <c r="W277">
        <v>0</v>
      </c>
      <c r="X277">
        <v>2</v>
      </c>
      <c r="Z277">
        <v>1</v>
      </c>
      <c r="AA277">
        <v>8</v>
      </c>
      <c r="AB277">
        <v>3</v>
      </c>
      <c r="AC277">
        <v>0</v>
      </c>
      <c r="AD277">
        <v>9</v>
      </c>
      <c r="AE277">
        <v>0</v>
      </c>
      <c r="AF277">
        <v>3</v>
      </c>
      <c r="AG277">
        <v>1</v>
      </c>
      <c r="AH277">
        <v>0</v>
      </c>
      <c r="AI277" t="s">
        <v>239</v>
      </c>
      <c r="AJ277">
        <v>33.188088</v>
      </c>
      <c r="AK277" t="s">
        <v>240</v>
      </c>
      <c r="AL277">
        <v>-97.796023000000005</v>
      </c>
      <c r="AM277">
        <v>25</v>
      </c>
      <c r="AN277">
        <v>2200</v>
      </c>
      <c r="AO277" t="s">
        <v>118</v>
      </c>
      <c r="AP277">
        <v>91</v>
      </c>
      <c r="AQ277">
        <v>-5</v>
      </c>
      <c r="AR277">
        <v>960</v>
      </c>
      <c r="AZ277">
        <v>1200</v>
      </c>
      <c r="BA277">
        <v>1</v>
      </c>
      <c r="BB277" t="str">
        <f t="shared" si="67"/>
        <v xml:space="preserve">N733KP  </v>
      </c>
      <c r="BC277">
        <v>1</v>
      </c>
      <c r="BE277">
        <v>0</v>
      </c>
      <c r="BF277">
        <v>0</v>
      </c>
      <c r="BG277">
        <v>0</v>
      </c>
      <c r="BH277">
        <v>2125</v>
      </c>
      <c r="BI277">
        <v>1</v>
      </c>
      <c r="BJ277">
        <v>1</v>
      </c>
      <c r="BK277">
        <v>0</v>
      </c>
      <c r="BL277">
        <v>0</v>
      </c>
      <c r="BO277">
        <v>0</v>
      </c>
      <c r="BP277">
        <v>0</v>
      </c>
      <c r="BW277" t="str">
        <f>"22:10:31.447"</f>
        <v>22:10:31.447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364</v>
      </c>
      <c r="CR277">
        <v>0</v>
      </c>
      <c r="CW277">
        <v>1374892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"03/24/2022 22:10:32.846"</f>
        <v>03/24/2022 22:10:32.846</v>
      </c>
      <c r="C278" t="str">
        <f t="shared" ref="C278:C341" si="84">"FFDFD3C0"</f>
        <v>FFDFD3C0</v>
      </c>
      <c r="D278" t="s">
        <v>113</v>
      </c>
      <c r="E278">
        <v>24</v>
      </c>
      <c r="F278">
        <v>2024</v>
      </c>
      <c r="G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 t="shared" ref="S278:T281" si="85">"22:10:32.000"</f>
        <v>22:10:32.000</v>
      </c>
      <c r="T278" t="str">
        <f t="shared" si="85"/>
        <v>22:10:32.000</v>
      </c>
      <c r="U278" t="str">
        <f t="shared" si="79"/>
        <v>A9D71F</v>
      </c>
      <c r="V278">
        <v>0</v>
      </c>
      <c r="W278">
        <v>0</v>
      </c>
      <c r="X278">
        <v>2</v>
      </c>
      <c r="Z278">
        <v>1</v>
      </c>
      <c r="AA278">
        <v>8</v>
      </c>
      <c r="AB278">
        <v>3</v>
      </c>
      <c r="AC278">
        <v>0</v>
      </c>
      <c r="AD278">
        <v>9</v>
      </c>
      <c r="AE278">
        <v>0</v>
      </c>
      <c r="AF278">
        <v>3</v>
      </c>
      <c r="AG278">
        <v>1</v>
      </c>
      <c r="AH278">
        <v>0</v>
      </c>
      <c r="AI278" t="s">
        <v>241</v>
      </c>
      <c r="AJ278">
        <v>33.188065999999999</v>
      </c>
      <c r="AK278" t="s">
        <v>242</v>
      </c>
      <c r="AL278">
        <v>-97.795507999999998</v>
      </c>
      <c r="AM278">
        <v>25</v>
      </c>
      <c r="AN278">
        <v>2200</v>
      </c>
      <c r="AO278" t="s">
        <v>118</v>
      </c>
      <c r="AP278">
        <v>92</v>
      </c>
      <c r="AQ278">
        <v>-5</v>
      </c>
      <c r="AR278">
        <v>960</v>
      </c>
      <c r="AZ278">
        <v>1200</v>
      </c>
      <c r="BA278">
        <v>1</v>
      </c>
      <c r="BB278" t="str">
        <f t="shared" ref="BB278:BB341" si="86">"N733KP  "</f>
        <v xml:space="preserve">N733KP  </v>
      </c>
      <c r="BC278">
        <v>1</v>
      </c>
      <c r="BE278">
        <v>0</v>
      </c>
      <c r="BF278">
        <v>0</v>
      </c>
      <c r="BG278">
        <v>0</v>
      </c>
      <c r="BH278">
        <v>2150</v>
      </c>
      <c r="BI278">
        <v>1</v>
      </c>
      <c r="BJ278">
        <v>1</v>
      </c>
      <c r="BK278">
        <v>0</v>
      </c>
      <c r="BL278">
        <v>0</v>
      </c>
      <c r="BO278">
        <v>0</v>
      </c>
      <c r="BP278">
        <v>0</v>
      </c>
      <c r="BW278" t="str">
        <f>"22:10:32.668"</f>
        <v>22:10:32.668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119</v>
      </c>
      <c r="CQ278">
        <v>364</v>
      </c>
      <c r="CR278">
        <v>0</v>
      </c>
      <c r="CW278">
        <v>1375052</v>
      </c>
      <c r="CY278">
        <v>1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"03/24/2022 22:10:32.846"</f>
        <v>03/24/2022 22:10:32.846</v>
      </c>
      <c r="C279" t="str">
        <f t="shared" si="84"/>
        <v>FFDFD3C0</v>
      </c>
      <c r="D279" t="s">
        <v>120</v>
      </c>
      <c r="E279">
        <v>14</v>
      </c>
      <c r="F279">
        <v>1014</v>
      </c>
      <c r="G279" t="s">
        <v>121</v>
      </c>
      <c r="J279" t="s">
        <v>122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 t="shared" si="85"/>
        <v>22:10:32.000</v>
      </c>
      <c r="T279" t="str">
        <f t="shared" si="85"/>
        <v>22:10:32.000</v>
      </c>
      <c r="U279" t="str">
        <f t="shared" si="79"/>
        <v>A9D71F</v>
      </c>
      <c r="V279">
        <v>0</v>
      </c>
      <c r="W279">
        <v>0</v>
      </c>
      <c r="X279">
        <v>2</v>
      </c>
      <c r="Z279">
        <v>1</v>
      </c>
      <c r="AA279">
        <v>8</v>
      </c>
      <c r="AB279">
        <v>3</v>
      </c>
      <c r="AC279">
        <v>0</v>
      </c>
      <c r="AD279">
        <v>9</v>
      </c>
      <c r="AE279">
        <v>0</v>
      </c>
      <c r="AF279">
        <v>3</v>
      </c>
      <c r="AG279">
        <v>1</v>
      </c>
      <c r="AH279">
        <v>0</v>
      </c>
      <c r="AI279" t="s">
        <v>241</v>
      </c>
      <c r="AJ279">
        <v>33.188065999999999</v>
      </c>
      <c r="AK279" t="s">
        <v>242</v>
      </c>
      <c r="AL279">
        <v>-97.795507999999998</v>
      </c>
      <c r="AM279">
        <v>25</v>
      </c>
      <c r="AN279">
        <v>2200</v>
      </c>
      <c r="AO279" t="s">
        <v>118</v>
      </c>
      <c r="AP279">
        <v>92</v>
      </c>
      <c r="AQ279">
        <v>-5</v>
      </c>
      <c r="AR279">
        <v>960</v>
      </c>
      <c r="AZ279">
        <v>1200</v>
      </c>
      <c r="BA279">
        <v>1</v>
      </c>
      <c r="BB279" t="str">
        <f t="shared" si="86"/>
        <v xml:space="preserve">N733KP  </v>
      </c>
      <c r="BC279">
        <v>1</v>
      </c>
      <c r="BE279">
        <v>0</v>
      </c>
      <c r="BF279">
        <v>0</v>
      </c>
      <c r="BG279">
        <v>0</v>
      </c>
      <c r="BH279">
        <v>2150</v>
      </c>
      <c r="BI279">
        <v>1</v>
      </c>
      <c r="BJ279">
        <v>1</v>
      </c>
      <c r="BK279">
        <v>0</v>
      </c>
      <c r="BL279">
        <v>0</v>
      </c>
      <c r="BO279">
        <v>0</v>
      </c>
      <c r="BP279">
        <v>0</v>
      </c>
      <c r="BW279" t="str">
        <f>"22:10:32.668"</f>
        <v>22:10:32.668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119</v>
      </c>
      <c r="CQ279">
        <v>364</v>
      </c>
      <c r="CR279">
        <v>0</v>
      </c>
      <c r="CW279">
        <v>1375052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"03/24/2022 22:10:32.846"</f>
        <v>03/24/2022 22:10:32.846</v>
      </c>
      <c r="C280" t="str">
        <f t="shared" si="84"/>
        <v>FFDFD3C0</v>
      </c>
      <c r="D280" t="s">
        <v>123</v>
      </c>
      <c r="E280">
        <v>8</v>
      </c>
      <c r="H280">
        <v>31</v>
      </c>
      <c r="I280" t="s">
        <v>124</v>
      </c>
      <c r="J280" t="s">
        <v>125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 t="shared" si="85"/>
        <v>22:10:32.000</v>
      </c>
      <c r="T280" t="str">
        <f t="shared" si="85"/>
        <v>22:10:32.000</v>
      </c>
      <c r="U280" t="str">
        <f t="shared" si="79"/>
        <v>A9D71F</v>
      </c>
      <c r="V280">
        <v>0</v>
      </c>
      <c r="W280">
        <v>0</v>
      </c>
      <c r="X280">
        <v>2</v>
      </c>
      <c r="Z280">
        <v>1</v>
      </c>
      <c r="AA280">
        <v>8</v>
      </c>
      <c r="AB280">
        <v>3</v>
      </c>
      <c r="AC280">
        <v>0</v>
      </c>
      <c r="AD280">
        <v>9</v>
      </c>
      <c r="AE280">
        <v>0</v>
      </c>
      <c r="AF280">
        <v>3</v>
      </c>
      <c r="AG280">
        <v>1</v>
      </c>
      <c r="AH280">
        <v>0</v>
      </c>
      <c r="AI280" t="s">
        <v>241</v>
      </c>
      <c r="AJ280">
        <v>33.188065999999999</v>
      </c>
      <c r="AK280" t="s">
        <v>242</v>
      </c>
      <c r="AL280">
        <v>-97.795507999999998</v>
      </c>
      <c r="AM280">
        <v>25</v>
      </c>
      <c r="AN280">
        <v>2200</v>
      </c>
      <c r="AO280" t="s">
        <v>118</v>
      </c>
      <c r="AP280">
        <v>92</v>
      </c>
      <c r="AQ280">
        <v>-5</v>
      </c>
      <c r="AR280">
        <v>960</v>
      </c>
      <c r="AZ280">
        <v>1200</v>
      </c>
      <c r="BA280">
        <v>1</v>
      </c>
      <c r="BB280" t="str">
        <f t="shared" si="86"/>
        <v xml:space="preserve">N733KP  </v>
      </c>
      <c r="BC280">
        <v>1</v>
      </c>
      <c r="BE280">
        <v>0</v>
      </c>
      <c r="BF280">
        <v>0</v>
      </c>
      <c r="BG280">
        <v>0</v>
      </c>
      <c r="BH280">
        <v>2150</v>
      </c>
      <c r="BI280">
        <v>1</v>
      </c>
      <c r="BJ280">
        <v>1</v>
      </c>
      <c r="BK280">
        <v>0</v>
      </c>
      <c r="BL280">
        <v>0</v>
      </c>
      <c r="BO280">
        <v>0</v>
      </c>
      <c r="BP280">
        <v>0</v>
      </c>
      <c r="BW280" t="str">
        <f>"22:10:32.668"</f>
        <v>22:10:32.668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119</v>
      </c>
      <c r="CQ280">
        <v>364</v>
      </c>
      <c r="CR280">
        <v>0</v>
      </c>
      <c r="CW280">
        <v>1375052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"03/24/2022 22:10:32.909"</f>
        <v>03/24/2022 22:10:32.909</v>
      </c>
      <c r="C281" t="str">
        <f t="shared" si="84"/>
        <v>FFDFD3C0</v>
      </c>
      <c r="D281" t="s">
        <v>126</v>
      </c>
      <c r="E281">
        <v>3</v>
      </c>
      <c r="H281">
        <v>160</v>
      </c>
      <c r="I281" t="s">
        <v>121</v>
      </c>
      <c r="J281" t="s">
        <v>127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 t="shared" si="85"/>
        <v>22:10:32.000</v>
      </c>
      <c r="T281" t="str">
        <f t="shared" si="85"/>
        <v>22:10:32.000</v>
      </c>
      <c r="U281" t="str">
        <f t="shared" si="79"/>
        <v>A9D71F</v>
      </c>
      <c r="V281">
        <v>0</v>
      </c>
      <c r="W281">
        <v>0</v>
      </c>
      <c r="X281">
        <v>2</v>
      </c>
      <c r="Z281">
        <v>1</v>
      </c>
      <c r="AA281">
        <v>8</v>
      </c>
      <c r="AB281">
        <v>3</v>
      </c>
      <c r="AC281">
        <v>0</v>
      </c>
      <c r="AD281">
        <v>9</v>
      </c>
      <c r="AE281">
        <v>0</v>
      </c>
      <c r="AF281">
        <v>3</v>
      </c>
      <c r="AG281">
        <v>1</v>
      </c>
      <c r="AH281">
        <v>0</v>
      </c>
      <c r="AI281" t="s">
        <v>241</v>
      </c>
      <c r="AJ281">
        <v>33.188065999999999</v>
      </c>
      <c r="AK281" t="s">
        <v>242</v>
      </c>
      <c r="AL281">
        <v>-97.795507999999998</v>
      </c>
      <c r="AM281">
        <v>25</v>
      </c>
      <c r="AN281">
        <v>2200</v>
      </c>
      <c r="AO281" t="s">
        <v>118</v>
      </c>
      <c r="AP281">
        <v>92</v>
      </c>
      <c r="AQ281">
        <v>-5</v>
      </c>
      <c r="AR281">
        <v>960</v>
      </c>
      <c r="AZ281">
        <v>1200</v>
      </c>
      <c r="BA281">
        <v>1</v>
      </c>
      <c r="BB281" t="str">
        <f t="shared" si="86"/>
        <v xml:space="preserve">N733KP  </v>
      </c>
      <c r="BC281">
        <v>1</v>
      </c>
      <c r="BE281">
        <v>0</v>
      </c>
      <c r="BF281">
        <v>0</v>
      </c>
      <c r="BG281">
        <v>0</v>
      </c>
      <c r="BH281">
        <v>2150</v>
      </c>
      <c r="BI281">
        <v>1</v>
      </c>
      <c r="BJ281">
        <v>1</v>
      </c>
      <c r="BK281">
        <v>0</v>
      </c>
      <c r="BL281">
        <v>0</v>
      </c>
      <c r="BO281">
        <v>0</v>
      </c>
      <c r="BP281">
        <v>0</v>
      </c>
      <c r="BW281" t="str">
        <f>"22:10:32.668"</f>
        <v>22:10:32.668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364</v>
      </c>
      <c r="CR281">
        <v>0</v>
      </c>
      <c r="CW281">
        <v>1375052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"03/24/2022 22:10:33.739"</f>
        <v>03/24/2022 22:10:33.739</v>
      </c>
      <c r="C282" t="str">
        <f t="shared" si="84"/>
        <v>FFDFD3C0</v>
      </c>
      <c r="D282" t="s">
        <v>113</v>
      </c>
      <c r="E282">
        <v>24</v>
      </c>
      <c r="F282">
        <v>2024</v>
      </c>
      <c r="G282" t="s">
        <v>114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 t="shared" ref="S282:T285" si="87">"22:10:33.000"</f>
        <v>22:10:33.000</v>
      </c>
      <c r="T282" t="str">
        <f t="shared" si="87"/>
        <v>22:10:33.000</v>
      </c>
      <c r="U282" t="str">
        <f t="shared" si="79"/>
        <v>A9D71F</v>
      </c>
      <c r="V282">
        <v>0</v>
      </c>
      <c r="W282">
        <v>0</v>
      </c>
      <c r="X282">
        <v>2</v>
      </c>
      <c r="Z282">
        <v>1</v>
      </c>
      <c r="AA282">
        <v>8</v>
      </c>
      <c r="AB282">
        <v>3</v>
      </c>
      <c r="AC282">
        <v>0</v>
      </c>
      <c r="AD282">
        <v>9</v>
      </c>
      <c r="AE282">
        <v>0</v>
      </c>
      <c r="AF282">
        <v>3</v>
      </c>
      <c r="AG282">
        <v>1</v>
      </c>
      <c r="AH282">
        <v>0</v>
      </c>
      <c r="AI282" t="s">
        <v>243</v>
      </c>
      <c r="AJ282">
        <v>33.188045000000002</v>
      </c>
      <c r="AK282" t="s">
        <v>244</v>
      </c>
      <c r="AL282">
        <v>-97.795013999999995</v>
      </c>
      <c r="AM282">
        <v>25</v>
      </c>
      <c r="AN282">
        <v>2200</v>
      </c>
      <c r="AO282" t="s">
        <v>118</v>
      </c>
      <c r="AP282">
        <v>90</v>
      </c>
      <c r="AQ282">
        <v>-2</v>
      </c>
      <c r="AR282">
        <v>960</v>
      </c>
      <c r="AZ282">
        <v>1200</v>
      </c>
      <c r="BA282">
        <v>1</v>
      </c>
      <c r="BB282" t="str">
        <f t="shared" si="86"/>
        <v xml:space="preserve">N733KP  </v>
      </c>
      <c r="BC282">
        <v>1</v>
      </c>
      <c r="BE282">
        <v>0</v>
      </c>
      <c r="BF282">
        <v>0</v>
      </c>
      <c r="BG282">
        <v>0</v>
      </c>
      <c r="BH282">
        <v>2175</v>
      </c>
      <c r="BI282">
        <v>1</v>
      </c>
      <c r="BJ282">
        <v>1</v>
      </c>
      <c r="BK282">
        <v>0</v>
      </c>
      <c r="BL282">
        <v>0</v>
      </c>
      <c r="BO282">
        <v>0</v>
      </c>
      <c r="BP282">
        <v>0</v>
      </c>
      <c r="BW282" t="str">
        <f>"22:10:33.585"</f>
        <v>22:10:33.585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364</v>
      </c>
      <c r="CR282">
        <v>0</v>
      </c>
      <c r="CW282">
        <v>1375169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"03/24/2022 22:10:33.786"</f>
        <v>03/24/2022 22:10:33.786</v>
      </c>
      <c r="C283" t="str">
        <f t="shared" si="84"/>
        <v>FFDFD3C0</v>
      </c>
      <c r="D283" t="s">
        <v>120</v>
      </c>
      <c r="E283">
        <v>14</v>
      </c>
      <c r="F283">
        <v>1014</v>
      </c>
      <c r="G283" t="s">
        <v>121</v>
      </c>
      <c r="J283" t="s">
        <v>122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 t="shared" si="87"/>
        <v>22:10:33.000</v>
      </c>
      <c r="T283" t="str">
        <f t="shared" si="87"/>
        <v>22:10:33.000</v>
      </c>
      <c r="U283" t="str">
        <f t="shared" si="79"/>
        <v>A9D71F</v>
      </c>
      <c r="V283">
        <v>0</v>
      </c>
      <c r="W283">
        <v>0</v>
      </c>
      <c r="X283">
        <v>2</v>
      </c>
      <c r="Z283">
        <v>1</v>
      </c>
      <c r="AA283">
        <v>8</v>
      </c>
      <c r="AB283">
        <v>3</v>
      </c>
      <c r="AC283">
        <v>0</v>
      </c>
      <c r="AD283">
        <v>9</v>
      </c>
      <c r="AE283">
        <v>0</v>
      </c>
      <c r="AF283">
        <v>3</v>
      </c>
      <c r="AG283">
        <v>1</v>
      </c>
      <c r="AH283">
        <v>0</v>
      </c>
      <c r="AI283" t="s">
        <v>243</v>
      </c>
      <c r="AJ283">
        <v>33.188045000000002</v>
      </c>
      <c r="AK283" t="s">
        <v>244</v>
      </c>
      <c r="AL283">
        <v>-97.795013999999995</v>
      </c>
      <c r="AM283">
        <v>25</v>
      </c>
      <c r="AN283">
        <v>2200</v>
      </c>
      <c r="AO283" t="s">
        <v>118</v>
      </c>
      <c r="AP283">
        <v>90</v>
      </c>
      <c r="AQ283">
        <v>-2</v>
      </c>
      <c r="AR283">
        <v>960</v>
      </c>
      <c r="AZ283">
        <v>1200</v>
      </c>
      <c r="BA283">
        <v>1</v>
      </c>
      <c r="BB283" t="str">
        <f t="shared" si="86"/>
        <v xml:space="preserve">N733KP  </v>
      </c>
      <c r="BC283">
        <v>1</v>
      </c>
      <c r="BE283">
        <v>0</v>
      </c>
      <c r="BF283">
        <v>0</v>
      </c>
      <c r="BG283">
        <v>0</v>
      </c>
      <c r="BH283">
        <v>2175</v>
      </c>
      <c r="BI283">
        <v>1</v>
      </c>
      <c r="BJ283">
        <v>1</v>
      </c>
      <c r="BK283">
        <v>0</v>
      </c>
      <c r="BL283">
        <v>0</v>
      </c>
      <c r="BO283">
        <v>0</v>
      </c>
      <c r="BP283">
        <v>0</v>
      </c>
      <c r="BW283" t="str">
        <f>"22:10:33.585"</f>
        <v>22:10:33.585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364</v>
      </c>
      <c r="CR283">
        <v>0</v>
      </c>
      <c r="CW283">
        <v>1375169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"03/24/2022 22:10:33.786"</f>
        <v>03/24/2022 22:10:33.786</v>
      </c>
      <c r="C284" t="str">
        <f t="shared" si="84"/>
        <v>FFDFD3C0</v>
      </c>
      <c r="D284" t="s">
        <v>123</v>
      </c>
      <c r="E284">
        <v>8</v>
      </c>
      <c r="H284">
        <v>31</v>
      </c>
      <c r="I284" t="s">
        <v>124</v>
      </c>
      <c r="J284" t="s">
        <v>125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 t="shared" si="87"/>
        <v>22:10:33.000</v>
      </c>
      <c r="T284" t="str">
        <f t="shared" si="87"/>
        <v>22:10:33.000</v>
      </c>
      <c r="U284" t="str">
        <f t="shared" si="79"/>
        <v>A9D71F</v>
      </c>
      <c r="V284">
        <v>0</v>
      </c>
      <c r="W284">
        <v>0</v>
      </c>
      <c r="X284">
        <v>2</v>
      </c>
      <c r="Z284">
        <v>1</v>
      </c>
      <c r="AA284">
        <v>8</v>
      </c>
      <c r="AB284">
        <v>3</v>
      </c>
      <c r="AC284">
        <v>0</v>
      </c>
      <c r="AD284">
        <v>9</v>
      </c>
      <c r="AE284">
        <v>0</v>
      </c>
      <c r="AF284">
        <v>3</v>
      </c>
      <c r="AG284">
        <v>1</v>
      </c>
      <c r="AH284">
        <v>0</v>
      </c>
      <c r="AI284" t="s">
        <v>243</v>
      </c>
      <c r="AJ284">
        <v>33.188045000000002</v>
      </c>
      <c r="AK284" t="s">
        <v>244</v>
      </c>
      <c r="AL284">
        <v>-97.795013999999995</v>
      </c>
      <c r="AM284">
        <v>25</v>
      </c>
      <c r="AN284">
        <v>2200</v>
      </c>
      <c r="AO284" t="s">
        <v>118</v>
      </c>
      <c r="AP284">
        <v>90</v>
      </c>
      <c r="AQ284">
        <v>-2</v>
      </c>
      <c r="AR284">
        <v>960</v>
      </c>
      <c r="AZ284">
        <v>1200</v>
      </c>
      <c r="BA284">
        <v>1</v>
      </c>
      <c r="BB284" t="str">
        <f t="shared" si="86"/>
        <v xml:space="preserve">N733KP  </v>
      </c>
      <c r="BC284">
        <v>1</v>
      </c>
      <c r="BE284">
        <v>0</v>
      </c>
      <c r="BF284">
        <v>0</v>
      </c>
      <c r="BG284">
        <v>0</v>
      </c>
      <c r="BH284">
        <v>2175</v>
      </c>
      <c r="BI284">
        <v>1</v>
      </c>
      <c r="BJ284">
        <v>1</v>
      </c>
      <c r="BK284">
        <v>0</v>
      </c>
      <c r="BL284">
        <v>0</v>
      </c>
      <c r="BO284">
        <v>0</v>
      </c>
      <c r="BP284">
        <v>0</v>
      </c>
      <c r="BW284" t="str">
        <f>"22:10:33.585"</f>
        <v>22:10:33.585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364</v>
      </c>
      <c r="CR284">
        <v>0</v>
      </c>
      <c r="CW284">
        <v>1375169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"03/24/2022 22:10:33.849"</f>
        <v>03/24/2022 22:10:33.849</v>
      </c>
      <c r="C285" t="str">
        <f t="shared" si="84"/>
        <v>FFDFD3C0</v>
      </c>
      <c r="D285" t="s">
        <v>126</v>
      </c>
      <c r="E285">
        <v>3</v>
      </c>
      <c r="H285">
        <v>160</v>
      </c>
      <c r="I285" t="s">
        <v>121</v>
      </c>
      <c r="J285" t="s">
        <v>127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 t="shared" si="87"/>
        <v>22:10:33.000</v>
      </c>
      <c r="T285" t="str">
        <f t="shared" si="87"/>
        <v>22:10:33.000</v>
      </c>
      <c r="U285" t="str">
        <f t="shared" si="79"/>
        <v>A9D71F</v>
      </c>
      <c r="V285">
        <v>0</v>
      </c>
      <c r="W285">
        <v>0</v>
      </c>
      <c r="X285">
        <v>2</v>
      </c>
      <c r="Z285">
        <v>1</v>
      </c>
      <c r="AA285">
        <v>8</v>
      </c>
      <c r="AB285">
        <v>3</v>
      </c>
      <c r="AC285">
        <v>0</v>
      </c>
      <c r="AD285">
        <v>9</v>
      </c>
      <c r="AE285">
        <v>0</v>
      </c>
      <c r="AF285">
        <v>3</v>
      </c>
      <c r="AG285">
        <v>1</v>
      </c>
      <c r="AH285">
        <v>0</v>
      </c>
      <c r="AI285" t="s">
        <v>243</v>
      </c>
      <c r="AJ285">
        <v>33.188045000000002</v>
      </c>
      <c r="AK285" t="s">
        <v>244</v>
      </c>
      <c r="AL285">
        <v>-97.795013999999995</v>
      </c>
      <c r="AM285">
        <v>25</v>
      </c>
      <c r="AN285">
        <v>2200</v>
      </c>
      <c r="AO285" t="s">
        <v>118</v>
      </c>
      <c r="AP285">
        <v>90</v>
      </c>
      <c r="AQ285">
        <v>-2</v>
      </c>
      <c r="AR285">
        <v>960</v>
      </c>
      <c r="AZ285">
        <v>1200</v>
      </c>
      <c r="BA285">
        <v>1</v>
      </c>
      <c r="BB285" t="str">
        <f t="shared" si="86"/>
        <v xml:space="preserve">N733KP  </v>
      </c>
      <c r="BC285">
        <v>1</v>
      </c>
      <c r="BE285">
        <v>0</v>
      </c>
      <c r="BF285">
        <v>0</v>
      </c>
      <c r="BG285">
        <v>0</v>
      </c>
      <c r="BH285">
        <v>2175</v>
      </c>
      <c r="BI285">
        <v>1</v>
      </c>
      <c r="BJ285">
        <v>1</v>
      </c>
      <c r="BK285">
        <v>0</v>
      </c>
      <c r="BL285">
        <v>0</v>
      </c>
      <c r="BO285">
        <v>0</v>
      </c>
      <c r="BP285">
        <v>0</v>
      </c>
      <c r="BW285" t="str">
        <f>"22:10:33.585"</f>
        <v>22:10:33.585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364</v>
      </c>
      <c r="CR285">
        <v>0</v>
      </c>
      <c r="CW285">
        <v>1375169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"03/24/2022 22:10:34.583"</f>
        <v>03/24/2022 22:10:34.583</v>
      </c>
      <c r="C286" t="str">
        <f t="shared" si="84"/>
        <v>FFDFD3C0</v>
      </c>
      <c r="D286" t="s">
        <v>126</v>
      </c>
      <c r="E286">
        <v>3</v>
      </c>
      <c r="H286">
        <v>160</v>
      </c>
      <c r="I286" t="s">
        <v>121</v>
      </c>
      <c r="J286" t="s">
        <v>127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 t="shared" ref="S286:T289" si="88">"22:10:34.000"</f>
        <v>22:10:34.000</v>
      </c>
      <c r="T286" t="str">
        <f t="shared" si="88"/>
        <v>22:10:34.000</v>
      </c>
      <c r="U286" t="str">
        <f t="shared" si="79"/>
        <v>A9D71F</v>
      </c>
      <c r="V286">
        <v>0</v>
      </c>
      <c r="W286">
        <v>0</v>
      </c>
      <c r="X286">
        <v>2</v>
      </c>
      <c r="Z286">
        <v>1</v>
      </c>
      <c r="AA286">
        <v>8</v>
      </c>
      <c r="AB286">
        <v>3</v>
      </c>
      <c r="AC286">
        <v>0</v>
      </c>
      <c r="AD286">
        <v>9</v>
      </c>
      <c r="AE286">
        <v>0</v>
      </c>
      <c r="AF286">
        <v>3</v>
      </c>
      <c r="AG286">
        <v>1</v>
      </c>
      <c r="AH286">
        <v>0</v>
      </c>
      <c r="AI286" t="s">
        <v>245</v>
      </c>
      <c r="AJ286">
        <v>33.188023999999999</v>
      </c>
      <c r="AK286" t="s">
        <v>246</v>
      </c>
      <c r="AL286">
        <v>-97.794499000000002</v>
      </c>
      <c r="AM286">
        <v>25</v>
      </c>
      <c r="AN286">
        <v>2200</v>
      </c>
      <c r="AO286" t="s">
        <v>118</v>
      </c>
      <c r="AP286">
        <v>90</v>
      </c>
      <c r="AQ286">
        <v>-2</v>
      </c>
      <c r="AR286">
        <v>960</v>
      </c>
      <c r="AZ286">
        <v>1200</v>
      </c>
      <c r="BA286">
        <v>1</v>
      </c>
      <c r="BB286" t="str">
        <f t="shared" si="86"/>
        <v xml:space="preserve">N733KP  </v>
      </c>
      <c r="BC286">
        <v>1</v>
      </c>
      <c r="BE286">
        <v>0</v>
      </c>
      <c r="BF286">
        <v>0</v>
      </c>
      <c r="BG286">
        <v>0</v>
      </c>
      <c r="BH286">
        <v>2175</v>
      </c>
      <c r="BI286">
        <v>1</v>
      </c>
      <c r="BJ286">
        <v>1</v>
      </c>
      <c r="BK286">
        <v>0</v>
      </c>
      <c r="BL286">
        <v>0</v>
      </c>
      <c r="BO286">
        <v>0</v>
      </c>
      <c r="BP286">
        <v>0</v>
      </c>
      <c r="BW286" t="str">
        <f>"22:10:34.406"</f>
        <v>22:10:34.406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364</v>
      </c>
      <c r="CR286">
        <v>0</v>
      </c>
      <c r="CW286">
        <v>1375291</v>
      </c>
      <c r="CY286">
        <v>1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"03/24/2022 22:10:34.614"</f>
        <v>03/24/2022 22:10:34.614</v>
      </c>
      <c r="C287" t="str">
        <f t="shared" si="84"/>
        <v>FFDFD3C0</v>
      </c>
      <c r="D287" t="s">
        <v>113</v>
      </c>
      <c r="E287">
        <v>24</v>
      </c>
      <c r="F287">
        <v>2024</v>
      </c>
      <c r="G287" t="s">
        <v>114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 t="shared" si="88"/>
        <v>22:10:34.000</v>
      </c>
      <c r="T287" t="str">
        <f t="shared" si="88"/>
        <v>22:10:34.000</v>
      </c>
      <c r="U287" t="str">
        <f t="shared" si="79"/>
        <v>A9D71F</v>
      </c>
      <c r="V287">
        <v>0</v>
      </c>
      <c r="W287">
        <v>0</v>
      </c>
      <c r="X287">
        <v>2</v>
      </c>
      <c r="Z287">
        <v>1</v>
      </c>
      <c r="AA287">
        <v>8</v>
      </c>
      <c r="AB287">
        <v>3</v>
      </c>
      <c r="AC287">
        <v>0</v>
      </c>
      <c r="AD287">
        <v>9</v>
      </c>
      <c r="AE287">
        <v>0</v>
      </c>
      <c r="AF287">
        <v>3</v>
      </c>
      <c r="AG287">
        <v>1</v>
      </c>
      <c r="AH287">
        <v>0</v>
      </c>
      <c r="AI287" t="s">
        <v>245</v>
      </c>
      <c r="AJ287">
        <v>33.188023999999999</v>
      </c>
      <c r="AK287" t="s">
        <v>246</v>
      </c>
      <c r="AL287">
        <v>-97.794499000000002</v>
      </c>
      <c r="AM287">
        <v>25</v>
      </c>
      <c r="AN287">
        <v>2200</v>
      </c>
      <c r="AO287" t="s">
        <v>118</v>
      </c>
      <c r="AP287">
        <v>90</v>
      </c>
      <c r="AQ287">
        <v>-2</v>
      </c>
      <c r="AR287">
        <v>960</v>
      </c>
      <c r="AZ287">
        <v>1200</v>
      </c>
      <c r="BA287">
        <v>1</v>
      </c>
      <c r="BB287" t="str">
        <f t="shared" si="86"/>
        <v xml:space="preserve">N733KP  </v>
      </c>
      <c r="BC287">
        <v>1</v>
      </c>
      <c r="BE287">
        <v>0</v>
      </c>
      <c r="BF287">
        <v>0</v>
      </c>
      <c r="BG287">
        <v>0</v>
      </c>
      <c r="BH287">
        <v>2175</v>
      </c>
      <c r="BI287">
        <v>1</v>
      </c>
      <c r="BJ287">
        <v>1</v>
      </c>
      <c r="BK287">
        <v>0</v>
      </c>
      <c r="BL287">
        <v>0</v>
      </c>
      <c r="BO287">
        <v>0</v>
      </c>
      <c r="BP287">
        <v>0</v>
      </c>
      <c r="BW287" t="str">
        <f>"22:10:34.406"</f>
        <v>22:10:34.406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364</v>
      </c>
      <c r="CR287">
        <v>0</v>
      </c>
      <c r="CW287">
        <v>1375291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"03/24/2022 22:10:34.614"</f>
        <v>03/24/2022 22:10:34.614</v>
      </c>
      <c r="C288" t="str">
        <f t="shared" si="84"/>
        <v>FFDFD3C0</v>
      </c>
      <c r="D288" t="s">
        <v>123</v>
      </c>
      <c r="E288">
        <v>8</v>
      </c>
      <c r="H288">
        <v>31</v>
      </c>
      <c r="I288" t="s">
        <v>124</v>
      </c>
      <c r="J288" t="s">
        <v>125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 t="shared" si="88"/>
        <v>22:10:34.000</v>
      </c>
      <c r="T288" t="str">
        <f t="shared" si="88"/>
        <v>22:10:34.000</v>
      </c>
      <c r="U288" t="str">
        <f t="shared" si="79"/>
        <v>A9D71F</v>
      </c>
      <c r="V288">
        <v>0</v>
      </c>
      <c r="W288">
        <v>0</v>
      </c>
      <c r="X288">
        <v>2</v>
      </c>
      <c r="Z288">
        <v>1</v>
      </c>
      <c r="AA288">
        <v>8</v>
      </c>
      <c r="AB288">
        <v>3</v>
      </c>
      <c r="AC288">
        <v>0</v>
      </c>
      <c r="AD288">
        <v>9</v>
      </c>
      <c r="AE288">
        <v>0</v>
      </c>
      <c r="AF288">
        <v>3</v>
      </c>
      <c r="AG288">
        <v>1</v>
      </c>
      <c r="AH288">
        <v>0</v>
      </c>
      <c r="AI288" t="s">
        <v>245</v>
      </c>
      <c r="AJ288">
        <v>33.188023999999999</v>
      </c>
      <c r="AK288" t="s">
        <v>246</v>
      </c>
      <c r="AL288">
        <v>-97.794499000000002</v>
      </c>
      <c r="AM288">
        <v>25</v>
      </c>
      <c r="AN288">
        <v>2200</v>
      </c>
      <c r="AO288" t="s">
        <v>118</v>
      </c>
      <c r="AP288">
        <v>90</v>
      </c>
      <c r="AQ288">
        <v>-2</v>
      </c>
      <c r="AR288">
        <v>960</v>
      </c>
      <c r="AZ288">
        <v>1200</v>
      </c>
      <c r="BA288">
        <v>1</v>
      </c>
      <c r="BB288" t="str">
        <f t="shared" si="86"/>
        <v xml:space="preserve">N733KP  </v>
      </c>
      <c r="BC288">
        <v>1</v>
      </c>
      <c r="BE288">
        <v>0</v>
      </c>
      <c r="BF288">
        <v>0</v>
      </c>
      <c r="BG288">
        <v>0</v>
      </c>
      <c r="BH288">
        <v>2175</v>
      </c>
      <c r="BI288">
        <v>1</v>
      </c>
      <c r="BJ288">
        <v>1</v>
      </c>
      <c r="BK288">
        <v>0</v>
      </c>
      <c r="BL288">
        <v>0</v>
      </c>
      <c r="BO288">
        <v>0</v>
      </c>
      <c r="BP288">
        <v>0</v>
      </c>
      <c r="BW288" t="str">
        <f>"22:10:34.406"</f>
        <v>22:10:34.406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364</v>
      </c>
      <c r="CR288">
        <v>0</v>
      </c>
      <c r="CW288">
        <v>1375291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"03/24/2022 22:10:34.614"</f>
        <v>03/24/2022 22:10:34.614</v>
      </c>
      <c r="C289" t="str">
        <f t="shared" si="84"/>
        <v>FFDFD3C0</v>
      </c>
      <c r="D289" t="s">
        <v>120</v>
      </c>
      <c r="E289">
        <v>14</v>
      </c>
      <c r="F289">
        <v>1014</v>
      </c>
      <c r="G289" t="s">
        <v>121</v>
      </c>
      <c r="J289" t="s">
        <v>122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 t="shared" si="88"/>
        <v>22:10:34.000</v>
      </c>
      <c r="T289" t="str">
        <f t="shared" si="88"/>
        <v>22:10:34.000</v>
      </c>
      <c r="U289" t="str">
        <f t="shared" si="79"/>
        <v>A9D71F</v>
      </c>
      <c r="V289">
        <v>0</v>
      </c>
      <c r="W289">
        <v>0</v>
      </c>
      <c r="X289">
        <v>2</v>
      </c>
      <c r="Z289">
        <v>1</v>
      </c>
      <c r="AA289">
        <v>8</v>
      </c>
      <c r="AB289">
        <v>3</v>
      </c>
      <c r="AC289">
        <v>0</v>
      </c>
      <c r="AD289">
        <v>9</v>
      </c>
      <c r="AE289">
        <v>0</v>
      </c>
      <c r="AF289">
        <v>3</v>
      </c>
      <c r="AG289">
        <v>1</v>
      </c>
      <c r="AH289">
        <v>0</v>
      </c>
      <c r="AI289" t="s">
        <v>245</v>
      </c>
      <c r="AJ289">
        <v>33.188023999999999</v>
      </c>
      <c r="AK289" t="s">
        <v>246</v>
      </c>
      <c r="AL289">
        <v>-97.794499000000002</v>
      </c>
      <c r="AM289">
        <v>25</v>
      </c>
      <c r="AN289">
        <v>2200</v>
      </c>
      <c r="AO289" t="s">
        <v>118</v>
      </c>
      <c r="AP289">
        <v>90</v>
      </c>
      <c r="AQ289">
        <v>-2</v>
      </c>
      <c r="AR289">
        <v>960</v>
      </c>
      <c r="AZ289">
        <v>1200</v>
      </c>
      <c r="BA289">
        <v>1</v>
      </c>
      <c r="BB289" t="str">
        <f t="shared" si="86"/>
        <v xml:space="preserve">N733KP  </v>
      </c>
      <c r="BC289">
        <v>1</v>
      </c>
      <c r="BE289">
        <v>0</v>
      </c>
      <c r="BF289">
        <v>0</v>
      </c>
      <c r="BG289">
        <v>0</v>
      </c>
      <c r="BH289">
        <v>2175</v>
      </c>
      <c r="BI289">
        <v>1</v>
      </c>
      <c r="BJ289">
        <v>1</v>
      </c>
      <c r="BK289">
        <v>0</v>
      </c>
      <c r="BL289">
        <v>0</v>
      </c>
      <c r="BO289">
        <v>0</v>
      </c>
      <c r="BP289">
        <v>0</v>
      </c>
      <c r="BW289" t="str">
        <f>"22:10:34.406"</f>
        <v>22:10:34.406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364</v>
      </c>
      <c r="CR289">
        <v>0</v>
      </c>
      <c r="CW289">
        <v>1375291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"03/24/2022 22:10:35.474"</f>
        <v>03/24/2022 22:10:35.474</v>
      </c>
      <c r="C290" t="str">
        <f t="shared" si="84"/>
        <v>FFDFD3C0</v>
      </c>
      <c r="D290" t="s">
        <v>120</v>
      </c>
      <c r="E290">
        <v>14</v>
      </c>
      <c r="F290">
        <v>1014</v>
      </c>
      <c r="G290" t="s">
        <v>121</v>
      </c>
      <c r="J290" t="s">
        <v>122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 t="shared" ref="S290:T293" si="89">"22:10:35.000"</f>
        <v>22:10:35.000</v>
      </c>
      <c r="T290" t="str">
        <f t="shared" si="89"/>
        <v>22:10:35.000</v>
      </c>
      <c r="U290" t="str">
        <f t="shared" si="79"/>
        <v>A9D71F</v>
      </c>
      <c r="V290">
        <v>0</v>
      </c>
      <c r="W290">
        <v>0</v>
      </c>
      <c r="X290">
        <v>2</v>
      </c>
      <c r="Z290">
        <v>1</v>
      </c>
      <c r="AA290">
        <v>8</v>
      </c>
      <c r="AB290">
        <v>3</v>
      </c>
      <c r="AC290">
        <v>0</v>
      </c>
      <c r="AD290">
        <v>9</v>
      </c>
      <c r="AE290">
        <v>0</v>
      </c>
      <c r="AF290">
        <v>3</v>
      </c>
      <c r="AG290">
        <v>1</v>
      </c>
      <c r="AH290">
        <v>0</v>
      </c>
      <c r="AI290" t="s">
        <v>160</v>
      </c>
      <c r="AJ290">
        <v>33.188001999999997</v>
      </c>
      <c r="AK290" t="s">
        <v>247</v>
      </c>
      <c r="AL290">
        <v>-97.794005999999996</v>
      </c>
      <c r="AM290">
        <v>25</v>
      </c>
      <c r="AN290">
        <v>2200</v>
      </c>
      <c r="AO290" t="s">
        <v>118</v>
      </c>
      <c r="AP290">
        <v>91</v>
      </c>
      <c r="AQ290">
        <v>-2</v>
      </c>
      <c r="AR290">
        <v>896</v>
      </c>
      <c r="AZ290">
        <v>1200</v>
      </c>
      <c r="BA290">
        <v>1</v>
      </c>
      <c r="BB290" t="str">
        <f t="shared" si="86"/>
        <v xml:space="preserve">N733KP  </v>
      </c>
      <c r="BC290">
        <v>1</v>
      </c>
      <c r="BE290">
        <v>0</v>
      </c>
      <c r="BF290">
        <v>0</v>
      </c>
      <c r="BG290">
        <v>0</v>
      </c>
      <c r="BH290">
        <v>2175</v>
      </c>
      <c r="BI290">
        <v>1</v>
      </c>
      <c r="BJ290">
        <v>1</v>
      </c>
      <c r="BK290">
        <v>0</v>
      </c>
      <c r="BL290">
        <v>0</v>
      </c>
      <c r="BO290">
        <v>0</v>
      </c>
      <c r="BP290">
        <v>0</v>
      </c>
      <c r="BW290" t="str">
        <f>"22:10:35.335"</f>
        <v>22:10:35.335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364</v>
      </c>
      <c r="CR290">
        <v>0</v>
      </c>
      <c r="CW290">
        <v>1375408</v>
      </c>
      <c r="CY290">
        <v>1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"03/24/2022 22:10:35.521"</f>
        <v>03/24/2022 22:10:35.521</v>
      </c>
      <c r="C291" t="str">
        <f t="shared" si="84"/>
        <v>FFDFD3C0</v>
      </c>
      <c r="D291" t="s">
        <v>126</v>
      </c>
      <c r="E291">
        <v>3</v>
      </c>
      <c r="H291">
        <v>160</v>
      </c>
      <c r="I291" t="s">
        <v>121</v>
      </c>
      <c r="J291" t="s">
        <v>127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 t="shared" si="89"/>
        <v>22:10:35.000</v>
      </c>
      <c r="T291" t="str">
        <f t="shared" si="89"/>
        <v>22:10:35.000</v>
      </c>
      <c r="U291" t="str">
        <f t="shared" si="79"/>
        <v>A9D71F</v>
      </c>
      <c r="V291">
        <v>0</v>
      </c>
      <c r="W291">
        <v>0</v>
      </c>
      <c r="X291">
        <v>2</v>
      </c>
      <c r="Z291">
        <v>1</v>
      </c>
      <c r="AA291">
        <v>8</v>
      </c>
      <c r="AB291">
        <v>3</v>
      </c>
      <c r="AC291">
        <v>0</v>
      </c>
      <c r="AD291">
        <v>9</v>
      </c>
      <c r="AE291">
        <v>0</v>
      </c>
      <c r="AF291">
        <v>3</v>
      </c>
      <c r="AG291">
        <v>1</v>
      </c>
      <c r="AH291">
        <v>0</v>
      </c>
      <c r="AI291" t="s">
        <v>160</v>
      </c>
      <c r="AJ291">
        <v>33.188001999999997</v>
      </c>
      <c r="AK291" t="s">
        <v>247</v>
      </c>
      <c r="AL291">
        <v>-97.794005999999996</v>
      </c>
      <c r="AM291">
        <v>25</v>
      </c>
      <c r="AN291">
        <v>2200</v>
      </c>
      <c r="AO291" t="s">
        <v>118</v>
      </c>
      <c r="AP291">
        <v>91</v>
      </c>
      <c r="AQ291">
        <v>-2</v>
      </c>
      <c r="AR291">
        <v>896</v>
      </c>
      <c r="AZ291">
        <v>1200</v>
      </c>
      <c r="BA291">
        <v>1</v>
      </c>
      <c r="BB291" t="str">
        <f t="shared" si="86"/>
        <v xml:space="preserve">N733KP  </v>
      </c>
      <c r="BC291">
        <v>1</v>
      </c>
      <c r="BE291">
        <v>0</v>
      </c>
      <c r="BF291">
        <v>0</v>
      </c>
      <c r="BG291">
        <v>0</v>
      </c>
      <c r="BH291">
        <v>2175</v>
      </c>
      <c r="BI291">
        <v>1</v>
      </c>
      <c r="BJ291">
        <v>1</v>
      </c>
      <c r="BK291">
        <v>0</v>
      </c>
      <c r="BL291">
        <v>0</v>
      </c>
      <c r="BO291">
        <v>0</v>
      </c>
      <c r="BP291">
        <v>0</v>
      </c>
      <c r="BW291" t="str">
        <f>"22:10:35.335"</f>
        <v>22:10:35.335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364</v>
      </c>
      <c r="CR291">
        <v>0</v>
      </c>
      <c r="CW291">
        <v>1375408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"03/24/2022 22:10:35.521"</f>
        <v>03/24/2022 22:10:35.521</v>
      </c>
      <c r="C292" t="str">
        <f t="shared" si="84"/>
        <v>FFDFD3C0</v>
      </c>
      <c r="D292" t="s">
        <v>113</v>
      </c>
      <c r="E292">
        <v>24</v>
      </c>
      <c r="F292">
        <v>2024</v>
      </c>
      <c r="G292" t="s">
        <v>114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 t="shared" si="89"/>
        <v>22:10:35.000</v>
      </c>
      <c r="T292" t="str">
        <f t="shared" si="89"/>
        <v>22:10:35.000</v>
      </c>
      <c r="U292" t="str">
        <f t="shared" si="79"/>
        <v>A9D71F</v>
      </c>
      <c r="V292">
        <v>0</v>
      </c>
      <c r="W292">
        <v>0</v>
      </c>
      <c r="X292">
        <v>2</v>
      </c>
      <c r="Z292">
        <v>1</v>
      </c>
      <c r="AA292">
        <v>8</v>
      </c>
      <c r="AB292">
        <v>3</v>
      </c>
      <c r="AC292">
        <v>0</v>
      </c>
      <c r="AD292">
        <v>9</v>
      </c>
      <c r="AE292">
        <v>0</v>
      </c>
      <c r="AF292">
        <v>3</v>
      </c>
      <c r="AG292">
        <v>1</v>
      </c>
      <c r="AH292">
        <v>0</v>
      </c>
      <c r="AI292" t="s">
        <v>160</v>
      </c>
      <c r="AJ292">
        <v>33.188001999999997</v>
      </c>
      <c r="AK292" t="s">
        <v>247</v>
      </c>
      <c r="AL292">
        <v>-97.794005999999996</v>
      </c>
      <c r="AM292">
        <v>25</v>
      </c>
      <c r="AN292">
        <v>2200</v>
      </c>
      <c r="AO292" t="s">
        <v>118</v>
      </c>
      <c r="AP292">
        <v>91</v>
      </c>
      <c r="AQ292">
        <v>-2</v>
      </c>
      <c r="AR292">
        <v>896</v>
      </c>
      <c r="AZ292">
        <v>1200</v>
      </c>
      <c r="BA292">
        <v>1</v>
      </c>
      <c r="BB292" t="str">
        <f t="shared" si="86"/>
        <v xml:space="preserve">N733KP  </v>
      </c>
      <c r="BC292">
        <v>1</v>
      </c>
      <c r="BE292">
        <v>0</v>
      </c>
      <c r="BF292">
        <v>0</v>
      </c>
      <c r="BG292">
        <v>0</v>
      </c>
      <c r="BH292">
        <v>2175</v>
      </c>
      <c r="BI292">
        <v>1</v>
      </c>
      <c r="BJ292">
        <v>1</v>
      </c>
      <c r="BK292">
        <v>0</v>
      </c>
      <c r="BL292">
        <v>0</v>
      </c>
      <c r="BO292">
        <v>0</v>
      </c>
      <c r="BP292">
        <v>0</v>
      </c>
      <c r="BW292" t="str">
        <f>"22:10:35.335"</f>
        <v>22:10:35.335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364</v>
      </c>
      <c r="CR292">
        <v>0</v>
      </c>
      <c r="CW292">
        <v>1375408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"03/24/2022 22:10:35.521"</f>
        <v>03/24/2022 22:10:35.521</v>
      </c>
      <c r="C293" t="str">
        <f t="shared" si="84"/>
        <v>FFDFD3C0</v>
      </c>
      <c r="D293" t="s">
        <v>123</v>
      </c>
      <c r="E293">
        <v>8</v>
      </c>
      <c r="H293">
        <v>31</v>
      </c>
      <c r="I293" t="s">
        <v>124</v>
      </c>
      <c r="J293" t="s">
        <v>125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 t="shared" si="89"/>
        <v>22:10:35.000</v>
      </c>
      <c r="T293" t="str">
        <f t="shared" si="89"/>
        <v>22:10:35.000</v>
      </c>
      <c r="U293" t="str">
        <f t="shared" si="79"/>
        <v>A9D71F</v>
      </c>
      <c r="V293">
        <v>0</v>
      </c>
      <c r="W293">
        <v>0</v>
      </c>
      <c r="X293">
        <v>2</v>
      </c>
      <c r="Z293">
        <v>1</v>
      </c>
      <c r="AA293">
        <v>8</v>
      </c>
      <c r="AB293">
        <v>3</v>
      </c>
      <c r="AC293">
        <v>0</v>
      </c>
      <c r="AD293">
        <v>9</v>
      </c>
      <c r="AE293">
        <v>0</v>
      </c>
      <c r="AF293">
        <v>3</v>
      </c>
      <c r="AG293">
        <v>1</v>
      </c>
      <c r="AH293">
        <v>0</v>
      </c>
      <c r="AI293" t="s">
        <v>160</v>
      </c>
      <c r="AJ293">
        <v>33.188001999999997</v>
      </c>
      <c r="AK293" t="s">
        <v>247</v>
      </c>
      <c r="AL293">
        <v>-97.794005999999996</v>
      </c>
      <c r="AM293">
        <v>25</v>
      </c>
      <c r="AN293">
        <v>2200</v>
      </c>
      <c r="AO293" t="s">
        <v>118</v>
      </c>
      <c r="AP293">
        <v>91</v>
      </c>
      <c r="AQ293">
        <v>-2</v>
      </c>
      <c r="AR293">
        <v>896</v>
      </c>
      <c r="AZ293">
        <v>1200</v>
      </c>
      <c r="BA293">
        <v>1</v>
      </c>
      <c r="BB293" t="str">
        <f t="shared" si="86"/>
        <v xml:space="preserve">N733KP  </v>
      </c>
      <c r="BC293">
        <v>1</v>
      </c>
      <c r="BE293">
        <v>0</v>
      </c>
      <c r="BF293">
        <v>0</v>
      </c>
      <c r="BG293">
        <v>0</v>
      </c>
      <c r="BH293">
        <v>2175</v>
      </c>
      <c r="BI293">
        <v>1</v>
      </c>
      <c r="BJ293">
        <v>1</v>
      </c>
      <c r="BK293">
        <v>0</v>
      </c>
      <c r="BL293">
        <v>0</v>
      </c>
      <c r="BO293">
        <v>0</v>
      </c>
      <c r="BP293">
        <v>0</v>
      </c>
      <c r="BW293" t="str">
        <f>"22:10:35.335"</f>
        <v>22:10:35.335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364</v>
      </c>
      <c r="CR293">
        <v>0</v>
      </c>
      <c r="CW293">
        <v>1375408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"03/24/2022 22:10:37.006"</f>
        <v>03/24/2022 22:10:37.006</v>
      </c>
      <c r="C294" t="str">
        <f t="shared" si="84"/>
        <v>FFDFD3C0</v>
      </c>
      <c r="D294" t="s">
        <v>113</v>
      </c>
      <c r="E294">
        <v>24</v>
      </c>
      <c r="F294">
        <v>2024</v>
      </c>
      <c r="G294" t="s">
        <v>114</v>
      </c>
      <c r="J294" t="s">
        <v>115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 t="shared" ref="S294:T297" si="90">"22:10:36.000"</f>
        <v>22:10:36.000</v>
      </c>
      <c r="T294" t="str">
        <f t="shared" si="90"/>
        <v>22:10:36.000</v>
      </c>
      <c r="U294" t="str">
        <f t="shared" si="79"/>
        <v>A9D71F</v>
      </c>
      <c r="V294">
        <v>0</v>
      </c>
      <c r="W294">
        <v>0</v>
      </c>
      <c r="X294">
        <v>2</v>
      </c>
      <c r="Z294">
        <v>1</v>
      </c>
      <c r="AA294">
        <v>8</v>
      </c>
      <c r="AB294">
        <v>3</v>
      </c>
      <c r="AC294">
        <v>0</v>
      </c>
      <c r="AD294">
        <v>9</v>
      </c>
      <c r="AE294">
        <v>0</v>
      </c>
      <c r="AF294">
        <v>3</v>
      </c>
      <c r="AG294">
        <v>1</v>
      </c>
      <c r="AH294">
        <v>0</v>
      </c>
      <c r="AI294" t="s">
        <v>160</v>
      </c>
      <c r="AJ294">
        <v>33.188001999999997</v>
      </c>
      <c r="AK294" t="s">
        <v>248</v>
      </c>
      <c r="AL294">
        <v>-97.793491000000003</v>
      </c>
      <c r="AM294">
        <v>25</v>
      </c>
      <c r="AN294">
        <v>2200</v>
      </c>
      <c r="AO294" t="s">
        <v>118</v>
      </c>
      <c r="AP294">
        <v>91</v>
      </c>
      <c r="AQ294">
        <v>-2</v>
      </c>
      <c r="AR294">
        <v>832</v>
      </c>
      <c r="AZ294">
        <v>1200</v>
      </c>
      <c r="BA294">
        <v>1</v>
      </c>
      <c r="BB294" t="str">
        <f t="shared" si="86"/>
        <v xml:space="preserve">N733KP  </v>
      </c>
      <c r="BC294">
        <v>1</v>
      </c>
      <c r="BE294">
        <v>0</v>
      </c>
      <c r="BF294">
        <v>0</v>
      </c>
      <c r="BG294">
        <v>0</v>
      </c>
      <c r="BH294">
        <v>2175</v>
      </c>
      <c r="BI294">
        <v>1</v>
      </c>
      <c r="BJ294">
        <v>1</v>
      </c>
      <c r="BK294">
        <v>0</v>
      </c>
      <c r="BL294">
        <v>0</v>
      </c>
      <c r="BO294">
        <v>0</v>
      </c>
      <c r="BP294">
        <v>0</v>
      </c>
      <c r="BW294" t="str">
        <f>"22:10:36.755"</f>
        <v>22:10:36.755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364</v>
      </c>
      <c r="CR294">
        <v>0</v>
      </c>
      <c r="CW294">
        <v>1375612</v>
      </c>
      <c r="CY294">
        <v>1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"03/24/2022 22:10:37.006"</f>
        <v>03/24/2022 22:10:37.006</v>
      </c>
      <c r="C295" t="str">
        <f t="shared" si="84"/>
        <v>FFDFD3C0</v>
      </c>
      <c r="D295" t="s">
        <v>123</v>
      </c>
      <c r="E295">
        <v>8</v>
      </c>
      <c r="H295">
        <v>31</v>
      </c>
      <c r="I295" t="s">
        <v>124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 t="shared" si="90"/>
        <v>22:10:36.000</v>
      </c>
      <c r="T295" t="str">
        <f t="shared" si="90"/>
        <v>22:10:36.000</v>
      </c>
      <c r="U295" t="str">
        <f t="shared" si="79"/>
        <v>A9D71F</v>
      </c>
      <c r="V295">
        <v>0</v>
      </c>
      <c r="W295">
        <v>0</v>
      </c>
      <c r="X295">
        <v>2</v>
      </c>
      <c r="Z295">
        <v>1</v>
      </c>
      <c r="AA295">
        <v>8</v>
      </c>
      <c r="AB295">
        <v>3</v>
      </c>
      <c r="AC295">
        <v>0</v>
      </c>
      <c r="AD295">
        <v>9</v>
      </c>
      <c r="AE295">
        <v>0</v>
      </c>
      <c r="AF295">
        <v>3</v>
      </c>
      <c r="AG295">
        <v>1</v>
      </c>
      <c r="AH295">
        <v>0</v>
      </c>
      <c r="AI295" t="s">
        <v>160</v>
      </c>
      <c r="AJ295">
        <v>33.188001999999997</v>
      </c>
      <c r="AK295" t="s">
        <v>248</v>
      </c>
      <c r="AL295">
        <v>-97.793491000000003</v>
      </c>
      <c r="AM295">
        <v>25</v>
      </c>
      <c r="AN295">
        <v>2200</v>
      </c>
      <c r="AO295" t="s">
        <v>118</v>
      </c>
      <c r="AP295">
        <v>91</v>
      </c>
      <c r="AQ295">
        <v>-2</v>
      </c>
      <c r="AR295">
        <v>832</v>
      </c>
      <c r="AZ295">
        <v>1200</v>
      </c>
      <c r="BA295">
        <v>1</v>
      </c>
      <c r="BB295" t="str">
        <f t="shared" si="86"/>
        <v xml:space="preserve">N733KP  </v>
      </c>
      <c r="BC295">
        <v>1</v>
      </c>
      <c r="BE295">
        <v>0</v>
      </c>
      <c r="BF295">
        <v>0</v>
      </c>
      <c r="BG295">
        <v>0</v>
      </c>
      <c r="BH295">
        <v>2175</v>
      </c>
      <c r="BI295">
        <v>1</v>
      </c>
      <c r="BJ295">
        <v>1</v>
      </c>
      <c r="BK295">
        <v>0</v>
      </c>
      <c r="BL295">
        <v>0</v>
      </c>
      <c r="BO295">
        <v>0</v>
      </c>
      <c r="BP295">
        <v>0</v>
      </c>
      <c r="BW295" t="str">
        <f>"22:10:36.755"</f>
        <v>22:10:36.755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364</v>
      </c>
      <c r="CR295">
        <v>0</v>
      </c>
      <c r="CW295">
        <v>1375612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"03/24/2022 22:10:37.006"</f>
        <v>03/24/2022 22:10:37.006</v>
      </c>
      <c r="C296" t="str">
        <f t="shared" si="84"/>
        <v>FFDFD3C0</v>
      </c>
      <c r="D296" t="s">
        <v>120</v>
      </c>
      <c r="E296">
        <v>14</v>
      </c>
      <c r="F296">
        <v>1014</v>
      </c>
      <c r="G296" t="s">
        <v>121</v>
      </c>
      <c r="J296" t="s">
        <v>122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 t="shared" si="90"/>
        <v>22:10:36.000</v>
      </c>
      <c r="T296" t="str">
        <f t="shared" si="90"/>
        <v>22:10:36.000</v>
      </c>
      <c r="U296" t="str">
        <f t="shared" si="79"/>
        <v>A9D71F</v>
      </c>
      <c r="V296">
        <v>0</v>
      </c>
      <c r="W296">
        <v>0</v>
      </c>
      <c r="X296">
        <v>2</v>
      </c>
      <c r="Z296">
        <v>1</v>
      </c>
      <c r="AA296">
        <v>8</v>
      </c>
      <c r="AB296">
        <v>3</v>
      </c>
      <c r="AC296">
        <v>0</v>
      </c>
      <c r="AD296">
        <v>9</v>
      </c>
      <c r="AE296">
        <v>0</v>
      </c>
      <c r="AF296">
        <v>3</v>
      </c>
      <c r="AG296">
        <v>1</v>
      </c>
      <c r="AH296">
        <v>0</v>
      </c>
      <c r="AI296" t="s">
        <v>160</v>
      </c>
      <c r="AJ296">
        <v>33.188001999999997</v>
      </c>
      <c r="AK296" t="s">
        <v>248</v>
      </c>
      <c r="AL296">
        <v>-97.793491000000003</v>
      </c>
      <c r="AM296">
        <v>25</v>
      </c>
      <c r="AN296">
        <v>2200</v>
      </c>
      <c r="AO296" t="s">
        <v>118</v>
      </c>
      <c r="AP296">
        <v>91</v>
      </c>
      <c r="AQ296">
        <v>-2</v>
      </c>
      <c r="AR296">
        <v>832</v>
      </c>
      <c r="AZ296">
        <v>1200</v>
      </c>
      <c r="BA296">
        <v>1</v>
      </c>
      <c r="BB296" t="str">
        <f t="shared" si="86"/>
        <v xml:space="preserve">N733KP  </v>
      </c>
      <c r="BC296">
        <v>1</v>
      </c>
      <c r="BE296">
        <v>0</v>
      </c>
      <c r="BF296">
        <v>0</v>
      </c>
      <c r="BG296">
        <v>0</v>
      </c>
      <c r="BH296">
        <v>2175</v>
      </c>
      <c r="BI296">
        <v>1</v>
      </c>
      <c r="BJ296">
        <v>1</v>
      </c>
      <c r="BK296">
        <v>0</v>
      </c>
      <c r="BL296">
        <v>0</v>
      </c>
      <c r="BO296">
        <v>0</v>
      </c>
      <c r="BP296">
        <v>0</v>
      </c>
      <c r="BW296" t="str">
        <f>"22:10:36.755"</f>
        <v>22:10:36.755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364</v>
      </c>
      <c r="CR296">
        <v>0</v>
      </c>
      <c r="CW296">
        <v>1375612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"03/24/2022 22:10:37.006"</f>
        <v>03/24/2022 22:10:37.006</v>
      </c>
      <c r="C297" t="str">
        <f t="shared" si="84"/>
        <v>FFDFD3C0</v>
      </c>
      <c r="D297" t="s">
        <v>126</v>
      </c>
      <c r="E297">
        <v>3</v>
      </c>
      <c r="H297">
        <v>160</v>
      </c>
      <c r="I297" t="s">
        <v>121</v>
      </c>
      <c r="J297" t="s">
        <v>127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 t="shared" si="90"/>
        <v>22:10:36.000</v>
      </c>
      <c r="T297" t="str">
        <f t="shared" si="90"/>
        <v>22:10:36.000</v>
      </c>
      <c r="U297" t="str">
        <f t="shared" si="79"/>
        <v>A9D71F</v>
      </c>
      <c r="V297">
        <v>0</v>
      </c>
      <c r="W297">
        <v>0</v>
      </c>
      <c r="X297">
        <v>2</v>
      </c>
      <c r="Z297">
        <v>1</v>
      </c>
      <c r="AA297">
        <v>8</v>
      </c>
      <c r="AB297">
        <v>3</v>
      </c>
      <c r="AC297">
        <v>0</v>
      </c>
      <c r="AD297">
        <v>9</v>
      </c>
      <c r="AE297">
        <v>0</v>
      </c>
      <c r="AF297">
        <v>3</v>
      </c>
      <c r="AG297">
        <v>1</v>
      </c>
      <c r="AH297">
        <v>0</v>
      </c>
      <c r="AI297" t="s">
        <v>160</v>
      </c>
      <c r="AJ297">
        <v>33.188001999999997</v>
      </c>
      <c r="AK297" t="s">
        <v>248</v>
      </c>
      <c r="AL297">
        <v>-97.793491000000003</v>
      </c>
      <c r="AM297">
        <v>25</v>
      </c>
      <c r="AN297">
        <v>2200</v>
      </c>
      <c r="AO297" t="s">
        <v>118</v>
      </c>
      <c r="AP297">
        <v>91</v>
      </c>
      <c r="AQ297">
        <v>-2</v>
      </c>
      <c r="AR297">
        <v>832</v>
      </c>
      <c r="AZ297">
        <v>1200</v>
      </c>
      <c r="BA297">
        <v>1</v>
      </c>
      <c r="BB297" t="str">
        <f t="shared" si="86"/>
        <v xml:space="preserve">N733KP  </v>
      </c>
      <c r="BC297">
        <v>1</v>
      </c>
      <c r="BE297">
        <v>0</v>
      </c>
      <c r="BF297">
        <v>0</v>
      </c>
      <c r="BG297">
        <v>0</v>
      </c>
      <c r="BH297">
        <v>2175</v>
      </c>
      <c r="BI297">
        <v>1</v>
      </c>
      <c r="BJ297">
        <v>1</v>
      </c>
      <c r="BK297">
        <v>0</v>
      </c>
      <c r="BL297">
        <v>0</v>
      </c>
      <c r="BO297">
        <v>0</v>
      </c>
      <c r="BP297">
        <v>0</v>
      </c>
      <c r="BW297" t="str">
        <f>"22:10:36.755"</f>
        <v>22:10:36.755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364</v>
      </c>
      <c r="CR297">
        <v>0</v>
      </c>
      <c r="CW297">
        <v>1375612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"03/24/2022 22:10:38.100"</f>
        <v>03/24/2022 22:10:38.100</v>
      </c>
      <c r="C298" t="str">
        <f t="shared" si="84"/>
        <v>FFDFD3C0</v>
      </c>
      <c r="D298" t="s">
        <v>113</v>
      </c>
      <c r="E298">
        <v>24</v>
      </c>
      <c r="F298">
        <v>2024</v>
      </c>
      <c r="G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 t="shared" ref="S298:T301" si="91">"22:10:37.000"</f>
        <v>22:10:37.000</v>
      </c>
      <c r="T298" t="str">
        <f t="shared" si="91"/>
        <v>22:10:37.000</v>
      </c>
      <c r="U298" t="str">
        <f t="shared" si="79"/>
        <v>A9D71F</v>
      </c>
      <c r="V298">
        <v>0</v>
      </c>
      <c r="W298">
        <v>0</v>
      </c>
      <c r="X298">
        <v>2</v>
      </c>
      <c r="Z298">
        <v>1</v>
      </c>
      <c r="AA298">
        <v>8</v>
      </c>
      <c r="AB298">
        <v>3</v>
      </c>
      <c r="AC298">
        <v>0</v>
      </c>
      <c r="AD298">
        <v>9</v>
      </c>
      <c r="AE298">
        <v>0</v>
      </c>
      <c r="AF298">
        <v>3</v>
      </c>
      <c r="AG298">
        <v>1</v>
      </c>
      <c r="AH298">
        <v>0</v>
      </c>
      <c r="AI298" t="s">
        <v>249</v>
      </c>
      <c r="AJ298">
        <v>33.187958999999999</v>
      </c>
      <c r="AK298" t="s">
        <v>250</v>
      </c>
      <c r="AL298">
        <v>-97.792975999999996</v>
      </c>
      <c r="AM298">
        <v>25</v>
      </c>
      <c r="AN298">
        <v>2300</v>
      </c>
      <c r="AO298" t="s">
        <v>118</v>
      </c>
      <c r="AP298">
        <v>90</v>
      </c>
      <c r="AQ298">
        <v>0</v>
      </c>
      <c r="AR298">
        <v>832</v>
      </c>
      <c r="AZ298">
        <v>1200</v>
      </c>
      <c r="BA298">
        <v>1</v>
      </c>
      <c r="BB298" t="str">
        <f t="shared" si="86"/>
        <v xml:space="preserve">N733KP  </v>
      </c>
      <c r="BC298">
        <v>1</v>
      </c>
      <c r="BE298">
        <v>0</v>
      </c>
      <c r="BF298">
        <v>0</v>
      </c>
      <c r="BG298">
        <v>0</v>
      </c>
      <c r="BH298">
        <v>2175</v>
      </c>
      <c r="BI298">
        <v>1</v>
      </c>
      <c r="BJ298">
        <v>1</v>
      </c>
      <c r="BK298">
        <v>0</v>
      </c>
      <c r="BL298">
        <v>0</v>
      </c>
      <c r="BO298">
        <v>0</v>
      </c>
      <c r="BP298">
        <v>0</v>
      </c>
      <c r="BW298" t="str">
        <f>"22:10:37.896"</f>
        <v>22:10:37.896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6</v>
      </c>
      <c r="CP298" t="s">
        <v>119</v>
      </c>
      <c r="CQ298">
        <v>364</v>
      </c>
      <c r="CR298">
        <v>0</v>
      </c>
      <c r="CW298">
        <v>1375759</v>
      </c>
      <c r="CY298">
        <v>1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"03/24/2022 22:10:38.100"</f>
        <v>03/24/2022 22:10:38.100</v>
      </c>
      <c r="C299" t="str">
        <f t="shared" si="84"/>
        <v>FFDFD3C0</v>
      </c>
      <c r="D299" t="s">
        <v>123</v>
      </c>
      <c r="E299">
        <v>8</v>
      </c>
      <c r="H299">
        <v>31</v>
      </c>
      <c r="I299" t="s">
        <v>124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 t="shared" si="91"/>
        <v>22:10:37.000</v>
      </c>
      <c r="T299" t="str">
        <f t="shared" si="91"/>
        <v>22:10:37.000</v>
      </c>
      <c r="U299" t="str">
        <f t="shared" si="79"/>
        <v>A9D71F</v>
      </c>
      <c r="V299">
        <v>0</v>
      </c>
      <c r="W299">
        <v>0</v>
      </c>
      <c r="X299">
        <v>2</v>
      </c>
      <c r="Z299">
        <v>1</v>
      </c>
      <c r="AA299">
        <v>8</v>
      </c>
      <c r="AB299">
        <v>3</v>
      </c>
      <c r="AC299">
        <v>0</v>
      </c>
      <c r="AD299">
        <v>9</v>
      </c>
      <c r="AE299">
        <v>0</v>
      </c>
      <c r="AF299">
        <v>3</v>
      </c>
      <c r="AG299">
        <v>1</v>
      </c>
      <c r="AH299">
        <v>0</v>
      </c>
      <c r="AI299" t="s">
        <v>249</v>
      </c>
      <c r="AJ299">
        <v>33.187958999999999</v>
      </c>
      <c r="AK299" t="s">
        <v>250</v>
      </c>
      <c r="AL299">
        <v>-97.792975999999996</v>
      </c>
      <c r="AM299">
        <v>25</v>
      </c>
      <c r="AN299">
        <v>2300</v>
      </c>
      <c r="AO299" t="s">
        <v>118</v>
      </c>
      <c r="AP299">
        <v>90</v>
      </c>
      <c r="AQ299">
        <v>0</v>
      </c>
      <c r="AR299">
        <v>832</v>
      </c>
      <c r="AZ299">
        <v>1200</v>
      </c>
      <c r="BA299">
        <v>1</v>
      </c>
      <c r="BB299" t="str">
        <f t="shared" si="86"/>
        <v xml:space="preserve">N733KP  </v>
      </c>
      <c r="BC299">
        <v>1</v>
      </c>
      <c r="BE299">
        <v>0</v>
      </c>
      <c r="BF299">
        <v>0</v>
      </c>
      <c r="BG299">
        <v>0</v>
      </c>
      <c r="BH299">
        <v>2175</v>
      </c>
      <c r="BI299">
        <v>1</v>
      </c>
      <c r="BJ299">
        <v>1</v>
      </c>
      <c r="BK299">
        <v>0</v>
      </c>
      <c r="BL299">
        <v>0</v>
      </c>
      <c r="BO299">
        <v>0</v>
      </c>
      <c r="BP299">
        <v>0</v>
      </c>
      <c r="BW299" t="str">
        <f>"22:10:37.896"</f>
        <v>22:10:37.896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6</v>
      </c>
      <c r="CP299" t="s">
        <v>119</v>
      </c>
      <c r="CQ299">
        <v>364</v>
      </c>
      <c r="CR299">
        <v>0</v>
      </c>
      <c r="CW299">
        <v>1375759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"03/24/2022 22:10:38.116"</f>
        <v>03/24/2022 22:10:38.116</v>
      </c>
      <c r="C300" t="str">
        <f t="shared" si="84"/>
        <v>FFDFD3C0</v>
      </c>
      <c r="D300" t="s">
        <v>120</v>
      </c>
      <c r="E300">
        <v>14</v>
      </c>
      <c r="F300">
        <v>1014</v>
      </c>
      <c r="G300" t="s">
        <v>121</v>
      </c>
      <c r="J300" t="s">
        <v>122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 t="shared" si="91"/>
        <v>22:10:37.000</v>
      </c>
      <c r="T300" t="str">
        <f t="shared" si="91"/>
        <v>22:10:37.000</v>
      </c>
      <c r="U300" t="str">
        <f t="shared" si="79"/>
        <v>A9D71F</v>
      </c>
      <c r="V300">
        <v>0</v>
      </c>
      <c r="W300">
        <v>0</v>
      </c>
      <c r="X300">
        <v>2</v>
      </c>
      <c r="Z300">
        <v>1</v>
      </c>
      <c r="AA300">
        <v>8</v>
      </c>
      <c r="AB300">
        <v>3</v>
      </c>
      <c r="AC300">
        <v>0</v>
      </c>
      <c r="AD300">
        <v>9</v>
      </c>
      <c r="AE300">
        <v>0</v>
      </c>
      <c r="AF300">
        <v>3</v>
      </c>
      <c r="AG300">
        <v>1</v>
      </c>
      <c r="AH300">
        <v>0</v>
      </c>
      <c r="AI300" t="s">
        <v>249</v>
      </c>
      <c r="AJ300">
        <v>33.187958999999999</v>
      </c>
      <c r="AK300" t="s">
        <v>250</v>
      </c>
      <c r="AL300">
        <v>-97.792975999999996</v>
      </c>
      <c r="AM300">
        <v>25</v>
      </c>
      <c r="AN300">
        <v>2300</v>
      </c>
      <c r="AO300" t="s">
        <v>118</v>
      </c>
      <c r="AP300">
        <v>90</v>
      </c>
      <c r="AQ300">
        <v>0</v>
      </c>
      <c r="AR300">
        <v>832</v>
      </c>
      <c r="AZ300">
        <v>1200</v>
      </c>
      <c r="BA300">
        <v>1</v>
      </c>
      <c r="BB300" t="str">
        <f t="shared" si="86"/>
        <v xml:space="preserve">N733KP  </v>
      </c>
      <c r="BC300">
        <v>1</v>
      </c>
      <c r="BE300">
        <v>0</v>
      </c>
      <c r="BF300">
        <v>0</v>
      </c>
      <c r="BG300">
        <v>0</v>
      </c>
      <c r="BH300">
        <v>2175</v>
      </c>
      <c r="BI300">
        <v>1</v>
      </c>
      <c r="BJ300">
        <v>1</v>
      </c>
      <c r="BK300">
        <v>0</v>
      </c>
      <c r="BL300">
        <v>0</v>
      </c>
      <c r="BO300">
        <v>0</v>
      </c>
      <c r="BP300">
        <v>0</v>
      </c>
      <c r="BW300" t="str">
        <f>"22:10:37.896"</f>
        <v>22:10:37.896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6</v>
      </c>
      <c r="CP300" t="s">
        <v>119</v>
      </c>
      <c r="CQ300">
        <v>364</v>
      </c>
      <c r="CR300">
        <v>0</v>
      </c>
      <c r="CW300">
        <v>1375759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"03/24/2022 22:10:38.116"</f>
        <v>03/24/2022 22:10:38.116</v>
      </c>
      <c r="C301" t="str">
        <f t="shared" si="84"/>
        <v>FFDFD3C0</v>
      </c>
      <c r="D301" t="s">
        <v>126</v>
      </c>
      <c r="E301">
        <v>3</v>
      </c>
      <c r="H301">
        <v>160</v>
      </c>
      <c r="I301" t="s">
        <v>121</v>
      </c>
      <c r="J301" t="s">
        <v>127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 t="shared" si="91"/>
        <v>22:10:37.000</v>
      </c>
      <c r="T301" t="str">
        <f t="shared" si="91"/>
        <v>22:10:37.000</v>
      </c>
      <c r="U301" t="str">
        <f t="shared" si="79"/>
        <v>A9D71F</v>
      </c>
      <c r="V301">
        <v>0</v>
      </c>
      <c r="W301">
        <v>0</v>
      </c>
      <c r="X301">
        <v>2</v>
      </c>
      <c r="Z301">
        <v>1</v>
      </c>
      <c r="AA301">
        <v>8</v>
      </c>
      <c r="AB301">
        <v>3</v>
      </c>
      <c r="AC301">
        <v>0</v>
      </c>
      <c r="AD301">
        <v>9</v>
      </c>
      <c r="AE301">
        <v>0</v>
      </c>
      <c r="AF301">
        <v>3</v>
      </c>
      <c r="AG301">
        <v>1</v>
      </c>
      <c r="AH301">
        <v>0</v>
      </c>
      <c r="AI301" t="s">
        <v>249</v>
      </c>
      <c r="AJ301">
        <v>33.187958999999999</v>
      </c>
      <c r="AK301" t="s">
        <v>250</v>
      </c>
      <c r="AL301">
        <v>-97.792975999999996</v>
      </c>
      <c r="AM301">
        <v>25</v>
      </c>
      <c r="AN301">
        <v>2300</v>
      </c>
      <c r="AO301" t="s">
        <v>118</v>
      </c>
      <c r="AP301">
        <v>90</v>
      </c>
      <c r="AQ301">
        <v>0</v>
      </c>
      <c r="AR301">
        <v>832</v>
      </c>
      <c r="AZ301">
        <v>1200</v>
      </c>
      <c r="BA301">
        <v>1</v>
      </c>
      <c r="BB301" t="str">
        <f t="shared" si="86"/>
        <v xml:space="preserve">N733KP  </v>
      </c>
      <c r="BC301">
        <v>1</v>
      </c>
      <c r="BE301">
        <v>0</v>
      </c>
      <c r="BF301">
        <v>0</v>
      </c>
      <c r="BG301">
        <v>0</v>
      </c>
      <c r="BH301">
        <v>2175</v>
      </c>
      <c r="BI301">
        <v>1</v>
      </c>
      <c r="BJ301">
        <v>1</v>
      </c>
      <c r="BK301">
        <v>0</v>
      </c>
      <c r="BL301">
        <v>0</v>
      </c>
      <c r="BO301">
        <v>0</v>
      </c>
      <c r="BP301">
        <v>0</v>
      </c>
      <c r="BW301" t="str">
        <f>"22:10:37.896"</f>
        <v>22:10:37.896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6</v>
      </c>
      <c r="CP301" t="s">
        <v>119</v>
      </c>
      <c r="CQ301">
        <v>364</v>
      </c>
      <c r="CR301">
        <v>0</v>
      </c>
      <c r="CW301">
        <v>1375759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"03/24/2022 22:10:38.680"</f>
        <v>03/24/2022 22:10:38.680</v>
      </c>
      <c r="C302" t="str">
        <f t="shared" si="84"/>
        <v>FFDFD3C0</v>
      </c>
      <c r="D302" t="s">
        <v>126</v>
      </c>
      <c r="E302">
        <v>3</v>
      </c>
      <c r="H302">
        <v>160</v>
      </c>
      <c r="I302" t="s">
        <v>121</v>
      </c>
      <c r="J302" t="s">
        <v>127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 t="shared" ref="S302:T305" si="92">"22:10:38.000"</f>
        <v>22:10:38.000</v>
      </c>
      <c r="T302" t="str">
        <f t="shared" si="92"/>
        <v>22:10:38.000</v>
      </c>
      <c r="U302" t="str">
        <f t="shared" si="79"/>
        <v>A9D71F</v>
      </c>
      <c r="V302">
        <v>0</v>
      </c>
      <c r="W302">
        <v>0</v>
      </c>
      <c r="X302">
        <v>2</v>
      </c>
      <c r="Z302">
        <v>1</v>
      </c>
      <c r="AA302">
        <v>8</v>
      </c>
      <c r="AB302">
        <v>3</v>
      </c>
      <c r="AC302">
        <v>0</v>
      </c>
      <c r="AD302">
        <v>9</v>
      </c>
      <c r="AE302">
        <v>0</v>
      </c>
      <c r="AF302">
        <v>3</v>
      </c>
      <c r="AG302">
        <v>1</v>
      </c>
      <c r="AH302">
        <v>0</v>
      </c>
      <c r="AI302" t="s">
        <v>251</v>
      </c>
      <c r="AJ302">
        <v>33.187938000000003</v>
      </c>
      <c r="AK302" t="s">
        <v>252</v>
      </c>
      <c r="AL302">
        <v>-97.792482000000007</v>
      </c>
      <c r="AM302">
        <v>25</v>
      </c>
      <c r="AN302">
        <v>2300</v>
      </c>
      <c r="AO302" t="s">
        <v>118</v>
      </c>
      <c r="AP302">
        <v>90</v>
      </c>
      <c r="AQ302">
        <v>0</v>
      </c>
      <c r="AR302">
        <v>832</v>
      </c>
      <c r="AZ302">
        <v>1200</v>
      </c>
      <c r="BA302">
        <v>1</v>
      </c>
      <c r="BB302" t="str">
        <f t="shared" si="86"/>
        <v xml:space="preserve">N733KP  </v>
      </c>
      <c r="BC302">
        <v>1</v>
      </c>
      <c r="BE302">
        <v>0</v>
      </c>
      <c r="BF302">
        <v>0</v>
      </c>
      <c r="BG302">
        <v>0</v>
      </c>
      <c r="BH302">
        <v>2200</v>
      </c>
      <c r="BI302">
        <v>1</v>
      </c>
      <c r="BJ302">
        <v>1</v>
      </c>
      <c r="BK302">
        <v>0</v>
      </c>
      <c r="BL302">
        <v>0</v>
      </c>
      <c r="BO302">
        <v>0</v>
      </c>
      <c r="BP302">
        <v>0</v>
      </c>
      <c r="BW302" t="str">
        <f>"22:10:38.515"</f>
        <v>22:10:38.515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364</v>
      </c>
      <c r="CR302">
        <v>0</v>
      </c>
      <c r="CW302">
        <v>1375837</v>
      </c>
      <c r="CY302">
        <v>1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"03/24/2022 22:10:38.727"</f>
        <v>03/24/2022 22:10:38.727</v>
      </c>
      <c r="C303" t="str">
        <f t="shared" si="84"/>
        <v>FFDFD3C0</v>
      </c>
      <c r="D303" t="s">
        <v>113</v>
      </c>
      <c r="E303">
        <v>24</v>
      </c>
      <c r="F303">
        <v>2024</v>
      </c>
      <c r="G303" t="s">
        <v>114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 t="shared" si="92"/>
        <v>22:10:38.000</v>
      </c>
      <c r="T303" t="str">
        <f t="shared" si="92"/>
        <v>22:10:38.000</v>
      </c>
      <c r="U303" t="str">
        <f t="shared" si="79"/>
        <v>A9D71F</v>
      </c>
      <c r="V303">
        <v>0</v>
      </c>
      <c r="W303">
        <v>0</v>
      </c>
      <c r="X303">
        <v>2</v>
      </c>
      <c r="Z303">
        <v>1</v>
      </c>
      <c r="AA303">
        <v>8</v>
      </c>
      <c r="AB303">
        <v>3</v>
      </c>
      <c r="AC303">
        <v>0</v>
      </c>
      <c r="AD303">
        <v>9</v>
      </c>
      <c r="AE303">
        <v>0</v>
      </c>
      <c r="AF303">
        <v>3</v>
      </c>
      <c r="AG303">
        <v>1</v>
      </c>
      <c r="AH303">
        <v>0</v>
      </c>
      <c r="AI303" t="s">
        <v>251</v>
      </c>
      <c r="AJ303">
        <v>33.187938000000003</v>
      </c>
      <c r="AK303" t="s">
        <v>252</v>
      </c>
      <c r="AL303">
        <v>-97.792482000000007</v>
      </c>
      <c r="AM303">
        <v>25</v>
      </c>
      <c r="AN303">
        <v>2300</v>
      </c>
      <c r="AO303" t="s">
        <v>118</v>
      </c>
      <c r="AP303">
        <v>90</v>
      </c>
      <c r="AQ303">
        <v>0</v>
      </c>
      <c r="AR303">
        <v>832</v>
      </c>
      <c r="AZ303">
        <v>1200</v>
      </c>
      <c r="BA303">
        <v>1</v>
      </c>
      <c r="BB303" t="str">
        <f t="shared" si="86"/>
        <v xml:space="preserve">N733KP  </v>
      </c>
      <c r="BC303">
        <v>1</v>
      </c>
      <c r="BE303">
        <v>0</v>
      </c>
      <c r="BF303">
        <v>0</v>
      </c>
      <c r="BG303">
        <v>0</v>
      </c>
      <c r="BH303">
        <v>2200</v>
      </c>
      <c r="BI303">
        <v>1</v>
      </c>
      <c r="BJ303">
        <v>1</v>
      </c>
      <c r="BK303">
        <v>0</v>
      </c>
      <c r="BL303">
        <v>0</v>
      </c>
      <c r="BO303">
        <v>0</v>
      </c>
      <c r="BP303">
        <v>0</v>
      </c>
      <c r="BW303" t="str">
        <f>"22:10:38.515"</f>
        <v>22:10:38.515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364</v>
      </c>
      <c r="CR303">
        <v>0</v>
      </c>
      <c r="CW303">
        <v>1375837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"03/24/2022 22:10:38.727"</f>
        <v>03/24/2022 22:10:38.727</v>
      </c>
      <c r="C304" t="str">
        <f t="shared" si="84"/>
        <v>FFDFD3C0</v>
      </c>
      <c r="D304" t="s">
        <v>123</v>
      </c>
      <c r="E304">
        <v>8</v>
      </c>
      <c r="H304">
        <v>31</v>
      </c>
      <c r="I304" t="s">
        <v>124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 t="shared" si="92"/>
        <v>22:10:38.000</v>
      </c>
      <c r="T304" t="str">
        <f t="shared" si="92"/>
        <v>22:10:38.000</v>
      </c>
      <c r="U304" t="str">
        <f t="shared" si="79"/>
        <v>A9D71F</v>
      </c>
      <c r="V304">
        <v>0</v>
      </c>
      <c r="W304">
        <v>0</v>
      </c>
      <c r="X304">
        <v>2</v>
      </c>
      <c r="Z304">
        <v>1</v>
      </c>
      <c r="AA304">
        <v>8</v>
      </c>
      <c r="AB304">
        <v>3</v>
      </c>
      <c r="AC304">
        <v>0</v>
      </c>
      <c r="AD304">
        <v>9</v>
      </c>
      <c r="AE304">
        <v>0</v>
      </c>
      <c r="AF304">
        <v>3</v>
      </c>
      <c r="AG304">
        <v>1</v>
      </c>
      <c r="AH304">
        <v>0</v>
      </c>
      <c r="AI304" t="s">
        <v>251</v>
      </c>
      <c r="AJ304">
        <v>33.187938000000003</v>
      </c>
      <c r="AK304" t="s">
        <v>252</v>
      </c>
      <c r="AL304">
        <v>-97.792482000000007</v>
      </c>
      <c r="AM304">
        <v>25</v>
      </c>
      <c r="AN304">
        <v>2300</v>
      </c>
      <c r="AO304" t="s">
        <v>118</v>
      </c>
      <c r="AP304">
        <v>90</v>
      </c>
      <c r="AQ304">
        <v>0</v>
      </c>
      <c r="AR304">
        <v>832</v>
      </c>
      <c r="AZ304">
        <v>1200</v>
      </c>
      <c r="BA304">
        <v>1</v>
      </c>
      <c r="BB304" t="str">
        <f t="shared" si="86"/>
        <v xml:space="preserve">N733KP  </v>
      </c>
      <c r="BC304">
        <v>1</v>
      </c>
      <c r="BE304">
        <v>0</v>
      </c>
      <c r="BF304">
        <v>0</v>
      </c>
      <c r="BG304">
        <v>0</v>
      </c>
      <c r="BH304">
        <v>2200</v>
      </c>
      <c r="BI304">
        <v>1</v>
      </c>
      <c r="BJ304">
        <v>1</v>
      </c>
      <c r="BK304">
        <v>0</v>
      </c>
      <c r="BL304">
        <v>0</v>
      </c>
      <c r="BO304">
        <v>0</v>
      </c>
      <c r="BP304">
        <v>0</v>
      </c>
      <c r="BW304" t="str">
        <f>"22:10:38.515"</f>
        <v>22:10:38.515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364</v>
      </c>
      <c r="CR304">
        <v>0</v>
      </c>
      <c r="CW304">
        <v>1375837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"03/24/2022 22:10:38.727"</f>
        <v>03/24/2022 22:10:38.727</v>
      </c>
      <c r="C305" t="str">
        <f t="shared" si="84"/>
        <v>FFDFD3C0</v>
      </c>
      <c r="D305" t="s">
        <v>120</v>
      </c>
      <c r="E305">
        <v>14</v>
      </c>
      <c r="F305">
        <v>1014</v>
      </c>
      <c r="G305" t="s">
        <v>121</v>
      </c>
      <c r="J305" t="s">
        <v>122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 t="shared" si="92"/>
        <v>22:10:38.000</v>
      </c>
      <c r="T305" t="str">
        <f t="shared" si="92"/>
        <v>22:10:38.000</v>
      </c>
      <c r="U305" t="str">
        <f t="shared" si="79"/>
        <v>A9D71F</v>
      </c>
      <c r="V305">
        <v>0</v>
      </c>
      <c r="W305">
        <v>0</v>
      </c>
      <c r="X305">
        <v>2</v>
      </c>
      <c r="Z305">
        <v>1</v>
      </c>
      <c r="AA305">
        <v>8</v>
      </c>
      <c r="AB305">
        <v>3</v>
      </c>
      <c r="AC305">
        <v>0</v>
      </c>
      <c r="AD305">
        <v>9</v>
      </c>
      <c r="AE305">
        <v>0</v>
      </c>
      <c r="AF305">
        <v>3</v>
      </c>
      <c r="AG305">
        <v>1</v>
      </c>
      <c r="AH305">
        <v>0</v>
      </c>
      <c r="AI305" t="s">
        <v>251</v>
      </c>
      <c r="AJ305">
        <v>33.187938000000003</v>
      </c>
      <c r="AK305" t="s">
        <v>252</v>
      </c>
      <c r="AL305">
        <v>-97.792482000000007</v>
      </c>
      <c r="AM305">
        <v>25</v>
      </c>
      <c r="AN305">
        <v>2300</v>
      </c>
      <c r="AO305" t="s">
        <v>118</v>
      </c>
      <c r="AP305">
        <v>90</v>
      </c>
      <c r="AQ305">
        <v>0</v>
      </c>
      <c r="AR305">
        <v>832</v>
      </c>
      <c r="AZ305">
        <v>1200</v>
      </c>
      <c r="BA305">
        <v>1</v>
      </c>
      <c r="BB305" t="str">
        <f t="shared" si="86"/>
        <v xml:space="preserve">N733KP  </v>
      </c>
      <c r="BC305">
        <v>1</v>
      </c>
      <c r="BE305">
        <v>0</v>
      </c>
      <c r="BF305">
        <v>0</v>
      </c>
      <c r="BG305">
        <v>0</v>
      </c>
      <c r="BH305">
        <v>2200</v>
      </c>
      <c r="BI305">
        <v>1</v>
      </c>
      <c r="BJ305">
        <v>1</v>
      </c>
      <c r="BK305">
        <v>0</v>
      </c>
      <c r="BL305">
        <v>0</v>
      </c>
      <c r="BO305">
        <v>0</v>
      </c>
      <c r="BP305">
        <v>0</v>
      </c>
      <c r="BW305" t="str">
        <f>"22:10:38.515"</f>
        <v>22:10:38.515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364</v>
      </c>
      <c r="CR305">
        <v>0</v>
      </c>
      <c r="CW305">
        <v>1375837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"03/24/2022 22:10:39.415"</f>
        <v>03/24/2022 22:10:39.415</v>
      </c>
      <c r="C306" t="str">
        <f t="shared" si="84"/>
        <v>FFDFD3C0</v>
      </c>
      <c r="D306" t="s">
        <v>113</v>
      </c>
      <c r="E306">
        <v>24</v>
      </c>
      <c r="F306">
        <v>2024</v>
      </c>
      <c r="G306" t="s">
        <v>114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 t="shared" ref="S306:T309" si="93">"22:10:39.000"</f>
        <v>22:10:39.000</v>
      </c>
      <c r="T306" t="str">
        <f t="shared" si="93"/>
        <v>22:10:39.000</v>
      </c>
      <c r="U306" t="str">
        <f t="shared" si="79"/>
        <v>A9D71F</v>
      </c>
      <c r="V306">
        <v>0</v>
      </c>
      <c r="W306">
        <v>0</v>
      </c>
      <c r="X306">
        <v>2</v>
      </c>
      <c r="Z306">
        <v>1</v>
      </c>
      <c r="AA306">
        <v>8</v>
      </c>
      <c r="AB306">
        <v>3</v>
      </c>
      <c r="AC306">
        <v>0</v>
      </c>
      <c r="AD306">
        <v>9</v>
      </c>
      <c r="AE306">
        <v>0</v>
      </c>
      <c r="AF306">
        <v>3</v>
      </c>
      <c r="AG306">
        <v>1</v>
      </c>
      <c r="AH306">
        <v>0</v>
      </c>
      <c r="AI306" t="s">
        <v>253</v>
      </c>
      <c r="AJ306">
        <v>33.187916000000001</v>
      </c>
      <c r="AK306" t="s">
        <v>254</v>
      </c>
      <c r="AL306">
        <v>-97.791967</v>
      </c>
      <c r="AM306">
        <v>25</v>
      </c>
      <c r="AN306">
        <v>2300</v>
      </c>
      <c r="AO306" t="s">
        <v>118</v>
      </c>
      <c r="AP306">
        <v>88</v>
      </c>
      <c r="AQ306">
        <v>2</v>
      </c>
      <c r="AR306">
        <v>896</v>
      </c>
      <c r="AZ306">
        <v>1200</v>
      </c>
      <c r="BA306">
        <v>1</v>
      </c>
      <c r="BB306" t="str">
        <f t="shared" si="86"/>
        <v xml:space="preserve">N733KP  </v>
      </c>
      <c r="BC306">
        <v>1</v>
      </c>
      <c r="BE306">
        <v>0</v>
      </c>
      <c r="BF306">
        <v>0</v>
      </c>
      <c r="BG306">
        <v>0</v>
      </c>
      <c r="BH306">
        <v>2200</v>
      </c>
      <c r="BI306">
        <v>1</v>
      </c>
      <c r="BJ306">
        <v>1</v>
      </c>
      <c r="BK306">
        <v>0</v>
      </c>
      <c r="BL306">
        <v>0</v>
      </c>
      <c r="BO306">
        <v>0</v>
      </c>
      <c r="BP306">
        <v>0</v>
      </c>
      <c r="BW306" t="str">
        <f>"22:10:39.268"</f>
        <v>22:10:39.268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364</v>
      </c>
      <c r="CR306">
        <v>0</v>
      </c>
      <c r="CW306">
        <v>1375940</v>
      </c>
      <c r="CY306">
        <v>1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"03/24/2022 22:10:39.415"</f>
        <v>03/24/2022 22:10:39.415</v>
      </c>
      <c r="C307" t="str">
        <f t="shared" si="84"/>
        <v>FFDFD3C0</v>
      </c>
      <c r="D307" t="s">
        <v>123</v>
      </c>
      <c r="E307">
        <v>8</v>
      </c>
      <c r="H307">
        <v>31</v>
      </c>
      <c r="I307" t="s">
        <v>124</v>
      </c>
      <c r="J307" t="s">
        <v>125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 t="shared" si="93"/>
        <v>22:10:39.000</v>
      </c>
      <c r="T307" t="str">
        <f t="shared" si="93"/>
        <v>22:10:39.000</v>
      </c>
      <c r="U307" t="str">
        <f t="shared" si="79"/>
        <v>A9D71F</v>
      </c>
      <c r="V307">
        <v>0</v>
      </c>
      <c r="W307">
        <v>0</v>
      </c>
      <c r="X307">
        <v>2</v>
      </c>
      <c r="Z307">
        <v>1</v>
      </c>
      <c r="AA307">
        <v>8</v>
      </c>
      <c r="AB307">
        <v>3</v>
      </c>
      <c r="AC307">
        <v>0</v>
      </c>
      <c r="AD307">
        <v>9</v>
      </c>
      <c r="AE307">
        <v>0</v>
      </c>
      <c r="AF307">
        <v>3</v>
      </c>
      <c r="AG307">
        <v>1</v>
      </c>
      <c r="AH307">
        <v>0</v>
      </c>
      <c r="AI307" t="s">
        <v>253</v>
      </c>
      <c r="AJ307">
        <v>33.187916000000001</v>
      </c>
      <c r="AK307" t="s">
        <v>254</v>
      </c>
      <c r="AL307">
        <v>-97.791967</v>
      </c>
      <c r="AM307">
        <v>25</v>
      </c>
      <c r="AN307">
        <v>2300</v>
      </c>
      <c r="AO307" t="s">
        <v>118</v>
      </c>
      <c r="AP307">
        <v>88</v>
      </c>
      <c r="AQ307">
        <v>2</v>
      </c>
      <c r="AR307">
        <v>896</v>
      </c>
      <c r="AZ307">
        <v>1200</v>
      </c>
      <c r="BA307">
        <v>1</v>
      </c>
      <c r="BB307" t="str">
        <f t="shared" si="86"/>
        <v xml:space="preserve">N733KP  </v>
      </c>
      <c r="BC307">
        <v>1</v>
      </c>
      <c r="BE307">
        <v>0</v>
      </c>
      <c r="BF307">
        <v>0</v>
      </c>
      <c r="BG307">
        <v>0</v>
      </c>
      <c r="BH307">
        <v>2200</v>
      </c>
      <c r="BI307">
        <v>1</v>
      </c>
      <c r="BJ307">
        <v>1</v>
      </c>
      <c r="BK307">
        <v>0</v>
      </c>
      <c r="BL307">
        <v>0</v>
      </c>
      <c r="BO307">
        <v>0</v>
      </c>
      <c r="BP307">
        <v>0</v>
      </c>
      <c r="BW307" t="str">
        <f>"22:10:39.268"</f>
        <v>22:10:39.268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364</v>
      </c>
      <c r="CR307">
        <v>0</v>
      </c>
      <c r="CW307">
        <v>1375940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"03/24/2022 22:10:39.446"</f>
        <v>03/24/2022 22:10:39.446</v>
      </c>
      <c r="C308" t="str">
        <f t="shared" si="84"/>
        <v>FFDFD3C0</v>
      </c>
      <c r="D308" t="s">
        <v>126</v>
      </c>
      <c r="E308">
        <v>3</v>
      </c>
      <c r="H308">
        <v>160</v>
      </c>
      <c r="I308" t="s">
        <v>121</v>
      </c>
      <c r="J308" t="s">
        <v>127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 t="shared" si="93"/>
        <v>22:10:39.000</v>
      </c>
      <c r="T308" t="str">
        <f t="shared" si="93"/>
        <v>22:10:39.000</v>
      </c>
      <c r="U308" t="str">
        <f t="shared" si="79"/>
        <v>A9D71F</v>
      </c>
      <c r="V308">
        <v>0</v>
      </c>
      <c r="W308">
        <v>0</v>
      </c>
      <c r="X308">
        <v>2</v>
      </c>
      <c r="Z308">
        <v>1</v>
      </c>
      <c r="AA308">
        <v>8</v>
      </c>
      <c r="AB308">
        <v>3</v>
      </c>
      <c r="AC308">
        <v>0</v>
      </c>
      <c r="AD308">
        <v>9</v>
      </c>
      <c r="AE308">
        <v>0</v>
      </c>
      <c r="AF308">
        <v>3</v>
      </c>
      <c r="AG308">
        <v>1</v>
      </c>
      <c r="AH308">
        <v>0</v>
      </c>
      <c r="AI308" t="s">
        <v>253</v>
      </c>
      <c r="AJ308">
        <v>33.187916000000001</v>
      </c>
      <c r="AK308" t="s">
        <v>254</v>
      </c>
      <c r="AL308">
        <v>-97.791967</v>
      </c>
      <c r="AM308">
        <v>25</v>
      </c>
      <c r="AN308">
        <v>2300</v>
      </c>
      <c r="AO308" t="s">
        <v>118</v>
      </c>
      <c r="AP308">
        <v>88</v>
      </c>
      <c r="AQ308">
        <v>2</v>
      </c>
      <c r="AR308">
        <v>896</v>
      </c>
      <c r="AZ308">
        <v>1200</v>
      </c>
      <c r="BA308">
        <v>1</v>
      </c>
      <c r="BB308" t="str">
        <f t="shared" si="86"/>
        <v xml:space="preserve">N733KP  </v>
      </c>
      <c r="BC308">
        <v>1</v>
      </c>
      <c r="BE308">
        <v>0</v>
      </c>
      <c r="BF308">
        <v>0</v>
      </c>
      <c r="BG308">
        <v>0</v>
      </c>
      <c r="BH308">
        <v>2200</v>
      </c>
      <c r="BI308">
        <v>1</v>
      </c>
      <c r="BJ308">
        <v>1</v>
      </c>
      <c r="BK308">
        <v>0</v>
      </c>
      <c r="BL308">
        <v>0</v>
      </c>
      <c r="BO308">
        <v>0</v>
      </c>
      <c r="BP308">
        <v>0</v>
      </c>
      <c r="BW308" t="str">
        <f>"22:10:39.268"</f>
        <v>22:10:39.268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364</v>
      </c>
      <c r="CR308">
        <v>0</v>
      </c>
      <c r="CW308">
        <v>1375940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"03/24/2022 22:10:39.446"</f>
        <v>03/24/2022 22:10:39.446</v>
      </c>
      <c r="C309" t="str">
        <f t="shared" si="84"/>
        <v>FFDFD3C0</v>
      </c>
      <c r="D309" t="s">
        <v>120</v>
      </c>
      <c r="E309">
        <v>14</v>
      </c>
      <c r="F309">
        <v>1014</v>
      </c>
      <c r="G309" t="s">
        <v>121</v>
      </c>
      <c r="J309" t="s">
        <v>122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 t="shared" si="93"/>
        <v>22:10:39.000</v>
      </c>
      <c r="T309" t="str">
        <f t="shared" si="93"/>
        <v>22:10:39.000</v>
      </c>
      <c r="U309" t="str">
        <f t="shared" si="79"/>
        <v>A9D71F</v>
      </c>
      <c r="V309">
        <v>0</v>
      </c>
      <c r="W309">
        <v>0</v>
      </c>
      <c r="X309">
        <v>2</v>
      </c>
      <c r="Z309">
        <v>1</v>
      </c>
      <c r="AA309">
        <v>8</v>
      </c>
      <c r="AB309">
        <v>3</v>
      </c>
      <c r="AC309">
        <v>0</v>
      </c>
      <c r="AD309">
        <v>9</v>
      </c>
      <c r="AE309">
        <v>0</v>
      </c>
      <c r="AF309">
        <v>3</v>
      </c>
      <c r="AG309">
        <v>1</v>
      </c>
      <c r="AH309">
        <v>0</v>
      </c>
      <c r="AI309" t="s">
        <v>253</v>
      </c>
      <c r="AJ309">
        <v>33.187916000000001</v>
      </c>
      <c r="AK309" t="s">
        <v>254</v>
      </c>
      <c r="AL309">
        <v>-97.791967</v>
      </c>
      <c r="AM309">
        <v>25</v>
      </c>
      <c r="AN309">
        <v>2300</v>
      </c>
      <c r="AO309" t="s">
        <v>118</v>
      </c>
      <c r="AP309">
        <v>88</v>
      </c>
      <c r="AQ309">
        <v>2</v>
      </c>
      <c r="AR309">
        <v>896</v>
      </c>
      <c r="AZ309">
        <v>1200</v>
      </c>
      <c r="BA309">
        <v>1</v>
      </c>
      <c r="BB309" t="str">
        <f t="shared" si="86"/>
        <v xml:space="preserve">N733KP  </v>
      </c>
      <c r="BC309">
        <v>1</v>
      </c>
      <c r="BE309">
        <v>0</v>
      </c>
      <c r="BF309">
        <v>0</v>
      </c>
      <c r="BG309">
        <v>0</v>
      </c>
      <c r="BH309">
        <v>2200</v>
      </c>
      <c r="BI309">
        <v>1</v>
      </c>
      <c r="BJ309">
        <v>1</v>
      </c>
      <c r="BK309">
        <v>0</v>
      </c>
      <c r="BL309">
        <v>0</v>
      </c>
      <c r="BO309">
        <v>0</v>
      </c>
      <c r="BP309">
        <v>0</v>
      </c>
      <c r="BW309" t="str">
        <f>"22:10:39.268"</f>
        <v>22:10:39.268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364</v>
      </c>
      <c r="CR309">
        <v>0</v>
      </c>
      <c r="CW309">
        <v>1375940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"03/24/2022 22:10:40.462"</f>
        <v>03/24/2022 22:10:40.462</v>
      </c>
      <c r="C310" t="str">
        <f t="shared" si="84"/>
        <v>FFDFD3C0</v>
      </c>
      <c r="D310" t="s">
        <v>126</v>
      </c>
      <c r="E310">
        <v>3</v>
      </c>
      <c r="H310">
        <v>160</v>
      </c>
      <c r="I310" t="s">
        <v>121</v>
      </c>
      <c r="J310" t="s">
        <v>127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 t="shared" ref="S310:T313" si="94">"22:10:40.000"</f>
        <v>22:10:40.000</v>
      </c>
      <c r="T310" t="str">
        <f t="shared" si="94"/>
        <v>22:10:40.000</v>
      </c>
      <c r="U310" t="str">
        <f t="shared" si="79"/>
        <v>A9D71F</v>
      </c>
      <c r="V310">
        <v>0</v>
      </c>
      <c r="W310">
        <v>0</v>
      </c>
      <c r="X310">
        <v>2</v>
      </c>
      <c r="Z310">
        <v>1</v>
      </c>
      <c r="AA310">
        <v>8</v>
      </c>
      <c r="AB310">
        <v>3</v>
      </c>
      <c r="AC310">
        <v>0</v>
      </c>
      <c r="AD310">
        <v>9</v>
      </c>
      <c r="AE310">
        <v>0</v>
      </c>
      <c r="AF310">
        <v>3</v>
      </c>
      <c r="AG310">
        <v>1</v>
      </c>
      <c r="AH310">
        <v>0</v>
      </c>
      <c r="AI310" t="s">
        <v>251</v>
      </c>
      <c r="AJ310">
        <v>33.187938000000003</v>
      </c>
      <c r="AK310" t="s">
        <v>255</v>
      </c>
      <c r="AL310">
        <v>-97.791473999999994</v>
      </c>
      <c r="AM310">
        <v>25</v>
      </c>
      <c r="AN310">
        <v>2300</v>
      </c>
      <c r="AO310" t="s">
        <v>118</v>
      </c>
      <c r="AP310">
        <v>89</v>
      </c>
      <c r="AQ310">
        <v>0</v>
      </c>
      <c r="AR310">
        <v>832</v>
      </c>
      <c r="AZ310">
        <v>1200</v>
      </c>
      <c r="BA310">
        <v>1</v>
      </c>
      <c r="BB310" t="str">
        <f t="shared" si="86"/>
        <v xml:space="preserve">N733KP  </v>
      </c>
      <c r="BC310">
        <v>1</v>
      </c>
      <c r="BE310">
        <v>0</v>
      </c>
      <c r="BF310">
        <v>0</v>
      </c>
      <c r="BG310">
        <v>0</v>
      </c>
      <c r="BH310">
        <v>2225</v>
      </c>
      <c r="BI310">
        <v>1</v>
      </c>
      <c r="BJ310">
        <v>1</v>
      </c>
      <c r="BK310">
        <v>0</v>
      </c>
      <c r="BL310">
        <v>0</v>
      </c>
      <c r="BO310">
        <v>0</v>
      </c>
      <c r="BP310">
        <v>0</v>
      </c>
      <c r="BW310" t="str">
        <f>"22:10:40.288"</f>
        <v>22:10:40.288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364</v>
      </c>
      <c r="CR310">
        <v>0</v>
      </c>
      <c r="CW310">
        <v>1376082</v>
      </c>
      <c r="CY310">
        <v>1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"03/24/2022 22:10:40.462"</f>
        <v>03/24/2022 22:10:40.462</v>
      </c>
      <c r="C311" t="str">
        <f t="shared" si="84"/>
        <v>FFDFD3C0</v>
      </c>
      <c r="D311" t="s">
        <v>120</v>
      </c>
      <c r="E311">
        <v>14</v>
      </c>
      <c r="F311">
        <v>1014</v>
      </c>
      <c r="G311" t="s">
        <v>121</v>
      </c>
      <c r="J311" t="s">
        <v>122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 t="shared" si="94"/>
        <v>22:10:40.000</v>
      </c>
      <c r="T311" t="str">
        <f t="shared" si="94"/>
        <v>22:10:40.000</v>
      </c>
      <c r="U311" t="str">
        <f t="shared" si="79"/>
        <v>A9D71F</v>
      </c>
      <c r="V311">
        <v>0</v>
      </c>
      <c r="W311">
        <v>0</v>
      </c>
      <c r="X311">
        <v>2</v>
      </c>
      <c r="Z311">
        <v>1</v>
      </c>
      <c r="AA311">
        <v>8</v>
      </c>
      <c r="AB311">
        <v>3</v>
      </c>
      <c r="AC311">
        <v>0</v>
      </c>
      <c r="AD311">
        <v>9</v>
      </c>
      <c r="AE311">
        <v>0</v>
      </c>
      <c r="AF311">
        <v>3</v>
      </c>
      <c r="AG311">
        <v>1</v>
      </c>
      <c r="AH311">
        <v>0</v>
      </c>
      <c r="AI311" t="s">
        <v>251</v>
      </c>
      <c r="AJ311">
        <v>33.187938000000003</v>
      </c>
      <c r="AK311" t="s">
        <v>255</v>
      </c>
      <c r="AL311">
        <v>-97.791473999999994</v>
      </c>
      <c r="AM311">
        <v>25</v>
      </c>
      <c r="AN311">
        <v>2300</v>
      </c>
      <c r="AO311" t="s">
        <v>118</v>
      </c>
      <c r="AP311">
        <v>89</v>
      </c>
      <c r="AQ311">
        <v>0</v>
      </c>
      <c r="AR311">
        <v>832</v>
      </c>
      <c r="AZ311">
        <v>1200</v>
      </c>
      <c r="BA311">
        <v>1</v>
      </c>
      <c r="BB311" t="str">
        <f t="shared" si="86"/>
        <v xml:space="preserve">N733KP  </v>
      </c>
      <c r="BC311">
        <v>1</v>
      </c>
      <c r="BE311">
        <v>0</v>
      </c>
      <c r="BF311">
        <v>0</v>
      </c>
      <c r="BG311">
        <v>0</v>
      </c>
      <c r="BH311">
        <v>2225</v>
      </c>
      <c r="BI311">
        <v>1</v>
      </c>
      <c r="BJ311">
        <v>1</v>
      </c>
      <c r="BK311">
        <v>0</v>
      </c>
      <c r="BL311">
        <v>0</v>
      </c>
      <c r="BO311">
        <v>0</v>
      </c>
      <c r="BP311">
        <v>0</v>
      </c>
      <c r="BW311" t="str">
        <f>"22:10:40.288"</f>
        <v>22:10:40.288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364</v>
      </c>
      <c r="CR311">
        <v>0</v>
      </c>
      <c r="CW311">
        <v>1376082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"03/24/2022 22:10:40.477"</f>
        <v>03/24/2022 22:10:40.477</v>
      </c>
      <c r="C312" t="str">
        <f t="shared" si="84"/>
        <v>FFDFD3C0</v>
      </c>
      <c r="D312" t="s">
        <v>123</v>
      </c>
      <c r="E312">
        <v>8</v>
      </c>
      <c r="H312">
        <v>31</v>
      </c>
      <c r="I312" t="s">
        <v>124</v>
      </c>
      <c r="J312" t="s">
        <v>125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 t="shared" si="94"/>
        <v>22:10:40.000</v>
      </c>
      <c r="T312" t="str">
        <f t="shared" si="94"/>
        <v>22:10:40.000</v>
      </c>
      <c r="U312" t="str">
        <f t="shared" si="79"/>
        <v>A9D71F</v>
      </c>
      <c r="V312">
        <v>0</v>
      </c>
      <c r="W312">
        <v>0</v>
      </c>
      <c r="X312">
        <v>2</v>
      </c>
      <c r="Z312">
        <v>1</v>
      </c>
      <c r="AA312">
        <v>8</v>
      </c>
      <c r="AB312">
        <v>3</v>
      </c>
      <c r="AC312">
        <v>0</v>
      </c>
      <c r="AD312">
        <v>9</v>
      </c>
      <c r="AE312">
        <v>0</v>
      </c>
      <c r="AF312">
        <v>3</v>
      </c>
      <c r="AG312">
        <v>1</v>
      </c>
      <c r="AH312">
        <v>0</v>
      </c>
      <c r="AI312" t="s">
        <v>251</v>
      </c>
      <c r="AJ312">
        <v>33.187938000000003</v>
      </c>
      <c r="AK312" t="s">
        <v>255</v>
      </c>
      <c r="AL312">
        <v>-97.791473999999994</v>
      </c>
      <c r="AM312">
        <v>25</v>
      </c>
      <c r="AN312">
        <v>2300</v>
      </c>
      <c r="AO312" t="s">
        <v>118</v>
      </c>
      <c r="AP312">
        <v>89</v>
      </c>
      <c r="AQ312">
        <v>0</v>
      </c>
      <c r="AR312">
        <v>832</v>
      </c>
      <c r="AZ312">
        <v>1200</v>
      </c>
      <c r="BA312">
        <v>1</v>
      </c>
      <c r="BB312" t="str">
        <f t="shared" si="86"/>
        <v xml:space="preserve">N733KP  </v>
      </c>
      <c r="BC312">
        <v>1</v>
      </c>
      <c r="BE312">
        <v>0</v>
      </c>
      <c r="BF312">
        <v>0</v>
      </c>
      <c r="BG312">
        <v>0</v>
      </c>
      <c r="BH312">
        <v>2225</v>
      </c>
      <c r="BI312">
        <v>1</v>
      </c>
      <c r="BJ312">
        <v>1</v>
      </c>
      <c r="BK312">
        <v>0</v>
      </c>
      <c r="BL312">
        <v>0</v>
      </c>
      <c r="BO312">
        <v>0</v>
      </c>
      <c r="BP312">
        <v>0</v>
      </c>
      <c r="BW312" t="str">
        <f>"22:10:40.288"</f>
        <v>22:10:40.288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364</v>
      </c>
      <c r="CR312">
        <v>0</v>
      </c>
      <c r="CW312">
        <v>1376082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"03/24/2022 22:10:40.477"</f>
        <v>03/24/2022 22:10:40.477</v>
      </c>
      <c r="C313" t="str">
        <f t="shared" si="84"/>
        <v>FFDFD3C0</v>
      </c>
      <c r="D313" t="s">
        <v>113</v>
      </c>
      <c r="E313">
        <v>24</v>
      </c>
      <c r="F313">
        <v>2024</v>
      </c>
      <c r="G313" t="s">
        <v>114</v>
      </c>
      <c r="J313" t="s">
        <v>115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 t="shared" si="94"/>
        <v>22:10:40.000</v>
      </c>
      <c r="T313" t="str">
        <f t="shared" si="94"/>
        <v>22:10:40.000</v>
      </c>
      <c r="U313" t="str">
        <f t="shared" si="79"/>
        <v>A9D71F</v>
      </c>
      <c r="V313">
        <v>0</v>
      </c>
      <c r="W313">
        <v>0</v>
      </c>
      <c r="X313">
        <v>2</v>
      </c>
      <c r="Z313">
        <v>1</v>
      </c>
      <c r="AA313">
        <v>8</v>
      </c>
      <c r="AB313">
        <v>3</v>
      </c>
      <c r="AC313">
        <v>0</v>
      </c>
      <c r="AD313">
        <v>9</v>
      </c>
      <c r="AE313">
        <v>0</v>
      </c>
      <c r="AF313">
        <v>3</v>
      </c>
      <c r="AG313">
        <v>1</v>
      </c>
      <c r="AH313">
        <v>0</v>
      </c>
      <c r="AI313" t="s">
        <v>251</v>
      </c>
      <c r="AJ313">
        <v>33.187938000000003</v>
      </c>
      <c r="AK313" t="s">
        <v>255</v>
      </c>
      <c r="AL313">
        <v>-97.791473999999994</v>
      </c>
      <c r="AM313">
        <v>25</v>
      </c>
      <c r="AN313">
        <v>2300</v>
      </c>
      <c r="AO313" t="s">
        <v>118</v>
      </c>
      <c r="AP313">
        <v>89</v>
      </c>
      <c r="AQ313">
        <v>0</v>
      </c>
      <c r="AR313">
        <v>832</v>
      </c>
      <c r="AZ313">
        <v>1200</v>
      </c>
      <c r="BA313">
        <v>1</v>
      </c>
      <c r="BB313" t="str">
        <f t="shared" si="86"/>
        <v xml:space="preserve">N733KP  </v>
      </c>
      <c r="BC313">
        <v>1</v>
      </c>
      <c r="BE313">
        <v>0</v>
      </c>
      <c r="BF313">
        <v>0</v>
      </c>
      <c r="BG313">
        <v>0</v>
      </c>
      <c r="BH313">
        <v>2225</v>
      </c>
      <c r="BI313">
        <v>1</v>
      </c>
      <c r="BJ313">
        <v>1</v>
      </c>
      <c r="BK313">
        <v>0</v>
      </c>
      <c r="BL313">
        <v>0</v>
      </c>
      <c r="BO313">
        <v>0</v>
      </c>
      <c r="BP313">
        <v>0</v>
      </c>
      <c r="BW313" t="str">
        <f>"22:10:40.288"</f>
        <v>22:10:40.288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364</v>
      </c>
      <c r="CR313">
        <v>0</v>
      </c>
      <c r="CW313">
        <v>1376082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"03/24/2022 22:10:41.650"</f>
        <v>03/24/2022 22:10:41.650</v>
      </c>
      <c r="C314" t="str">
        <f t="shared" si="84"/>
        <v>FFDFD3C0</v>
      </c>
      <c r="D314" t="s">
        <v>120</v>
      </c>
      <c r="E314">
        <v>14</v>
      </c>
      <c r="F314">
        <v>1014</v>
      </c>
      <c r="G314" t="s">
        <v>121</v>
      </c>
      <c r="J314" t="s">
        <v>122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 t="shared" ref="S314:T317" si="95">"22:10:41.000"</f>
        <v>22:10:41.000</v>
      </c>
      <c r="T314" t="str">
        <f t="shared" si="95"/>
        <v>22:10:41.000</v>
      </c>
      <c r="U314" t="str">
        <f t="shared" si="79"/>
        <v>A9D71F</v>
      </c>
      <c r="V314">
        <v>0</v>
      </c>
      <c r="W314">
        <v>0</v>
      </c>
      <c r="X314">
        <v>2</v>
      </c>
      <c r="Z314">
        <v>1</v>
      </c>
      <c r="AA314">
        <v>8</v>
      </c>
      <c r="AB314">
        <v>3</v>
      </c>
      <c r="AC314">
        <v>0</v>
      </c>
      <c r="AD314">
        <v>9</v>
      </c>
      <c r="AE314">
        <v>0</v>
      </c>
      <c r="AF314">
        <v>3</v>
      </c>
      <c r="AG314">
        <v>1</v>
      </c>
      <c r="AH314">
        <v>0</v>
      </c>
      <c r="AI314" t="s">
        <v>249</v>
      </c>
      <c r="AJ314">
        <v>33.187958999999999</v>
      </c>
      <c r="AK314" t="s">
        <v>256</v>
      </c>
      <c r="AL314">
        <v>-97.790980000000005</v>
      </c>
      <c r="AM314">
        <v>25</v>
      </c>
      <c r="AN314">
        <v>2300</v>
      </c>
      <c r="AO314" t="s">
        <v>118</v>
      </c>
      <c r="AP314">
        <v>89</v>
      </c>
      <c r="AQ314">
        <v>1</v>
      </c>
      <c r="AR314">
        <v>896</v>
      </c>
      <c r="AZ314">
        <v>1200</v>
      </c>
      <c r="BA314">
        <v>1</v>
      </c>
      <c r="BB314" t="str">
        <f t="shared" si="86"/>
        <v xml:space="preserve">N733KP  </v>
      </c>
      <c r="BC314">
        <v>1</v>
      </c>
      <c r="BE314">
        <v>0</v>
      </c>
      <c r="BF314">
        <v>0</v>
      </c>
      <c r="BG314">
        <v>0</v>
      </c>
      <c r="BH314">
        <v>2250</v>
      </c>
      <c r="BI314">
        <v>1</v>
      </c>
      <c r="BJ314">
        <v>1</v>
      </c>
      <c r="BK314">
        <v>0</v>
      </c>
      <c r="BL314">
        <v>0</v>
      </c>
      <c r="BO314">
        <v>0</v>
      </c>
      <c r="BP314">
        <v>0</v>
      </c>
      <c r="BW314" t="str">
        <f>"22:10:41.452"</f>
        <v>22:10:41.452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364</v>
      </c>
      <c r="CR314">
        <v>0</v>
      </c>
      <c r="CW314">
        <v>1376243</v>
      </c>
      <c r="CY314">
        <v>1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"03/24/2022 22:10:41.650"</f>
        <v>03/24/2022 22:10:41.650</v>
      </c>
      <c r="C315" t="str">
        <f t="shared" si="84"/>
        <v>FFDFD3C0</v>
      </c>
      <c r="D315" t="s">
        <v>113</v>
      </c>
      <c r="E315">
        <v>24</v>
      </c>
      <c r="F315">
        <v>2024</v>
      </c>
      <c r="G315" t="s">
        <v>114</v>
      </c>
      <c r="J315" t="s">
        <v>115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 t="shared" si="95"/>
        <v>22:10:41.000</v>
      </c>
      <c r="T315" t="str">
        <f t="shared" si="95"/>
        <v>22:10:41.000</v>
      </c>
      <c r="U315" t="str">
        <f t="shared" si="79"/>
        <v>A9D71F</v>
      </c>
      <c r="V315">
        <v>0</v>
      </c>
      <c r="W315">
        <v>0</v>
      </c>
      <c r="X315">
        <v>2</v>
      </c>
      <c r="Z315">
        <v>1</v>
      </c>
      <c r="AA315">
        <v>8</v>
      </c>
      <c r="AB315">
        <v>3</v>
      </c>
      <c r="AC315">
        <v>0</v>
      </c>
      <c r="AD315">
        <v>9</v>
      </c>
      <c r="AE315">
        <v>0</v>
      </c>
      <c r="AF315">
        <v>3</v>
      </c>
      <c r="AG315">
        <v>1</v>
      </c>
      <c r="AH315">
        <v>0</v>
      </c>
      <c r="AI315" t="s">
        <v>249</v>
      </c>
      <c r="AJ315">
        <v>33.187958999999999</v>
      </c>
      <c r="AK315" t="s">
        <v>256</v>
      </c>
      <c r="AL315">
        <v>-97.790980000000005</v>
      </c>
      <c r="AM315">
        <v>25</v>
      </c>
      <c r="AN315">
        <v>2300</v>
      </c>
      <c r="AO315" t="s">
        <v>118</v>
      </c>
      <c r="AP315">
        <v>89</v>
      </c>
      <c r="AQ315">
        <v>1</v>
      </c>
      <c r="AR315">
        <v>896</v>
      </c>
      <c r="AZ315">
        <v>1200</v>
      </c>
      <c r="BA315">
        <v>1</v>
      </c>
      <c r="BB315" t="str">
        <f t="shared" si="86"/>
        <v xml:space="preserve">N733KP  </v>
      </c>
      <c r="BC315">
        <v>1</v>
      </c>
      <c r="BE315">
        <v>0</v>
      </c>
      <c r="BF315">
        <v>0</v>
      </c>
      <c r="BG315">
        <v>0</v>
      </c>
      <c r="BH315">
        <v>2250</v>
      </c>
      <c r="BI315">
        <v>1</v>
      </c>
      <c r="BJ315">
        <v>1</v>
      </c>
      <c r="BK315">
        <v>0</v>
      </c>
      <c r="BL315">
        <v>0</v>
      </c>
      <c r="BO315">
        <v>0</v>
      </c>
      <c r="BP315">
        <v>0</v>
      </c>
      <c r="BW315" t="str">
        <f>"22:10:41.452"</f>
        <v>22:10:41.452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364</v>
      </c>
      <c r="CR315">
        <v>0</v>
      </c>
      <c r="CW315">
        <v>1376243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"03/24/2022 22:10:41.650"</f>
        <v>03/24/2022 22:10:41.650</v>
      </c>
      <c r="C316" t="str">
        <f t="shared" si="84"/>
        <v>FFDFD3C0</v>
      </c>
      <c r="D316" t="s">
        <v>123</v>
      </c>
      <c r="E316">
        <v>8</v>
      </c>
      <c r="H316">
        <v>31</v>
      </c>
      <c r="I316" t="s">
        <v>124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 t="shared" si="95"/>
        <v>22:10:41.000</v>
      </c>
      <c r="T316" t="str">
        <f t="shared" si="95"/>
        <v>22:10:41.000</v>
      </c>
      <c r="U316" t="str">
        <f t="shared" si="79"/>
        <v>A9D71F</v>
      </c>
      <c r="V316">
        <v>0</v>
      </c>
      <c r="W316">
        <v>0</v>
      </c>
      <c r="X316">
        <v>2</v>
      </c>
      <c r="Z316">
        <v>1</v>
      </c>
      <c r="AA316">
        <v>8</v>
      </c>
      <c r="AB316">
        <v>3</v>
      </c>
      <c r="AC316">
        <v>0</v>
      </c>
      <c r="AD316">
        <v>9</v>
      </c>
      <c r="AE316">
        <v>0</v>
      </c>
      <c r="AF316">
        <v>3</v>
      </c>
      <c r="AG316">
        <v>1</v>
      </c>
      <c r="AH316">
        <v>0</v>
      </c>
      <c r="AI316" t="s">
        <v>249</v>
      </c>
      <c r="AJ316">
        <v>33.187958999999999</v>
      </c>
      <c r="AK316" t="s">
        <v>256</v>
      </c>
      <c r="AL316">
        <v>-97.790980000000005</v>
      </c>
      <c r="AM316">
        <v>25</v>
      </c>
      <c r="AN316">
        <v>2300</v>
      </c>
      <c r="AO316" t="s">
        <v>118</v>
      </c>
      <c r="AP316">
        <v>89</v>
      </c>
      <c r="AQ316">
        <v>1</v>
      </c>
      <c r="AR316">
        <v>896</v>
      </c>
      <c r="AZ316">
        <v>1200</v>
      </c>
      <c r="BA316">
        <v>1</v>
      </c>
      <c r="BB316" t="str">
        <f t="shared" si="86"/>
        <v xml:space="preserve">N733KP  </v>
      </c>
      <c r="BC316">
        <v>1</v>
      </c>
      <c r="BE316">
        <v>0</v>
      </c>
      <c r="BF316">
        <v>0</v>
      </c>
      <c r="BG316">
        <v>0</v>
      </c>
      <c r="BH316">
        <v>2250</v>
      </c>
      <c r="BI316">
        <v>1</v>
      </c>
      <c r="BJ316">
        <v>1</v>
      </c>
      <c r="BK316">
        <v>0</v>
      </c>
      <c r="BL316">
        <v>0</v>
      </c>
      <c r="BO316">
        <v>0</v>
      </c>
      <c r="BP316">
        <v>0</v>
      </c>
      <c r="BW316" t="str">
        <f>"22:10:41.452"</f>
        <v>22:10:41.452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364</v>
      </c>
      <c r="CR316">
        <v>0</v>
      </c>
      <c r="CW316">
        <v>1376243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"03/24/2022 22:10:41.650"</f>
        <v>03/24/2022 22:10:41.650</v>
      </c>
      <c r="C317" t="str">
        <f t="shared" si="84"/>
        <v>FFDFD3C0</v>
      </c>
      <c r="D317" t="s">
        <v>126</v>
      </c>
      <c r="E317">
        <v>3</v>
      </c>
      <c r="H317">
        <v>160</v>
      </c>
      <c r="I317" t="s">
        <v>121</v>
      </c>
      <c r="J317" t="s">
        <v>127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 t="shared" si="95"/>
        <v>22:10:41.000</v>
      </c>
      <c r="T317" t="str">
        <f t="shared" si="95"/>
        <v>22:10:41.000</v>
      </c>
      <c r="U317" t="str">
        <f t="shared" si="79"/>
        <v>A9D71F</v>
      </c>
      <c r="V317">
        <v>0</v>
      </c>
      <c r="W317">
        <v>0</v>
      </c>
      <c r="X317">
        <v>2</v>
      </c>
      <c r="Z317">
        <v>1</v>
      </c>
      <c r="AA317">
        <v>8</v>
      </c>
      <c r="AB317">
        <v>3</v>
      </c>
      <c r="AC317">
        <v>0</v>
      </c>
      <c r="AD317">
        <v>9</v>
      </c>
      <c r="AE317">
        <v>0</v>
      </c>
      <c r="AF317">
        <v>3</v>
      </c>
      <c r="AG317">
        <v>1</v>
      </c>
      <c r="AH317">
        <v>0</v>
      </c>
      <c r="AI317" t="s">
        <v>249</v>
      </c>
      <c r="AJ317">
        <v>33.187958999999999</v>
      </c>
      <c r="AK317" t="s">
        <v>256</v>
      </c>
      <c r="AL317">
        <v>-97.790980000000005</v>
      </c>
      <c r="AM317">
        <v>25</v>
      </c>
      <c r="AN317">
        <v>2300</v>
      </c>
      <c r="AO317" t="s">
        <v>118</v>
      </c>
      <c r="AP317">
        <v>89</v>
      </c>
      <c r="AQ317">
        <v>1</v>
      </c>
      <c r="AR317">
        <v>896</v>
      </c>
      <c r="AZ317">
        <v>1200</v>
      </c>
      <c r="BA317">
        <v>1</v>
      </c>
      <c r="BB317" t="str">
        <f t="shared" si="86"/>
        <v xml:space="preserve">N733KP  </v>
      </c>
      <c r="BC317">
        <v>1</v>
      </c>
      <c r="BE317">
        <v>0</v>
      </c>
      <c r="BF317">
        <v>0</v>
      </c>
      <c r="BG317">
        <v>0</v>
      </c>
      <c r="BH317">
        <v>2250</v>
      </c>
      <c r="BI317">
        <v>1</v>
      </c>
      <c r="BJ317">
        <v>1</v>
      </c>
      <c r="BK317">
        <v>0</v>
      </c>
      <c r="BL317">
        <v>0</v>
      </c>
      <c r="BO317">
        <v>0</v>
      </c>
      <c r="BP317">
        <v>0</v>
      </c>
      <c r="BW317" t="str">
        <f>"22:10:41.452"</f>
        <v>22:10:41.452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364</v>
      </c>
      <c r="CR317">
        <v>0</v>
      </c>
      <c r="CW317">
        <v>1376243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"03/24/2022 22:10:42.650"</f>
        <v>03/24/2022 22:10:42.650</v>
      </c>
      <c r="C318" t="str">
        <f t="shared" si="84"/>
        <v>FFDFD3C0</v>
      </c>
      <c r="D318" t="s">
        <v>123</v>
      </c>
      <c r="E318">
        <v>8</v>
      </c>
      <c r="H318">
        <v>31</v>
      </c>
      <c r="I318" t="s">
        <v>124</v>
      </c>
      <c r="J318" t="s">
        <v>125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 t="shared" ref="S318:T321" si="96">"22:10:42.000"</f>
        <v>22:10:42.000</v>
      </c>
      <c r="T318" t="str">
        <f t="shared" si="96"/>
        <v>22:10:42.000</v>
      </c>
      <c r="U318" t="str">
        <f t="shared" si="79"/>
        <v>A9D71F</v>
      </c>
      <c r="V318">
        <v>0</v>
      </c>
      <c r="W318">
        <v>0</v>
      </c>
      <c r="X318">
        <v>2</v>
      </c>
      <c r="Z318">
        <v>1</v>
      </c>
      <c r="AA318">
        <v>8</v>
      </c>
      <c r="AB318">
        <v>3</v>
      </c>
      <c r="AC318">
        <v>0</v>
      </c>
      <c r="AD318">
        <v>9</v>
      </c>
      <c r="AE318">
        <v>0</v>
      </c>
      <c r="AF318">
        <v>3</v>
      </c>
      <c r="AG318">
        <v>1</v>
      </c>
      <c r="AH318">
        <v>0</v>
      </c>
      <c r="AI318" t="s">
        <v>251</v>
      </c>
      <c r="AJ318">
        <v>33.187938000000003</v>
      </c>
      <c r="AK318" t="s">
        <v>257</v>
      </c>
      <c r="AL318">
        <v>-97.790486999999999</v>
      </c>
      <c r="AM318">
        <v>25</v>
      </c>
      <c r="AN318">
        <v>2300</v>
      </c>
      <c r="AO318" t="s">
        <v>118</v>
      </c>
      <c r="AP318">
        <v>90</v>
      </c>
      <c r="AQ318">
        <v>0</v>
      </c>
      <c r="AR318">
        <v>896</v>
      </c>
      <c r="AZ318">
        <v>1200</v>
      </c>
      <c r="BA318">
        <v>1</v>
      </c>
      <c r="BB318" t="str">
        <f t="shared" si="86"/>
        <v xml:space="preserve">N733KP  </v>
      </c>
      <c r="BC318">
        <v>1</v>
      </c>
      <c r="BE318">
        <v>0</v>
      </c>
      <c r="BF318">
        <v>0</v>
      </c>
      <c r="BG318">
        <v>0</v>
      </c>
      <c r="BH318">
        <v>2250</v>
      </c>
      <c r="BI318">
        <v>1</v>
      </c>
      <c r="BJ318">
        <v>1</v>
      </c>
      <c r="BK318">
        <v>0</v>
      </c>
      <c r="BL318">
        <v>0</v>
      </c>
      <c r="BO318">
        <v>0</v>
      </c>
      <c r="BP318">
        <v>0</v>
      </c>
      <c r="BW318" t="str">
        <f>"22:10:42.472"</f>
        <v>22:10:42.472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6</v>
      </c>
      <c r="CP318" t="s">
        <v>119</v>
      </c>
      <c r="CQ318">
        <v>364</v>
      </c>
      <c r="CR318">
        <v>0</v>
      </c>
      <c r="CW318">
        <v>1376377</v>
      </c>
      <c r="CY318">
        <v>1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"03/24/2022 22:10:42.650"</f>
        <v>03/24/2022 22:10:42.650</v>
      </c>
      <c r="C319" t="str">
        <f t="shared" si="84"/>
        <v>FFDFD3C0</v>
      </c>
      <c r="D319" t="s">
        <v>113</v>
      </c>
      <c r="E319">
        <v>24</v>
      </c>
      <c r="F319">
        <v>2024</v>
      </c>
      <c r="G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 t="shared" si="96"/>
        <v>22:10:42.000</v>
      </c>
      <c r="T319" t="str">
        <f t="shared" si="96"/>
        <v>22:10:42.000</v>
      </c>
      <c r="U319" t="str">
        <f t="shared" si="79"/>
        <v>A9D71F</v>
      </c>
      <c r="V319">
        <v>0</v>
      </c>
      <c r="W319">
        <v>0</v>
      </c>
      <c r="X319">
        <v>2</v>
      </c>
      <c r="Z319">
        <v>1</v>
      </c>
      <c r="AA319">
        <v>8</v>
      </c>
      <c r="AB319">
        <v>3</v>
      </c>
      <c r="AC319">
        <v>0</v>
      </c>
      <c r="AD319">
        <v>9</v>
      </c>
      <c r="AE319">
        <v>0</v>
      </c>
      <c r="AF319">
        <v>3</v>
      </c>
      <c r="AG319">
        <v>1</v>
      </c>
      <c r="AH319">
        <v>0</v>
      </c>
      <c r="AI319" t="s">
        <v>251</v>
      </c>
      <c r="AJ319">
        <v>33.187938000000003</v>
      </c>
      <c r="AK319" t="s">
        <v>257</v>
      </c>
      <c r="AL319">
        <v>-97.790486999999999</v>
      </c>
      <c r="AM319">
        <v>25</v>
      </c>
      <c r="AN319">
        <v>2300</v>
      </c>
      <c r="AO319" t="s">
        <v>118</v>
      </c>
      <c r="AP319">
        <v>90</v>
      </c>
      <c r="AQ319">
        <v>0</v>
      </c>
      <c r="AR319">
        <v>896</v>
      </c>
      <c r="AZ319">
        <v>1200</v>
      </c>
      <c r="BA319">
        <v>1</v>
      </c>
      <c r="BB319" t="str">
        <f t="shared" si="86"/>
        <v xml:space="preserve">N733KP  </v>
      </c>
      <c r="BC319">
        <v>1</v>
      </c>
      <c r="BE319">
        <v>0</v>
      </c>
      <c r="BF319">
        <v>0</v>
      </c>
      <c r="BG319">
        <v>0</v>
      </c>
      <c r="BH319">
        <v>2250</v>
      </c>
      <c r="BI319">
        <v>1</v>
      </c>
      <c r="BJ319">
        <v>1</v>
      </c>
      <c r="BK319">
        <v>0</v>
      </c>
      <c r="BL319">
        <v>0</v>
      </c>
      <c r="BO319">
        <v>0</v>
      </c>
      <c r="BP319">
        <v>0</v>
      </c>
      <c r="BW319" t="str">
        <f>"22:10:42.472"</f>
        <v>22:10:42.472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6</v>
      </c>
      <c r="CP319" t="s">
        <v>119</v>
      </c>
      <c r="CQ319">
        <v>364</v>
      </c>
      <c r="CR319">
        <v>0</v>
      </c>
      <c r="CW319">
        <v>1376377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"03/24/2022 22:10:42.666"</f>
        <v>03/24/2022 22:10:42.666</v>
      </c>
      <c r="C320" t="str">
        <f t="shared" si="84"/>
        <v>FFDFD3C0</v>
      </c>
      <c r="D320" t="s">
        <v>126</v>
      </c>
      <c r="E320">
        <v>3</v>
      </c>
      <c r="H320">
        <v>160</v>
      </c>
      <c r="I320" t="s">
        <v>121</v>
      </c>
      <c r="J320" t="s">
        <v>127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 t="shared" si="96"/>
        <v>22:10:42.000</v>
      </c>
      <c r="T320" t="str">
        <f t="shared" si="96"/>
        <v>22:10:42.000</v>
      </c>
      <c r="U320" t="str">
        <f t="shared" si="79"/>
        <v>A9D71F</v>
      </c>
      <c r="V320">
        <v>0</v>
      </c>
      <c r="W320">
        <v>0</v>
      </c>
      <c r="X320">
        <v>2</v>
      </c>
      <c r="Z320">
        <v>1</v>
      </c>
      <c r="AA320">
        <v>8</v>
      </c>
      <c r="AB320">
        <v>3</v>
      </c>
      <c r="AC320">
        <v>0</v>
      </c>
      <c r="AD320">
        <v>9</v>
      </c>
      <c r="AE320">
        <v>0</v>
      </c>
      <c r="AF320">
        <v>3</v>
      </c>
      <c r="AG320">
        <v>1</v>
      </c>
      <c r="AH320">
        <v>0</v>
      </c>
      <c r="AI320" t="s">
        <v>251</v>
      </c>
      <c r="AJ320">
        <v>33.187938000000003</v>
      </c>
      <c r="AK320" t="s">
        <v>257</v>
      </c>
      <c r="AL320">
        <v>-97.790486999999999</v>
      </c>
      <c r="AM320">
        <v>25</v>
      </c>
      <c r="AN320">
        <v>2300</v>
      </c>
      <c r="AO320" t="s">
        <v>118</v>
      </c>
      <c r="AP320">
        <v>90</v>
      </c>
      <c r="AQ320">
        <v>0</v>
      </c>
      <c r="AR320">
        <v>896</v>
      </c>
      <c r="AZ320">
        <v>1200</v>
      </c>
      <c r="BA320">
        <v>1</v>
      </c>
      <c r="BB320" t="str">
        <f t="shared" si="86"/>
        <v xml:space="preserve">N733KP  </v>
      </c>
      <c r="BC320">
        <v>1</v>
      </c>
      <c r="BE320">
        <v>0</v>
      </c>
      <c r="BF320">
        <v>0</v>
      </c>
      <c r="BG320">
        <v>0</v>
      </c>
      <c r="BH320">
        <v>2250</v>
      </c>
      <c r="BI320">
        <v>1</v>
      </c>
      <c r="BJ320">
        <v>1</v>
      </c>
      <c r="BK320">
        <v>0</v>
      </c>
      <c r="BL320">
        <v>0</v>
      </c>
      <c r="BO320">
        <v>0</v>
      </c>
      <c r="BP320">
        <v>0</v>
      </c>
      <c r="BW320" t="str">
        <f>"22:10:42.472"</f>
        <v>22:10:42.472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6</v>
      </c>
      <c r="CP320" t="s">
        <v>119</v>
      </c>
      <c r="CQ320">
        <v>364</v>
      </c>
      <c r="CR320">
        <v>0</v>
      </c>
      <c r="CW320">
        <v>1376377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"03/24/2022 22:10:42.697"</f>
        <v>03/24/2022 22:10:42.697</v>
      </c>
      <c r="C321" t="str">
        <f t="shared" si="84"/>
        <v>FFDFD3C0</v>
      </c>
      <c r="D321" t="s">
        <v>120</v>
      </c>
      <c r="E321">
        <v>14</v>
      </c>
      <c r="F321">
        <v>1014</v>
      </c>
      <c r="G321" t="s">
        <v>121</v>
      </c>
      <c r="J321" t="s">
        <v>122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 t="shared" si="96"/>
        <v>22:10:42.000</v>
      </c>
      <c r="T321" t="str">
        <f t="shared" si="96"/>
        <v>22:10:42.000</v>
      </c>
      <c r="U321" t="str">
        <f t="shared" si="79"/>
        <v>A9D71F</v>
      </c>
      <c r="V321">
        <v>0</v>
      </c>
      <c r="W321">
        <v>0</v>
      </c>
      <c r="X321">
        <v>2</v>
      </c>
      <c r="Z321">
        <v>1</v>
      </c>
      <c r="AA321">
        <v>8</v>
      </c>
      <c r="AB321">
        <v>3</v>
      </c>
      <c r="AC321">
        <v>0</v>
      </c>
      <c r="AD321">
        <v>9</v>
      </c>
      <c r="AE321">
        <v>0</v>
      </c>
      <c r="AF321">
        <v>3</v>
      </c>
      <c r="AG321">
        <v>1</v>
      </c>
      <c r="AH321">
        <v>0</v>
      </c>
      <c r="AI321" t="s">
        <v>251</v>
      </c>
      <c r="AJ321">
        <v>33.187938000000003</v>
      </c>
      <c r="AK321" t="s">
        <v>257</v>
      </c>
      <c r="AL321">
        <v>-97.790486999999999</v>
      </c>
      <c r="AM321">
        <v>25</v>
      </c>
      <c r="AN321">
        <v>2300</v>
      </c>
      <c r="AO321" t="s">
        <v>118</v>
      </c>
      <c r="AP321">
        <v>90</v>
      </c>
      <c r="AQ321">
        <v>0</v>
      </c>
      <c r="AR321">
        <v>896</v>
      </c>
      <c r="AZ321">
        <v>1200</v>
      </c>
      <c r="BA321">
        <v>1</v>
      </c>
      <c r="BB321" t="str">
        <f t="shared" si="86"/>
        <v xml:space="preserve">N733KP  </v>
      </c>
      <c r="BC321">
        <v>1</v>
      </c>
      <c r="BE321">
        <v>0</v>
      </c>
      <c r="BF321">
        <v>0</v>
      </c>
      <c r="BG321">
        <v>0</v>
      </c>
      <c r="BH321">
        <v>2250</v>
      </c>
      <c r="BI321">
        <v>1</v>
      </c>
      <c r="BJ321">
        <v>1</v>
      </c>
      <c r="BK321">
        <v>0</v>
      </c>
      <c r="BL321">
        <v>0</v>
      </c>
      <c r="BO321">
        <v>0</v>
      </c>
      <c r="BP321">
        <v>0</v>
      </c>
      <c r="BW321" t="str">
        <f>"22:10:42.472"</f>
        <v>22:10:42.472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6</v>
      </c>
      <c r="CP321" t="s">
        <v>119</v>
      </c>
      <c r="CQ321">
        <v>364</v>
      </c>
      <c r="CR321">
        <v>0</v>
      </c>
      <c r="CW321">
        <v>1376377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"03/24/2022 22:10:43.934"</f>
        <v>03/24/2022 22:10:43.934</v>
      </c>
      <c r="C322" t="str">
        <f t="shared" si="84"/>
        <v>FFDFD3C0</v>
      </c>
      <c r="D322" t="s">
        <v>123</v>
      </c>
      <c r="E322">
        <v>8</v>
      </c>
      <c r="H322">
        <v>31</v>
      </c>
      <c r="I322" t="s">
        <v>124</v>
      </c>
      <c r="J322" t="s">
        <v>125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 t="shared" ref="S322:T325" si="97">"22:10:43.000"</f>
        <v>22:10:43.000</v>
      </c>
      <c r="T322" t="str">
        <f t="shared" si="97"/>
        <v>22:10:43.000</v>
      </c>
      <c r="U322" t="str">
        <f t="shared" ref="U322:U385" si="98">"A9D71F"</f>
        <v>A9D71F</v>
      </c>
      <c r="V322">
        <v>0</v>
      </c>
      <c r="W322">
        <v>0</v>
      </c>
      <c r="X322">
        <v>2</v>
      </c>
      <c r="Z322">
        <v>1</v>
      </c>
      <c r="AA322">
        <v>8</v>
      </c>
      <c r="AB322">
        <v>3</v>
      </c>
      <c r="AC322">
        <v>0</v>
      </c>
      <c r="AD322">
        <v>9</v>
      </c>
      <c r="AE322">
        <v>0</v>
      </c>
      <c r="AF322">
        <v>3</v>
      </c>
      <c r="AG322">
        <v>1</v>
      </c>
      <c r="AH322">
        <v>0</v>
      </c>
      <c r="AI322" t="s">
        <v>251</v>
      </c>
      <c r="AJ322">
        <v>33.187938000000003</v>
      </c>
      <c r="AK322" t="s">
        <v>258</v>
      </c>
      <c r="AL322">
        <v>-97.790014999999997</v>
      </c>
      <c r="AM322">
        <v>25</v>
      </c>
      <c r="AN322">
        <v>2300</v>
      </c>
      <c r="AO322" t="s">
        <v>118</v>
      </c>
      <c r="AP322">
        <v>90</v>
      </c>
      <c r="AQ322">
        <v>0</v>
      </c>
      <c r="AR322">
        <v>832</v>
      </c>
      <c r="AZ322">
        <v>1200</v>
      </c>
      <c r="BA322">
        <v>1</v>
      </c>
      <c r="BB322" t="str">
        <f t="shared" si="86"/>
        <v xml:space="preserve">N733KP  </v>
      </c>
      <c r="BC322">
        <v>1</v>
      </c>
      <c r="BE322">
        <v>0</v>
      </c>
      <c r="BF322">
        <v>0</v>
      </c>
      <c r="BG322">
        <v>0</v>
      </c>
      <c r="BH322">
        <v>2275</v>
      </c>
      <c r="BI322">
        <v>1</v>
      </c>
      <c r="BJ322">
        <v>1</v>
      </c>
      <c r="BK322">
        <v>0</v>
      </c>
      <c r="BL322">
        <v>0</v>
      </c>
      <c r="BO322">
        <v>0</v>
      </c>
      <c r="BP322">
        <v>0</v>
      </c>
      <c r="BW322" t="str">
        <f>"22:10:43.648"</f>
        <v>22:10:43.648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364</v>
      </c>
      <c r="CR322">
        <v>0</v>
      </c>
      <c r="CW322">
        <v>1376527</v>
      </c>
      <c r="CY322">
        <v>1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"03/24/2022 22:10:43.934"</f>
        <v>03/24/2022 22:10:43.934</v>
      </c>
      <c r="C323" t="str">
        <f t="shared" si="84"/>
        <v>FFDFD3C0</v>
      </c>
      <c r="D323" t="s">
        <v>113</v>
      </c>
      <c r="E323">
        <v>24</v>
      </c>
      <c r="F323">
        <v>2024</v>
      </c>
      <c r="G323" t="s">
        <v>114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 t="shared" si="97"/>
        <v>22:10:43.000</v>
      </c>
      <c r="T323" t="str">
        <f t="shared" si="97"/>
        <v>22:10:43.000</v>
      </c>
      <c r="U323" t="str">
        <f t="shared" si="98"/>
        <v>A9D71F</v>
      </c>
      <c r="V323">
        <v>0</v>
      </c>
      <c r="W323">
        <v>0</v>
      </c>
      <c r="X323">
        <v>2</v>
      </c>
      <c r="Z323">
        <v>1</v>
      </c>
      <c r="AA323">
        <v>8</v>
      </c>
      <c r="AB323">
        <v>3</v>
      </c>
      <c r="AC323">
        <v>0</v>
      </c>
      <c r="AD323">
        <v>9</v>
      </c>
      <c r="AE323">
        <v>0</v>
      </c>
      <c r="AF323">
        <v>3</v>
      </c>
      <c r="AG323">
        <v>1</v>
      </c>
      <c r="AH323">
        <v>0</v>
      </c>
      <c r="AI323" t="s">
        <v>251</v>
      </c>
      <c r="AJ323">
        <v>33.187938000000003</v>
      </c>
      <c r="AK323" t="s">
        <v>258</v>
      </c>
      <c r="AL323">
        <v>-97.790014999999997</v>
      </c>
      <c r="AM323">
        <v>25</v>
      </c>
      <c r="AN323">
        <v>2300</v>
      </c>
      <c r="AO323" t="s">
        <v>118</v>
      </c>
      <c r="AP323">
        <v>90</v>
      </c>
      <c r="AQ323">
        <v>0</v>
      </c>
      <c r="AR323">
        <v>832</v>
      </c>
      <c r="AZ323">
        <v>1200</v>
      </c>
      <c r="BA323">
        <v>1</v>
      </c>
      <c r="BB323" t="str">
        <f t="shared" si="86"/>
        <v xml:space="preserve">N733KP  </v>
      </c>
      <c r="BC323">
        <v>1</v>
      </c>
      <c r="BE323">
        <v>0</v>
      </c>
      <c r="BF323">
        <v>0</v>
      </c>
      <c r="BG323">
        <v>0</v>
      </c>
      <c r="BH323">
        <v>2275</v>
      </c>
      <c r="BI323">
        <v>1</v>
      </c>
      <c r="BJ323">
        <v>1</v>
      </c>
      <c r="BK323">
        <v>0</v>
      </c>
      <c r="BL323">
        <v>0</v>
      </c>
      <c r="BO323">
        <v>0</v>
      </c>
      <c r="BP323">
        <v>0</v>
      </c>
      <c r="BW323" t="str">
        <f>"22:10:43.648"</f>
        <v>22:10:43.648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364</v>
      </c>
      <c r="CR323">
        <v>0</v>
      </c>
      <c r="CW323">
        <v>1376527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"03/24/2022 22:10:43.934"</f>
        <v>03/24/2022 22:10:43.934</v>
      </c>
      <c r="C324" t="str">
        <f t="shared" si="84"/>
        <v>FFDFD3C0</v>
      </c>
      <c r="D324" t="s">
        <v>126</v>
      </c>
      <c r="E324">
        <v>3</v>
      </c>
      <c r="H324">
        <v>160</v>
      </c>
      <c r="I324" t="s">
        <v>121</v>
      </c>
      <c r="J324" t="s">
        <v>127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 t="shared" si="97"/>
        <v>22:10:43.000</v>
      </c>
      <c r="T324" t="str">
        <f t="shared" si="97"/>
        <v>22:10:43.000</v>
      </c>
      <c r="U324" t="str">
        <f t="shared" si="98"/>
        <v>A9D71F</v>
      </c>
      <c r="V324">
        <v>0</v>
      </c>
      <c r="W324">
        <v>0</v>
      </c>
      <c r="X324">
        <v>2</v>
      </c>
      <c r="Z324">
        <v>1</v>
      </c>
      <c r="AA324">
        <v>8</v>
      </c>
      <c r="AB324">
        <v>3</v>
      </c>
      <c r="AC324">
        <v>0</v>
      </c>
      <c r="AD324">
        <v>9</v>
      </c>
      <c r="AE324">
        <v>0</v>
      </c>
      <c r="AF324">
        <v>3</v>
      </c>
      <c r="AG324">
        <v>1</v>
      </c>
      <c r="AH324">
        <v>0</v>
      </c>
      <c r="AI324" t="s">
        <v>251</v>
      </c>
      <c r="AJ324">
        <v>33.187938000000003</v>
      </c>
      <c r="AK324" t="s">
        <v>258</v>
      </c>
      <c r="AL324">
        <v>-97.790014999999997</v>
      </c>
      <c r="AM324">
        <v>25</v>
      </c>
      <c r="AN324">
        <v>2300</v>
      </c>
      <c r="AO324" t="s">
        <v>118</v>
      </c>
      <c r="AP324">
        <v>90</v>
      </c>
      <c r="AQ324">
        <v>0</v>
      </c>
      <c r="AR324">
        <v>832</v>
      </c>
      <c r="AZ324">
        <v>1200</v>
      </c>
      <c r="BA324">
        <v>1</v>
      </c>
      <c r="BB324" t="str">
        <f t="shared" si="86"/>
        <v xml:space="preserve">N733KP  </v>
      </c>
      <c r="BC324">
        <v>1</v>
      </c>
      <c r="BE324">
        <v>0</v>
      </c>
      <c r="BF324">
        <v>0</v>
      </c>
      <c r="BG324">
        <v>0</v>
      </c>
      <c r="BH324">
        <v>2275</v>
      </c>
      <c r="BI324">
        <v>1</v>
      </c>
      <c r="BJ324">
        <v>1</v>
      </c>
      <c r="BK324">
        <v>0</v>
      </c>
      <c r="BL324">
        <v>0</v>
      </c>
      <c r="BO324">
        <v>0</v>
      </c>
      <c r="BP324">
        <v>0</v>
      </c>
      <c r="BW324" t="str">
        <f>"22:10:43.648"</f>
        <v>22:10:43.648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364</v>
      </c>
      <c r="CR324">
        <v>0</v>
      </c>
      <c r="CW324">
        <v>1376527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"03/24/2022 22:10:43.965"</f>
        <v>03/24/2022 22:10:43.965</v>
      </c>
      <c r="C325" t="str">
        <f t="shared" si="84"/>
        <v>FFDFD3C0</v>
      </c>
      <c r="D325" t="s">
        <v>120</v>
      </c>
      <c r="E325">
        <v>14</v>
      </c>
      <c r="F325">
        <v>1014</v>
      </c>
      <c r="G325" t="s">
        <v>121</v>
      </c>
      <c r="J325" t="s">
        <v>122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 t="shared" si="97"/>
        <v>22:10:43.000</v>
      </c>
      <c r="T325" t="str">
        <f t="shared" si="97"/>
        <v>22:10:43.000</v>
      </c>
      <c r="U325" t="str">
        <f t="shared" si="98"/>
        <v>A9D71F</v>
      </c>
      <c r="V325">
        <v>0</v>
      </c>
      <c r="W325">
        <v>0</v>
      </c>
      <c r="X325">
        <v>2</v>
      </c>
      <c r="Z325">
        <v>1</v>
      </c>
      <c r="AA325">
        <v>8</v>
      </c>
      <c r="AB325">
        <v>3</v>
      </c>
      <c r="AC325">
        <v>0</v>
      </c>
      <c r="AD325">
        <v>9</v>
      </c>
      <c r="AE325">
        <v>0</v>
      </c>
      <c r="AF325">
        <v>3</v>
      </c>
      <c r="AG325">
        <v>1</v>
      </c>
      <c r="AH325">
        <v>0</v>
      </c>
      <c r="AI325" t="s">
        <v>251</v>
      </c>
      <c r="AJ325">
        <v>33.187938000000003</v>
      </c>
      <c r="AK325" t="s">
        <v>258</v>
      </c>
      <c r="AL325">
        <v>-97.790014999999997</v>
      </c>
      <c r="AM325">
        <v>25</v>
      </c>
      <c r="AN325">
        <v>2300</v>
      </c>
      <c r="AO325" t="s">
        <v>118</v>
      </c>
      <c r="AP325">
        <v>90</v>
      </c>
      <c r="AQ325">
        <v>0</v>
      </c>
      <c r="AR325">
        <v>832</v>
      </c>
      <c r="AZ325">
        <v>1200</v>
      </c>
      <c r="BA325">
        <v>1</v>
      </c>
      <c r="BB325" t="str">
        <f t="shared" si="86"/>
        <v xml:space="preserve">N733KP  </v>
      </c>
      <c r="BC325">
        <v>1</v>
      </c>
      <c r="BE325">
        <v>0</v>
      </c>
      <c r="BF325">
        <v>0</v>
      </c>
      <c r="BG325">
        <v>0</v>
      </c>
      <c r="BH325">
        <v>2275</v>
      </c>
      <c r="BI325">
        <v>1</v>
      </c>
      <c r="BJ325">
        <v>1</v>
      </c>
      <c r="BK325">
        <v>0</v>
      </c>
      <c r="BL325">
        <v>0</v>
      </c>
      <c r="BO325">
        <v>0</v>
      </c>
      <c r="BP325">
        <v>0</v>
      </c>
      <c r="BW325" t="str">
        <f>"22:10:43.648"</f>
        <v>22:10:43.648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364</v>
      </c>
      <c r="CR325">
        <v>0</v>
      </c>
      <c r="CW325">
        <v>1376527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"03/24/2022 22:10:45.095"</f>
        <v>03/24/2022 22:10:45.095</v>
      </c>
      <c r="C326" t="str">
        <f t="shared" si="84"/>
        <v>FFDFD3C0</v>
      </c>
      <c r="D326" t="s">
        <v>123</v>
      </c>
      <c r="E326">
        <v>8</v>
      </c>
      <c r="H326">
        <v>31</v>
      </c>
      <c r="I326" t="s">
        <v>124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 t="shared" ref="S326:T329" si="99">"22:10:44.000"</f>
        <v>22:10:44.000</v>
      </c>
      <c r="T326" t="str">
        <f t="shared" si="99"/>
        <v>22:10:44.000</v>
      </c>
      <c r="U326" t="str">
        <f t="shared" si="98"/>
        <v>A9D71F</v>
      </c>
      <c r="V326">
        <v>0</v>
      </c>
      <c r="W326">
        <v>0</v>
      </c>
      <c r="X326">
        <v>2</v>
      </c>
      <c r="Z326">
        <v>1</v>
      </c>
      <c r="AA326">
        <v>8</v>
      </c>
      <c r="AB326">
        <v>3</v>
      </c>
      <c r="AC326">
        <v>0</v>
      </c>
      <c r="AD326">
        <v>9</v>
      </c>
      <c r="AE326">
        <v>0</v>
      </c>
      <c r="AF326">
        <v>3</v>
      </c>
      <c r="AG326">
        <v>1</v>
      </c>
      <c r="AH326">
        <v>0</v>
      </c>
      <c r="AI326" t="s">
        <v>249</v>
      </c>
      <c r="AJ326">
        <v>33.187958999999999</v>
      </c>
      <c r="AK326" t="s">
        <v>259</v>
      </c>
      <c r="AL326">
        <v>-97.789520999999993</v>
      </c>
      <c r="AM326">
        <v>25</v>
      </c>
      <c r="AN326">
        <v>2400</v>
      </c>
      <c r="AO326" t="s">
        <v>118</v>
      </c>
      <c r="AP326">
        <v>88</v>
      </c>
      <c r="AQ326">
        <v>-1</v>
      </c>
      <c r="AR326">
        <v>896</v>
      </c>
      <c r="AZ326">
        <v>1200</v>
      </c>
      <c r="BA326">
        <v>1</v>
      </c>
      <c r="BB326" t="str">
        <f t="shared" si="86"/>
        <v xml:space="preserve">N733KP  </v>
      </c>
      <c r="BC326">
        <v>1</v>
      </c>
      <c r="BE326">
        <v>0</v>
      </c>
      <c r="BF326">
        <v>0</v>
      </c>
      <c r="BG326">
        <v>0</v>
      </c>
      <c r="BH326">
        <v>2275</v>
      </c>
      <c r="BI326">
        <v>1</v>
      </c>
      <c r="BJ326">
        <v>1</v>
      </c>
      <c r="BK326">
        <v>0</v>
      </c>
      <c r="BL326">
        <v>0</v>
      </c>
      <c r="BO326">
        <v>0</v>
      </c>
      <c r="BP326">
        <v>0</v>
      </c>
      <c r="BW326" t="str">
        <f>"22:10:44.867"</f>
        <v>22:10:44.867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364</v>
      </c>
      <c r="CR326">
        <v>0</v>
      </c>
      <c r="CW326">
        <v>1376687</v>
      </c>
      <c r="CY326">
        <v>1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"03/24/2022 22:10:45.095"</f>
        <v>03/24/2022 22:10:45.095</v>
      </c>
      <c r="C327" t="str">
        <f t="shared" si="84"/>
        <v>FFDFD3C0</v>
      </c>
      <c r="D327" t="s">
        <v>113</v>
      </c>
      <c r="E327">
        <v>24</v>
      </c>
      <c r="F327">
        <v>2024</v>
      </c>
      <c r="G327" t="s">
        <v>114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 t="shared" si="99"/>
        <v>22:10:44.000</v>
      </c>
      <c r="T327" t="str">
        <f t="shared" si="99"/>
        <v>22:10:44.000</v>
      </c>
      <c r="U327" t="str">
        <f t="shared" si="98"/>
        <v>A9D71F</v>
      </c>
      <c r="V327">
        <v>0</v>
      </c>
      <c r="W327">
        <v>0</v>
      </c>
      <c r="X327">
        <v>2</v>
      </c>
      <c r="Z327">
        <v>1</v>
      </c>
      <c r="AA327">
        <v>8</v>
      </c>
      <c r="AB327">
        <v>3</v>
      </c>
      <c r="AC327">
        <v>0</v>
      </c>
      <c r="AD327">
        <v>9</v>
      </c>
      <c r="AE327">
        <v>0</v>
      </c>
      <c r="AF327">
        <v>3</v>
      </c>
      <c r="AG327">
        <v>1</v>
      </c>
      <c r="AH327">
        <v>0</v>
      </c>
      <c r="AI327" t="s">
        <v>249</v>
      </c>
      <c r="AJ327">
        <v>33.187958999999999</v>
      </c>
      <c r="AK327" t="s">
        <v>259</v>
      </c>
      <c r="AL327">
        <v>-97.789520999999993</v>
      </c>
      <c r="AM327">
        <v>25</v>
      </c>
      <c r="AN327">
        <v>2400</v>
      </c>
      <c r="AO327" t="s">
        <v>118</v>
      </c>
      <c r="AP327">
        <v>88</v>
      </c>
      <c r="AQ327">
        <v>-1</v>
      </c>
      <c r="AR327">
        <v>896</v>
      </c>
      <c r="AZ327">
        <v>1200</v>
      </c>
      <c r="BA327">
        <v>1</v>
      </c>
      <c r="BB327" t="str">
        <f t="shared" si="86"/>
        <v xml:space="preserve">N733KP  </v>
      </c>
      <c r="BC327">
        <v>1</v>
      </c>
      <c r="BE327">
        <v>0</v>
      </c>
      <c r="BF327">
        <v>0</v>
      </c>
      <c r="BG327">
        <v>0</v>
      </c>
      <c r="BH327">
        <v>2275</v>
      </c>
      <c r="BI327">
        <v>1</v>
      </c>
      <c r="BJ327">
        <v>1</v>
      </c>
      <c r="BK327">
        <v>0</v>
      </c>
      <c r="BL327">
        <v>0</v>
      </c>
      <c r="BO327">
        <v>0</v>
      </c>
      <c r="BP327">
        <v>0</v>
      </c>
      <c r="BW327" t="str">
        <f>"22:10:44.867"</f>
        <v>22:10:44.867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364</v>
      </c>
      <c r="CR327">
        <v>0</v>
      </c>
      <c r="CW327">
        <v>1376687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"03/24/2022 22:10:45.095"</f>
        <v>03/24/2022 22:10:45.095</v>
      </c>
      <c r="C328" t="str">
        <f t="shared" si="84"/>
        <v>FFDFD3C0</v>
      </c>
      <c r="D328" t="s">
        <v>126</v>
      </c>
      <c r="E328">
        <v>3</v>
      </c>
      <c r="H328">
        <v>160</v>
      </c>
      <c r="I328" t="s">
        <v>121</v>
      </c>
      <c r="J328" t="s">
        <v>127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 t="shared" si="99"/>
        <v>22:10:44.000</v>
      </c>
      <c r="T328" t="str">
        <f t="shared" si="99"/>
        <v>22:10:44.000</v>
      </c>
      <c r="U328" t="str">
        <f t="shared" si="98"/>
        <v>A9D71F</v>
      </c>
      <c r="V328">
        <v>0</v>
      </c>
      <c r="W328">
        <v>0</v>
      </c>
      <c r="X328">
        <v>2</v>
      </c>
      <c r="Z328">
        <v>1</v>
      </c>
      <c r="AA328">
        <v>8</v>
      </c>
      <c r="AB328">
        <v>3</v>
      </c>
      <c r="AC328">
        <v>0</v>
      </c>
      <c r="AD328">
        <v>9</v>
      </c>
      <c r="AE328">
        <v>0</v>
      </c>
      <c r="AF328">
        <v>3</v>
      </c>
      <c r="AG328">
        <v>1</v>
      </c>
      <c r="AH328">
        <v>0</v>
      </c>
      <c r="AI328" t="s">
        <v>249</v>
      </c>
      <c r="AJ328">
        <v>33.187958999999999</v>
      </c>
      <c r="AK328" t="s">
        <v>259</v>
      </c>
      <c r="AL328">
        <v>-97.789520999999993</v>
      </c>
      <c r="AM328">
        <v>25</v>
      </c>
      <c r="AN328">
        <v>2400</v>
      </c>
      <c r="AO328" t="s">
        <v>118</v>
      </c>
      <c r="AP328">
        <v>88</v>
      </c>
      <c r="AQ328">
        <v>-1</v>
      </c>
      <c r="AR328">
        <v>896</v>
      </c>
      <c r="AZ328">
        <v>1200</v>
      </c>
      <c r="BA328">
        <v>1</v>
      </c>
      <c r="BB328" t="str">
        <f t="shared" si="86"/>
        <v xml:space="preserve">N733KP  </v>
      </c>
      <c r="BC328">
        <v>1</v>
      </c>
      <c r="BE328">
        <v>0</v>
      </c>
      <c r="BF328">
        <v>0</v>
      </c>
      <c r="BG328">
        <v>0</v>
      </c>
      <c r="BH328">
        <v>2275</v>
      </c>
      <c r="BI328">
        <v>1</v>
      </c>
      <c r="BJ328">
        <v>1</v>
      </c>
      <c r="BK328">
        <v>0</v>
      </c>
      <c r="BL328">
        <v>0</v>
      </c>
      <c r="BO328">
        <v>0</v>
      </c>
      <c r="BP328">
        <v>0</v>
      </c>
      <c r="BW328" t="str">
        <f>"22:10:44.867"</f>
        <v>22:10:44.867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364</v>
      </c>
      <c r="CR328">
        <v>0</v>
      </c>
      <c r="CW328">
        <v>1376687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"03/24/2022 22:10:45.095"</f>
        <v>03/24/2022 22:10:45.095</v>
      </c>
      <c r="C329" t="str">
        <f t="shared" si="84"/>
        <v>FFDFD3C0</v>
      </c>
      <c r="D329" t="s">
        <v>120</v>
      </c>
      <c r="E329">
        <v>14</v>
      </c>
      <c r="F329">
        <v>1014</v>
      </c>
      <c r="G329" t="s">
        <v>121</v>
      </c>
      <c r="J329" t="s">
        <v>122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 t="shared" si="99"/>
        <v>22:10:44.000</v>
      </c>
      <c r="T329" t="str">
        <f t="shared" si="99"/>
        <v>22:10:44.000</v>
      </c>
      <c r="U329" t="str">
        <f t="shared" si="98"/>
        <v>A9D71F</v>
      </c>
      <c r="V329">
        <v>0</v>
      </c>
      <c r="W329">
        <v>0</v>
      </c>
      <c r="X329">
        <v>2</v>
      </c>
      <c r="Z329">
        <v>1</v>
      </c>
      <c r="AA329">
        <v>8</v>
      </c>
      <c r="AB329">
        <v>3</v>
      </c>
      <c r="AC329">
        <v>0</v>
      </c>
      <c r="AD329">
        <v>9</v>
      </c>
      <c r="AE329">
        <v>0</v>
      </c>
      <c r="AF329">
        <v>3</v>
      </c>
      <c r="AG329">
        <v>1</v>
      </c>
      <c r="AH329">
        <v>0</v>
      </c>
      <c r="AI329" t="s">
        <v>249</v>
      </c>
      <c r="AJ329">
        <v>33.187958999999999</v>
      </c>
      <c r="AK329" t="s">
        <v>259</v>
      </c>
      <c r="AL329">
        <v>-97.789520999999993</v>
      </c>
      <c r="AM329">
        <v>25</v>
      </c>
      <c r="AN329">
        <v>2400</v>
      </c>
      <c r="AO329" t="s">
        <v>118</v>
      </c>
      <c r="AP329">
        <v>88</v>
      </c>
      <c r="AQ329">
        <v>-1</v>
      </c>
      <c r="AR329">
        <v>896</v>
      </c>
      <c r="AZ329">
        <v>1200</v>
      </c>
      <c r="BA329">
        <v>1</v>
      </c>
      <c r="BB329" t="str">
        <f t="shared" si="86"/>
        <v xml:space="preserve">N733KP  </v>
      </c>
      <c r="BC329">
        <v>1</v>
      </c>
      <c r="BE329">
        <v>0</v>
      </c>
      <c r="BF329">
        <v>0</v>
      </c>
      <c r="BG329">
        <v>0</v>
      </c>
      <c r="BH329">
        <v>2275</v>
      </c>
      <c r="BI329">
        <v>1</v>
      </c>
      <c r="BJ329">
        <v>1</v>
      </c>
      <c r="BK329">
        <v>0</v>
      </c>
      <c r="BL329">
        <v>0</v>
      </c>
      <c r="BO329">
        <v>0</v>
      </c>
      <c r="BP329">
        <v>0</v>
      </c>
      <c r="BW329" t="str">
        <f>"22:10:44.867"</f>
        <v>22:10:44.867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364</v>
      </c>
      <c r="CR329">
        <v>0</v>
      </c>
      <c r="CW329">
        <v>1376687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"03/24/2022 22:10:45.626"</f>
        <v>03/24/2022 22:10:45.626</v>
      </c>
      <c r="C330" t="str">
        <f t="shared" si="84"/>
        <v>FFDFD3C0</v>
      </c>
      <c r="D330" t="s">
        <v>123</v>
      </c>
      <c r="E330">
        <v>8</v>
      </c>
      <c r="H330">
        <v>31</v>
      </c>
      <c r="I330" t="s">
        <v>124</v>
      </c>
      <c r="J330" t="s">
        <v>125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 t="shared" ref="S330:T333" si="100">"22:10:45.000"</f>
        <v>22:10:45.000</v>
      </c>
      <c r="T330" t="str">
        <f t="shared" si="100"/>
        <v>22:10:45.000</v>
      </c>
      <c r="U330" t="str">
        <f t="shared" si="98"/>
        <v>A9D71F</v>
      </c>
      <c r="V330">
        <v>0</v>
      </c>
      <c r="W330">
        <v>0</v>
      </c>
      <c r="X330">
        <v>2</v>
      </c>
      <c r="Z330">
        <v>1</v>
      </c>
      <c r="AA330">
        <v>8</v>
      </c>
      <c r="AB330">
        <v>3</v>
      </c>
      <c r="AC330">
        <v>0</v>
      </c>
      <c r="AD330">
        <v>9</v>
      </c>
      <c r="AE330">
        <v>0</v>
      </c>
      <c r="AF330">
        <v>3</v>
      </c>
      <c r="AG330">
        <v>1</v>
      </c>
      <c r="AH330">
        <v>0</v>
      </c>
      <c r="AI330" t="s">
        <v>251</v>
      </c>
      <c r="AJ330">
        <v>33.187938000000003</v>
      </c>
      <c r="AK330" t="s">
        <v>260</v>
      </c>
      <c r="AL330">
        <v>-97.789028000000002</v>
      </c>
      <c r="AM330">
        <v>25</v>
      </c>
      <c r="AN330">
        <v>2400</v>
      </c>
      <c r="AO330" t="s">
        <v>118</v>
      </c>
      <c r="AP330">
        <v>88</v>
      </c>
      <c r="AQ330">
        <v>0</v>
      </c>
      <c r="AR330">
        <v>896</v>
      </c>
      <c r="AZ330">
        <v>1200</v>
      </c>
      <c r="BA330">
        <v>1</v>
      </c>
      <c r="BB330" t="str">
        <f t="shared" si="86"/>
        <v xml:space="preserve">N733KP  </v>
      </c>
      <c r="BC330">
        <v>1</v>
      </c>
      <c r="BE330">
        <v>0</v>
      </c>
      <c r="BF330">
        <v>0</v>
      </c>
      <c r="BG330">
        <v>0</v>
      </c>
      <c r="BH330">
        <v>2275</v>
      </c>
      <c r="BI330">
        <v>1</v>
      </c>
      <c r="BJ330">
        <v>1</v>
      </c>
      <c r="BK330">
        <v>0</v>
      </c>
      <c r="BL330">
        <v>0</v>
      </c>
      <c r="BO330">
        <v>0</v>
      </c>
      <c r="BP330">
        <v>0</v>
      </c>
      <c r="BW330" t="str">
        <f>"22:10:45.454"</f>
        <v>22:10:45.454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6</v>
      </c>
      <c r="CP330" t="s">
        <v>119</v>
      </c>
      <c r="CQ330">
        <v>364</v>
      </c>
      <c r="CR330">
        <v>0</v>
      </c>
      <c r="CW330">
        <v>1376758</v>
      </c>
      <c r="CY330">
        <v>1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"03/24/2022 22:10:45.657"</f>
        <v>03/24/2022 22:10:45.657</v>
      </c>
      <c r="C331" t="str">
        <f t="shared" si="84"/>
        <v>FFDFD3C0</v>
      </c>
      <c r="D331" t="s">
        <v>113</v>
      </c>
      <c r="E331">
        <v>24</v>
      </c>
      <c r="F331">
        <v>2024</v>
      </c>
      <c r="G331" t="s">
        <v>114</v>
      </c>
      <c r="J331" t="s">
        <v>115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 t="shared" si="100"/>
        <v>22:10:45.000</v>
      </c>
      <c r="T331" t="str">
        <f t="shared" si="100"/>
        <v>22:10:45.000</v>
      </c>
      <c r="U331" t="str">
        <f t="shared" si="98"/>
        <v>A9D71F</v>
      </c>
      <c r="V331">
        <v>0</v>
      </c>
      <c r="W331">
        <v>0</v>
      </c>
      <c r="X331">
        <v>2</v>
      </c>
      <c r="Z331">
        <v>1</v>
      </c>
      <c r="AA331">
        <v>8</v>
      </c>
      <c r="AB331">
        <v>3</v>
      </c>
      <c r="AC331">
        <v>0</v>
      </c>
      <c r="AD331">
        <v>9</v>
      </c>
      <c r="AE331">
        <v>0</v>
      </c>
      <c r="AF331">
        <v>3</v>
      </c>
      <c r="AG331">
        <v>1</v>
      </c>
      <c r="AH331">
        <v>0</v>
      </c>
      <c r="AI331" t="s">
        <v>251</v>
      </c>
      <c r="AJ331">
        <v>33.187938000000003</v>
      </c>
      <c r="AK331" t="s">
        <v>260</v>
      </c>
      <c r="AL331">
        <v>-97.789028000000002</v>
      </c>
      <c r="AM331">
        <v>25</v>
      </c>
      <c r="AN331">
        <v>2400</v>
      </c>
      <c r="AO331" t="s">
        <v>118</v>
      </c>
      <c r="AP331">
        <v>88</v>
      </c>
      <c r="AQ331">
        <v>0</v>
      </c>
      <c r="AR331">
        <v>896</v>
      </c>
      <c r="AZ331">
        <v>1200</v>
      </c>
      <c r="BA331">
        <v>1</v>
      </c>
      <c r="BB331" t="str">
        <f t="shared" si="86"/>
        <v xml:space="preserve">N733KP  </v>
      </c>
      <c r="BC331">
        <v>1</v>
      </c>
      <c r="BE331">
        <v>0</v>
      </c>
      <c r="BF331">
        <v>0</v>
      </c>
      <c r="BG331">
        <v>0</v>
      </c>
      <c r="BH331">
        <v>2275</v>
      </c>
      <c r="BI331">
        <v>1</v>
      </c>
      <c r="BJ331">
        <v>1</v>
      </c>
      <c r="BK331">
        <v>0</v>
      </c>
      <c r="BL331">
        <v>0</v>
      </c>
      <c r="BO331">
        <v>0</v>
      </c>
      <c r="BP331">
        <v>0</v>
      </c>
      <c r="BW331" t="str">
        <f>"22:10:45.454"</f>
        <v>22:10:45.454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6</v>
      </c>
      <c r="CP331" t="s">
        <v>119</v>
      </c>
      <c r="CQ331">
        <v>364</v>
      </c>
      <c r="CR331">
        <v>0</v>
      </c>
      <c r="CW331">
        <v>1376758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"03/24/2022 22:10:45.657"</f>
        <v>03/24/2022 22:10:45.657</v>
      </c>
      <c r="C332" t="str">
        <f t="shared" si="84"/>
        <v>FFDFD3C0</v>
      </c>
      <c r="D332" t="s">
        <v>126</v>
      </c>
      <c r="E332">
        <v>3</v>
      </c>
      <c r="H332">
        <v>160</v>
      </c>
      <c r="I332" t="s">
        <v>121</v>
      </c>
      <c r="J332" t="s">
        <v>127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 t="shared" si="100"/>
        <v>22:10:45.000</v>
      </c>
      <c r="T332" t="str">
        <f t="shared" si="100"/>
        <v>22:10:45.000</v>
      </c>
      <c r="U332" t="str">
        <f t="shared" si="98"/>
        <v>A9D71F</v>
      </c>
      <c r="V332">
        <v>0</v>
      </c>
      <c r="W332">
        <v>0</v>
      </c>
      <c r="X332">
        <v>2</v>
      </c>
      <c r="Z332">
        <v>1</v>
      </c>
      <c r="AA332">
        <v>8</v>
      </c>
      <c r="AB332">
        <v>3</v>
      </c>
      <c r="AC332">
        <v>0</v>
      </c>
      <c r="AD332">
        <v>9</v>
      </c>
      <c r="AE332">
        <v>0</v>
      </c>
      <c r="AF332">
        <v>3</v>
      </c>
      <c r="AG332">
        <v>1</v>
      </c>
      <c r="AH332">
        <v>0</v>
      </c>
      <c r="AI332" t="s">
        <v>251</v>
      </c>
      <c r="AJ332">
        <v>33.187938000000003</v>
      </c>
      <c r="AK332" t="s">
        <v>260</v>
      </c>
      <c r="AL332">
        <v>-97.789028000000002</v>
      </c>
      <c r="AM332">
        <v>25</v>
      </c>
      <c r="AN332">
        <v>2400</v>
      </c>
      <c r="AO332" t="s">
        <v>118</v>
      </c>
      <c r="AP332">
        <v>88</v>
      </c>
      <c r="AQ332">
        <v>0</v>
      </c>
      <c r="AR332">
        <v>896</v>
      </c>
      <c r="AZ332">
        <v>1200</v>
      </c>
      <c r="BA332">
        <v>1</v>
      </c>
      <c r="BB332" t="str">
        <f t="shared" si="86"/>
        <v xml:space="preserve">N733KP  </v>
      </c>
      <c r="BC332">
        <v>1</v>
      </c>
      <c r="BE332">
        <v>0</v>
      </c>
      <c r="BF332">
        <v>0</v>
      </c>
      <c r="BG332">
        <v>0</v>
      </c>
      <c r="BH332">
        <v>2275</v>
      </c>
      <c r="BI332">
        <v>1</v>
      </c>
      <c r="BJ332">
        <v>1</v>
      </c>
      <c r="BK332">
        <v>0</v>
      </c>
      <c r="BL332">
        <v>0</v>
      </c>
      <c r="BO332">
        <v>0</v>
      </c>
      <c r="BP332">
        <v>0</v>
      </c>
      <c r="BW332" t="str">
        <f>"22:10:45.454"</f>
        <v>22:10:45.454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6</v>
      </c>
      <c r="CP332" t="s">
        <v>119</v>
      </c>
      <c r="CQ332">
        <v>364</v>
      </c>
      <c r="CR332">
        <v>0</v>
      </c>
      <c r="CW332">
        <v>1376758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"03/24/2022 22:10:45.751"</f>
        <v>03/24/2022 22:10:45.751</v>
      </c>
      <c r="C333" t="str">
        <f t="shared" si="84"/>
        <v>FFDFD3C0</v>
      </c>
      <c r="D333" t="s">
        <v>120</v>
      </c>
      <c r="E333">
        <v>14</v>
      </c>
      <c r="F333">
        <v>1014</v>
      </c>
      <c r="G333" t="s">
        <v>121</v>
      </c>
      <c r="J333" t="s">
        <v>122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 t="shared" si="100"/>
        <v>22:10:45.000</v>
      </c>
      <c r="T333" t="str">
        <f t="shared" si="100"/>
        <v>22:10:45.000</v>
      </c>
      <c r="U333" t="str">
        <f t="shared" si="98"/>
        <v>A9D71F</v>
      </c>
      <c r="V333">
        <v>0</v>
      </c>
      <c r="W333">
        <v>0</v>
      </c>
      <c r="X333">
        <v>2</v>
      </c>
      <c r="Z333">
        <v>1</v>
      </c>
      <c r="AA333">
        <v>8</v>
      </c>
      <c r="AB333">
        <v>3</v>
      </c>
      <c r="AC333">
        <v>0</v>
      </c>
      <c r="AD333">
        <v>9</v>
      </c>
      <c r="AE333">
        <v>0</v>
      </c>
      <c r="AF333">
        <v>3</v>
      </c>
      <c r="AG333">
        <v>1</v>
      </c>
      <c r="AH333">
        <v>0</v>
      </c>
      <c r="AI333" t="s">
        <v>251</v>
      </c>
      <c r="AJ333">
        <v>33.187938000000003</v>
      </c>
      <c r="AK333" t="s">
        <v>260</v>
      </c>
      <c r="AL333">
        <v>-97.789028000000002</v>
      </c>
      <c r="AM333">
        <v>25</v>
      </c>
      <c r="AN333">
        <v>2400</v>
      </c>
      <c r="AO333" t="s">
        <v>118</v>
      </c>
      <c r="AP333">
        <v>88</v>
      </c>
      <c r="AQ333">
        <v>0</v>
      </c>
      <c r="AR333">
        <v>896</v>
      </c>
      <c r="AZ333">
        <v>1200</v>
      </c>
      <c r="BA333">
        <v>1</v>
      </c>
      <c r="BB333" t="str">
        <f t="shared" si="86"/>
        <v xml:space="preserve">N733KP  </v>
      </c>
      <c r="BC333">
        <v>1</v>
      </c>
      <c r="BE333">
        <v>0</v>
      </c>
      <c r="BF333">
        <v>0</v>
      </c>
      <c r="BG333">
        <v>0</v>
      </c>
      <c r="BH333">
        <v>2275</v>
      </c>
      <c r="BI333">
        <v>1</v>
      </c>
      <c r="BJ333">
        <v>1</v>
      </c>
      <c r="BK333">
        <v>0</v>
      </c>
      <c r="BL333">
        <v>0</v>
      </c>
      <c r="BO333">
        <v>0</v>
      </c>
      <c r="BP333">
        <v>0</v>
      </c>
      <c r="BW333" t="str">
        <f>"22:10:45.454"</f>
        <v>22:10:45.454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6</v>
      </c>
      <c r="CP333" t="s">
        <v>119</v>
      </c>
      <c r="CQ333">
        <v>364</v>
      </c>
      <c r="CR333">
        <v>0</v>
      </c>
      <c r="CW333">
        <v>1376758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"03/24/2022 22:10:46.674"</f>
        <v>03/24/2022 22:10:46.674</v>
      </c>
      <c r="C334" t="str">
        <f t="shared" si="84"/>
        <v>FFDFD3C0</v>
      </c>
      <c r="D334" t="s">
        <v>123</v>
      </c>
      <c r="E334">
        <v>8</v>
      </c>
      <c r="H334">
        <v>31</v>
      </c>
      <c r="I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 t="shared" ref="S334:T337" si="101">"22:10:46.000"</f>
        <v>22:10:46.000</v>
      </c>
      <c r="T334" t="str">
        <f t="shared" si="101"/>
        <v>22:10:46.000</v>
      </c>
      <c r="U334" t="str">
        <f t="shared" si="98"/>
        <v>A9D71F</v>
      </c>
      <c r="V334">
        <v>0</v>
      </c>
      <c r="W334">
        <v>0</v>
      </c>
      <c r="X334">
        <v>2</v>
      </c>
      <c r="Z334">
        <v>1</v>
      </c>
      <c r="AA334">
        <v>8</v>
      </c>
      <c r="AB334">
        <v>3</v>
      </c>
      <c r="AC334">
        <v>0</v>
      </c>
      <c r="AD334">
        <v>9</v>
      </c>
      <c r="AE334">
        <v>0</v>
      </c>
      <c r="AF334">
        <v>3</v>
      </c>
      <c r="AG334">
        <v>1</v>
      </c>
      <c r="AH334">
        <v>0</v>
      </c>
      <c r="AI334" t="s">
        <v>251</v>
      </c>
      <c r="AJ334">
        <v>33.187938000000003</v>
      </c>
      <c r="AK334" t="s">
        <v>261</v>
      </c>
      <c r="AL334">
        <v>-97.788533999999999</v>
      </c>
      <c r="AM334">
        <v>25</v>
      </c>
      <c r="AN334">
        <v>2400</v>
      </c>
      <c r="AO334" t="s">
        <v>118</v>
      </c>
      <c r="AP334">
        <v>86</v>
      </c>
      <c r="AQ334">
        <v>0</v>
      </c>
      <c r="AR334">
        <v>960</v>
      </c>
      <c r="AZ334">
        <v>1200</v>
      </c>
      <c r="BA334">
        <v>1</v>
      </c>
      <c r="BB334" t="str">
        <f t="shared" si="86"/>
        <v xml:space="preserve">N733KP  </v>
      </c>
      <c r="BC334">
        <v>1</v>
      </c>
      <c r="BE334">
        <v>0</v>
      </c>
      <c r="BF334">
        <v>0</v>
      </c>
      <c r="BG334">
        <v>0</v>
      </c>
      <c r="BH334">
        <v>2325</v>
      </c>
      <c r="BI334">
        <v>1</v>
      </c>
      <c r="BJ334">
        <v>1</v>
      </c>
      <c r="BK334">
        <v>0</v>
      </c>
      <c r="BL334">
        <v>0</v>
      </c>
      <c r="BO334">
        <v>0</v>
      </c>
      <c r="BP334">
        <v>0</v>
      </c>
      <c r="BW334" t="str">
        <f>"22:10:46.474"</f>
        <v>22:10:46.474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364</v>
      </c>
      <c r="CR334">
        <v>0</v>
      </c>
      <c r="CW334">
        <v>1376874</v>
      </c>
      <c r="CY334">
        <v>1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"03/24/2022 22:10:46.674"</f>
        <v>03/24/2022 22:10:46.674</v>
      </c>
      <c r="C335" t="str">
        <f t="shared" si="84"/>
        <v>FFDFD3C0</v>
      </c>
      <c r="D335" t="s">
        <v>113</v>
      </c>
      <c r="E335">
        <v>24</v>
      </c>
      <c r="F335">
        <v>2024</v>
      </c>
      <c r="G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 t="shared" si="101"/>
        <v>22:10:46.000</v>
      </c>
      <c r="T335" t="str">
        <f t="shared" si="101"/>
        <v>22:10:46.000</v>
      </c>
      <c r="U335" t="str">
        <f t="shared" si="98"/>
        <v>A9D71F</v>
      </c>
      <c r="V335">
        <v>0</v>
      </c>
      <c r="W335">
        <v>0</v>
      </c>
      <c r="X335">
        <v>2</v>
      </c>
      <c r="Z335">
        <v>1</v>
      </c>
      <c r="AA335">
        <v>8</v>
      </c>
      <c r="AB335">
        <v>3</v>
      </c>
      <c r="AC335">
        <v>0</v>
      </c>
      <c r="AD335">
        <v>9</v>
      </c>
      <c r="AE335">
        <v>0</v>
      </c>
      <c r="AF335">
        <v>3</v>
      </c>
      <c r="AG335">
        <v>1</v>
      </c>
      <c r="AH335">
        <v>0</v>
      </c>
      <c r="AI335" t="s">
        <v>251</v>
      </c>
      <c r="AJ335">
        <v>33.187938000000003</v>
      </c>
      <c r="AK335" t="s">
        <v>261</v>
      </c>
      <c r="AL335">
        <v>-97.788533999999999</v>
      </c>
      <c r="AM335">
        <v>25</v>
      </c>
      <c r="AN335">
        <v>2400</v>
      </c>
      <c r="AO335" t="s">
        <v>118</v>
      </c>
      <c r="AP335">
        <v>86</v>
      </c>
      <c r="AQ335">
        <v>0</v>
      </c>
      <c r="AR335">
        <v>960</v>
      </c>
      <c r="AZ335">
        <v>1200</v>
      </c>
      <c r="BA335">
        <v>1</v>
      </c>
      <c r="BB335" t="str">
        <f t="shared" si="86"/>
        <v xml:space="preserve">N733KP  </v>
      </c>
      <c r="BC335">
        <v>1</v>
      </c>
      <c r="BE335">
        <v>0</v>
      </c>
      <c r="BF335">
        <v>0</v>
      </c>
      <c r="BG335">
        <v>0</v>
      </c>
      <c r="BH335">
        <v>2325</v>
      </c>
      <c r="BI335">
        <v>1</v>
      </c>
      <c r="BJ335">
        <v>1</v>
      </c>
      <c r="BK335">
        <v>0</v>
      </c>
      <c r="BL335">
        <v>0</v>
      </c>
      <c r="BO335">
        <v>0</v>
      </c>
      <c r="BP335">
        <v>0</v>
      </c>
      <c r="BW335" t="str">
        <f>"22:10:46.474"</f>
        <v>22:10:46.474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364</v>
      </c>
      <c r="CR335">
        <v>0</v>
      </c>
      <c r="CW335">
        <v>1376874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"03/24/2022 22:10:46.674"</f>
        <v>03/24/2022 22:10:46.674</v>
      </c>
      <c r="C336" t="str">
        <f t="shared" si="84"/>
        <v>FFDFD3C0</v>
      </c>
      <c r="D336" t="s">
        <v>126</v>
      </c>
      <c r="E336">
        <v>3</v>
      </c>
      <c r="H336">
        <v>160</v>
      </c>
      <c r="I336" t="s">
        <v>121</v>
      </c>
      <c r="J336" t="s">
        <v>127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 t="shared" si="101"/>
        <v>22:10:46.000</v>
      </c>
      <c r="T336" t="str">
        <f t="shared" si="101"/>
        <v>22:10:46.000</v>
      </c>
      <c r="U336" t="str">
        <f t="shared" si="98"/>
        <v>A9D71F</v>
      </c>
      <c r="V336">
        <v>0</v>
      </c>
      <c r="W336">
        <v>0</v>
      </c>
      <c r="X336">
        <v>2</v>
      </c>
      <c r="Z336">
        <v>1</v>
      </c>
      <c r="AA336">
        <v>8</v>
      </c>
      <c r="AB336">
        <v>3</v>
      </c>
      <c r="AC336">
        <v>0</v>
      </c>
      <c r="AD336">
        <v>9</v>
      </c>
      <c r="AE336">
        <v>0</v>
      </c>
      <c r="AF336">
        <v>3</v>
      </c>
      <c r="AG336">
        <v>1</v>
      </c>
      <c r="AH336">
        <v>0</v>
      </c>
      <c r="AI336" t="s">
        <v>251</v>
      </c>
      <c r="AJ336">
        <v>33.187938000000003</v>
      </c>
      <c r="AK336" t="s">
        <v>261</v>
      </c>
      <c r="AL336">
        <v>-97.788533999999999</v>
      </c>
      <c r="AM336">
        <v>25</v>
      </c>
      <c r="AN336">
        <v>2400</v>
      </c>
      <c r="AO336" t="s">
        <v>118</v>
      </c>
      <c r="AP336">
        <v>86</v>
      </c>
      <c r="AQ336">
        <v>0</v>
      </c>
      <c r="AR336">
        <v>960</v>
      </c>
      <c r="AZ336">
        <v>1200</v>
      </c>
      <c r="BA336">
        <v>1</v>
      </c>
      <c r="BB336" t="str">
        <f t="shared" si="86"/>
        <v xml:space="preserve">N733KP  </v>
      </c>
      <c r="BC336">
        <v>1</v>
      </c>
      <c r="BE336">
        <v>0</v>
      </c>
      <c r="BF336">
        <v>0</v>
      </c>
      <c r="BG336">
        <v>0</v>
      </c>
      <c r="BH336">
        <v>2325</v>
      </c>
      <c r="BI336">
        <v>1</v>
      </c>
      <c r="BJ336">
        <v>1</v>
      </c>
      <c r="BK336">
        <v>0</v>
      </c>
      <c r="BL336">
        <v>0</v>
      </c>
      <c r="BO336">
        <v>0</v>
      </c>
      <c r="BP336">
        <v>0</v>
      </c>
      <c r="BW336" t="str">
        <f>"22:10:46.474"</f>
        <v>22:10:46.474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364</v>
      </c>
      <c r="CR336">
        <v>0</v>
      </c>
      <c r="CW336">
        <v>1376874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"03/24/2022 22:10:46.674"</f>
        <v>03/24/2022 22:10:46.674</v>
      </c>
      <c r="C337" t="str">
        <f t="shared" si="84"/>
        <v>FFDFD3C0</v>
      </c>
      <c r="D337" t="s">
        <v>120</v>
      </c>
      <c r="E337">
        <v>14</v>
      </c>
      <c r="F337">
        <v>1014</v>
      </c>
      <c r="G337" t="s">
        <v>121</v>
      </c>
      <c r="J337" t="s">
        <v>122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 t="shared" si="101"/>
        <v>22:10:46.000</v>
      </c>
      <c r="T337" t="str">
        <f t="shared" si="101"/>
        <v>22:10:46.000</v>
      </c>
      <c r="U337" t="str">
        <f t="shared" si="98"/>
        <v>A9D71F</v>
      </c>
      <c r="V337">
        <v>0</v>
      </c>
      <c r="W337">
        <v>0</v>
      </c>
      <c r="X337">
        <v>2</v>
      </c>
      <c r="Z337">
        <v>1</v>
      </c>
      <c r="AA337">
        <v>8</v>
      </c>
      <c r="AB337">
        <v>3</v>
      </c>
      <c r="AC337">
        <v>0</v>
      </c>
      <c r="AD337">
        <v>9</v>
      </c>
      <c r="AE337">
        <v>0</v>
      </c>
      <c r="AF337">
        <v>3</v>
      </c>
      <c r="AG337">
        <v>1</v>
      </c>
      <c r="AH337">
        <v>0</v>
      </c>
      <c r="AI337" t="s">
        <v>251</v>
      </c>
      <c r="AJ337">
        <v>33.187938000000003</v>
      </c>
      <c r="AK337" t="s">
        <v>261</v>
      </c>
      <c r="AL337">
        <v>-97.788533999999999</v>
      </c>
      <c r="AM337">
        <v>25</v>
      </c>
      <c r="AN337">
        <v>2400</v>
      </c>
      <c r="AO337" t="s">
        <v>118</v>
      </c>
      <c r="AP337">
        <v>86</v>
      </c>
      <c r="AQ337">
        <v>0</v>
      </c>
      <c r="AR337">
        <v>960</v>
      </c>
      <c r="AZ337">
        <v>1200</v>
      </c>
      <c r="BA337">
        <v>1</v>
      </c>
      <c r="BB337" t="str">
        <f t="shared" si="86"/>
        <v xml:space="preserve">N733KP  </v>
      </c>
      <c r="BC337">
        <v>1</v>
      </c>
      <c r="BE337">
        <v>0</v>
      </c>
      <c r="BF337">
        <v>0</v>
      </c>
      <c r="BG337">
        <v>0</v>
      </c>
      <c r="BH337">
        <v>2325</v>
      </c>
      <c r="BI337">
        <v>1</v>
      </c>
      <c r="BJ337">
        <v>1</v>
      </c>
      <c r="BK337">
        <v>0</v>
      </c>
      <c r="BL337">
        <v>0</v>
      </c>
      <c r="BO337">
        <v>0</v>
      </c>
      <c r="BP337">
        <v>0</v>
      </c>
      <c r="BW337" t="str">
        <f>"22:10:46.474"</f>
        <v>22:10:46.474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364</v>
      </c>
      <c r="CR337">
        <v>0</v>
      </c>
      <c r="CW337">
        <v>1376874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"03/24/2022 22:10:48.692"</f>
        <v>03/24/2022 22:10:48.692</v>
      </c>
      <c r="C338" t="str">
        <f t="shared" si="84"/>
        <v>FFDFD3C0</v>
      </c>
      <c r="D338" t="s">
        <v>120</v>
      </c>
      <c r="E338">
        <v>14</v>
      </c>
      <c r="F338">
        <v>1014</v>
      </c>
      <c r="G338" t="s">
        <v>121</v>
      </c>
      <c r="J338" t="s">
        <v>122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 t="shared" ref="S338:T341" si="102">"22:10:48.000"</f>
        <v>22:10:48.000</v>
      </c>
      <c r="T338" t="str">
        <f t="shared" si="102"/>
        <v>22:10:48.000</v>
      </c>
      <c r="U338" t="str">
        <f t="shared" si="98"/>
        <v>A9D71F</v>
      </c>
      <c r="V338">
        <v>0</v>
      </c>
      <c r="W338">
        <v>0</v>
      </c>
      <c r="X338">
        <v>2</v>
      </c>
      <c r="Z338">
        <v>1</v>
      </c>
      <c r="AA338">
        <v>8</v>
      </c>
      <c r="AB338">
        <v>3</v>
      </c>
      <c r="AC338">
        <v>0</v>
      </c>
      <c r="AD338">
        <v>9</v>
      </c>
      <c r="AE338">
        <v>0</v>
      </c>
      <c r="AF338">
        <v>3</v>
      </c>
      <c r="AG338">
        <v>1</v>
      </c>
      <c r="AH338">
        <v>0</v>
      </c>
      <c r="AI338" t="s">
        <v>249</v>
      </c>
      <c r="AJ338">
        <v>33.187958999999999</v>
      </c>
      <c r="AK338" t="s">
        <v>262</v>
      </c>
      <c r="AL338">
        <v>-97.787589999999994</v>
      </c>
      <c r="AM338">
        <v>25</v>
      </c>
      <c r="AN338">
        <v>2400</v>
      </c>
      <c r="AO338" t="s">
        <v>118</v>
      </c>
      <c r="AP338">
        <v>91</v>
      </c>
      <c r="AQ338">
        <v>-7</v>
      </c>
      <c r="AR338">
        <v>832</v>
      </c>
      <c r="AZ338">
        <v>1200</v>
      </c>
      <c r="BA338">
        <v>1</v>
      </c>
      <c r="BB338" t="str">
        <f t="shared" si="86"/>
        <v xml:space="preserve">N733KP  </v>
      </c>
      <c r="BC338">
        <v>1</v>
      </c>
      <c r="BE338">
        <v>0</v>
      </c>
      <c r="BF338">
        <v>0</v>
      </c>
      <c r="BG338">
        <v>0</v>
      </c>
      <c r="BH338">
        <v>2375</v>
      </c>
      <c r="BI338">
        <v>1</v>
      </c>
      <c r="BJ338">
        <v>1</v>
      </c>
      <c r="BK338">
        <v>0</v>
      </c>
      <c r="BL338">
        <v>0</v>
      </c>
      <c r="BO338">
        <v>0</v>
      </c>
      <c r="BP338">
        <v>0</v>
      </c>
      <c r="BW338" t="str">
        <f>"22:10:48.492"</f>
        <v>22:10:48.492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6</v>
      </c>
      <c r="CP338" t="s">
        <v>119</v>
      </c>
      <c r="CQ338">
        <v>364</v>
      </c>
      <c r="CR338">
        <v>0</v>
      </c>
      <c r="CW338">
        <v>1377134</v>
      </c>
      <c r="CY338">
        <v>1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"03/24/2022 22:10:48.786"</f>
        <v>03/24/2022 22:10:48.786</v>
      </c>
      <c r="C339" t="str">
        <f t="shared" si="84"/>
        <v>FFDFD3C0</v>
      </c>
      <c r="D339" t="s">
        <v>123</v>
      </c>
      <c r="E339">
        <v>8</v>
      </c>
      <c r="H339">
        <v>31</v>
      </c>
      <c r="I339" t="s">
        <v>124</v>
      </c>
      <c r="J339" t="s">
        <v>125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 t="shared" si="102"/>
        <v>22:10:48.000</v>
      </c>
      <c r="T339" t="str">
        <f t="shared" si="102"/>
        <v>22:10:48.000</v>
      </c>
      <c r="U339" t="str">
        <f t="shared" si="98"/>
        <v>A9D71F</v>
      </c>
      <c r="V339">
        <v>0</v>
      </c>
      <c r="W339">
        <v>0</v>
      </c>
      <c r="X339">
        <v>2</v>
      </c>
      <c r="Z339">
        <v>1</v>
      </c>
      <c r="AA339">
        <v>8</v>
      </c>
      <c r="AB339">
        <v>3</v>
      </c>
      <c r="AC339">
        <v>0</v>
      </c>
      <c r="AD339">
        <v>9</v>
      </c>
      <c r="AE339">
        <v>0</v>
      </c>
      <c r="AF339">
        <v>3</v>
      </c>
      <c r="AG339">
        <v>1</v>
      </c>
      <c r="AH339">
        <v>0</v>
      </c>
      <c r="AI339" t="s">
        <v>249</v>
      </c>
      <c r="AJ339">
        <v>33.187958999999999</v>
      </c>
      <c r="AK339" t="s">
        <v>262</v>
      </c>
      <c r="AL339">
        <v>-97.787589999999994</v>
      </c>
      <c r="AM339">
        <v>25</v>
      </c>
      <c r="AN339">
        <v>2400</v>
      </c>
      <c r="AO339" t="s">
        <v>118</v>
      </c>
      <c r="AP339">
        <v>91</v>
      </c>
      <c r="AQ339">
        <v>-7</v>
      </c>
      <c r="AR339">
        <v>832</v>
      </c>
      <c r="AZ339">
        <v>1200</v>
      </c>
      <c r="BA339">
        <v>1</v>
      </c>
      <c r="BB339" t="str">
        <f t="shared" si="86"/>
        <v xml:space="preserve">N733KP  </v>
      </c>
      <c r="BC339">
        <v>1</v>
      </c>
      <c r="BE339">
        <v>0</v>
      </c>
      <c r="BF339">
        <v>0</v>
      </c>
      <c r="BG339">
        <v>0</v>
      </c>
      <c r="BH339">
        <v>2375</v>
      </c>
      <c r="BI339">
        <v>1</v>
      </c>
      <c r="BJ339">
        <v>1</v>
      </c>
      <c r="BK339">
        <v>0</v>
      </c>
      <c r="BL339">
        <v>0</v>
      </c>
      <c r="BO339">
        <v>0</v>
      </c>
      <c r="BP339">
        <v>0</v>
      </c>
      <c r="BW339" t="str">
        <f>"22:10:48.492"</f>
        <v>22:10:48.492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6</v>
      </c>
      <c r="CP339" t="s">
        <v>119</v>
      </c>
      <c r="CQ339">
        <v>364</v>
      </c>
      <c r="CR339">
        <v>0</v>
      </c>
      <c r="CW339">
        <v>1377134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"03/24/2022 22:10:48.786"</f>
        <v>03/24/2022 22:10:48.786</v>
      </c>
      <c r="C340" t="str">
        <f t="shared" si="84"/>
        <v>FFDFD3C0</v>
      </c>
      <c r="D340" t="s">
        <v>113</v>
      </c>
      <c r="E340">
        <v>24</v>
      </c>
      <c r="F340">
        <v>2024</v>
      </c>
      <c r="G340" t="s">
        <v>114</v>
      </c>
      <c r="J340" t="s">
        <v>115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 t="shared" si="102"/>
        <v>22:10:48.000</v>
      </c>
      <c r="T340" t="str">
        <f t="shared" si="102"/>
        <v>22:10:48.000</v>
      </c>
      <c r="U340" t="str">
        <f t="shared" si="98"/>
        <v>A9D71F</v>
      </c>
      <c r="V340">
        <v>0</v>
      </c>
      <c r="W340">
        <v>0</v>
      </c>
      <c r="X340">
        <v>2</v>
      </c>
      <c r="Z340">
        <v>1</v>
      </c>
      <c r="AA340">
        <v>8</v>
      </c>
      <c r="AB340">
        <v>3</v>
      </c>
      <c r="AC340">
        <v>0</v>
      </c>
      <c r="AD340">
        <v>9</v>
      </c>
      <c r="AE340">
        <v>0</v>
      </c>
      <c r="AF340">
        <v>3</v>
      </c>
      <c r="AG340">
        <v>1</v>
      </c>
      <c r="AH340">
        <v>0</v>
      </c>
      <c r="AI340" t="s">
        <v>249</v>
      </c>
      <c r="AJ340">
        <v>33.187958999999999</v>
      </c>
      <c r="AK340" t="s">
        <v>262</v>
      </c>
      <c r="AL340">
        <v>-97.787589999999994</v>
      </c>
      <c r="AM340">
        <v>25</v>
      </c>
      <c r="AN340">
        <v>2400</v>
      </c>
      <c r="AO340" t="s">
        <v>118</v>
      </c>
      <c r="AP340">
        <v>91</v>
      </c>
      <c r="AQ340">
        <v>-7</v>
      </c>
      <c r="AR340">
        <v>832</v>
      </c>
      <c r="AZ340">
        <v>1200</v>
      </c>
      <c r="BA340">
        <v>1</v>
      </c>
      <c r="BB340" t="str">
        <f t="shared" si="86"/>
        <v xml:space="preserve">N733KP  </v>
      </c>
      <c r="BC340">
        <v>1</v>
      </c>
      <c r="BE340">
        <v>0</v>
      </c>
      <c r="BF340">
        <v>0</v>
      </c>
      <c r="BG340">
        <v>0</v>
      </c>
      <c r="BH340">
        <v>2375</v>
      </c>
      <c r="BI340">
        <v>1</v>
      </c>
      <c r="BJ340">
        <v>1</v>
      </c>
      <c r="BK340">
        <v>0</v>
      </c>
      <c r="BL340">
        <v>0</v>
      </c>
      <c r="BO340">
        <v>0</v>
      </c>
      <c r="BP340">
        <v>0</v>
      </c>
      <c r="BW340" t="str">
        <f>"22:10:48.492"</f>
        <v>22:10:48.492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6</v>
      </c>
      <c r="CP340" t="s">
        <v>119</v>
      </c>
      <c r="CQ340">
        <v>364</v>
      </c>
      <c r="CR340">
        <v>0</v>
      </c>
      <c r="CW340">
        <v>1377134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"03/24/2022 22:10:48.786"</f>
        <v>03/24/2022 22:10:48.786</v>
      </c>
      <c r="C341" t="str">
        <f t="shared" si="84"/>
        <v>FFDFD3C0</v>
      </c>
      <c r="D341" t="s">
        <v>126</v>
      </c>
      <c r="E341">
        <v>3</v>
      </c>
      <c r="H341">
        <v>160</v>
      </c>
      <c r="I341" t="s">
        <v>121</v>
      </c>
      <c r="J341" t="s">
        <v>127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 t="shared" si="102"/>
        <v>22:10:48.000</v>
      </c>
      <c r="T341" t="str">
        <f t="shared" si="102"/>
        <v>22:10:48.000</v>
      </c>
      <c r="U341" t="str">
        <f t="shared" si="98"/>
        <v>A9D71F</v>
      </c>
      <c r="V341">
        <v>0</v>
      </c>
      <c r="W341">
        <v>0</v>
      </c>
      <c r="X341">
        <v>2</v>
      </c>
      <c r="Z341">
        <v>1</v>
      </c>
      <c r="AA341">
        <v>8</v>
      </c>
      <c r="AB341">
        <v>3</v>
      </c>
      <c r="AC341">
        <v>0</v>
      </c>
      <c r="AD341">
        <v>9</v>
      </c>
      <c r="AE341">
        <v>0</v>
      </c>
      <c r="AF341">
        <v>3</v>
      </c>
      <c r="AG341">
        <v>1</v>
      </c>
      <c r="AH341">
        <v>0</v>
      </c>
      <c r="AI341" t="s">
        <v>249</v>
      </c>
      <c r="AJ341">
        <v>33.187958999999999</v>
      </c>
      <c r="AK341" t="s">
        <v>262</v>
      </c>
      <c r="AL341">
        <v>-97.787589999999994</v>
      </c>
      <c r="AM341">
        <v>25</v>
      </c>
      <c r="AN341">
        <v>2400</v>
      </c>
      <c r="AO341" t="s">
        <v>118</v>
      </c>
      <c r="AP341">
        <v>91</v>
      </c>
      <c r="AQ341">
        <v>-7</v>
      </c>
      <c r="AR341">
        <v>832</v>
      </c>
      <c r="AZ341">
        <v>1200</v>
      </c>
      <c r="BA341">
        <v>1</v>
      </c>
      <c r="BB341" t="str">
        <f t="shared" si="86"/>
        <v xml:space="preserve">N733KP  </v>
      </c>
      <c r="BC341">
        <v>1</v>
      </c>
      <c r="BE341">
        <v>0</v>
      </c>
      <c r="BF341">
        <v>0</v>
      </c>
      <c r="BG341">
        <v>0</v>
      </c>
      <c r="BH341">
        <v>2375</v>
      </c>
      <c r="BI341">
        <v>1</v>
      </c>
      <c r="BJ341">
        <v>1</v>
      </c>
      <c r="BK341">
        <v>0</v>
      </c>
      <c r="BL341">
        <v>0</v>
      </c>
      <c r="BO341">
        <v>0</v>
      </c>
      <c r="BP341">
        <v>0</v>
      </c>
      <c r="BW341" t="str">
        <f>"22:10:48.492"</f>
        <v>22:10:48.492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6</v>
      </c>
      <c r="CP341" t="s">
        <v>119</v>
      </c>
      <c r="CQ341">
        <v>364</v>
      </c>
      <c r="CR341">
        <v>0</v>
      </c>
      <c r="CW341">
        <v>1377134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"03/24/2022 22:10:49.927"</f>
        <v>03/24/2022 22:10:49.927</v>
      </c>
      <c r="C342" t="str">
        <f t="shared" ref="C342:C405" si="103">"FFDFD3C0"</f>
        <v>FFDFD3C0</v>
      </c>
      <c r="D342" t="s">
        <v>123</v>
      </c>
      <c r="E342">
        <v>8</v>
      </c>
      <c r="H342">
        <v>31</v>
      </c>
      <c r="I342" t="s">
        <v>124</v>
      </c>
      <c r="J342" t="s">
        <v>125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 t="shared" ref="S342:T345" si="104">"22:10:49.000"</f>
        <v>22:10:49.000</v>
      </c>
      <c r="T342" t="str">
        <f t="shared" si="104"/>
        <v>22:10:49.000</v>
      </c>
      <c r="U342" t="str">
        <f t="shared" si="98"/>
        <v>A9D71F</v>
      </c>
      <c r="V342">
        <v>0</v>
      </c>
      <c r="W342">
        <v>0</v>
      </c>
      <c r="X342">
        <v>2</v>
      </c>
      <c r="Z342">
        <v>1</v>
      </c>
      <c r="AA342">
        <v>8</v>
      </c>
      <c r="AB342">
        <v>3</v>
      </c>
      <c r="AC342">
        <v>0</v>
      </c>
      <c r="AD342">
        <v>9</v>
      </c>
      <c r="AE342">
        <v>0</v>
      </c>
      <c r="AF342">
        <v>3</v>
      </c>
      <c r="AG342">
        <v>1</v>
      </c>
      <c r="AH342">
        <v>0</v>
      </c>
      <c r="AI342" t="s">
        <v>249</v>
      </c>
      <c r="AJ342">
        <v>33.187958999999999</v>
      </c>
      <c r="AK342" t="s">
        <v>263</v>
      </c>
      <c r="AL342">
        <v>-97.787097000000003</v>
      </c>
      <c r="AM342">
        <v>25</v>
      </c>
      <c r="AN342">
        <v>2400</v>
      </c>
      <c r="AO342" t="s">
        <v>118</v>
      </c>
      <c r="AP342">
        <v>90</v>
      </c>
      <c r="AQ342">
        <v>-5</v>
      </c>
      <c r="AR342">
        <v>704</v>
      </c>
      <c r="AZ342">
        <v>1200</v>
      </c>
      <c r="BA342">
        <v>1</v>
      </c>
      <c r="BB342" t="str">
        <f t="shared" ref="BB342:BB405" si="105">"N733KP  "</f>
        <v xml:space="preserve">N733KP  </v>
      </c>
      <c r="BC342">
        <v>1</v>
      </c>
      <c r="BE342">
        <v>0</v>
      </c>
      <c r="BF342">
        <v>0</v>
      </c>
      <c r="BG342">
        <v>0</v>
      </c>
      <c r="BH342">
        <v>2375</v>
      </c>
      <c r="BI342">
        <v>1</v>
      </c>
      <c r="BJ342">
        <v>1</v>
      </c>
      <c r="BK342">
        <v>0</v>
      </c>
      <c r="BL342">
        <v>0</v>
      </c>
      <c r="BO342">
        <v>0</v>
      </c>
      <c r="BP342">
        <v>0</v>
      </c>
      <c r="BW342" t="str">
        <f>"22:10:49.702"</f>
        <v>22:10:49.702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6</v>
      </c>
      <c r="CP342" t="s">
        <v>119</v>
      </c>
      <c r="CQ342">
        <v>364</v>
      </c>
      <c r="CR342">
        <v>0</v>
      </c>
      <c r="CW342">
        <v>1377294</v>
      </c>
      <c r="CY342">
        <v>1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"03/24/2022 22:10:49.927"</f>
        <v>03/24/2022 22:10:49.927</v>
      </c>
      <c r="C343" t="str">
        <f t="shared" si="103"/>
        <v>FFDFD3C0</v>
      </c>
      <c r="D343" t="s">
        <v>113</v>
      </c>
      <c r="E343">
        <v>24</v>
      </c>
      <c r="F343">
        <v>2024</v>
      </c>
      <c r="G343" t="s">
        <v>114</v>
      </c>
      <c r="J343" t="s">
        <v>115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 t="shared" si="104"/>
        <v>22:10:49.000</v>
      </c>
      <c r="T343" t="str">
        <f t="shared" si="104"/>
        <v>22:10:49.000</v>
      </c>
      <c r="U343" t="str">
        <f t="shared" si="98"/>
        <v>A9D71F</v>
      </c>
      <c r="V343">
        <v>0</v>
      </c>
      <c r="W343">
        <v>0</v>
      </c>
      <c r="X343">
        <v>2</v>
      </c>
      <c r="Z343">
        <v>1</v>
      </c>
      <c r="AA343">
        <v>8</v>
      </c>
      <c r="AB343">
        <v>3</v>
      </c>
      <c r="AC343">
        <v>0</v>
      </c>
      <c r="AD343">
        <v>9</v>
      </c>
      <c r="AE343">
        <v>0</v>
      </c>
      <c r="AF343">
        <v>3</v>
      </c>
      <c r="AG343">
        <v>1</v>
      </c>
      <c r="AH343">
        <v>0</v>
      </c>
      <c r="AI343" t="s">
        <v>249</v>
      </c>
      <c r="AJ343">
        <v>33.187958999999999</v>
      </c>
      <c r="AK343" t="s">
        <v>263</v>
      </c>
      <c r="AL343">
        <v>-97.787097000000003</v>
      </c>
      <c r="AM343">
        <v>25</v>
      </c>
      <c r="AN343">
        <v>2400</v>
      </c>
      <c r="AO343" t="s">
        <v>118</v>
      </c>
      <c r="AP343">
        <v>90</v>
      </c>
      <c r="AQ343">
        <v>-5</v>
      </c>
      <c r="AR343">
        <v>704</v>
      </c>
      <c r="AZ343">
        <v>1200</v>
      </c>
      <c r="BA343">
        <v>1</v>
      </c>
      <c r="BB343" t="str">
        <f t="shared" si="105"/>
        <v xml:space="preserve">N733KP  </v>
      </c>
      <c r="BC343">
        <v>1</v>
      </c>
      <c r="BE343">
        <v>0</v>
      </c>
      <c r="BF343">
        <v>0</v>
      </c>
      <c r="BG343">
        <v>0</v>
      </c>
      <c r="BH343">
        <v>2375</v>
      </c>
      <c r="BI343">
        <v>1</v>
      </c>
      <c r="BJ343">
        <v>1</v>
      </c>
      <c r="BK343">
        <v>0</v>
      </c>
      <c r="BL343">
        <v>0</v>
      </c>
      <c r="BO343">
        <v>0</v>
      </c>
      <c r="BP343">
        <v>0</v>
      </c>
      <c r="BW343" t="str">
        <f>"22:10:49.702"</f>
        <v>22:10:49.702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6</v>
      </c>
      <c r="CP343" t="s">
        <v>119</v>
      </c>
      <c r="CQ343">
        <v>364</v>
      </c>
      <c r="CR343">
        <v>0</v>
      </c>
      <c r="CW343">
        <v>1377294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"03/24/2022 22:10:49.927"</f>
        <v>03/24/2022 22:10:49.927</v>
      </c>
      <c r="C344" t="str">
        <f t="shared" si="103"/>
        <v>FFDFD3C0</v>
      </c>
      <c r="D344" t="s">
        <v>126</v>
      </c>
      <c r="E344">
        <v>3</v>
      </c>
      <c r="H344">
        <v>160</v>
      </c>
      <c r="I344" t="s">
        <v>121</v>
      </c>
      <c r="J344" t="s">
        <v>127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 t="shared" si="104"/>
        <v>22:10:49.000</v>
      </c>
      <c r="T344" t="str">
        <f t="shared" si="104"/>
        <v>22:10:49.000</v>
      </c>
      <c r="U344" t="str">
        <f t="shared" si="98"/>
        <v>A9D71F</v>
      </c>
      <c r="V344">
        <v>0</v>
      </c>
      <c r="W344">
        <v>0</v>
      </c>
      <c r="X344">
        <v>2</v>
      </c>
      <c r="Z344">
        <v>1</v>
      </c>
      <c r="AA344">
        <v>8</v>
      </c>
      <c r="AB344">
        <v>3</v>
      </c>
      <c r="AC344">
        <v>0</v>
      </c>
      <c r="AD344">
        <v>9</v>
      </c>
      <c r="AE344">
        <v>0</v>
      </c>
      <c r="AF344">
        <v>3</v>
      </c>
      <c r="AG344">
        <v>1</v>
      </c>
      <c r="AH344">
        <v>0</v>
      </c>
      <c r="AI344" t="s">
        <v>249</v>
      </c>
      <c r="AJ344">
        <v>33.187958999999999</v>
      </c>
      <c r="AK344" t="s">
        <v>263</v>
      </c>
      <c r="AL344">
        <v>-97.787097000000003</v>
      </c>
      <c r="AM344">
        <v>25</v>
      </c>
      <c r="AN344">
        <v>2400</v>
      </c>
      <c r="AO344" t="s">
        <v>118</v>
      </c>
      <c r="AP344">
        <v>90</v>
      </c>
      <c r="AQ344">
        <v>-5</v>
      </c>
      <c r="AR344">
        <v>704</v>
      </c>
      <c r="AZ344">
        <v>1200</v>
      </c>
      <c r="BA344">
        <v>1</v>
      </c>
      <c r="BB344" t="str">
        <f t="shared" si="105"/>
        <v xml:space="preserve">N733KP  </v>
      </c>
      <c r="BC344">
        <v>1</v>
      </c>
      <c r="BE344">
        <v>0</v>
      </c>
      <c r="BF344">
        <v>0</v>
      </c>
      <c r="BG344">
        <v>0</v>
      </c>
      <c r="BH344">
        <v>2375</v>
      </c>
      <c r="BI344">
        <v>1</v>
      </c>
      <c r="BJ344">
        <v>1</v>
      </c>
      <c r="BK344">
        <v>0</v>
      </c>
      <c r="BL344">
        <v>0</v>
      </c>
      <c r="BO344">
        <v>0</v>
      </c>
      <c r="BP344">
        <v>0</v>
      </c>
      <c r="BW344" t="str">
        <f>"22:10:49.702"</f>
        <v>22:10:49.702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6</v>
      </c>
      <c r="CP344" t="s">
        <v>119</v>
      </c>
      <c r="CQ344">
        <v>364</v>
      </c>
      <c r="CR344">
        <v>0</v>
      </c>
      <c r="CW344">
        <v>1377294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"03/24/2022 22:10:49.927"</f>
        <v>03/24/2022 22:10:49.927</v>
      </c>
      <c r="C345" t="str">
        <f t="shared" si="103"/>
        <v>FFDFD3C0</v>
      </c>
      <c r="D345" t="s">
        <v>120</v>
      </c>
      <c r="E345">
        <v>14</v>
      </c>
      <c r="F345">
        <v>1014</v>
      </c>
      <c r="G345" t="s">
        <v>121</v>
      </c>
      <c r="J345" t="s">
        <v>122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 t="shared" si="104"/>
        <v>22:10:49.000</v>
      </c>
      <c r="T345" t="str">
        <f t="shared" si="104"/>
        <v>22:10:49.000</v>
      </c>
      <c r="U345" t="str">
        <f t="shared" si="98"/>
        <v>A9D71F</v>
      </c>
      <c r="V345">
        <v>0</v>
      </c>
      <c r="W345">
        <v>0</v>
      </c>
      <c r="X345">
        <v>2</v>
      </c>
      <c r="Z345">
        <v>1</v>
      </c>
      <c r="AA345">
        <v>8</v>
      </c>
      <c r="AB345">
        <v>3</v>
      </c>
      <c r="AC345">
        <v>0</v>
      </c>
      <c r="AD345">
        <v>9</v>
      </c>
      <c r="AE345">
        <v>0</v>
      </c>
      <c r="AF345">
        <v>3</v>
      </c>
      <c r="AG345">
        <v>1</v>
      </c>
      <c r="AH345">
        <v>0</v>
      </c>
      <c r="AI345" t="s">
        <v>249</v>
      </c>
      <c r="AJ345">
        <v>33.187958999999999</v>
      </c>
      <c r="AK345" t="s">
        <v>263</v>
      </c>
      <c r="AL345">
        <v>-97.787097000000003</v>
      </c>
      <c r="AM345">
        <v>25</v>
      </c>
      <c r="AN345">
        <v>2400</v>
      </c>
      <c r="AO345" t="s">
        <v>118</v>
      </c>
      <c r="AP345">
        <v>90</v>
      </c>
      <c r="AQ345">
        <v>-5</v>
      </c>
      <c r="AR345">
        <v>704</v>
      </c>
      <c r="AZ345">
        <v>1200</v>
      </c>
      <c r="BA345">
        <v>1</v>
      </c>
      <c r="BB345" t="str">
        <f t="shared" si="105"/>
        <v xml:space="preserve">N733KP  </v>
      </c>
      <c r="BC345">
        <v>1</v>
      </c>
      <c r="BE345">
        <v>0</v>
      </c>
      <c r="BF345">
        <v>0</v>
      </c>
      <c r="BG345">
        <v>0</v>
      </c>
      <c r="BH345">
        <v>2375</v>
      </c>
      <c r="BI345">
        <v>1</v>
      </c>
      <c r="BJ345">
        <v>1</v>
      </c>
      <c r="BK345">
        <v>0</v>
      </c>
      <c r="BL345">
        <v>0</v>
      </c>
      <c r="BO345">
        <v>0</v>
      </c>
      <c r="BP345">
        <v>0</v>
      </c>
      <c r="BW345" t="str">
        <f>"22:10:49.702"</f>
        <v>22:10:49.702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6</v>
      </c>
      <c r="CP345" t="s">
        <v>119</v>
      </c>
      <c r="CQ345">
        <v>364</v>
      </c>
      <c r="CR345">
        <v>0</v>
      </c>
      <c r="CW345">
        <v>1377294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"03/24/2022 22:10:51.099"</f>
        <v>03/24/2022 22:10:51.099</v>
      </c>
      <c r="C346" t="str">
        <f t="shared" si="103"/>
        <v>FFDFD3C0</v>
      </c>
      <c r="D346" t="s">
        <v>123</v>
      </c>
      <c r="E346">
        <v>8</v>
      </c>
      <c r="H346">
        <v>31</v>
      </c>
      <c r="I346" t="s">
        <v>124</v>
      </c>
      <c r="J346" t="s">
        <v>125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 t="shared" ref="S346:T349" si="106">"22:10:50.000"</f>
        <v>22:10:50.000</v>
      </c>
      <c r="T346" t="str">
        <f t="shared" si="106"/>
        <v>22:10:50.000</v>
      </c>
      <c r="U346" t="str">
        <f t="shared" si="98"/>
        <v>A9D71F</v>
      </c>
      <c r="V346">
        <v>0</v>
      </c>
      <c r="W346">
        <v>0</v>
      </c>
      <c r="X346">
        <v>2</v>
      </c>
      <c r="Z346">
        <v>1</v>
      </c>
      <c r="AA346">
        <v>8</v>
      </c>
      <c r="AB346">
        <v>3</v>
      </c>
      <c r="AC346">
        <v>0</v>
      </c>
      <c r="AD346">
        <v>9</v>
      </c>
      <c r="AE346">
        <v>0</v>
      </c>
      <c r="AF346">
        <v>3</v>
      </c>
      <c r="AG346">
        <v>1</v>
      </c>
      <c r="AH346">
        <v>0</v>
      </c>
      <c r="AI346" t="s">
        <v>249</v>
      </c>
      <c r="AJ346">
        <v>33.187958999999999</v>
      </c>
      <c r="AK346" t="s">
        <v>264</v>
      </c>
      <c r="AL346">
        <v>-97.786602999999999</v>
      </c>
      <c r="AM346">
        <v>25</v>
      </c>
      <c r="AN346">
        <v>2400</v>
      </c>
      <c r="AO346" t="s">
        <v>118</v>
      </c>
      <c r="AP346">
        <v>89</v>
      </c>
      <c r="AQ346">
        <v>-3</v>
      </c>
      <c r="AR346">
        <v>576</v>
      </c>
      <c r="AZ346">
        <v>1200</v>
      </c>
      <c r="BA346">
        <v>1</v>
      </c>
      <c r="BB346" t="str">
        <f t="shared" si="105"/>
        <v xml:space="preserve">N733KP  </v>
      </c>
      <c r="BC346">
        <v>1</v>
      </c>
      <c r="BE346">
        <v>0</v>
      </c>
      <c r="BF346">
        <v>0</v>
      </c>
      <c r="BG346">
        <v>0</v>
      </c>
      <c r="BH346">
        <v>2375</v>
      </c>
      <c r="BI346">
        <v>1</v>
      </c>
      <c r="BJ346">
        <v>1</v>
      </c>
      <c r="BK346">
        <v>0</v>
      </c>
      <c r="BL346">
        <v>0</v>
      </c>
      <c r="BO346">
        <v>0</v>
      </c>
      <c r="BP346">
        <v>0</v>
      </c>
      <c r="BW346" t="str">
        <f>"22:10:50.921"</f>
        <v>22:10:50.921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364</v>
      </c>
      <c r="CR346">
        <v>0</v>
      </c>
      <c r="CW346">
        <v>1377462</v>
      </c>
      <c r="CY346">
        <v>1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"03/24/2022 22:10:51.130"</f>
        <v>03/24/2022 22:10:51.130</v>
      </c>
      <c r="C347" t="str">
        <f t="shared" si="103"/>
        <v>FFDFD3C0</v>
      </c>
      <c r="D347" t="s">
        <v>113</v>
      </c>
      <c r="E347">
        <v>24</v>
      </c>
      <c r="F347">
        <v>2024</v>
      </c>
      <c r="G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 t="shared" si="106"/>
        <v>22:10:50.000</v>
      </c>
      <c r="T347" t="str">
        <f t="shared" si="106"/>
        <v>22:10:50.000</v>
      </c>
      <c r="U347" t="str">
        <f t="shared" si="98"/>
        <v>A9D71F</v>
      </c>
      <c r="V347">
        <v>0</v>
      </c>
      <c r="W347">
        <v>0</v>
      </c>
      <c r="X347">
        <v>2</v>
      </c>
      <c r="Z347">
        <v>1</v>
      </c>
      <c r="AA347">
        <v>8</v>
      </c>
      <c r="AB347">
        <v>3</v>
      </c>
      <c r="AC347">
        <v>0</v>
      </c>
      <c r="AD347">
        <v>9</v>
      </c>
      <c r="AE347">
        <v>0</v>
      </c>
      <c r="AF347">
        <v>3</v>
      </c>
      <c r="AG347">
        <v>1</v>
      </c>
      <c r="AH347">
        <v>0</v>
      </c>
      <c r="AI347" t="s">
        <v>249</v>
      </c>
      <c r="AJ347">
        <v>33.187958999999999</v>
      </c>
      <c r="AK347" t="s">
        <v>264</v>
      </c>
      <c r="AL347">
        <v>-97.786602999999999</v>
      </c>
      <c r="AM347">
        <v>25</v>
      </c>
      <c r="AN347">
        <v>2400</v>
      </c>
      <c r="AO347" t="s">
        <v>118</v>
      </c>
      <c r="AP347">
        <v>89</v>
      </c>
      <c r="AQ347">
        <v>-3</v>
      </c>
      <c r="AR347">
        <v>576</v>
      </c>
      <c r="AZ347">
        <v>1200</v>
      </c>
      <c r="BA347">
        <v>1</v>
      </c>
      <c r="BB347" t="str">
        <f t="shared" si="105"/>
        <v xml:space="preserve">N733KP  </v>
      </c>
      <c r="BC347">
        <v>1</v>
      </c>
      <c r="BE347">
        <v>0</v>
      </c>
      <c r="BF347">
        <v>0</v>
      </c>
      <c r="BG347">
        <v>0</v>
      </c>
      <c r="BH347">
        <v>2375</v>
      </c>
      <c r="BI347">
        <v>1</v>
      </c>
      <c r="BJ347">
        <v>1</v>
      </c>
      <c r="BK347">
        <v>0</v>
      </c>
      <c r="BL347">
        <v>0</v>
      </c>
      <c r="BO347">
        <v>0</v>
      </c>
      <c r="BP347">
        <v>0</v>
      </c>
      <c r="BW347" t="str">
        <f>"22:10:50.921"</f>
        <v>22:10:50.921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364</v>
      </c>
      <c r="CR347">
        <v>0</v>
      </c>
      <c r="CW347">
        <v>1377462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"03/24/2022 22:10:51.130"</f>
        <v>03/24/2022 22:10:51.130</v>
      </c>
      <c r="C348" t="str">
        <f t="shared" si="103"/>
        <v>FFDFD3C0</v>
      </c>
      <c r="D348" t="s">
        <v>126</v>
      </c>
      <c r="E348">
        <v>3</v>
      </c>
      <c r="H348">
        <v>160</v>
      </c>
      <c r="I348" t="s">
        <v>121</v>
      </c>
      <c r="J348" t="s">
        <v>127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 t="shared" si="106"/>
        <v>22:10:50.000</v>
      </c>
      <c r="T348" t="str">
        <f t="shared" si="106"/>
        <v>22:10:50.000</v>
      </c>
      <c r="U348" t="str">
        <f t="shared" si="98"/>
        <v>A9D71F</v>
      </c>
      <c r="V348">
        <v>0</v>
      </c>
      <c r="W348">
        <v>0</v>
      </c>
      <c r="X348">
        <v>2</v>
      </c>
      <c r="Z348">
        <v>1</v>
      </c>
      <c r="AA348">
        <v>8</v>
      </c>
      <c r="AB348">
        <v>3</v>
      </c>
      <c r="AC348">
        <v>0</v>
      </c>
      <c r="AD348">
        <v>9</v>
      </c>
      <c r="AE348">
        <v>0</v>
      </c>
      <c r="AF348">
        <v>3</v>
      </c>
      <c r="AG348">
        <v>1</v>
      </c>
      <c r="AH348">
        <v>0</v>
      </c>
      <c r="AI348" t="s">
        <v>249</v>
      </c>
      <c r="AJ348">
        <v>33.187958999999999</v>
      </c>
      <c r="AK348" t="s">
        <v>264</v>
      </c>
      <c r="AL348">
        <v>-97.786602999999999</v>
      </c>
      <c r="AM348">
        <v>25</v>
      </c>
      <c r="AN348">
        <v>2400</v>
      </c>
      <c r="AO348" t="s">
        <v>118</v>
      </c>
      <c r="AP348">
        <v>89</v>
      </c>
      <c r="AQ348">
        <v>-3</v>
      </c>
      <c r="AR348">
        <v>576</v>
      </c>
      <c r="AZ348">
        <v>1200</v>
      </c>
      <c r="BA348">
        <v>1</v>
      </c>
      <c r="BB348" t="str">
        <f t="shared" si="105"/>
        <v xml:space="preserve">N733KP  </v>
      </c>
      <c r="BC348">
        <v>1</v>
      </c>
      <c r="BE348">
        <v>0</v>
      </c>
      <c r="BF348">
        <v>0</v>
      </c>
      <c r="BG348">
        <v>0</v>
      </c>
      <c r="BH348">
        <v>2375</v>
      </c>
      <c r="BI348">
        <v>1</v>
      </c>
      <c r="BJ348">
        <v>1</v>
      </c>
      <c r="BK348">
        <v>0</v>
      </c>
      <c r="BL348">
        <v>0</v>
      </c>
      <c r="BO348">
        <v>0</v>
      </c>
      <c r="BP348">
        <v>0</v>
      </c>
      <c r="BW348" t="str">
        <f>"22:10:50.921"</f>
        <v>22:10:50.921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364</v>
      </c>
      <c r="CR348">
        <v>0</v>
      </c>
      <c r="CW348">
        <v>1377462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"03/24/2022 22:10:51.145"</f>
        <v>03/24/2022 22:10:51.145</v>
      </c>
      <c r="C349" t="str">
        <f t="shared" si="103"/>
        <v>FFDFD3C0</v>
      </c>
      <c r="D349" t="s">
        <v>120</v>
      </c>
      <c r="E349">
        <v>14</v>
      </c>
      <c r="F349">
        <v>1014</v>
      </c>
      <c r="G349" t="s">
        <v>121</v>
      </c>
      <c r="J349" t="s">
        <v>122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 t="shared" si="106"/>
        <v>22:10:50.000</v>
      </c>
      <c r="T349" t="str">
        <f t="shared" si="106"/>
        <v>22:10:50.000</v>
      </c>
      <c r="U349" t="str">
        <f t="shared" si="98"/>
        <v>A9D71F</v>
      </c>
      <c r="V349">
        <v>0</v>
      </c>
      <c r="W349">
        <v>0</v>
      </c>
      <c r="X349">
        <v>2</v>
      </c>
      <c r="Z349">
        <v>1</v>
      </c>
      <c r="AA349">
        <v>8</v>
      </c>
      <c r="AB349">
        <v>3</v>
      </c>
      <c r="AC349">
        <v>0</v>
      </c>
      <c r="AD349">
        <v>9</v>
      </c>
      <c r="AE349">
        <v>0</v>
      </c>
      <c r="AF349">
        <v>3</v>
      </c>
      <c r="AG349">
        <v>1</v>
      </c>
      <c r="AH349">
        <v>0</v>
      </c>
      <c r="AI349" t="s">
        <v>249</v>
      </c>
      <c r="AJ349">
        <v>33.187958999999999</v>
      </c>
      <c r="AK349" t="s">
        <v>264</v>
      </c>
      <c r="AL349">
        <v>-97.786602999999999</v>
      </c>
      <c r="AM349">
        <v>25</v>
      </c>
      <c r="AN349">
        <v>2400</v>
      </c>
      <c r="AO349" t="s">
        <v>118</v>
      </c>
      <c r="AP349">
        <v>89</v>
      </c>
      <c r="AQ349">
        <v>-3</v>
      </c>
      <c r="AR349">
        <v>576</v>
      </c>
      <c r="AZ349">
        <v>1200</v>
      </c>
      <c r="BA349">
        <v>1</v>
      </c>
      <c r="BB349" t="str">
        <f t="shared" si="105"/>
        <v xml:space="preserve">N733KP  </v>
      </c>
      <c r="BC349">
        <v>1</v>
      </c>
      <c r="BE349">
        <v>0</v>
      </c>
      <c r="BF349">
        <v>0</v>
      </c>
      <c r="BG349">
        <v>0</v>
      </c>
      <c r="BH349">
        <v>2375</v>
      </c>
      <c r="BI349">
        <v>1</v>
      </c>
      <c r="BJ349">
        <v>1</v>
      </c>
      <c r="BK349">
        <v>0</v>
      </c>
      <c r="BL349">
        <v>0</v>
      </c>
      <c r="BO349">
        <v>0</v>
      </c>
      <c r="BP349">
        <v>0</v>
      </c>
      <c r="BW349" t="str">
        <f>"22:10:50.921"</f>
        <v>22:10:50.921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364</v>
      </c>
      <c r="CR349">
        <v>0</v>
      </c>
      <c r="CW349">
        <v>1377462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"03/24/2022 22:10:51.912"</f>
        <v>03/24/2022 22:10:51.912</v>
      </c>
      <c r="C350" t="str">
        <f t="shared" si="103"/>
        <v>FFDFD3C0</v>
      </c>
      <c r="D350" t="s">
        <v>120</v>
      </c>
      <c r="E350">
        <v>14</v>
      </c>
      <c r="F350">
        <v>1014</v>
      </c>
      <c r="G350" t="s">
        <v>121</v>
      </c>
      <c r="J350" t="s">
        <v>122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 t="shared" ref="S350:T353" si="107">"22:10:51.000"</f>
        <v>22:10:51.000</v>
      </c>
      <c r="T350" t="str">
        <f t="shared" si="107"/>
        <v>22:10:51.000</v>
      </c>
      <c r="U350" t="str">
        <f t="shared" si="98"/>
        <v>A9D71F</v>
      </c>
      <c r="V350">
        <v>0</v>
      </c>
      <c r="W350">
        <v>0</v>
      </c>
      <c r="X350">
        <v>2</v>
      </c>
      <c r="Z350">
        <v>1</v>
      </c>
      <c r="AA350">
        <v>8</v>
      </c>
      <c r="AB350">
        <v>3</v>
      </c>
      <c r="AC350">
        <v>0</v>
      </c>
      <c r="AD350">
        <v>9</v>
      </c>
      <c r="AE350">
        <v>0</v>
      </c>
      <c r="AF350">
        <v>3</v>
      </c>
      <c r="AG350">
        <v>1</v>
      </c>
      <c r="AH350">
        <v>0</v>
      </c>
      <c r="AI350" t="s">
        <v>253</v>
      </c>
      <c r="AJ350">
        <v>33.187916000000001</v>
      </c>
      <c r="AK350" t="s">
        <v>265</v>
      </c>
      <c r="AL350">
        <v>-97.786088000000007</v>
      </c>
      <c r="AM350">
        <v>25</v>
      </c>
      <c r="AN350">
        <v>2500</v>
      </c>
      <c r="AO350" t="s">
        <v>118</v>
      </c>
      <c r="AP350">
        <v>88</v>
      </c>
      <c r="AQ350">
        <v>-2</v>
      </c>
      <c r="AR350">
        <v>512</v>
      </c>
      <c r="AZ350">
        <v>1200</v>
      </c>
      <c r="BA350">
        <v>1</v>
      </c>
      <c r="BB350" t="str">
        <f t="shared" si="105"/>
        <v xml:space="preserve">N733KP  </v>
      </c>
      <c r="BC350">
        <v>1</v>
      </c>
      <c r="BE350">
        <v>0</v>
      </c>
      <c r="BF350">
        <v>0</v>
      </c>
      <c r="BG350">
        <v>0</v>
      </c>
      <c r="BH350">
        <v>2400</v>
      </c>
      <c r="BI350">
        <v>1</v>
      </c>
      <c r="BJ350">
        <v>1</v>
      </c>
      <c r="BK350">
        <v>0</v>
      </c>
      <c r="BL350">
        <v>0</v>
      </c>
      <c r="BO350">
        <v>0</v>
      </c>
      <c r="BP350">
        <v>0</v>
      </c>
      <c r="BW350" t="str">
        <f>"22:10:51.743"</f>
        <v>22:10:51.743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6</v>
      </c>
      <c r="CP350" t="s">
        <v>119</v>
      </c>
      <c r="CQ350">
        <v>364</v>
      </c>
      <c r="CR350">
        <v>0</v>
      </c>
      <c r="CW350">
        <v>1377587</v>
      </c>
      <c r="CY350">
        <v>1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"03/24/2022 22:10:51.912"</f>
        <v>03/24/2022 22:10:51.912</v>
      </c>
      <c r="C351" t="str">
        <f t="shared" si="103"/>
        <v>FFDFD3C0</v>
      </c>
      <c r="D351" t="s">
        <v>123</v>
      </c>
      <c r="E351">
        <v>8</v>
      </c>
      <c r="H351">
        <v>31</v>
      </c>
      <c r="I351" t="s">
        <v>124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 t="shared" si="107"/>
        <v>22:10:51.000</v>
      </c>
      <c r="T351" t="str">
        <f t="shared" si="107"/>
        <v>22:10:51.000</v>
      </c>
      <c r="U351" t="str">
        <f t="shared" si="98"/>
        <v>A9D71F</v>
      </c>
      <c r="V351">
        <v>0</v>
      </c>
      <c r="W351">
        <v>0</v>
      </c>
      <c r="X351">
        <v>2</v>
      </c>
      <c r="Z351">
        <v>1</v>
      </c>
      <c r="AA351">
        <v>8</v>
      </c>
      <c r="AB351">
        <v>3</v>
      </c>
      <c r="AC351">
        <v>0</v>
      </c>
      <c r="AD351">
        <v>9</v>
      </c>
      <c r="AE351">
        <v>0</v>
      </c>
      <c r="AF351">
        <v>3</v>
      </c>
      <c r="AG351">
        <v>1</v>
      </c>
      <c r="AH351">
        <v>0</v>
      </c>
      <c r="AI351" t="s">
        <v>253</v>
      </c>
      <c r="AJ351">
        <v>33.187916000000001</v>
      </c>
      <c r="AK351" t="s">
        <v>265</v>
      </c>
      <c r="AL351">
        <v>-97.786088000000007</v>
      </c>
      <c r="AM351">
        <v>25</v>
      </c>
      <c r="AN351">
        <v>2500</v>
      </c>
      <c r="AO351" t="s">
        <v>118</v>
      </c>
      <c r="AP351">
        <v>88</v>
      </c>
      <c r="AQ351">
        <v>-2</v>
      </c>
      <c r="AR351">
        <v>512</v>
      </c>
      <c r="AZ351">
        <v>1200</v>
      </c>
      <c r="BA351">
        <v>1</v>
      </c>
      <c r="BB351" t="str">
        <f t="shared" si="105"/>
        <v xml:space="preserve">N733KP  </v>
      </c>
      <c r="BC351">
        <v>1</v>
      </c>
      <c r="BE351">
        <v>0</v>
      </c>
      <c r="BF351">
        <v>0</v>
      </c>
      <c r="BG351">
        <v>0</v>
      </c>
      <c r="BH351">
        <v>2400</v>
      </c>
      <c r="BI351">
        <v>1</v>
      </c>
      <c r="BJ351">
        <v>1</v>
      </c>
      <c r="BK351">
        <v>0</v>
      </c>
      <c r="BL351">
        <v>0</v>
      </c>
      <c r="BO351">
        <v>0</v>
      </c>
      <c r="BP351">
        <v>0</v>
      </c>
      <c r="BW351" t="str">
        <f>"22:10:51.743"</f>
        <v>22:10:51.743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6</v>
      </c>
      <c r="CP351" t="s">
        <v>119</v>
      </c>
      <c r="CQ351">
        <v>364</v>
      </c>
      <c r="CR351">
        <v>0</v>
      </c>
      <c r="CW351">
        <v>1377587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"03/24/2022 22:10:51.912"</f>
        <v>03/24/2022 22:10:51.912</v>
      </c>
      <c r="C352" t="str">
        <f t="shared" si="103"/>
        <v>FFDFD3C0</v>
      </c>
      <c r="D352" t="s">
        <v>113</v>
      </c>
      <c r="E352">
        <v>24</v>
      </c>
      <c r="F352">
        <v>2024</v>
      </c>
      <c r="G352" t="s">
        <v>114</v>
      </c>
      <c r="J352" t="s">
        <v>115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 t="shared" si="107"/>
        <v>22:10:51.000</v>
      </c>
      <c r="T352" t="str">
        <f t="shared" si="107"/>
        <v>22:10:51.000</v>
      </c>
      <c r="U352" t="str">
        <f t="shared" si="98"/>
        <v>A9D71F</v>
      </c>
      <c r="V352">
        <v>0</v>
      </c>
      <c r="W352">
        <v>0</v>
      </c>
      <c r="X352">
        <v>2</v>
      </c>
      <c r="Z352">
        <v>1</v>
      </c>
      <c r="AA352">
        <v>8</v>
      </c>
      <c r="AB352">
        <v>3</v>
      </c>
      <c r="AC352">
        <v>0</v>
      </c>
      <c r="AD352">
        <v>9</v>
      </c>
      <c r="AE352">
        <v>0</v>
      </c>
      <c r="AF352">
        <v>3</v>
      </c>
      <c r="AG352">
        <v>1</v>
      </c>
      <c r="AH352">
        <v>0</v>
      </c>
      <c r="AI352" t="s">
        <v>253</v>
      </c>
      <c r="AJ352">
        <v>33.187916000000001</v>
      </c>
      <c r="AK352" t="s">
        <v>265</v>
      </c>
      <c r="AL352">
        <v>-97.786088000000007</v>
      </c>
      <c r="AM352">
        <v>25</v>
      </c>
      <c r="AN352">
        <v>2500</v>
      </c>
      <c r="AO352" t="s">
        <v>118</v>
      </c>
      <c r="AP352">
        <v>88</v>
      </c>
      <c r="AQ352">
        <v>-2</v>
      </c>
      <c r="AR352">
        <v>512</v>
      </c>
      <c r="AZ352">
        <v>1200</v>
      </c>
      <c r="BA352">
        <v>1</v>
      </c>
      <c r="BB352" t="str">
        <f t="shared" si="105"/>
        <v xml:space="preserve">N733KP  </v>
      </c>
      <c r="BC352">
        <v>1</v>
      </c>
      <c r="BE352">
        <v>0</v>
      </c>
      <c r="BF352">
        <v>0</v>
      </c>
      <c r="BG352">
        <v>0</v>
      </c>
      <c r="BH352">
        <v>2400</v>
      </c>
      <c r="BI352">
        <v>1</v>
      </c>
      <c r="BJ352">
        <v>1</v>
      </c>
      <c r="BK352">
        <v>0</v>
      </c>
      <c r="BL352">
        <v>0</v>
      </c>
      <c r="BO352">
        <v>0</v>
      </c>
      <c r="BP352">
        <v>0</v>
      </c>
      <c r="BW352" t="str">
        <f>"22:10:51.743"</f>
        <v>22:10:51.743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6</v>
      </c>
      <c r="CP352" t="s">
        <v>119</v>
      </c>
      <c r="CQ352">
        <v>364</v>
      </c>
      <c r="CR352">
        <v>0</v>
      </c>
      <c r="CW352">
        <v>1377587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"03/24/2022 22:10:51.959"</f>
        <v>03/24/2022 22:10:51.959</v>
      </c>
      <c r="C353" t="str">
        <f t="shared" si="103"/>
        <v>FFDFD3C0</v>
      </c>
      <c r="D353" t="s">
        <v>126</v>
      </c>
      <c r="E353">
        <v>3</v>
      </c>
      <c r="H353">
        <v>160</v>
      </c>
      <c r="I353" t="s">
        <v>121</v>
      </c>
      <c r="J353" t="s">
        <v>127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 t="shared" si="107"/>
        <v>22:10:51.000</v>
      </c>
      <c r="T353" t="str">
        <f t="shared" si="107"/>
        <v>22:10:51.000</v>
      </c>
      <c r="U353" t="str">
        <f t="shared" si="98"/>
        <v>A9D71F</v>
      </c>
      <c r="V353">
        <v>0</v>
      </c>
      <c r="W353">
        <v>0</v>
      </c>
      <c r="X353">
        <v>2</v>
      </c>
      <c r="Z353">
        <v>1</v>
      </c>
      <c r="AA353">
        <v>8</v>
      </c>
      <c r="AB353">
        <v>3</v>
      </c>
      <c r="AC353">
        <v>0</v>
      </c>
      <c r="AD353">
        <v>9</v>
      </c>
      <c r="AE353">
        <v>0</v>
      </c>
      <c r="AF353">
        <v>3</v>
      </c>
      <c r="AG353">
        <v>1</v>
      </c>
      <c r="AH353">
        <v>0</v>
      </c>
      <c r="AI353" t="s">
        <v>253</v>
      </c>
      <c r="AJ353">
        <v>33.187916000000001</v>
      </c>
      <c r="AK353" t="s">
        <v>265</v>
      </c>
      <c r="AL353">
        <v>-97.786088000000007</v>
      </c>
      <c r="AM353">
        <v>25</v>
      </c>
      <c r="AN353">
        <v>2500</v>
      </c>
      <c r="AO353" t="s">
        <v>118</v>
      </c>
      <c r="AP353">
        <v>88</v>
      </c>
      <c r="AQ353">
        <v>-2</v>
      </c>
      <c r="AR353">
        <v>512</v>
      </c>
      <c r="AZ353">
        <v>1200</v>
      </c>
      <c r="BA353">
        <v>1</v>
      </c>
      <c r="BB353" t="str">
        <f t="shared" si="105"/>
        <v xml:space="preserve">N733KP  </v>
      </c>
      <c r="BC353">
        <v>1</v>
      </c>
      <c r="BE353">
        <v>0</v>
      </c>
      <c r="BF353">
        <v>0</v>
      </c>
      <c r="BG353">
        <v>0</v>
      </c>
      <c r="BH353">
        <v>2400</v>
      </c>
      <c r="BI353">
        <v>1</v>
      </c>
      <c r="BJ353">
        <v>1</v>
      </c>
      <c r="BK353">
        <v>0</v>
      </c>
      <c r="BL353">
        <v>0</v>
      </c>
      <c r="BO353">
        <v>0</v>
      </c>
      <c r="BP353">
        <v>0</v>
      </c>
      <c r="BW353" t="str">
        <f>"22:10:51.743"</f>
        <v>22:10:51.743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6</v>
      </c>
      <c r="CP353" t="s">
        <v>119</v>
      </c>
      <c r="CQ353">
        <v>364</v>
      </c>
      <c r="CR353">
        <v>0</v>
      </c>
      <c r="CW353">
        <v>1377587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"03/24/2022 22:10:52.584"</f>
        <v>03/24/2022 22:10:52.584</v>
      </c>
      <c r="C354" t="str">
        <f t="shared" si="103"/>
        <v>FFDFD3C0</v>
      </c>
      <c r="D354" t="s">
        <v>120</v>
      </c>
      <c r="E354">
        <v>14</v>
      </c>
      <c r="F354">
        <v>1014</v>
      </c>
      <c r="G354" t="s">
        <v>121</v>
      </c>
      <c r="J354" t="s">
        <v>122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 t="shared" ref="S354:T357" si="108">"22:10:52.000"</f>
        <v>22:10:52.000</v>
      </c>
      <c r="T354" t="str">
        <f t="shared" si="108"/>
        <v>22:10:52.000</v>
      </c>
      <c r="U354" t="str">
        <f t="shared" si="98"/>
        <v>A9D71F</v>
      </c>
      <c r="V354">
        <v>0</v>
      </c>
      <c r="W354">
        <v>0</v>
      </c>
      <c r="X354">
        <v>2</v>
      </c>
      <c r="Z354">
        <v>1</v>
      </c>
      <c r="AA354">
        <v>8</v>
      </c>
      <c r="AB354">
        <v>3</v>
      </c>
      <c r="AC354">
        <v>0</v>
      </c>
      <c r="AD354">
        <v>9</v>
      </c>
      <c r="AE354">
        <v>0</v>
      </c>
      <c r="AF354">
        <v>3</v>
      </c>
      <c r="AG354">
        <v>1</v>
      </c>
      <c r="AH354">
        <v>0</v>
      </c>
      <c r="AI354" t="s">
        <v>253</v>
      </c>
      <c r="AJ354">
        <v>33.187916000000001</v>
      </c>
      <c r="AK354" t="s">
        <v>266</v>
      </c>
      <c r="AL354">
        <v>-97.785594000000003</v>
      </c>
      <c r="AM354">
        <v>25</v>
      </c>
      <c r="AN354">
        <v>2500</v>
      </c>
      <c r="AO354" t="s">
        <v>118</v>
      </c>
      <c r="AP354">
        <v>89</v>
      </c>
      <c r="AQ354">
        <v>-3</v>
      </c>
      <c r="AR354">
        <v>512</v>
      </c>
      <c r="AZ354">
        <v>1200</v>
      </c>
      <c r="BA354">
        <v>1</v>
      </c>
      <c r="BB354" t="str">
        <f t="shared" si="105"/>
        <v xml:space="preserve">N733KP  </v>
      </c>
      <c r="BC354">
        <v>1</v>
      </c>
      <c r="BE354">
        <v>0</v>
      </c>
      <c r="BF354">
        <v>0</v>
      </c>
      <c r="BG354">
        <v>0</v>
      </c>
      <c r="BH354">
        <v>2400</v>
      </c>
      <c r="BI354">
        <v>1</v>
      </c>
      <c r="BJ354">
        <v>1</v>
      </c>
      <c r="BK354">
        <v>0</v>
      </c>
      <c r="BL354">
        <v>0</v>
      </c>
      <c r="BO354">
        <v>0</v>
      </c>
      <c r="BP354">
        <v>0</v>
      </c>
      <c r="BW354" t="str">
        <f>"22:10:52.362"</f>
        <v>22:10:52.362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364</v>
      </c>
      <c r="CR354">
        <v>0</v>
      </c>
      <c r="CW354">
        <v>1377672</v>
      </c>
      <c r="CY354">
        <v>1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"03/24/2022 22:10:52.584"</f>
        <v>03/24/2022 22:10:52.584</v>
      </c>
      <c r="C355" t="str">
        <f t="shared" si="103"/>
        <v>FFDFD3C0</v>
      </c>
      <c r="D355" t="s">
        <v>123</v>
      </c>
      <c r="E355">
        <v>8</v>
      </c>
      <c r="H355">
        <v>31</v>
      </c>
      <c r="I355" t="s">
        <v>124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 t="shared" si="108"/>
        <v>22:10:52.000</v>
      </c>
      <c r="T355" t="str">
        <f t="shared" si="108"/>
        <v>22:10:52.000</v>
      </c>
      <c r="U355" t="str">
        <f t="shared" si="98"/>
        <v>A9D71F</v>
      </c>
      <c r="V355">
        <v>0</v>
      </c>
      <c r="W355">
        <v>0</v>
      </c>
      <c r="X355">
        <v>2</v>
      </c>
      <c r="Z355">
        <v>1</v>
      </c>
      <c r="AA355">
        <v>8</v>
      </c>
      <c r="AB355">
        <v>3</v>
      </c>
      <c r="AC355">
        <v>0</v>
      </c>
      <c r="AD355">
        <v>9</v>
      </c>
      <c r="AE355">
        <v>0</v>
      </c>
      <c r="AF355">
        <v>3</v>
      </c>
      <c r="AG355">
        <v>1</v>
      </c>
      <c r="AH355">
        <v>0</v>
      </c>
      <c r="AI355" t="s">
        <v>253</v>
      </c>
      <c r="AJ355">
        <v>33.187916000000001</v>
      </c>
      <c r="AK355" t="s">
        <v>266</v>
      </c>
      <c r="AL355">
        <v>-97.785594000000003</v>
      </c>
      <c r="AM355">
        <v>25</v>
      </c>
      <c r="AN355">
        <v>2500</v>
      </c>
      <c r="AO355" t="s">
        <v>118</v>
      </c>
      <c r="AP355">
        <v>89</v>
      </c>
      <c r="AQ355">
        <v>-3</v>
      </c>
      <c r="AR355">
        <v>512</v>
      </c>
      <c r="AZ355">
        <v>1200</v>
      </c>
      <c r="BA355">
        <v>1</v>
      </c>
      <c r="BB355" t="str">
        <f t="shared" si="105"/>
        <v xml:space="preserve">N733KP  </v>
      </c>
      <c r="BC355">
        <v>1</v>
      </c>
      <c r="BE355">
        <v>0</v>
      </c>
      <c r="BF355">
        <v>0</v>
      </c>
      <c r="BG355">
        <v>0</v>
      </c>
      <c r="BH355">
        <v>2400</v>
      </c>
      <c r="BI355">
        <v>1</v>
      </c>
      <c r="BJ355">
        <v>1</v>
      </c>
      <c r="BK355">
        <v>0</v>
      </c>
      <c r="BL355">
        <v>0</v>
      </c>
      <c r="BO355">
        <v>0</v>
      </c>
      <c r="BP355">
        <v>0</v>
      </c>
      <c r="BW355" t="str">
        <f>"22:10:52.362"</f>
        <v>22:10:52.362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364</v>
      </c>
      <c r="CR355">
        <v>0</v>
      </c>
      <c r="CW355">
        <v>1377672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"03/24/2022 22:10:52.600"</f>
        <v>03/24/2022 22:10:52.600</v>
      </c>
      <c r="C356" t="str">
        <f t="shared" si="103"/>
        <v>FFDFD3C0</v>
      </c>
      <c r="D356" t="s">
        <v>113</v>
      </c>
      <c r="E356">
        <v>24</v>
      </c>
      <c r="F356">
        <v>2024</v>
      </c>
      <c r="G356" t="s">
        <v>114</v>
      </c>
      <c r="J356" t="s">
        <v>115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 t="shared" si="108"/>
        <v>22:10:52.000</v>
      </c>
      <c r="T356" t="str">
        <f t="shared" si="108"/>
        <v>22:10:52.000</v>
      </c>
      <c r="U356" t="str">
        <f t="shared" si="98"/>
        <v>A9D71F</v>
      </c>
      <c r="V356">
        <v>0</v>
      </c>
      <c r="W356">
        <v>0</v>
      </c>
      <c r="X356">
        <v>2</v>
      </c>
      <c r="Z356">
        <v>1</v>
      </c>
      <c r="AA356">
        <v>8</v>
      </c>
      <c r="AB356">
        <v>3</v>
      </c>
      <c r="AC356">
        <v>0</v>
      </c>
      <c r="AD356">
        <v>9</v>
      </c>
      <c r="AE356">
        <v>0</v>
      </c>
      <c r="AF356">
        <v>3</v>
      </c>
      <c r="AG356">
        <v>1</v>
      </c>
      <c r="AH356">
        <v>0</v>
      </c>
      <c r="AI356" t="s">
        <v>253</v>
      </c>
      <c r="AJ356">
        <v>33.187916000000001</v>
      </c>
      <c r="AK356" t="s">
        <v>266</v>
      </c>
      <c r="AL356">
        <v>-97.785594000000003</v>
      </c>
      <c r="AM356">
        <v>25</v>
      </c>
      <c r="AN356">
        <v>2500</v>
      </c>
      <c r="AO356" t="s">
        <v>118</v>
      </c>
      <c r="AP356">
        <v>89</v>
      </c>
      <c r="AQ356">
        <v>-3</v>
      </c>
      <c r="AR356">
        <v>512</v>
      </c>
      <c r="AZ356">
        <v>1200</v>
      </c>
      <c r="BA356">
        <v>1</v>
      </c>
      <c r="BB356" t="str">
        <f t="shared" si="105"/>
        <v xml:space="preserve">N733KP  </v>
      </c>
      <c r="BC356">
        <v>1</v>
      </c>
      <c r="BE356">
        <v>0</v>
      </c>
      <c r="BF356">
        <v>0</v>
      </c>
      <c r="BG356">
        <v>0</v>
      </c>
      <c r="BH356">
        <v>2400</v>
      </c>
      <c r="BI356">
        <v>1</v>
      </c>
      <c r="BJ356">
        <v>1</v>
      </c>
      <c r="BK356">
        <v>0</v>
      </c>
      <c r="BL356">
        <v>0</v>
      </c>
      <c r="BO356">
        <v>0</v>
      </c>
      <c r="BP356">
        <v>0</v>
      </c>
      <c r="BW356" t="str">
        <f>"22:10:52.362"</f>
        <v>22:10:52.362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119</v>
      </c>
      <c r="CQ356">
        <v>364</v>
      </c>
      <c r="CR356">
        <v>0</v>
      </c>
      <c r="CW356">
        <v>1377672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"03/24/2022 22:10:52.600"</f>
        <v>03/24/2022 22:10:52.600</v>
      </c>
      <c r="C357" t="str">
        <f t="shared" si="103"/>
        <v>FFDFD3C0</v>
      </c>
      <c r="D357" t="s">
        <v>126</v>
      </c>
      <c r="E357">
        <v>3</v>
      </c>
      <c r="H357">
        <v>160</v>
      </c>
      <c r="I357" t="s">
        <v>121</v>
      </c>
      <c r="J357" t="s">
        <v>127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 t="shared" si="108"/>
        <v>22:10:52.000</v>
      </c>
      <c r="T357" t="str">
        <f t="shared" si="108"/>
        <v>22:10:52.000</v>
      </c>
      <c r="U357" t="str">
        <f t="shared" si="98"/>
        <v>A9D71F</v>
      </c>
      <c r="V357">
        <v>0</v>
      </c>
      <c r="W357">
        <v>0</v>
      </c>
      <c r="X357">
        <v>2</v>
      </c>
      <c r="Z357">
        <v>1</v>
      </c>
      <c r="AA357">
        <v>8</v>
      </c>
      <c r="AB357">
        <v>3</v>
      </c>
      <c r="AC357">
        <v>0</v>
      </c>
      <c r="AD357">
        <v>9</v>
      </c>
      <c r="AE357">
        <v>0</v>
      </c>
      <c r="AF357">
        <v>3</v>
      </c>
      <c r="AG357">
        <v>1</v>
      </c>
      <c r="AH357">
        <v>0</v>
      </c>
      <c r="AI357" t="s">
        <v>253</v>
      </c>
      <c r="AJ357">
        <v>33.187916000000001</v>
      </c>
      <c r="AK357" t="s">
        <v>266</v>
      </c>
      <c r="AL357">
        <v>-97.785594000000003</v>
      </c>
      <c r="AM357">
        <v>25</v>
      </c>
      <c r="AN357">
        <v>2500</v>
      </c>
      <c r="AO357" t="s">
        <v>118</v>
      </c>
      <c r="AP357">
        <v>89</v>
      </c>
      <c r="AQ357">
        <v>-3</v>
      </c>
      <c r="AR357">
        <v>512</v>
      </c>
      <c r="AZ357">
        <v>1200</v>
      </c>
      <c r="BA357">
        <v>1</v>
      </c>
      <c r="BB357" t="str">
        <f t="shared" si="105"/>
        <v xml:space="preserve">N733KP  </v>
      </c>
      <c r="BC357">
        <v>1</v>
      </c>
      <c r="BE357">
        <v>0</v>
      </c>
      <c r="BF357">
        <v>0</v>
      </c>
      <c r="BG357">
        <v>0</v>
      </c>
      <c r="BH357">
        <v>2400</v>
      </c>
      <c r="BI357">
        <v>1</v>
      </c>
      <c r="BJ357">
        <v>1</v>
      </c>
      <c r="BK357">
        <v>0</v>
      </c>
      <c r="BL357">
        <v>0</v>
      </c>
      <c r="BO357">
        <v>0</v>
      </c>
      <c r="BP357">
        <v>0</v>
      </c>
      <c r="BW357" t="str">
        <f>"22:10:52.362"</f>
        <v>22:10:52.362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119</v>
      </c>
      <c r="CQ357">
        <v>364</v>
      </c>
      <c r="CR357">
        <v>0</v>
      </c>
      <c r="CW357">
        <v>1377672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"03/24/2022 22:10:53.979"</f>
        <v>03/24/2022 22:10:53.979</v>
      </c>
      <c r="C358" t="str">
        <f t="shared" si="103"/>
        <v>FFDFD3C0</v>
      </c>
      <c r="D358" t="s">
        <v>120</v>
      </c>
      <c r="E358">
        <v>14</v>
      </c>
      <c r="F358">
        <v>1014</v>
      </c>
      <c r="G358" t="s">
        <v>121</v>
      </c>
      <c r="J358" t="s">
        <v>122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 t="shared" ref="S358:T361" si="109">"22:10:53.000"</f>
        <v>22:10:53.000</v>
      </c>
      <c r="T358" t="str">
        <f t="shared" si="109"/>
        <v>22:10:53.000</v>
      </c>
      <c r="U358" t="str">
        <f t="shared" si="98"/>
        <v>A9D71F</v>
      </c>
      <c r="V358">
        <v>0</v>
      </c>
      <c r="W358">
        <v>0</v>
      </c>
      <c r="X358">
        <v>2</v>
      </c>
      <c r="Z358">
        <v>1</v>
      </c>
      <c r="AA358">
        <v>8</v>
      </c>
      <c r="AB358">
        <v>3</v>
      </c>
      <c r="AC358">
        <v>0</v>
      </c>
      <c r="AD358">
        <v>9</v>
      </c>
      <c r="AE358">
        <v>0</v>
      </c>
      <c r="AF358">
        <v>3</v>
      </c>
      <c r="AG358">
        <v>1</v>
      </c>
      <c r="AH358">
        <v>0</v>
      </c>
      <c r="AI358" t="s">
        <v>267</v>
      </c>
      <c r="AJ358">
        <v>33.187894999999997</v>
      </c>
      <c r="AK358" t="s">
        <v>268</v>
      </c>
      <c r="AL358">
        <v>-97.785100999999997</v>
      </c>
      <c r="AM358">
        <v>25</v>
      </c>
      <c r="AN358">
        <v>2500</v>
      </c>
      <c r="AO358" t="s">
        <v>118</v>
      </c>
      <c r="AP358">
        <v>90</v>
      </c>
      <c r="AQ358">
        <v>-2</v>
      </c>
      <c r="AR358">
        <v>384</v>
      </c>
      <c r="AZ358">
        <v>1200</v>
      </c>
      <c r="BA358">
        <v>1</v>
      </c>
      <c r="BB358" t="str">
        <f t="shared" si="105"/>
        <v xml:space="preserve">N733KP  </v>
      </c>
      <c r="BC358">
        <v>1</v>
      </c>
      <c r="BE358">
        <v>0</v>
      </c>
      <c r="BF358">
        <v>0</v>
      </c>
      <c r="BG358">
        <v>0</v>
      </c>
      <c r="BH358">
        <v>2400</v>
      </c>
      <c r="BI358">
        <v>1</v>
      </c>
      <c r="BJ358">
        <v>1</v>
      </c>
      <c r="BK358">
        <v>0</v>
      </c>
      <c r="BL358">
        <v>0</v>
      </c>
      <c r="BO358">
        <v>0</v>
      </c>
      <c r="BP358">
        <v>0</v>
      </c>
      <c r="BW358" t="str">
        <f>"22:10:53.795"</f>
        <v>22:10:53.795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119</v>
      </c>
      <c r="CQ358">
        <v>364</v>
      </c>
      <c r="CR358">
        <v>0</v>
      </c>
      <c r="CW358">
        <v>1377888</v>
      </c>
      <c r="CY358">
        <v>1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"03/24/2022 22:10:53.979"</f>
        <v>03/24/2022 22:10:53.979</v>
      </c>
      <c r="C359" t="str">
        <f t="shared" si="103"/>
        <v>FFDFD3C0</v>
      </c>
      <c r="D359" t="s">
        <v>123</v>
      </c>
      <c r="E359">
        <v>8</v>
      </c>
      <c r="H359">
        <v>31</v>
      </c>
      <c r="I359" t="s">
        <v>124</v>
      </c>
      <c r="J359" t="s">
        <v>125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 t="shared" si="109"/>
        <v>22:10:53.000</v>
      </c>
      <c r="T359" t="str">
        <f t="shared" si="109"/>
        <v>22:10:53.000</v>
      </c>
      <c r="U359" t="str">
        <f t="shared" si="98"/>
        <v>A9D71F</v>
      </c>
      <c r="V359">
        <v>0</v>
      </c>
      <c r="W359">
        <v>0</v>
      </c>
      <c r="X359">
        <v>2</v>
      </c>
      <c r="Z359">
        <v>1</v>
      </c>
      <c r="AA359">
        <v>8</v>
      </c>
      <c r="AB359">
        <v>3</v>
      </c>
      <c r="AC359">
        <v>0</v>
      </c>
      <c r="AD359">
        <v>9</v>
      </c>
      <c r="AE359">
        <v>0</v>
      </c>
      <c r="AF359">
        <v>3</v>
      </c>
      <c r="AG359">
        <v>1</v>
      </c>
      <c r="AH359">
        <v>0</v>
      </c>
      <c r="AI359" t="s">
        <v>267</v>
      </c>
      <c r="AJ359">
        <v>33.187894999999997</v>
      </c>
      <c r="AK359" t="s">
        <v>268</v>
      </c>
      <c r="AL359">
        <v>-97.785100999999997</v>
      </c>
      <c r="AM359">
        <v>25</v>
      </c>
      <c r="AN359">
        <v>2500</v>
      </c>
      <c r="AO359" t="s">
        <v>118</v>
      </c>
      <c r="AP359">
        <v>90</v>
      </c>
      <c r="AQ359">
        <v>-2</v>
      </c>
      <c r="AR359">
        <v>384</v>
      </c>
      <c r="AZ359">
        <v>1200</v>
      </c>
      <c r="BA359">
        <v>1</v>
      </c>
      <c r="BB359" t="str">
        <f t="shared" si="105"/>
        <v xml:space="preserve">N733KP  </v>
      </c>
      <c r="BC359">
        <v>1</v>
      </c>
      <c r="BE359">
        <v>0</v>
      </c>
      <c r="BF359">
        <v>0</v>
      </c>
      <c r="BG359">
        <v>0</v>
      </c>
      <c r="BH359">
        <v>2400</v>
      </c>
      <c r="BI359">
        <v>1</v>
      </c>
      <c r="BJ359">
        <v>1</v>
      </c>
      <c r="BK359">
        <v>0</v>
      </c>
      <c r="BL359">
        <v>0</v>
      </c>
      <c r="BO359">
        <v>0</v>
      </c>
      <c r="BP359">
        <v>0</v>
      </c>
      <c r="BW359" t="str">
        <f>"22:10:53.795"</f>
        <v>22:10:53.795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119</v>
      </c>
      <c r="CQ359">
        <v>364</v>
      </c>
      <c r="CR359">
        <v>0</v>
      </c>
      <c r="CW359">
        <v>1377888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"03/24/2022 22:10:54.057"</f>
        <v>03/24/2022 22:10:54.057</v>
      </c>
      <c r="C360" t="str">
        <f t="shared" si="103"/>
        <v>FFDFD3C0</v>
      </c>
      <c r="D360" t="s">
        <v>113</v>
      </c>
      <c r="E360">
        <v>24</v>
      </c>
      <c r="F360">
        <v>2024</v>
      </c>
      <c r="G360" t="s">
        <v>114</v>
      </c>
      <c r="J360" t="s">
        <v>115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 t="shared" si="109"/>
        <v>22:10:53.000</v>
      </c>
      <c r="T360" t="str">
        <f t="shared" si="109"/>
        <v>22:10:53.000</v>
      </c>
      <c r="U360" t="str">
        <f t="shared" si="98"/>
        <v>A9D71F</v>
      </c>
      <c r="V360">
        <v>0</v>
      </c>
      <c r="W360">
        <v>0</v>
      </c>
      <c r="X360">
        <v>2</v>
      </c>
      <c r="Z360">
        <v>1</v>
      </c>
      <c r="AA360">
        <v>8</v>
      </c>
      <c r="AB360">
        <v>3</v>
      </c>
      <c r="AC360">
        <v>0</v>
      </c>
      <c r="AD360">
        <v>9</v>
      </c>
      <c r="AE360">
        <v>0</v>
      </c>
      <c r="AF360">
        <v>3</v>
      </c>
      <c r="AG360">
        <v>1</v>
      </c>
      <c r="AH360">
        <v>0</v>
      </c>
      <c r="AI360" t="s">
        <v>267</v>
      </c>
      <c r="AJ360">
        <v>33.187894999999997</v>
      </c>
      <c r="AK360" t="s">
        <v>268</v>
      </c>
      <c r="AL360">
        <v>-97.785100999999997</v>
      </c>
      <c r="AM360">
        <v>25</v>
      </c>
      <c r="AN360">
        <v>2500</v>
      </c>
      <c r="AO360" t="s">
        <v>118</v>
      </c>
      <c r="AP360">
        <v>90</v>
      </c>
      <c r="AQ360">
        <v>-2</v>
      </c>
      <c r="AR360">
        <v>384</v>
      </c>
      <c r="AZ360">
        <v>1200</v>
      </c>
      <c r="BA360">
        <v>1</v>
      </c>
      <c r="BB360" t="str">
        <f t="shared" si="105"/>
        <v xml:space="preserve">N733KP  </v>
      </c>
      <c r="BC360">
        <v>1</v>
      </c>
      <c r="BE360">
        <v>0</v>
      </c>
      <c r="BF360">
        <v>0</v>
      </c>
      <c r="BG360">
        <v>0</v>
      </c>
      <c r="BH360">
        <v>2400</v>
      </c>
      <c r="BI360">
        <v>1</v>
      </c>
      <c r="BJ360">
        <v>1</v>
      </c>
      <c r="BK360">
        <v>0</v>
      </c>
      <c r="BL360">
        <v>0</v>
      </c>
      <c r="BO360">
        <v>0</v>
      </c>
      <c r="BP360">
        <v>0</v>
      </c>
      <c r="BW360" t="str">
        <f>"22:10:53.795"</f>
        <v>22:10:53.795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119</v>
      </c>
      <c r="CQ360">
        <v>364</v>
      </c>
      <c r="CR360">
        <v>0</v>
      </c>
      <c r="CW360">
        <v>1377888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"03/24/2022 22:10:54.057"</f>
        <v>03/24/2022 22:10:54.057</v>
      </c>
      <c r="C361" t="str">
        <f t="shared" si="103"/>
        <v>FFDFD3C0</v>
      </c>
      <c r="D361" t="s">
        <v>126</v>
      </c>
      <c r="E361">
        <v>3</v>
      </c>
      <c r="H361">
        <v>160</v>
      </c>
      <c r="I361" t="s">
        <v>121</v>
      </c>
      <c r="J361" t="s">
        <v>127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 t="shared" si="109"/>
        <v>22:10:53.000</v>
      </c>
      <c r="T361" t="str">
        <f t="shared" si="109"/>
        <v>22:10:53.000</v>
      </c>
      <c r="U361" t="str">
        <f t="shared" si="98"/>
        <v>A9D71F</v>
      </c>
      <c r="V361">
        <v>0</v>
      </c>
      <c r="W361">
        <v>0</v>
      </c>
      <c r="X361">
        <v>2</v>
      </c>
      <c r="Z361">
        <v>1</v>
      </c>
      <c r="AA361">
        <v>8</v>
      </c>
      <c r="AB361">
        <v>3</v>
      </c>
      <c r="AC361">
        <v>0</v>
      </c>
      <c r="AD361">
        <v>9</v>
      </c>
      <c r="AE361">
        <v>0</v>
      </c>
      <c r="AF361">
        <v>3</v>
      </c>
      <c r="AG361">
        <v>1</v>
      </c>
      <c r="AH361">
        <v>0</v>
      </c>
      <c r="AI361" t="s">
        <v>267</v>
      </c>
      <c r="AJ361">
        <v>33.187894999999997</v>
      </c>
      <c r="AK361" t="s">
        <v>268</v>
      </c>
      <c r="AL361">
        <v>-97.785100999999997</v>
      </c>
      <c r="AM361">
        <v>25</v>
      </c>
      <c r="AN361">
        <v>2500</v>
      </c>
      <c r="AO361" t="s">
        <v>118</v>
      </c>
      <c r="AP361">
        <v>90</v>
      </c>
      <c r="AQ361">
        <v>-2</v>
      </c>
      <c r="AR361">
        <v>384</v>
      </c>
      <c r="AZ361">
        <v>1200</v>
      </c>
      <c r="BA361">
        <v>1</v>
      </c>
      <c r="BB361" t="str">
        <f t="shared" si="105"/>
        <v xml:space="preserve">N733KP  </v>
      </c>
      <c r="BC361">
        <v>1</v>
      </c>
      <c r="BE361">
        <v>0</v>
      </c>
      <c r="BF361">
        <v>0</v>
      </c>
      <c r="BG361">
        <v>0</v>
      </c>
      <c r="BH361">
        <v>2400</v>
      </c>
      <c r="BI361">
        <v>1</v>
      </c>
      <c r="BJ361">
        <v>1</v>
      </c>
      <c r="BK361">
        <v>0</v>
      </c>
      <c r="BL361">
        <v>0</v>
      </c>
      <c r="BO361">
        <v>0</v>
      </c>
      <c r="BP361">
        <v>0</v>
      </c>
      <c r="BW361" t="str">
        <f>"22:10:53.795"</f>
        <v>22:10:53.795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119</v>
      </c>
      <c r="CQ361">
        <v>364</v>
      </c>
      <c r="CR361">
        <v>0</v>
      </c>
      <c r="CW361">
        <v>1377888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"03/24/2022 22:10:54.775"</f>
        <v>03/24/2022 22:10:54.775</v>
      </c>
      <c r="C362" t="str">
        <f t="shared" si="103"/>
        <v>FFDFD3C0</v>
      </c>
      <c r="D362" t="s">
        <v>120</v>
      </c>
      <c r="E362">
        <v>14</v>
      </c>
      <c r="F362">
        <v>1014</v>
      </c>
      <c r="G362" t="s">
        <v>121</v>
      </c>
      <c r="J362" t="s">
        <v>122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 t="shared" ref="S362:T365" si="110">"22:10:54.000"</f>
        <v>22:10:54.000</v>
      </c>
      <c r="T362" t="str">
        <f t="shared" si="110"/>
        <v>22:10:54.000</v>
      </c>
      <c r="U362" t="str">
        <f t="shared" si="98"/>
        <v>A9D71F</v>
      </c>
      <c r="V362">
        <v>0</v>
      </c>
      <c r="W362">
        <v>0</v>
      </c>
      <c r="X362">
        <v>2</v>
      </c>
      <c r="Z362">
        <v>1</v>
      </c>
      <c r="AA362">
        <v>8</v>
      </c>
      <c r="AB362">
        <v>3</v>
      </c>
      <c r="AC362">
        <v>0</v>
      </c>
      <c r="AD362">
        <v>9</v>
      </c>
      <c r="AE362">
        <v>0</v>
      </c>
      <c r="AF362">
        <v>3</v>
      </c>
      <c r="AG362">
        <v>1</v>
      </c>
      <c r="AH362">
        <v>0</v>
      </c>
      <c r="AI362" t="s">
        <v>269</v>
      </c>
      <c r="AJ362">
        <v>33.187829999999998</v>
      </c>
      <c r="AK362" t="s">
        <v>270</v>
      </c>
      <c r="AL362">
        <v>-97.784606999999994</v>
      </c>
      <c r="AM362">
        <v>25</v>
      </c>
      <c r="AN362">
        <v>2500</v>
      </c>
      <c r="AO362" t="s">
        <v>118</v>
      </c>
      <c r="AP362">
        <v>89</v>
      </c>
      <c r="AQ362">
        <v>0</v>
      </c>
      <c r="AR362">
        <v>384</v>
      </c>
      <c r="AZ362">
        <v>1200</v>
      </c>
      <c r="BA362">
        <v>1</v>
      </c>
      <c r="BB362" t="str">
        <f t="shared" si="105"/>
        <v xml:space="preserve">N733KP  </v>
      </c>
      <c r="BC362">
        <v>1</v>
      </c>
      <c r="BE362">
        <v>0</v>
      </c>
      <c r="BF362">
        <v>0</v>
      </c>
      <c r="BG362">
        <v>0</v>
      </c>
      <c r="BH362">
        <v>2450</v>
      </c>
      <c r="BI362">
        <v>1</v>
      </c>
      <c r="BJ362">
        <v>1</v>
      </c>
      <c r="BK362">
        <v>0</v>
      </c>
      <c r="BL362">
        <v>0</v>
      </c>
      <c r="BO362">
        <v>0</v>
      </c>
      <c r="BP362">
        <v>0</v>
      </c>
      <c r="BW362" t="str">
        <f>"22:10:54.613"</f>
        <v>22:10:54.613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364</v>
      </c>
      <c r="CR362">
        <v>0</v>
      </c>
      <c r="CW362">
        <v>1378005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"03/24/2022 22:10:54.775"</f>
        <v>03/24/2022 22:10:54.775</v>
      </c>
      <c r="C363" t="str">
        <f t="shared" si="103"/>
        <v>FFDFD3C0</v>
      </c>
      <c r="D363" t="s">
        <v>123</v>
      </c>
      <c r="E363">
        <v>8</v>
      </c>
      <c r="H363">
        <v>31</v>
      </c>
      <c r="I363" t="s">
        <v>124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 t="shared" si="110"/>
        <v>22:10:54.000</v>
      </c>
      <c r="T363" t="str">
        <f t="shared" si="110"/>
        <v>22:10:54.000</v>
      </c>
      <c r="U363" t="str">
        <f t="shared" si="98"/>
        <v>A9D71F</v>
      </c>
      <c r="V363">
        <v>0</v>
      </c>
      <c r="W363">
        <v>0</v>
      </c>
      <c r="X363">
        <v>2</v>
      </c>
      <c r="Z363">
        <v>1</v>
      </c>
      <c r="AA363">
        <v>8</v>
      </c>
      <c r="AB363">
        <v>3</v>
      </c>
      <c r="AC363">
        <v>0</v>
      </c>
      <c r="AD363">
        <v>9</v>
      </c>
      <c r="AE363">
        <v>0</v>
      </c>
      <c r="AF363">
        <v>3</v>
      </c>
      <c r="AG363">
        <v>1</v>
      </c>
      <c r="AH363">
        <v>0</v>
      </c>
      <c r="AI363" t="s">
        <v>269</v>
      </c>
      <c r="AJ363">
        <v>33.187829999999998</v>
      </c>
      <c r="AK363" t="s">
        <v>270</v>
      </c>
      <c r="AL363">
        <v>-97.784606999999994</v>
      </c>
      <c r="AM363">
        <v>25</v>
      </c>
      <c r="AN363">
        <v>2500</v>
      </c>
      <c r="AO363" t="s">
        <v>118</v>
      </c>
      <c r="AP363">
        <v>89</v>
      </c>
      <c r="AQ363">
        <v>0</v>
      </c>
      <c r="AR363">
        <v>384</v>
      </c>
      <c r="AZ363">
        <v>1200</v>
      </c>
      <c r="BA363">
        <v>1</v>
      </c>
      <c r="BB363" t="str">
        <f t="shared" si="105"/>
        <v xml:space="preserve">N733KP  </v>
      </c>
      <c r="BC363">
        <v>1</v>
      </c>
      <c r="BE363">
        <v>0</v>
      </c>
      <c r="BF363">
        <v>0</v>
      </c>
      <c r="BG363">
        <v>0</v>
      </c>
      <c r="BH363">
        <v>2450</v>
      </c>
      <c r="BI363">
        <v>1</v>
      </c>
      <c r="BJ363">
        <v>1</v>
      </c>
      <c r="BK363">
        <v>0</v>
      </c>
      <c r="BL363">
        <v>0</v>
      </c>
      <c r="BO363">
        <v>0</v>
      </c>
      <c r="BP363">
        <v>0</v>
      </c>
      <c r="BW363" t="str">
        <f>"22:10:54.613"</f>
        <v>22:10:54.613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364</v>
      </c>
      <c r="CR363">
        <v>0</v>
      </c>
      <c r="CW363">
        <v>1378005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"03/24/2022 22:10:54.838"</f>
        <v>03/24/2022 22:10:54.838</v>
      </c>
      <c r="C364" t="str">
        <f t="shared" si="103"/>
        <v>FFDFD3C0</v>
      </c>
      <c r="D364" t="s">
        <v>113</v>
      </c>
      <c r="E364">
        <v>24</v>
      </c>
      <c r="F364">
        <v>2024</v>
      </c>
      <c r="G364" t="s">
        <v>114</v>
      </c>
      <c r="J364" t="s">
        <v>115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 t="shared" si="110"/>
        <v>22:10:54.000</v>
      </c>
      <c r="T364" t="str">
        <f t="shared" si="110"/>
        <v>22:10:54.000</v>
      </c>
      <c r="U364" t="str">
        <f t="shared" si="98"/>
        <v>A9D71F</v>
      </c>
      <c r="V364">
        <v>0</v>
      </c>
      <c r="W364">
        <v>0</v>
      </c>
      <c r="X364">
        <v>2</v>
      </c>
      <c r="Z364">
        <v>1</v>
      </c>
      <c r="AA364">
        <v>8</v>
      </c>
      <c r="AB364">
        <v>3</v>
      </c>
      <c r="AC364">
        <v>0</v>
      </c>
      <c r="AD364">
        <v>9</v>
      </c>
      <c r="AE364">
        <v>0</v>
      </c>
      <c r="AF364">
        <v>3</v>
      </c>
      <c r="AG364">
        <v>1</v>
      </c>
      <c r="AH364">
        <v>0</v>
      </c>
      <c r="AI364" t="s">
        <v>269</v>
      </c>
      <c r="AJ364">
        <v>33.187829999999998</v>
      </c>
      <c r="AK364" t="s">
        <v>270</v>
      </c>
      <c r="AL364">
        <v>-97.784606999999994</v>
      </c>
      <c r="AM364">
        <v>25</v>
      </c>
      <c r="AN364">
        <v>2500</v>
      </c>
      <c r="AO364" t="s">
        <v>118</v>
      </c>
      <c r="AP364">
        <v>89</v>
      </c>
      <c r="AQ364">
        <v>0</v>
      </c>
      <c r="AR364">
        <v>384</v>
      </c>
      <c r="AZ364">
        <v>1200</v>
      </c>
      <c r="BA364">
        <v>1</v>
      </c>
      <c r="BB364" t="str">
        <f t="shared" si="105"/>
        <v xml:space="preserve">N733KP  </v>
      </c>
      <c r="BC364">
        <v>1</v>
      </c>
      <c r="BE364">
        <v>0</v>
      </c>
      <c r="BF364">
        <v>0</v>
      </c>
      <c r="BG364">
        <v>0</v>
      </c>
      <c r="BH364">
        <v>2450</v>
      </c>
      <c r="BI364">
        <v>1</v>
      </c>
      <c r="BJ364">
        <v>1</v>
      </c>
      <c r="BK364">
        <v>0</v>
      </c>
      <c r="BL364">
        <v>0</v>
      </c>
      <c r="BO364">
        <v>0</v>
      </c>
      <c r="BP364">
        <v>0</v>
      </c>
      <c r="BW364" t="str">
        <f>"22:10:54.613"</f>
        <v>22:10:54.613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364</v>
      </c>
      <c r="CR364">
        <v>0</v>
      </c>
      <c r="CW364">
        <v>1378005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"03/24/2022 22:10:54.838"</f>
        <v>03/24/2022 22:10:54.838</v>
      </c>
      <c r="C365" t="str">
        <f t="shared" si="103"/>
        <v>FFDFD3C0</v>
      </c>
      <c r="D365" t="s">
        <v>126</v>
      </c>
      <c r="E365">
        <v>3</v>
      </c>
      <c r="H365">
        <v>160</v>
      </c>
      <c r="I365" t="s">
        <v>121</v>
      </c>
      <c r="J365" t="s">
        <v>127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 t="shared" si="110"/>
        <v>22:10:54.000</v>
      </c>
      <c r="T365" t="str">
        <f t="shared" si="110"/>
        <v>22:10:54.000</v>
      </c>
      <c r="U365" t="str">
        <f t="shared" si="98"/>
        <v>A9D71F</v>
      </c>
      <c r="V365">
        <v>0</v>
      </c>
      <c r="W365">
        <v>0</v>
      </c>
      <c r="X365">
        <v>2</v>
      </c>
      <c r="Z365">
        <v>1</v>
      </c>
      <c r="AA365">
        <v>8</v>
      </c>
      <c r="AB365">
        <v>3</v>
      </c>
      <c r="AC365">
        <v>0</v>
      </c>
      <c r="AD365">
        <v>9</v>
      </c>
      <c r="AE365">
        <v>0</v>
      </c>
      <c r="AF365">
        <v>3</v>
      </c>
      <c r="AG365">
        <v>1</v>
      </c>
      <c r="AH365">
        <v>0</v>
      </c>
      <c r="AI365" t="s">
        <v>269</v>
      </c>
      <c r="AJ365">
        <v>33.187829999999998</v>
      </c>
      <c r="AK365" t="s">
        <v>270</v>
      </c>
      <c r="AL365">
        <v>-97.784606999999994</v>
      </c>
      <c r="AM365">
        <v>25</v>
      </c>
      <c r="AN365">
        <v>2500</v>
      </c>
      <c r="AO365" t="s">
        <v>118</v>
      </c>
      <c r="AP365">
        <v>89</v>
      </c>
      <c r="AQ365">
        <v>0</v>
      </c>
      <c r="AR365">
        <v>384</v>
      </c>
      <c r="AZ365">
        <v>1200</v>
      </c>
      <c r="BA365">
        <v>1</v>
      </c>
      <c r="BB365" t="str">
        <f t="shared" si="105"/>
        <v xml:space="preserve">N733KP  </v>
      </c>
      <c r="BC365">
        <v>1</v>
      </c>
      <c r="BE365">
        <v>0</v>
      </c>
      <c r="BF365">
        <v>0</v>
      </c>
      <c r="BG365">
        <v>0</v>
      </c>
      <c r="BH365">
        <v>2450</v>
      </c>
      <c r="BI365">
        <v>1</v>
      </c>
      <c r="BJ365">
        <v>1</v>
      </c>
      <c r="BK365">
        <v>0</v>
      </c>
      <c r="BL365">
        <v>0</v>
      </c>
      <c r="BO365">
        <v>0</v>
      </c>
      <c r="BP365">
        <v>0</v>
      </c>
      <c r="BW365" t="str">
        <f>"22:10:54.613"</f>
        <v>22:10:54.613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364</v>
      </c>
      <c r="CR365">
        <v>0</v>
      </c>
      <c r="CW365">
        <v>1378005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"03/24/2022 22:10:55.838"</f>
        <v>03/24/2022 22:10:55.838</v>
      </c>
      <c r="C366" t="str">
        <f t="shared" si="103"/>
        <v>FFDFD3C0</v>
      </c>
      <c r="D366" t="s">
        <v>113</v>
      </c>
      <c r="E366">
        <v>24</v>
      </c>
      <c r="F366">
        <v>2024</v>
      </c>
      <c r="G366" t="s">
        <v>114</v>
      </c>
      <c r="J366" t="s">
        <v>115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 t="shared" ref="S366:T369" si="111">"22:10:55.000"</f>
        <v>22:10:55.000</v>
      </c>
      <c r="T366" t="str">
        <f t="shared" si="111"/>
        <v>22:10:55.000</v>
      </c>
      <c r="U366" t="str">
        <f t="shared" si="98"/>
        <v>A9D71F</v>
      </c>
      <c r="V366">
        <v>0</v>
      </c>
      <c r="W366">
        <v>0</v>
      </c>
      <c r="X366">
        <v>2</v>
      </c>
      <c r="Z366">
        <v>1</v>
      </c>
      <c r="AA366">
        <v>8</v>
      </c>
      <c r="AB366">
        <v>3</v>
      </c>
      <c r="AC366">
        <v>0</v>
      </c>
      <c r="AD366">
        <v>9</v>
      </c>
      <c r="AE366">
        <v>0</v>
      </c>
      <c r="AF366">
        <v>3</v>
      </c>
      <c r="AG366">
        <v>1</v>
      </c>
      <c r="AH366">
        <v>0</v>
      </c>
      <c r="AI366" t="s">
        <v>271</v>
      </c>
      <c r="AJ366">
        <v>33.187787999999998</v>
      </c>
      <c r="AK366" t="s">
        <v>272</v>
      </c>
      <c r="AL366">
        <v>-97.784114000000002</v>
      </c>
      <c r="AM366">
        <v>25</v>
      </c>
      <c r="AN366">
        <v>2500</v>
      </c>
      <c r="AO366" t="s">
        <v>118</v>
      </c>
      <c r="AP366">
        <v>89</v>
      </c>
      <c r="AQ366">
        <v>0</v>
      </c>
      <c r="AR366">
        <v>320</v>
      </c>
      <c r="AZ366">
        <v>1200</v>
      </c>
      <c r="BA366">
        <v>1</v>
      </c>
      <c r="BB366" t="str">
        <f t="shared" si="105"/>
        <v xml:space="preserve">N733KP  </v>
      </c>
      <c r="BC366">
        <v>1</v>
      </c>
      <c r="BE366">
        <v>0</v>
      </c>
      <c r="BF366">
        <v>0</v>
      </c>
      <c r="BG366">
        <v>0</v>
      </c>
      <c r="BH366">
        <v>2450</v>
      </c>
      <c r="BI366">
        <v>1</v>
      </c>
      <c r="BJ366">
        <v>1</v>
      </c>
      <c r="BK366">
        <v>0</v>
      </c>
      <c r="BL366">
        <v>0</v>
      </c>
      <c r="BO366">
        <v>0</v>
      </c>
      <c r="BP366">
        <v>0</v>
      </c>
      <c r="BW366" t="str">
        <f>"22:10:55.458"</f>
        <v>22:10:55.458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364</v>
      </c>
      <c r="CR366">
        <v>0</v>
      </c>
      <c r="CW366">
        <v>1378127</v>
      </c>
      <c r="CY366">
        <v>1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"03/24/2022 22:10:55.838"</f>
        <v>03/24/2022 22:10:55.838</v>
      </c>
      <c r="C367" t="str">
        <f t="shared" si="103"/>
        <v>FFDFD3C0</v>
      </c>
      <c r="D367" t="s">
        <v>126</v>
      </c>
      <c r="E367">
        <v>3</v>
      </c>
      <c r="H367">
        <v>160</v>
      </c>
      <c r="I367" t="s">
        <v>121</v>
      </c>
      <c r="J367" t="s">
        <v>127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 t="shared" si="111"/>
        <v>22:10:55.000</v>
      </c>
      <c r="T367" t="str">
        <f t="shared" si="111"/>
        <v>22:10:55.000</v>
      </c>
      <c r="U367" t="str">
        <f t="shared" si="98"/>
        <v>A9D71F</v>
      </c>
      <c r="V367">
        <v>0</v>
      </c>
      <c r="W367">
        <v>0</v>
      </c>
      <c r="X367">
        <v>2</v>
      </c>
      <c r="Z367">
        <v>1</v>
      </c>
      <c r="AA367">
        <v>8</v>
      </c>
      <c r="AB367">
        <v>3</v>
      </c>
      <c r="AC367">
        <v>0</v>
      </c>
      <c r="AD367">
        <v>9</v>
      </c>
      <c r="AE367">
        <v>0</v>
      </c>
      <c r="AF367">
        <v>3</v>
      </c>
      <c r="AG367">
        <v>1</v>
      </c>
      <c r="AH367">
        <v>0</v>
      </c>
      <c r="AI367" t="s">
        <v>271</v>
      </c>
      <c r="AJ367">
        <v>33.187787999999998</v>
      </c>
      <c r="AK367" t="s">
        <v>272</v>
      </c>
      <c r="AL367">
        <v>-97.784114000000002</v>
      </c>
      <c r="AM367">
        <v>25</v>
      </c>
      <c r="AN367">
        <v>2500</v>
      </c>
      <c r="AO367" t="s">
        <v>118</v>
      </c>
      <c r="AP367">
        <v>89</v>
      </c>
      <c r="AQ367">
        <v>0</v>
      </c>
      <c r="AR367">
        <v>320</v>
      </c>
      <c r="AZ367">
        <v>1200</v>
      </c>
      <c r="BA367">
        <v>1</v>
      </c>
      <c r="BB367" t="str">
        <f t="shared" si="105"/>
        <v xml:space="preserve">N733KP  </v>
      </c>
      <c r="BC367">
        <v>1</v>
      </c>
      <c r="BE367">
        <v>0</v>
      </c>
      <c r="BF367">
        <v>0</v>
      </c>
      <c r="BG367">
        <v>0</v>
      </c>
      <c r="BH367">
        <v>2450</v>
      </c>
      <c r="BI367">
        <v>1</v>
      </c>
      <c r="BJ367">
        <v>1</v>
      </c>
      <c r="BK367">
        <v>0</v>
      </c>
      <c r="BL367">
        <v>0</v>
      </c>
      <c r="BO367">
        <v>0</v>
      </c>
      <c r="BP367">
        <v>0</v>
      </c>
      <c r="BW367" t="str">
        <f>"22:10:55.458"</f>
        <v>22:10:55.458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364</v>
      </c>
      <c r="CR367">
        <v>0</v>
      </c>
      <c r="CW367">
        <v>1378127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"03/24/2022 22:10:55.838"</f>
        <v>03/24/2022 22:10:55.838</v>
      </c>
      <c r="C368" t="str">
        <f t="shared" si="103"/>
        <v>FFDFD3C0</v>
      </c>
      <c r="D368" t="s">
        <v>120</v>
      </c>
      <c r="E368">
        <v>14</v>
      </c>
      <c r="F368">
        <v>1014</v>
      </c>
      <c r="G368" t="s">
        <v>121</v>
      </c>
      <c r="J368" t="s">
        <v>122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 t="shared" si="111"/>
        <v>22:10:55.000</v>
      </c>
      <c r="T368" t="str">
        <f t="shared" si="111"/>
        <v>22:10:55.000</v>
      </c>
      <c r="U368" t="str">
        <f t="shared" si="98"/>
        <v>A9D71F</v>
      </c>
      <c r="V368">
        <v>0</v>
      </c>
      <c r="W368">
        <v>0</v>
      </c>
      <c r="X368">
        <v>2</v>
      </c>
      <c r="Z368">
        <v>1</v>
      </c>
      <c r="AA368">
        <v>8</v>
      </c>
      <c r="AB368">
        <v>3</v>
      </c>
      <c r="AC368">
        <v>0</v>
      </c>
      <c r="AD368">
        <v>9</v>
      </c>
      <c r="AE368">
        <v>0</v>
      </c>
      <c r="AF368">
        <v>3</v>
      </c>
      <c r="AG368">
        <v>1</v>
      </c>
      <c r="AH368">
        <v>0</v>
      </c>
      <c r="AI368" t="s">
        <v>271</v>
      </c>
      <c r="AJ368">
        <v>33.187787999999998</v>
      </c>
      <c r="AK368" t="s">
        <v>272</v>
      </c>
      <c r="AL368">
        <v>-97.784114000000002</v>
      </c>
      <c r="AM368">
        <v>25</v>
      </c>
      <c r="AN368">
        <v>2500</v>
      </c>
      <c r="AO368" t="s">
        <v>118</v>
      </c>
      <c r="AP368">
        <v>89</v>
      </c>
      <c r="AQ368">
        <v>0</v>
      </c>
      <c r="AR368">
        <v>320</v>
      </c>
      <c r="AZ368">
        <v>1200</v>
      </c>
      <c r="BA368">
        <v>1</v>
      </c>
      <c r="BB368" t="str">
        <f t="shared" si="105"/>
        <v xml:space="preserve">N733KP  </v>
      </c>
      <c r="BC368">
        <v>1</v>
      </c>
      <c r="BE368">
        <v>0</v>
      </c>
      <c r="BF368">
        <v>0</v>
      </c>
      <c r="BG368">
        <v>0</v>
      </c>
      <c r="BH368">
        <v>2450</v>
      </c>
      <c r="BI368">
        <v>1</v>
      </c>
      <c r="BJ368">
        <v>1</v>
      </c>
      <c r="BK368">
        <v>0</v>
      </c>
      <c r="BL368">
        <v>0</v>
      </c>
      <c r="BO368">
        <v>0</v>
      </c>
      <c r="BP368">
        <v>0</v>
      </c>
      <c r="BW368" t="str">
        <f>"22:10:55.458"</f>
        <v>22:10:55.458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364</v>
      </c>
      <c r="CR368">
        <v>0</v>
      </c>
      <c r="CW368">
        <v>1378127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"03/24/2022 22:10:55.838"</f>
        <v>03/24/2022 22:10:55.838</v>
      </c>
      <c r="C369" t="str">
        <f t="shared" si="103"/>
        <v>FFDFD3C0</v>
      </c>
      <c r="D369" t="s">
        <v>123</v>
      </c>
      <c r="E369">
        <v>8</v>
      </c>
      <c r="H369">
        <v>31</v>
      </c>
      <c r="I369" t="s">
        <v>124</v>
      </c>
      <c r="J369" t="s">
        <v>125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 t="shared" si="111"/>
        <v>22:10:55.000</v>
      </c>
      <c r="T369" t="str">
        <f t="shared" si="111"/>
        <v>22:10:55.000</v>
      </c>
      <c r="U369" t="str">
        <f t="shared" si="98"/>
        <v>A9D71F</v>
      </c>
      <c r="V369">
        <v>0</v>
      </c>
      <c r="W369">
        <v>0</v>
      </c>
      <c r="X369">
        <v>2</v>
      </c>
      <c r="Z369">
        <v>1</v>
      </c>
      <c r="AA369">
        <v>8</v>
      </c>
      <c r="AB369">
        <v>3</v>
      </c>
      <c r="AC369">
        <v>0</v>
      </c>
      <c r="AD369">
        <v>9</v>
      </c>
      <c r="AE369">
        <v>0</v>
      </c>
      <c r="AF369">
        <v>3</v>
      </c>
      <c r="AG369">
        <v>1</v>
      </c>
      <c r="AH369">
        <v>0</v>
      </c>
      <c r="AI369" t="s">
        <v>271</v>
      </c>
      <c r="AJ369">
        <v>33.187787999999998</v>
      </c>
      <c r="AK369" t="s">
        <v>272</v>
      </c>
      <c r="AL369">
        <v>-97.784114000000002</v>
      </c>
      <c r="AM369">
        <v>25</v>
      </c>
      <c r="AN369">
        <v>2500</v>
      </c>
      <c r="AO369" t="s">
        <v>118</v>
      </c>
      <c r="AP369">
        <v>89</v>
      </c>
      <c r="AQ369">
        <v>0</v>
      </c>
      <c r="AR369">
        <v>320</v>
      </c>
      <c r="AZ369">
        <v>1200</v>
      </c>
      <c r="BA369">
        <v>1</v>
      </c>
      <c r="BB369" t="str">
        <f t="shared" si="105"/>
        <v xml:space="preserve">N733KP  </v>
      </c>
      <c r="BC369">
        <v>1</v>
      </c>
      <c r="BE369">
        <v>0</v>
      </c>
      <c r="BF369">
        <v>0</v>
      </c>
      <c r="BG369">
        <v>0</v>
      </c>
      <c r="BH369">
        <v>2450</v>
      </c>
      <c r="BI369">
        <v>1</v>
      </c>
      <c r="BJ369">
        <v>1</v>
      </c>
      <c r="BK369">
        <v>0</v>
      </c>
      <c r="BL369">
        <v>0</v>
      </c>
      <c r="BO369">
        <v>0</v>
      </c>
      <c r="BP369">
        <v>0</v>
      </c>
      <c r="BW369" t="str">
        <f>"22:10:55.458"</f>
        <v>22:10:55.458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364</v>
      </c>
      <c r="CR369">
        <v>0</v>
      </c>
      <c r="CW369">
        <v>1378127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"03/24/2022 22:10:57.199"</f>
        <v>03/24/2022 22:10:57.199</v>
      </c>
      <c r="C370" t="str">
        <f t="shared" si="103"/>
        <v>FFDFD3C0</v>
      </c>
      <c r="D370" t="s">
        <v>123</v>
      </c>
      <c r="E370">
        <v>8</v>
      </c>
      <c r="H370">
        <v>31</v>
      </c>
      <c r="I370" t="s">
        <v>124</v>
      </c>
      <c r="J370" t="s">
        <v>125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 t="shared" ref="S370:T373" si="112">"22:10:56.000"</f>
        <v>22:10:56.000</v>
      </c>
      <c r="T370" t="str">
        <f t="shared" si="112"/>
        <v>22:10:56.000</v>
      </c>
      <c r="U370" t="str">
        <f t="shared" si="98"/>
        <v>A9D71F</v>
      </c>
      <c r="V370">
        <v>0</v>
      </c>
      <c r="W370">
        <v>0</v>
      </c>
      <c r="X370">
        <v>2</v>
      </c>
      <c r="Z370">
        <v>1</v>
      </c>
      <c r="AA370">
        <v>8</v>
      </c>
      <c r="AB370">
        <v>3</v>
      </c>
      <c r="AC370">
        <v>0</v>
      </c>
      <c r="AD370">
        <v>9</v>
      </c>
      <c r="AE370">
        <v>0</v>
      </c>
      <c r="AF370">
        <v>3</v>
      </c>
      <c r="AG370">
        <v>1</v>
      </c>
      <c r="AH370">
        <v>0</v>
      </c>
      <c r="AI370" t="s">
        <v>271</v>
      </c>
      <c r="AJ370">
        <v>33.187787999999998</v>
      </c>
      <c r="AK370" t="s">
        <v>273</v>
      </c>
      <c r="AL370">
        <v>-97.783619999999999</v>
      </c>
      <c r="AM370">
        <v>25</v>
      </c>
      <c r="AN370">
        <v>2500</v>
      </c>
      <c r="AO370" t="s">
        <v>118</v>
      </c>
      <c r="AP370">
        <v>89</v>
      </c>
      <c r="AQ370">
        <v>3</v>
      </c>
      <c r="AR370">
        <v>384</v>
      </c>
      <c r="AZ370">
        <v>1200</v>
      </c>
      <c r="BA370">
        <v>1</v>
      </c>
      <c r="BB370" t="str">
        <f t="shared" si="105"/>
        <v xml:space="preserve">N733KP  </v>
      </c>
      <c r="BC370">
        <v>1</v>
      </c>
      <c r="BE370">
        <v>0</v>
      </c>
      <c r="BF370">
        <v>0</v>
      </c>
      <c r="BG370">
        <v>0</v>
      </c>
      <c r="BH370">
        <v>2425</v>
      </c>
      <c r="BI370">
        <v>1</v>
      </c>
      <c r="BJ370">
        <v>1</v>
      </c>
      <c r="BK370">
        <v>0</v>
      </c>
      <c r="BL370">
        <v>0</v>
      </c>
      <c r="BO370">
        <v>0</v>
      </c>
      <c r="BP370">
        <v>0</v>
      </c>
      <c r="BW370" t="str">
        <f>"22:10:56.876"</f>
        <v>22:10:56.876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364</v>
      </c>
      <c r="CR370">
        <v>0</v>
      </c>
      <c r="CW370">
        <v>1378342</v>
      </c>
      <c r="CY370">
        <v>1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"03/24/2022 22:10:57.199"</f>
        <v>03/24/2022 22:10:57.199</v>
      </c>
      <c r="C371" t="str">
        <f t="shared" si="103"/>
        <v>FFDFD3C0</v>
      </c>
      <c r="D371" t="s">
        <v>120</v>
      </c>
      <c r="E371">
        <v>14</v>
      </c>
      <c r="F371">
        <v>1014</v>
      </c>
      <c r="G371" t="s">
        <v>121</v>
      </c>
      <c r="J371" t="s">
        <v>122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 t="shared" si="112"/>
        <v>22:10:56.000</v>
      </c>
      <c r="T371" t="str">
        <f t="shared" si="112"/>
        <v>22:10:56.000</v>
      </c>
      <c r="U371" t="str">
        <f t="shared" si="98"/>
        <v>A9D71F</v>
      </c>
      <c r="V371">
        <v>0</v>
      </c>
      <c r="W371">
        <v>0</v>
      </c>
      <c r="X371">
        <v>2</v>
      </c>
      <c r="Z371">
        <v>1</v>
      </c>
      <c r="AA371">
        <v>8</v>
      </c>
      <c r="AB371">
        <v>3</v>
      </c>
      <c r="AC371">
        <v>0</v>
      </c>
      <c r="AD371">
        <v>9</v>
      </c>
      <c r="AE371">
        <v>0</v>
      </c>
      <c r="AF371">
        <v>3</v>
      </c>
      <c r="AG371">
        <v>1</v>
      </c>
      <c r="AH371">
        <v>0</v>
      </c>
      <c r="AI371" t="s">
        <v>271</v>
      </c>
      <c r="AJ371">
        <v>33.187787999999998</v>
      </c>
      <c r="AK371" t="s">
        <v>273</v>
      </c>
      <c r="AL371">
        <v>-97.783619999999999</v>
      </c>
      <c r="AM371">
        <v>25</v>
      </c>
      <c r="AN371">
        <v>2500</v>
      </c>
      <c r="AO371" t="s">
        <v>118</v>
      </c>
      <c r="AP371">
        <v>89</v>
      </c>
      <c r="AQ371">
        <v>3</v>
      </c>
      <c r="AR371">
        <v>384</v>
      </c>
      <c r="AZ371">
        <v>1200</v>
      </c>
      <c r="BA371">
        <v>1</v>
      </c>
      <c r="BB371" t="str">
        <f t="shared" si="105"/>
        <v xml:space="preserve">N733KP  </v>
      </c>
      <c r="BC371">
        <v>1</v>
      </c>
      <c r="BE371">
        <v>0</v>
      </c>
      <c r="BF371">
        <v>0</v>
      </c>
      <c r="BG371">
        <v>0</v>
      </c>
      <c r="BH371">
        <v>2425</v>
      </c>
      <c r="BI371">
        <v>1</v>
      </c>
      <c r="BJ371">
        <v>1</v>
      </c>
      <c r="BK371">
        <v>0</v>
      </c>
      <c r="BL371">
        <v>0</v>
      </c>
      <c r="BO371">
        <v>0</v>
      </c>
      <c r="BP371">
        <v>0</v>
      </c>
      <c r="BW371" t="str">
        <f>"22:10:56.876"</f>
        <v>22:10:56.876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364</v>
      </c>
      <c r="CR371">
        <v>0</v>
      </c>
      <c r="CW371">
        <v>1378342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"03/24/2022 22:10:57.199"</f>
        <v>03/24/2022 22:10:57.199</v>
      </c>
      <c r="C372" t="str">
        <f t="shared" si="103"/>
        <v>FFDFD3C0</v>
      </c>
      <c r="D372" t="s">
        <v>113</v>
      </c>
      <c r="E372">
        <v>24</v>
      </c>
      <c r="F372">
        <v>2024</v>
      </c>
      <c r="G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 t="shared" si="112"/>
        <v>22:10:56.000</v>
      </c>
      <c r="T372" t="str">
        <f t="shared" si="112"/>
        <v>22:10:56.000</v>
      </c>
      <c r="U372" t="str">
        <f t="shared" si="98"/>
        <v>A9D71F</v>
      </c>
      <c r="V372">
        <v>0</v>
      </c>
      <c r="W372">
        <v>0</v>
      </c>
      <c r="X372">
        <v>2</v>
      </c>
      <c r="Z372">
        <v>1</v>
      </c>
      <c r="AA372">
        <v>8</v>
      </c>
      <c r="AB372">
        <v>3</v>
      </c>
      <c r="AC372">
        <v>0</v>
      </c>
      <c r="AD372">
        <v>9</v>
      </c>
      <c r="AE372">
        <v>0</v>
      </c>
      <c r="AF372">
        <v>3</v>
      </c>
      <c r="AG372">
        <v>1</v>
      </c>
      <c r="AH372">
        <v>0</v>
      </c>
      <c r="AI372" t="s">
        <v>271</v>
      </c>
      <c r="AJ372">
        <v>33.187787999999998</v>
      </c>
      <c r="AK372" t="s">
        <v>273</v>
      </c>
      <c r="AL372">
        <v>-97.783619999999999</v>
      </c>
      <c r="AM372">
        <v>25</v>
      </c>
      <c r="AN372">
        <v>2500</v>
      </c>
      <c r="AO372" t="s">
        <v>118</v>
      </c>
      <c r="AP372">
        <v>89</v>
      </c>
      <c r="AQ372">
        <v>3</v>
      </c>
      <c r="AR372">
        <v>384</v>
      </c>
      <c r="AZ372">
        <v>1200</v>
      </c>
      <c r="BA372">
        <v>1</v>
      </c>
      <c r="BB372" t="str">
        <f t="shared" si="105"/>
        <v xml:space="preserve">N733KP  </v>
      </c>
      <c r="BC372">
        <v>1</v>
      </c>
      <c r="BE372">
        <v>0</v>
      </c>
      <c r="BF372">
        <v>0</v>
      </c>
      <c r="BG372">
        <v>0</v>
      </c>
      <c r="BH372">
        <v>2425</v>
      </c>
      <c r="BI372">
        <v>1</v>
      </c>
      <c r="BJ372">
        <v>1</v>
      </c>
      <c r="BK372">
        <v>0</v>
      </c>
      <c r="BL372">
        <v>0</v>
      </c>
      <c r="BO372">
        <v>0</v>
      </c>
      <c r="BP372">
        <v>0</v>
      </c>
      <c r="BW372" t="str">
        <f>"22:10:56.876"</f>
        <v>22:10:56.876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364</v>
      </c>
      <c r="CR372">
        <v>0</v>
      </c>
      <c r="CW372">
        <v>1378342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"03/24/2022 22:10:57.199"</f>
        <v>03/24/2022 22:10:57.199</v>
      </c>
      <c r="C373" t="str">
        <f t="shared" si="103"/>
        <v>FFDFD3C0</v>
      </c>
      <c r="D373" t="s">
        <v>126</v>
      </c>
      <c r="E373">
        <v>3</v>
      </c>
      <c r="H373">
        <v>160</v>
      </c>
      <c r="I373" t="s">
        <v>121</v>
      </c>
      <c r="J373" t="s">
        <v>127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 t="shared" si="112"/>
        <v>22:10:56.000</v>
      </c>
      <c r="T373" t="str">
        <f t="shared" si="112"/>
        <v>22:10:56.000</v>
      </c>
      <c r="U373" t="str">
        <f t="shared" si="98"/>
        <v>A9D71F</v>
      </c>
      <c r="V373">
        <v>0</v>
      </c>
      <c r="W373">
        <v>0</v>
      </c>
      <c r="X373">
        <v>2</v>
      </c>
      <c r="Z373">
        <v>1</v>
      </c>
      <c r="AA373">
        <v>8</v>
      </c>
      <c r="AB373">
        <v>3</v>
      </c>
      <c r="AC373">
        <v>0</v>
      </c>
      <c r="AD373">
        <v>9</v>
      </c>
      <c r="AE373">
        <v>0</v>
      </c>
      <c r="AF373">
        <v>3</v>
      </c>
      <c r="AG373">
        <v>1</v>
      </c>
      <c r="AH373">
        <v>0</v>
      </c>
      <c r="AI373" t="s">
        <v>271</v>
      </c>
      <c r="AJ373">
        <v>33.187787999999998</v>
      </c>
      <c r="AK373" t="s">
        <v>273</v>
      </c>
      <c r="AL373">
        <v>-97.783619999999999</v>
      </c>
      <c r="AM373">
        <v>25</v>
      </c>
      <c r="AN373">
        <v>2500</v>
      </c>
      <c r="AO373" t="s">
        <v>118</v>
      </c>
      <c r="AP373">
        <v>89</v>
      </c>
      <c r="AQ373">
        <v>3</v>
      </c>
      <c r="AR373">
        <v>384</v>
      </c>
      <c r="AZ373">
        <v>1200</v>
      </c>
      <c r="BA373">
        <v>1</v>
      </c>
      <c r="BB373" t="str">
        <f t="shared" si="105"/>
        <v xml:space="preserve">N733KP  </v>
      </c>
      <c r="BC373">
        <v>1</v>
      </c>
      <c r="BE373">
        <v>0</v>
      </c>
      <c r="BF373">
        <v>0</v>
      </c>
      <c r="BG373">
        <v>0</v>
      </c>
      <c r="BH373">
        <v>2425</v>
      </c>
      <c r="BI373">
        <v>1</v>
      </c>
      <c r="BJ373">
        <v>1</v>
      </c>
      <c r="BK373">
        <v>0</v>
      </c>
      <c r="BL373">
        <v>0</v>
      </c>
      <c r="BO373">
        <v>0</v>
      </c>
      <c r="BP373">
        <v>0</v>
      </c>
      <c r="BW373" t="str">
        <f>"22:10:56.876"</f>
        <v>22:10:56.876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364</v>
      </c>
      <c r="CR373">
        <v>0</v>
      </c>
      <c r="CW373">
        <v>1378342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"03/24/2022 22:10:58.183"</f>
        <v>03/24/2022 22:10:58.183</v>
      </c>
      <c r="C374" t="str">
        <f t="shared" si="103"/>
        <v>FFDFD3C0</v>
      </c>
      <c r="D374" t="s">
        <v>120</v>
      </c>
      <c r="E374">
        <v>14</v>
      </c>
      <c r="F374">
        <v>1014</v>
      </c>
      <c r="G374" t="s">
        <v>121</v>
      </c>
      <c r="J374" t="s">
        <v>122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 t="shared" ref="S374:T377" si="113">"22:10:57.000"</f>
        <v>22:10:57.000</v>
      </c>
      <c r="T374" t="str">
        <f t="shared" si="113"/>
        <v>22:10:57.000</v>
      </c>
      <c r="U374" t="str">
        <f t="shared" si="98"/>
        <v>A9D71F</v>
      </c>
      <c r="V374">
        <v>0</v>
      </c>
      <c r="W374">
        <v>0</v>
      </c>
      <c r="X374">
        <v>2</v>
      </c>
      <c r="Z374">
        <v>1</v>
      </c>
      <c r="AA374">
        <v>8</v>
      </c>
      <c r="AB374">
        <v>3</v>
      </c>
      <c r="AC374">
        <v>0</v>
      </c>
      <c r="AD374">
        <v>9</v>
      </c>
      <c r="AE374">
        <v>0</v>
      </c>
      <c r="AF374">
        <v>3</v>
      </c>
      <c r="AG374">
        <v>1</v>
      </c>
      <c r="AH374">
        <v>0</v>
      </c>
      <c r="AI374" t="s">
        <v>158</v>
      </c>
      <c r="AJ374">
        <v>33.187851999999999</v>
      </c>
      <c r="AK374" t="s">
        <v>274</v>
      </c>
      <c r="AL374">
        <v>-97.783126999999993</v>
      </c>
      <c r="AM374">
        <v>25</v>
      </c>
      <c r="AN374">
        <v>2500</v>
      </c>
      <c r="AO374" t="s">
        <v>118</v>
      </c>
      <c r="AP374">
        <v>90</v>
      </c>
      <c r="AQ374">
        <v>2</v>
      </c>
      <c r="AR374">
        <v>512</v>
      </c>
      <c r="AZ374">
        <v>1200</v>
      </c>
      <c r="BA374">
        <v>1</v>
      </c>
      <c r="BB374" t="str">
        <f t="shared" si="105"/>
        <v xml:space="preserve">N733KP  </v>
      </c>
      <c r="BC374">
        <v>1</v>
      </c>
      <c r="BE374">
        <v>0</v>
      </c>
      <c r="BF374">
        <v>0</v>
      </c>
      <c r="BG374">
        <v>0</v>
      </c>
      <c r="BH374">
        <v>2425</v>
      </c>
      <c r="BI374">
        <v>1</v>
      </c>
      <c r="BJ374">
        <v>1</v>
      </c>
      <c r="BK374">
        <v>0</v>
      </c>
      <c r="BL374">
        <v>0</v>
      </c>
      <c r="BO374">
        <v>0</v>
      </c>
      <c r="BP374">
        <v>0</v>
      </c>
      <c r="BW374" t="str">
        <f>"22:10:57.932"</f>
        <v>22:10:57.932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6</v>
      </c>
      <c r="CP374" t="s">
        <v>119</v>
      </c>
      <c r="CQ374">
        <v>364</v>
      </c>
      <c r="CR374">
        <v>0</v>
      </c>
      <c r="CW374">
        <v>1378486</v>
      </c>
      <c r="CY374">
        <v>1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"03/24/2022 22:10:58.215"</f>
        <v>03/24/2022 22:10:58.215</v>
      </c>
      <c r="C375" t="str">
        <f t="shared" si="103"/>
        <v>FFDFD3C0</v>
      </c>
      <c r="D375" t="s">
        <v>113</v>
      </c>
      <c r="E375">
        <v>24</v>
      </c>
      <c r="F375">
        <v>2024</v>
      </c>
      <c r="G375" t="s">
        <v>114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 t="shared" si="113"/>
        <v>22:10:57.000</v>
      </c>
      <c r="T375" t="str">
        <f t="shared" si="113"/>
        <v>22:10:57.000</v>
      </c>
      <c r="U375" t="str">
        <f t="shared" si="98"/>
        <v>A9D71F</v>
      </c>
      <c r="V375">
        <v>0</v>
      </c>
      <c r="W375">
        <v>0</v>
      </c>
      <c r="X375">
        <v>2</v>
      </c>
      <c r="Z375">
        <v>1</v>
      </c>
      <c r="AA375">
        <v>8</v>
      </c>
      <c r="AB375">
        <v>3</v>
      </c>
      <c r="AC375">
        <v>0</v>
      </c>
      <c r="AD375">
        <v>9</v>
      </c>
      <c r="AE375">
        <v>0</v>
      </c>
      <c r="AF375">
        <v>3</v>
      </c>
      <c r="AG375">
        <v>1</v>
      </c>
      <c r="AH375">
        <v>0</v>
      </c>
      <c r="AI375" t="s">
        <v>158</v>
      </c>
      <c r="AJ375">
        <v>33.187851999999999</v>
      </c>
      <c r="AK375" t="s">
        <v>274</v>
      </c>
      <c r="AL375">
        <v>-97.783126999999993</v>
      </c>
      <c r="AM375">
        <v>25</v>
      </c>
      <c r="AN375">
        <v>2500</v>
      </c>
      <c r="AO375" t="s">
        <v>118</v>
      </c>
      <c r="AP375">
        <v>90</v>
      </c>
      <c r="AQ375">
        <v>2</v>
      </c>
      <c r="AR375">
        <v>512</v>
      </c>
      <c r="AZ375">
        <v>1200</v>
      </c>
      <c r="BA375">
        <v>1</v>
      </c>
      <c r="BB375" t="str">
        <f t="shared" si="105"/>
        <v xml:space="preserve">N733KP  </v>
      </c>
      <c r="BC375">
        <v>1</v>
      </c>
      <c r="BE375">
        <v>0</v>
      </c>
      <c r="BF375">
        <v>0</v>
      </c>
      <c r="BG375">
        <v>0</v>
      </c>
      <c r="BH375">
        <v>2425</v>
      </c>
      <c r="BI375">
        <v>1</v>
      </c>
      <c r="BJ375">
        <v>1</v>
      </c>
      <c r="BK375">
        <v>0</v>
      </c>
      <c r="BL375">
        <v>0</v>
      </c>
      <c r="BO375">
        <v>0</v>
      </c>
      <c r="BP375">
        <v>0</v>
      </c>
      <c r="BW375" t="str">
        <f>"22:10:57.932"</f>
        <v>22:10:57.932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6</v>
      </c>
      <c r="CP375" t="s">
        <v>119</v>
      </c>
      <c r="CQ375">
        <v>364</v>
      </c>
      <c r="CR375">
        <v>0</v>
      </c>
      <c r="CW375">
        <v>1378486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"03/24/2022 22:10:58.215"</f>
        <v>03/24/2022 22:10:58.215</v>
      </c>
      <c r="C376" t="str">
        <f t="shared" si="103"/>
        <v>FFDFD3C0</v>
      </c>
      <c r="D376" t="s">
        <v>126</v>
      </c>
      <c r="E376">
        <v>3</v>
      </c>
      <c r="H376">
        <v>160</v>
      </c>
      <c r="I376" t="s">
        <v>121</v>
      </c>
      <c r="J376" t="s">
        <v>127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 t="shared" si="113"/>
        <v>22:10:57.000</v>
      </c>
      <c r="T376" t="str">
        <f t="shared" si="113"/>
        <v>22:10:57.000</v>
      </c>
      <c r="U376" t="str">
        <f t="shared" si="98"/>
        <v>A9D71F</v>
      </c>
      <c r="V376">
        <v>0</v>
      </c>
      <c r="W376">
        <v>0</v>
      </c>
      <c r="X376">
        <v>2</v>
      </c>
      <c r="Z376">
        <v>1</v>
      </c>
      <c r="AA376">
        <v>8</v>
      </c>
      <c r="AB376">
        <v>3</v>
      </c>
      <c r="AC376">
        <v>0</v>
      </c>
      <c r="AD376">
        <v>9</v>
      </c>
      <c r="AE376">
        <v>0</v>
      </c>
      <c r="AF376">
        <v>3</v>
      </c>
      <c r="AG376">
        <v>1</v>
      </c>
      <c r="AH376">
        <v>0</v>
      </c>
      <c r="AI376" t="s">
        <v>158</v>
      </c>
      <c r="AJ376">
        <v>33.187851999999999</v>
      </c>
      <c r="AK376" t="s">
        <v>274</v>
      </c>
      <c r="AL376">
        <v>-97.783126999999993</v>
      </c>
      <c r="AM376">
        <v>25</v>
      </c>
      <c r="AN376">
        <v>2500</v>
      </c>
      <c r="AO376" t="s">
        <v>118</v>
      </c>
      <c r="AP376">
        <v>90</v>
      </c>
      <c r="AQ376">
        <v>2</v>
      </c>
      <c r="AR376">
        <v>512</v>
      </c>
      <c r="AZ376">
        <v>1200</v>
      </c>
      <c r="BA376">
        <v>1</v>
      </c>
      <c r="BB376" t="str">
        <f t="shared" si="105"/>
        <v xml:space="preserve">N733KP  </v>
      </c>
      <c r="BC376">
        <v>1</v>
      </c>
      <c r="BE376">
        <v>0</v>
      </c>
      <c r="BF376">
        <v>0</v>
      </c>
      <c r="BG376">
        <v>0</v>
      </c>
      <c r="BH376">
        <v>2425</v>
      </c>
      <c r="BI376">
        <v>1</v>
      </c>
      <c r="BJ376">
        <v>1</v>
      </c>
      <c r="BK376">
        <v>0</v>
      </c>
      <c r="BL376">
        <v>0</v>
      </c>
      <c r="BO376">
        <v>0</v>
      </c>
      <c r="BP376">
        <v>0</v>
      </c>
      <c r="BW376" t="str">
        <f>"22:10:57.932"</f>
        <v>22:10:57.932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6</v>
      </c>
      <c r="CP376" t="s">
        <v>119</v>
      </c>
      <c r="CQ376">
        <v>364</v>
      </c>
      <c r="CR376">
        <v>0</v>
      </c>
      <c r="CW376">
        <v>1378486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"03/24/2022 22:10:58.215"</f>
        <v>03/24/2022 22:10:58.215</v>
      </c>
      <c r="C377" t="str">
        <f t="shared" si="103"/>
        <v>FFDFD3C0</v>
      </c>
      <c r="D377" t="s">
        <v>123</v>
      </c>
      <c r="E377">
        <v>8</v>
      </c>
      <c r="H377">
        <v>31</v>
      </c>
      <c r="I377" t="s">
        <v>124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 t="shared" si="113"/>
        <v>22:10:57.000</v>
      </c>
      <c r="T377" t="str">
        <f t="shared" si="113"/>
        <v>22:10:57.000</v>
      </c>
      <c r="U377" t="str">
        <f t="shared" si="98"/>
        <v>A9D71F</v>
      </c>
      <c r="V377">
        <v>0</v>
      </c>
      <c r="W377">
        <v>0</v>
      </c>
      <c r="X377">
        <v>2</v>
      </c>
      <c r="Z377">
        <v>1</v>
      </c>
      <c r="AA377">
        <v>8</v>
      </c>
      <c r="AB377">
        <v>3</v>
      </c>
      <c r="AC377">
        <v>0</v>
      </c>
      <c r="AD377">
        <v>9</v>
      </c>
      <c r="AE377">
        <v>0</v>
      </c>
      <c r="AF377">
        <v>3</v>
      </c>
      <c r="AG377">
        <v>1</v>
      </c>
      <c r="AH377">
        <v>0</v>
      </c>
      <c r="AI377" t="s">
        <v>158</v>
      </c>
      <c r="AJ377">
        <v>33.187851999999999</v>
      </c>
      <c r="AK377" t="s">
        <v>274</v>
      </c>
      <c r="AL377">
        <v>-97.783126999999993</v>
      </c>
      <c r="AM377">
        <v>25</v>
      </c>
      <c r="AN377">
        <v>2500</v>
      </c>
      <c r="AO377" t="s">
        <v>118</v>
      </c>
      <c r="AP377">
        <v>90</v>
      </c>
      <c r="AQ377">
        <v>2</v>
      </c>
      <c r="AR377">
        <v>512</v>
      </c>
      <c r="AZ377">
        <v>1200</v>
      </c>
      <c r="BA377">
        <v>1</v>
      </c>
      <c r="BB377" t="str">
        <f t="shared" si="105"/>
        <v xml:space="preserve">N733KP  </v>
      </c>
      <c r="BC377">
        <v>1</v>
      </c>
      <c r="BE377">
        <v>0</v>
      </c>
      <c r="BF377">
        <v>0</v>
      </c>
      <c r="BG377">
        <v>0</v>
      </c>
      <c r="BH377">
        <v>2425</v>
      </c>
      <c r="BI377">
        <v>1</v>
      </c>
      <c r="BJ377">
        <v>1</v>
      </c>
      <c r="BK377">
        <v>0</v>
      </c>
      <c r="BL377">
        <v>0</v>
      </c>
      <c r="BO377">
        <v>0</v>
      </c>
      <c r="BP377">
        <v>0</v>
      </c>
      <c r="BW377" t="str">
        <f>"22:10:57.932"</f>
        <v>22:10:57.932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6</v>
      </c>
      <c r="CP377" t="s">
        <v>119</v>
      </c>
      <c r="CQ377">
        <v>364</v>
      </c>
      <c r="CR377">
        <v>0</v>
      </c>
      <c r="CW377">
        <v>1378486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"03/24/2022 22:10:58.657"</f>
        <v>03/24/2022 22:10:58.657</v>
      </c>
      <c r="C378" t="str">
        <f t="shared" si="103"/>
        <v>FFDFD3C0</v>
      </c>
      <c r="D378" t="s">
        <v>123</v>
      </c>
      <c r="E378">
        <v>8</v>
      </c>
      <c r="H378">
        <v>31</v>
      </c>
      <c r="I378" t="s">
        <v>124</v>
      </c>
      <c r="J378" t="s">
        <v>125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 t="shared" ref="S378:T381" si="114">"22:10:58.000"</f>
        <v>22:10:58.000</v>
      </c>
      <c r="T378" t="str">
        <f t="shared" si="114"/>
        <v>22:10:58.000</v>
      </c>
      <c r="U378" t="str">
        <f t="shared" si="98"/>
        <v>A9D71F</v>
      </c>
      <c r="V378">
        <v>0</v>
      </c>
      <c r="W378">
        <v>0</v>
      </c>
      <c r="X378">
        <v>2</v>
      </c>
      <c r="Z378">
        <v>1</v>
      </c>
      <c r="AA378">
        <v>8</v>
      </c>
      <c r="AB378">
        <v>3</v>
      </c>
      <c r="AC378">
        <v>0</v>
      </c>
      <c r="AD378">
        <v>9</v>
      </c>
      <c r="AE378">
        <v>0</v>
      </c>
      <c r="AF378">
        <v>3</v>
      </c>
      <c r="AG378">
        <v>1</v>
      </c>
      <c r="AH378">
        <v>0</v>
      </c>
      <c r="AI378" t="s">
        <v>275</v>
      </c>
      <c r="AJ378">
        <v>33.187873000000003</v>
      </c>
      <c r="AK378" t="s">
        <v>276</v>
      </c>
      <c r="AL378">
        <v>-97.782633000000004</v>
      </c>
      <c r="AM378">
        <v>25</v>
      </c>
      <c r="AN378">
        <v>2500</v>
      </c>
      <c r="AO378" t="s">
        <v>118</v>
      </c>
      <c r="AP378">
        <v>88</v>
      </c>
      <c r="AQ378">
        <v>3</v>
      </c>
      <c r="AR378">
        <v>512</v>
      </c>
      <c r="AZ378">
        <v>1200</v>
      </c>
      <c r="BA378">
        <v>1</v>
      </c>
      <c r="BB378" t="str">
        <f t="shared" si="105"/>
        <v xml:space="preserve">N733KP  </v>
      </c>
      <c r="BC378">
        <v>1</v>
      </c>
      <c r="BE378">
        <v>0</v>
      </c>
      <c r="BF378">
        <v>0</v>
      </c>
      <c r="BG378">
        <v>0</v>
      </c>
      <c r="BH378">
        <v>2425</v>
      </c>
      <c r="BI378">
        <v>1</v>
      </c>
      <c r="BJ378">
        <v>1</v>
      </c>
      <c r="BK378">
        <v>0</v>
      </c>
      <c r="BL378">
        <v>0</v>
      </c>
      <c r="BO378">
        <v>0</v>
      </c>
      <c r="BP378">
        <v>0</v>
      </c>
      <c r="BW378" t="str">
        <f>"22:10:58.350"</f>
        <v>22:10:58.350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6</v>
      </c>
      <c r="CP378" t="s">
        <v>119</v>
      </c>
      <c r="CQ378">
        <v>364</v>
      </c>
      <c r="CR378">
        <v>0</v>
      </c>
      <c r="CW378">
        <v>1378549</v>
      </c>
      <c r="CY378">
        <v>1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"03/24/2022 22:10:58.657"</f>
        <v>03/24/2022 22:10:58.657</v>
      </c>
      <c r="C379" t="str">
        <f t="shared" si="103"/>
        <v>FFDFD3C0</v>
      </c>
      <c r="D379" t="s">
        <v>120</v>
      </c>
      <c r="E379">
        <v>14</v>
      </c>
      <c r="F379">
        <v>1014</v>
      </c>
      <c r="G379" t="s">
        <v>121</v>
      </c>
      <c r="J379" t="s">
        <v>122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 t="shared" si="114"/>
        <v>22:10:58.000</v>
      </c>
      <c r="T379" t="str">
        <f t="shared" si="114"/>
        <v>22:10:58.000</v>
      </c>
      <c r="U379" t="str">
        <f t="shared" si="98"/>
        <v>A9D71F</v>
      </c>
      <c r="V379">
        <v>0</v>
      </c>
      <c r="W379">
        <v>0</v>
      </c>
      <c r="X379">
        <v>2</v>
      </c>
      <c r="Z379">
        <v>1</v>
      </c>
      <c r="AA379">
        <v>8</v>
      </c>
      <c r="AB379">
        <v>3</v>
      </c>
      <c r="AC379">
        <v>0</v>
      </c>
      <c r="AD379">
        <v>9</v>
      </c>
      <c r="AE379">
        <v>0</v>
      </c>
      <c r="AF379">
        <v>3</v>
      </c>
      <c r="AG379">
        <v>1</v>
      </c>
      <c r="AH379">
        <v>0</v>
      </c>
      <c r="AI379" t="s">
        <v>275</v>
      </c>
      <c r="AJ379">
        <v>33.187873000000003</v>
      </c>
      <c r="AK379" t="s">
        <v>276</v>
      </c>
      <c r="AL379">
        <v>-97.782633000000004</v>
      </c>
      <c r="AM379">
        <v>25</v>
      </c>
      <c r="AN379">
        <v>2500</v>
      </c>
      <c r="AO379" t="s">
        <v>118</v>
      </c>
      <c r="AP379">
        <v>88</v>
      </c>
      <c r="AQ379">
        <v>3</v>
      </c>
      <c r="AR379">
        <v>512</v>
      </c>
      <c r="AZ379">
        <v>1200</v>
      </c>
      <c r="BA379">
        <v>1</v>
      </c>
      <c r="BB379" t="str">
        <f t="shared" si="105"/>
        <v xml:space="preserve">N733KP  </v>
      </c>
      <c r="BC379">
        <v>1</v>
      </c>
      <c r="BE379">
        <v>0</v>
      </c>
      <c r="BF379">
        <v>0</v>
      </c>
      <c r="BG379">
        <v>0</v>
      </c>
      <c r="BH379">
        <v>2425</v>
      </c>
      <c r="BI379">
        <v>1</v>
      </c>
      <c r="BJ379">
        <v>1</v>
      </c>
      <c r="BK379">
        <v>0</v>
      </c>
      <c r="BL379">
        <v>0</v>
      </c>
      <c r="BO379">
        <v>0</v>
      </c>
      <c r="BP379">
        <v>0</v>
      </c>
      <c r="BW379" t="str">
        <f>"22:10:58.350"</f>
        <v>22:10:58.350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6</v>
      </c>
      <c r="CP379" t="s">
        <v>119</v>
      </c>
      <c r="CQ379">
        <v>364</v>
      </c>
      <c r="CR379">
        <v>0</v>
      </c>
      <c r="CW379">
        <v>1378549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"03/24/2022 22:10:58.657"</f>
        <v>03/24/2022 22:10:58.657</v>
      </c>
      <c r="C380" t="str">
        <f t="shared" si="103"/>
        <v>FFDFD3C0</v>
      </c>
      <c r="D380" t="s">
        <v>113</v>
      </c>
      <c r="E380">
        <v>24</v>
      </c>
      <c r="F380">
        <v>2024</v>
      </c>
      <c r="G380" t="s">
        <v>114</v>
      </c>
      <c r="J380" t="s">
        <v>115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 t="shared" si="114"/>
        <v>22:10:58.000</v>
      </c>
      <c r="T380" t="str">
        <f t="shared" si="114"/>
        <v>22:10:58.000</v>
      </c>
      <c r="U380" t="str">
        <f t="shared" si="98"/>
        <v>A9D71F</v>
      </c>
      <c r="V380">
        <v>0</v>
      </c>
      <c r="W380">
        <v>0</v>
      </c>
      <c r="X380">
        <v>2</v>
      </c>
      <c r="Z380">
        <v>1</v>
      </c>
      <c r="AA380">
        <v>8</v>
      </c>
      <c r="AB380">
        <v>3</v>
      </c>
      <c r="AC380">
        <v>0</v>
      </c>
      <c r="AD380">
        <v>9</v>
      </c>
      <c r="AE380">
        <v>0</v>
      </c>
      <c r="AF380">
        <v>3</v>
      </c>
      <c r="AG380">
        <v>1</v>
      </c>
      <c r="AH380">
        <v>0</v>
      </c>
      <c r="AI380" t="s">
        <v>275</v>
      </c>
      <c r="AJ380">
        <v>33.187873000000003</v>
      </c>
      <c r="AK380" t="s">
        <v>276</v>
      </c>
      <c r="AL380">
        <v>-97.782633000000004</v>
      </c>
      <c r="AM380">
        <v>25</v>
      </c>
      <c r="AN380">
        <v>2500</v>
      </c>
      <c r="AO380" t="s">
        <v>118</v>
      </c>
      <c r="AP380">
        <v>88</v>
      </c>
      <c r="AQ380">
        <v>3</v>
      </c>
      <c r="AR380">
        <v>512</v>
      </c>
      <c r="AZ380">
        <v>1200</v>
      </c>
      <c r="BA380">
        <v>1</v>
      </c>
      <c r="BB380" t="str">
        <f t="shared" si="105"/>
        <v xml:space="preserve">N733KP  </v>
      </c>
      <c r="BC380">
        <v>1</v>
      </c>
      <c r="BE380">
        <v>0</v>
      </c>
      <c r="BF380">
        <v>0</v>
      </c>
      <c r="BG380">
        <v>0</v>
      </c>
      <c r="BH380">
        <v>2425</v>
      </c>
      <c r="BI380">
        <v>1</v>
      </c>
      <c r="BJ380">
        <v>1</v>
      </c>
      <c r="BK380">
        <v>0</v>
      </c>
      <c r="BL380">
        <v>0</v>
      </c>
      <c r="BO380">
        <v>0</v>
      </c>
      <c r="BP380">
        <v>0</v>
      </c>
      <c r="BW380" t="str">
        <f>"22:10:58.350"</f>
        <v>22:10:58.350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6</v>
      </c>
      <c r="CP380" t="s">
        <v>119</v>
      </c>
      <c r="CQ380">
        <v>364</v>
      </c>
      <c r="CR380">
        <v>0</v>
      </c>
      <c r="CW380">
        <v>1378549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"03/24/2022 22:10:58.657"</f>
        <v>03/24/2022 22:10:58.657</v>
      </c>
      <c r="C381" t="str">
        <f t="shared" si="103"/>
        <v>FFDFD3C0</v>
      </c>
      <c r="D381" t="s">
        <v>126</v>
      </c>
      <c r="E381">
        <v>3</v>
      </c>
      <c r="H381">
        <v>160</v>
      </c>
      <c r="I381" t="s">
        <v>121</v>
      </c>
      <c r="J381" t="s">
        <v>127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 t="shared" si="114"/>
        <v>22:10:58.000</v>
      </c>
      <c r="T381" t="str">
        <f t="shared" si="114"/>
        <v>22:10:58.000</v>
      </c>
      <c r="U381" t="str">
        <f t="shared" si="98"/>
        <v>A9D71F</v>
      </c>
      <c r="V381">
        <v>0</v>
      </c>
      <c r="W381">
        <v>0</v>
      </c>
      <c r="X381">
        <v>2</v>
      </c>
      <c r="Z381">
        <v>1</v>
      </c>
      <c r="AA381">
        <v>8</v>
      </c>
      <c r="AB381">
        <v>3</v>
      </c>
      <c r="AC381">
        <v>0</v>
      </c>
      <c r="AD381">
        <v>9</v>
      </c>
      <c r="AE381">
        <v>0</v>
      </c>
      <c r="AF381">
        <v>3</v>
      </c>
      <c r="AG381">
        <v>1</v>
      </c>
      <c r="AH381">
        <v>0</v>
      </c>
      <c r="AI381" t="s">
        <v>275</v>
      </c>
      <c r="AJ381">
        <v>33.187873000000003</v>
      </c>
      <c r="AK381" t="s">
        <v>276</v>
      </c>
      <c r="AL381">
        <v>-97.782633000000004</v>
      </c>
      <c r="AM381">
        <v>25</v>
      </c>
      <c r="AN381">
        <v>2500</v>
      </c>
      <c r="AO381" t="s">
        <v>118</v>
      </c>
      <c r="AP381">
        <v>88</v>
      </c>
      <c r="AQ381">
        <v>3</v>
      </c>
      <c r="AR381">
        <v>512</v>
      </c>
      <c r="AZ381">
        <v>1200</v>
      </c>
      <c r="BA381">
        <v>1</v>
      </c>
      <c r="BB381" t="str">
        <f t="shared" si="105"/>
        <v xml:space="preserve">N733KP  </v>
      </c>
      <c r="BC381">
        <v>1</v>
      </c>
      <c r="BE381">
        <v>0</v>
      </c>
      <c r="BF381">
        <v>0</v>
      </c>
      <c r="BG381">
        <v>0</v>
      </c>
      <c r="BH381">
        <v>2425</v>
      </c>
      <c r="BI381">
        <v>1</v>
      </c>
      <c r="BJ381">
        <v>1</v>
      </c>
      <c r="BK381">
        <v>0</v>
      </c>
      <c r="BL381">
        <v>0</v>
      </c>
      <c r="BO381">
        <v>0</v>
      </c>
      <c r="BP381">
        <v>0</v>
      </c>
      <c r="BW381" t="str">
        <f>"22:10:58.350"</f>
        <v>22:10:58.350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6</v>
      </c>
      <c r="CP381" t="s">
        <v>119</v>
      </c>
      <c r="CQ381">
        <v>364</v>
      </c>
      <c r="CR381">
        <v>0</v>
      </c>
      <c r="CW381">
        <v>1378549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"03/24/2022 22:10:59.641"</f>
        <v>03/24/2022 22:10:59.641</v>
      </c>
      <c r="C382" t="str">
        <f t="shared" si="103"/>
        <v>FFDFD3C0</v>
      </c>
      <c r="D382" t="s">
        <v>123</v>
      </c>
      <c r="E382">
        <v>8</v>
      </c>
      <c r="H382">
        <v>31</v>
      </c>
      <c r="I382" t="s">
        <v>124</v>
      </c>
      <c r="J382" t="s">
        <v>125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 t="shared" ref="S382:T385" si="115">"22:10:59.000"</f>
        <v>22:10:59.000</v>
      </c>
      <c r="T382" t="str">
        <f t="shared" si="115"/>
        <v>22:10:59.000</v>
      </c>
      <c r="U382" t="str">
        <f t="shared" si="98"/>
        <v>A9D71F</v>
      </c>
      <c r="V382">
        <v>0</v>
      </c>
      <c r="W382">
        <v>0</v>
      </c>
      <c r="X382">
        <v>2</v>
      </c>
      <c r="Z382">
        <v>1</v>
      </c>
      <c r="AA382">
        <v>8</v>
      </c>
      <c r="AB382">
        <v>3</v>
      </c>
      <c r="AC382">
        <v>0</v>
      </c>
      <c r="AD382">
        <v>9</v>
      </c>
      <c r="AE382">
        <v>0</v>
      </c>
      <c r="AF382">
        <v>3</v>
      </c>
      <c r="AG382">
        <v>1</v>
      </c>
      <c r="AH382">
        <v>0</v>
      </c>
      <c r="AI382" t="s">
        <v>275</v>
      </c>
      <c r="AJ382">
        <v>33.187873000000003</v>
      </c>
      <c r="AK382" t="s">
        <v>277</v>
      </c>
      <c r="AL382">
        <v>-97.782139999999998</v>
      </c>
      <c r="AM382">
        <v>25</v>
      </c>
      <c r="AN382">
        <v>2500</v>
      </c>
      <c r="AO382" t="s">
        <v>118</v>
      </c>
      <c r="AP382">
        <v>91</v>
      </c>
      <c r="AQ382">
        <v>3</v>
      </c>
      <c r="AR382">
        <v>576</v>
      </c>
      <c r="AZ382">
        <v>1200</v>
      </c>
      <c r="BA382">
        <v>1</v>
      </c>
      <c r="BB382" t="str">
        <f t="shared" si="105"/>
        <v xml:space="preserve">N733KP  </v>
      </c>
      <c r="BC382">
        <v>1</v>
      </c>
      <c r="BE382">
        <v>0</v>
      </c>
      <c r="BF382">
        <v>0</v>
      </c>
      <c r="BG382">
        <v>0</v>
      </c>
      <c r="BH382">
        <v>2450</v>
      </c>
      <c r="BI382">
        <v>1</v>
      </c>
      <c r="BJ382">
        <v>1</v>
      </c>
      <c r="BK382">
        <v>0</v>
      </c>
      <c r="BL382">
        <v>0</v>
      </c>
      <c r="BO382">
        <v>0</v>
      </c>
      <c r="BP382">
        <v>0</v>
      </c>
      <c r="BW382" t="str">
        <f>"22:10:59.218"</f>
        <v>22:10:59.218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6</v>
      </c>
      <c r="CP382" t="s">
        <v>119</v>
      </c>
      <c r="CQ382">
        <v>364</v>
      </c>
      <c r="CR382">
        <v>0</v>
      </c>
      <c r="CW382">
        <v>1378667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"03/24/2022 22:10:59.641"</f>
        <v>03/24/2022 22:10:59.641</v>
      </c>
      <c r="C383" t="str">
        <f t="shared" si="103"/>
        <v>FFDFD3C0</v>
      </c>
      <c r="D383" t="s">
        <v>120</v>
      </c>
      <c r="E383">
        <v>14</v>
      </c>
      <c r="F383">
        <v>1014</v>
      </c>
      <c r="G383" t="s">
        <v>121</v>
      </c>
      <c r="J383" t="s">
        <v>122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 t="shared" si="115"/>
        <v>22:10:59.000</v>
      </c>
      <c r="T383" t="str">
        <f t="shared" si="115"/>
        <v>22:10:59.000</v>
      </c>
      <c r="U383" t="str">
        <f t="shared" si="98"/>
        <v>A9D71F</v>
      </c>
      <c r="V383">
        <v>0</v>
      </c>
      <c r="W383">
        <v>0</v>
      </c>
      <c r="X383">
        <v>2</v>
      </c>
      <c r="Z383">
        <v>1</v>
      </c>
      <c r="AA383">
        <v>8</v>
      </c>
      <c r="AB383">
        <v>3</v>
      </c>
      <c r="AC383">
        <v>0</v>
      </c>
      <c r="AD383">
        <v>9</v>
      </c>
      <c r="AE383">
        <v>0</v>
      </c>
      <c r="AF383">
        <v>3</v>
      </c>
      <c r="AG383">
        <v>1</v>
      </c>
      <c r="AH383">
        <v>0</v>
      </c>
      <c r="AI383" t="s">
        <v>275</v>
      </c>
      <c r="AJ383">
        <v>33.187873000000003</v>
      </c>
      <c r="AK383" t="s">
        <v>277</v>
      </c>
      <c r="AL383">
        <v>-97.782139999999998</v>
      </c>
      <c r="AM383">
        <v>25</v>
      </c>
      <c r="AN383">
        <v>2500</v>
      </c>
      <c r="AO383" t="s">
        <v>118</v>
      </c>
      <c r="AP383">
        <v>91</v>
      </c>
      <c r="AQ383">
        <v>3</v>
      </c>
      <c r="AR383">
        <v>576</v>
      </c>
      <c r="AZ383">
        <v>1200</v>
      </c>
      <c r="BA383">
        <v>1</v>
      </c>
      <c r="BB383" t="str">
        <f t="shared" si="105"/>
        <v xml:space="preserve">N733KP  </v>
      </c>
      <c r="BC383">
        <v>1</v>
      </c>
      <c r="BE383">
        <v>0</v>
      </c>
      <c r="BF383">
        <v>0</v>
      </c>
      <c r="BG383">
        <v>0</v>
      </c>
      <c r="BH383">
        <v>2450</v>
      </c>
      <c r="BI383">
        <v>1</v>
      </c>
      <c r="BJ383">
        <v>1</v>
      </c>
      <c r="BK383">
        <v>0</v>
      </c>
      <c r="BL383">
        <v>0</v>
      </c>
      <c r="BO383">
        <v>0</v>
      </c>
      <c r="BP383">
        <v>0</v>
      </c>
      <c r="BW383" t="str">
        <f>"22:10:59.218"</f>
        <v>22:10:59.218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6</v>
      </c>
      <c r="CP383" t="s">
        <v>119</v>
      </c>
      <c r="CQ383">
        <v>364</v>
      </c>
      <c r="CR383">
        <v>0</v>
      </c>
      <c r="CW383">
        <v>1378667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"03/24/2022 22:10:59.641"</f>
        <v>03/24/2022 22:10:59.641</v>
      </c>
      <c r="C384" t="str">
        <f t="shared" si="103"/>
        <v>FFDFD3C0</v>
      </c>
      <c r="D384" t="s">
        <v>113</v>
      </c>
      <c r="E384">
        <v>24</v>
      </c>
      <c r="F384">
        <v>2024</v>
      </c>
      <c r="G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 t="shared" si="115"/>
        <v>22:10:59.000</v>
      </c>
      <c r="T384" t="str">
        <f t="shared" si="115"/>
        <v>22:10:59.000</v>
      </c>
      <c r="U384" t="str">
        <f t="shared" si="98"/>
        <v>A9D71F</v>
      </c>
      <c r="V384">
        <v>0</v>
      </c>
      <c r="W384">
        <v>0</v>
      </c>
      <c r="X384">
        <v>2</v>
      </c>
      <c r="Z384">
        <v>1</v>
      </c>
      <c r="AA384">
        <v>8</v>
      </c>
      <c r="AB384">
        <v>3</v>
      </c>
      <c r="AC384">
        <v>0</v>
      </c>
      <c r="AD384">
        <v>9</v>
      </c>
      <c r="AE384">
        <v>0</v>
      </c>
      <c r="AF384">
        <v>3</v>
      </c>
      <c r="AG384">
        <v>1</v>
      </c>
      <c r="AH384">
        <v>0</v>
      </c>
      <c r="AI384" t="s">
        <v>275</v>
      </c>
      <c r="AJ384">
        <v>33.187873000000003</v>
      </c>
      <c r="AK384" t="s">
        <v>277</v>
      </c>
      <c r="AL384">
        <v>-97.782139999999998</v>
      </c>
      <c r="AM384">
        <v>25</v>
      </c>
      <c r="AN384">
        <v>2500</v>
      </c>
      <c r="AO384" t="s">
        <v>118</v>
      </c>
      <c r="AP384">
        <v>91</v>
      </c>
      <c r="AQ384">
        <v>3</v>
      </c>
      <c r="AR384">
        <v>576</v>
      </c>
      <c r="AZ384">
        <v>1200</v>
      </c>
      <c r="BA384">
        <v>1</v>
      </c>
      <c r="BB384" t="str">
        <f t="shared" si="105"/>
        <v xml:space="preserve">N733KP  </v>
      </c>
      <c r="BC384">
        <v>1</v>
      </c>
      <c r="BE384">
        <v>0</v>
      </c>
      <c r="BF384">
        <v>0</v>
      </c>
      <c r="BG384">
        <v>0</v>
      </c>
      <c r="BH384">
        <v>2450</v>
      </c>
      <c r="BI384">
        <v>1</v>
      </c>
      <c r="BJ384">
        <v>1</v>
      </c>
      <c r="BK384">
        <v>0</v>
      </c>
      <c r="BL384">
        <v>0</v>
      </c>
      <c r="BO384">
        <v>0</v>
      </c>
      <c r="BP384">
        <v>0</v>
      </c>
      <c r="BW384" t="str">
        <f>"22:10:59.218"</f>
        <v>22:10:59.218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6</v>
      </c>
      <c r="CP384" t="s">
        <v>119</v>
      </c>
      <c r="CQ384">
        <v>364</v>
      </c>
      <c r="CR384">
        <v>0</v>
      </c>
      <c r="CW384">
        <v>1378667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"03/24/2022 22:10:59.641"</f>
        <v>03/24/2022 22:10:59.641</v>
      </c>
      <c r="C385" t="str">
        <f t="shared" si="103"/>
        <v>FFDFD3C0</v>
      </c>
      <c r="D385" t="s">
        <v>126</v>
      </c>
      <c r="E385">
        <v>3</v>
      </c>
      <c r="H385">
        <v>160</v>
      </c>
      <c r="I385" t="s">
        <v>121</v>
      </c>
      <c r="J385" t="s">
        <v>127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 t="shared" si="115"/>
        <v>22:10:59.000</v>
      </c>
      <c r="T385" t="str">
        <f t="shared" si="115"/>
        <v>22:10:59.000</v>
      </c>
      <c r="U385" t="str">
        <f t="shared" si="98"/>
        <v>A9D71F</v>
      </c>
      <c r="V385">
        <v>0</v>
      </c>
      <c r="W385">
        <v>0</v>
      </c>
      <c r="X385">
        <v>2</v>
      </c>
      <c r="Z385">
        <v>1</v>
      </c>
      <c r="AA385">
        <v>8</v>
      </c>
      <c r="AB385">
        <v>3</v>
      </c>
      <c r="AC385">
        <v>0</v>
      </c>
      <c r="AD385">
        <v>9</v>
      </c>
      <c r="AE385">
        <v>0</v>
      </c>
      <c r="AF385">
        <v>3</v>
      </c>
      <c r="AG385">
        <v>1</v>
      </c>
      <c r="AH385">
        <v>0</v>
      </c>
      <c r="AI385" t="s">
        <v>275</v>
      </c>
      <c r="AJ385">
        <v>33.187873000000003</v>
      </c>
      <c r="AK385" t="s">
        <v>277</v>
      </c>
      <c r="AL385">
        <v>-97.782139999999998</v>
      </c>
      <c r="AM385">
        <v>25</v>
      </c>
      <c r="AN385">
        <v>2500</v>
      </c>
      <c r="AO385" t="s">
        <v>118</v>
      </c>
      <c r="AP385">
        <v>91</v>
      </c>
      <c r="AQ385">
        <v>3</v>
      </c>
      <c r="AR385">
        <v>576</v>
      </c>
      <c r="AZ385">
        <v>1200</v>
      </c>
      <c r="BA385">
        <v>1</v>
      </c>
      <c r="BB385" t="str">
        <f t="shared" si="105"/>
        <v xml:space="preserve">N733KP  </v>
      </c>
      <c r="BC385">
        <v>1</v>
      </c>
      <c r="BE385">
        <v>0</v>
      </c>
      <c r="BF385">
        <v>0</v>
      </c>
      <c r="BG385">
        <v>0</v>
      </c>
      <c r="BH385">
        <v>2450</v>
      </c>
      <c r="BI385">
        <v>1</v>
      </c>
      <c r="BJ385">
        <v>1</v>
      </c>
      <c r="BK385">
        <v>0</v>
      </c>
      <c r="BL385">
        <v>0</v>
      </c>
      <c r="BO385">
        <v>0</v>
      </c>
      <c r="BP385">
        <v>0</v>
      </c>
      <c r="BW385" t="str">
        <f>"22:10:59.218"</f>
        <v>22:10:59.218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6</v>
      </c>
      <c r="CP385" t="s">
        <v>119</v>
      </c>
      <c r="CQ385">
        <v>364</v>
      </c>
      <c r="CR385">
        <v>0</v>
      </c>
      <c r="CW385">
        <v>1378667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"03/24/2022 22:11:00.860"</f>
        <v>03/24/2022 22:11:00.860</v>
      </c>
      <c r="C386" t="str">
        <f t="shared" si="103"/>
        <v>FFDFD3C0</v>
      </c>
      <c r="D386" t="s">
        <v>123</v>
      </c>
      <c r="E386">
        <v>8</v>
      </c>
      <c r="H386">
        <v>31</v>
      </c>
      <c r="I386" t="s">
        <v>124</v>
      </c>
      <c r="J386" t="s">
        <v>125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 t="shared" ref="S386:T389" si="116">"22:11:00.000"</f>
        <v>22:11:00.000</v>
      </c>
      <c r="T386" t="str">
        <f t="shared" si="116"/>
        <v>22:11:00.000</v>
      </c>
      <c r="U386" t="str">
        <f t="shared" ref="U386:U449" si="117">"A9D71F"</f>
        <v>A9D71F</v>
      </c>
      <c r="V386">
        <v>0</v>
      </c>
      <c r="W386">
        <v>0</v>
      </c>
      <c r="X386">
        <v>2</v>
      </c>
      <c r="Z386">
        <v>1</v>
      </c>
      <c r="AA386">
        <v>8</v>
      </c>
      <c r="AB386">
        <v>3</v>
      </c>
      <c r="AC386">
        <v>0</v>
      </c>
      <c r="AD386">
        <v>9</v>
      </c>
      <c r="AE386">
        <v>0</v>
      </c>
      <c r="AF386">
        <v>3</v>
      </c>
      <c r="AG386">
        <v>1</v>
      </c>
      <c r="AH386">
        <v>0</v>
      </c>
      <c r="AI386" t="s">
        <v>267</v>
      </c>
      <c r="AJ386">
        <v>33.187894999999997</v>
      </c>
      <c r="AK386" t="s">
        <v>278</v>
      </c>
      <c r="AL386">
        <v>-97.781625000000005</v>
      </c>
      <c r="AM386">
        <v>25</v>
      </c>
      <c r="AN386">
        <v>2500</v>
      </c>
      <c r="AO386" t="s">
        <v>118</v>
      </c>
      <c r="AP386">
        <v>91</v>
      </c>
      <c r="AQ386">
        <v>3</v>
      </c>
      <c r="AR386">
        <v>512</v>
      </c>
      <c r="AZ386">
        <v>1200</v>
      </c>
      <c r="BA386">
        <v>1</v>
      </c>
      <c r="BB386" t="str">
        <f t="shared" si="105"/>
        <v xml:space="preserve">N733KP  </v>
      </c>
      <c r="BC386">
        <v>1</v>
      </c>
      <c r="BE386">
        <v>0</v>
      </c>
      <c r="BF386">
        <v>0</v>
      </c>
      <c r="BG386">
        <v>0</v>
      </c>
      <c r="BH386">
        <v>2450</v>
      </c>
      <c r="BI386">
        <v>1</v>
      </c>
      <c r="BJ386">
        <v>1</v>
      </c>
      <c r="BK386">
        <v>0</v>
      </c>
      <c r="BL386">
        <v>0</v>
      </c>
      <c r="BO386">
        <v>0</v>
      </c>
      <c r="BP386">
        <v>0</v>
      </c>
      <c r="BW386" t="str">
        <f>"22:11:00.637"</f>
        <v>22:11:00.637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6</v>
      </c>
      <c r="CP386" t="s">
        <v>119</v>
      </c>
      <c r="CQ386">
        <v>364</v>
      </c>
      <c r="CR386">
        <v>0</v>
      </c>
      <c r="CW386">
        <v>1378895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"03/24/2022 22:11:00.860"</f>
        <v>03/24/2022 22:11:00.860</v>
      </c>
      <c r="C387" t="str">
        <f t="shared" si="103"/>
        <v>FFDFD3C0</v>
      </c>
      <c r="D387" t="s">
        <v>120</v>
      </c>
      <c r="E387">
        <v>14</v>
      </c>
      <c r="F387">
        <v>1014</v>
      </c>
      <c r="G387" t="s">
        <v>121</v>
      </c>
      <c r="J387" t="s">
        <v>122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 t="shared" si="116"/>
        <v>22:11:00.000</v>
      </c>
      <c r="T387" t="str">
        <f t="shared" si="116"/>
        <v>22:11:00.000</v>
      </c>
      <c r="U387" t="str">
        <f t="shared" si="117"/>
        <v>A9D71F</v>
      </c>
      <c r="V387">
        <v>0</v>
      </c>
      <c r="W387">
        <v>0</v>
      </c>
      <c r="X387">
        <v>2</v>
      </c>
      <c r="Z387">
        <v>1</v>
      </c>
      <c r="AA387">
        <v>8</v>
      </c>
      <c r="AB387">
        <v>3</v>
      </c>
      <c r="AC387">
        <v>0</v>
      </c>
      <c r="AD387">
        <v>9</v>
      </c>
      <c r="AE387">
        <v>0</v>
      </c>
      <c r="AF387">
        <v>3</v>
      </c>
      <c r="AG387">
        <v>1</v>
      </c>
      <c r="AH387">
        <v>0</v>
      </c>
      <c r="AI387" t="s">
        <v>267</v>
      </c>
      <c r="AJ387">
        <v>33.187894999999997</v>
      </c>
      <c r="AK387" t="s">
        <v>278</v>
      </c>
      <c r="AL387">
        <v>-97.781625000000005</v>
      </c>
      <c r="AM387">
        <v>25</v>
      </c>
      <c r="AN387">
        <v>2500</v>
      </c>
      <c r="AO387" t="s">
        <v>118</v>
      </c>
      <c r="AP387">
        <v>91</v>
      </c>
      <c r="AQ387">
        <v>3</v>
      </c>
      <c r="AR387">
        <v>512</v>
      </c>
      <c r="AZ387">
        <v>1200</v>
      </c>
      <c r="BA387">
        <v>1</v>
      </c>
      <c r="BB387" t="str">
        <f t="shared" si="105"/>
        <v xml:space="preserve">N733KP  </v>
      </c>
      <c r="BC387">
        <v>1</v>
      </c>
      <c r="BE387">
        <v>0</v>
      </c>
      <c r="BF387">
        <v>0</v>
      </c>
      <c r="BG387">
        <v>0</v>
      </c>
      <c r="BH387">
        <v>2450</v>
      </c>
      <c r="BI387">
        <v>1</v>
      </c>
      <c r="BJ387">
        <v>1</v>
      </c>
      <c r="BK387">
        <v>0</v>
      </c>
      <c r="BL387">
        <v>0</v>
      </c>
      <c r="BO387">
        <v>0</v>
      </c>
      <c r="BP387">
        <v>0</v>
      </c>
      <c r="BW387" t="str">
        <f>"22:11:00.637"</f>
        <v>22:11:00.637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6</v>
      </c>
      <c r="CP387" t="s">
        <v>119</v>
      </c>
      <c r="CQ387">
        <v>364</v>
      </c>
      <c r="CR387">
        <v>0</v>
      </c>
      <c r="CW387">
        <v>1378895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"03/24/2022 22:11:00.860"</f>
        <v>03/24/2022 22:11:00.860</v>
      </c>
      <c r="C388" t="str">
        <f t="shared" si="103"/>
        <v>FFDFD3C0</v>
      </c>
      <c r="D388" t="s">
        <v>126</v>
      </c>
      <c r="E388">
        <v>3</v>
      </c>
      <c r="H388">
        <v>160</v>
      </c>
      <c r="I388" t="s">
        <v>121</v>
      </c>
      <c r="J388" t="s">
        <v>127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 t="shared" si="116"/>
        <v>22:11:00.000</v>
      </c>
      <c r="T388" t="str">
        <f t="shared" si="116"/>
        <v>22:11:00.000</v>
      </c>
      <c r="U388" t="str">
        <f t="shared" si="117"/>
        <v>A9D71F</v>
      </c>
      <c r="V388">
        <v>0</v>
      </c>
      <c r="W388">
        <v>0</v>
      </c>
      <c r="X388">
        <v>2</v>
      </c>
      <c r="Z388">
        <v>1</v>
      </c>
      <c r="AA388">
        <v>8</v>
      </c>
      <c r="AB388">
        <v>3</v>
      </c>
      <c r="AC388">
        <v>0</v>
      </c>
      <c r="AD388">
        <v>9</v>
      </c>
      <c r="AE388">
        <v>0</v>
      </c>
      <c r="AF388">
        <v>3</v>
      </c>
      <c r="AG388">
        <v>1</v>
      </c>
      <c r="AH388">
        <v>0</v>
      </c>
      <c r="AI388" t="s">
        <v>267</v>
      </c>
      <c r="AJ388">
        <v>33.187894999999997</v>
      </c>
      <c r="AK388" t="s">
        <v>278</v>
      </c>
      <c r="AL388">
        <v>-97.781625000000005</v>
      </c>
      <c r="AM388">
        <v>25</v>
      </c>
      <c r="AN388">
        <v>2500</v>
      </c>
      <c r="AO388" t="s">
        <v>118</v>
      </c>
      <c r="AP388">
        <v>91</v>
      </c>
      <c r="AQ388">
        <v>3</v>
      </c>
      <c r="AR388">
        <v>512</v>
      </c>
      <c r="AZ388">
        <v>1200</v>
      </c>
      <c r="BA388">
        <v>1</v>
      </c>
      <c r="BB388" t="str">
        <f t="shared" si="105"/>
        <v xml:space="preserve">N733KP  </v>
      </c>
      <c r="BC388">
        <v>1</v>
      </c>
      <c r="BE388">
        <v>0</v>
      </c>
      <c r="BF388">
        <v>0</v>
      </c>
      <c r="BG388">
        <v>0</v>
      </c>
      <c r="BH388">
        <v>2450</v>
      </c>
      <c r="BI388">
        <v>1</v>
      </c>
      <c r="BJ388">
        <v>1</v>
      </c>
      <c r="BK388">
        <v>0</v>
      </c>
      <c r="BL388">
        <v>0</v>
      </c>
      <c r="BO388">
        <v>0</v>
      </c>
      <c r="BP388">
        <v>0</v>
      </c>
      <c r="BW388" t="str">
        <f>"22:11:00.637"</f>
        <v>22:11:00.637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6</v>
      </c>
      <c r="CP388" t="s">
        <v>119</v>
      </c>
      <c r="CQ388">
        <v>364</v>
      </c>
      <c r="CR388">
        <v>0</v>
      </c>
      <c r="CW388">
        <v>1378895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"03/24/2022 22:11:00.860"</f>
        <v>03/24/2022 22:11:00.860</v>
      </c>
      <c r="C389" t="str">
        <f t="shared" si="103"/>
        <v>FFDFD3C0</v>
      </c>
      <c r="D389" t="s">
        <v>113</v>
      </c>
      <c r="E389">
        <v>24</v>
      </c>
      <c r="F389">
        <v>2024</v>
      </c>
      <c r="G389" t="s">
        <v>114</v>
      </c>
      <c r="J389" t="s">
        <v>115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 t="shared" si="116"/>
        <v>22:11:00.000</v>
      </c>
      <c r="T389" t="str">
        <f t="shared" si="116"/>
        <v>22:11:00.000</v>
      </c>
      <c r="U389" t="str">
        <f t="shared" si="117"/>
        <v>A9D71F</v>
      </c>
      <c r="V389">
        <v>0</v>
      </c>
      <c r="W389">
        <v>0</v>
      </c>
      <c r="X389">
        <v>2</v>
      </c>
      <c r="Z389">
        <v>1</v>
      </c>
      <c r="AA389">
        <v>8</v>
      </c>
      <c r="AB389">
        <v>3</v>
      </c>
      <c r="AC389">
        <v>0</v>
      </c>
      <c r="AD389">
        <v>9</v>
      </c>
      <c r="AE389">
        <v>0</v>
      </c>
      <c r="AF389">
        <v>3</v>
      </c>
      <c r="AG389">
        <v>1</v>
      </c>
      <c r="AH389">
        <v>0</v>
      </c>
      <c r="AI389" t="s">
        <v>267</v>
      </c>
      <c r="AJ389">
        <v>33.187894999999997</v>
      </c>
      <c r="AK389" t="s">
        <v>278</v>
      </c>
      <c r="AL389">
        <v>-97.781625000000005</v>
      </c>
      <c r="AM389">
        <v>25</v>
      </c>
      <c r="AN389">
        <v>2500</v>
      </c>
      <c r="AO389" t="s">
        <v>118</v>
      </c>
      <c r="AP389">
        <v>91</v>
      </c>
      <c r="AQ389">
        <v>3</v>
      </c>
      <c r="AR389">
        <v>512</v>
      </c>
      <c r="AZ389">
        <v>1200</v>
      </c>
      <c r="BA389">
        <v>1</v>
      </c>
      <c r="BB389" t="str">
        <f t="shared" si="105"/>
        <v xml:space="preserve">N733KP  </v>
      </c>
      <c r="BC389">
        <v>1</v>
      </c>
      <c r="BE389">
        <v>0</v>
      </c>
      <c r="BF389">
        <v>0</v>
      </c>
      <c r="BG389">
        <v>0</v>
      </c>
      <c r="BH389">
        <v>2450</v>
      </c>
      <c r="BI389">
        <v>1</v>
      </c>
      <c r="BJ389">
        <v>1</v>
      </c>
      <c r="BK389">
        <v>0</v>
      </c>
      <c r="BL389">
        <v>0</v>
      </c>
      <c r="BO389">
        <v>0</v>
      </c>
      <c r="BP389">
        <v>0</v>
      </c>
      <c r="BW389" t="str">
        <f>"22:11:00.637"</f>
        <v>22:11:00.637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6</v>
      </c>
      <c r="CP389" t="s">
        <v>119</v>
      </c>
      <c r="CQ389">
        <v>364</v>
      </c>
      <c r="CR389">
        <v>0</v>
      </c>
      <c r="CW389">
        <v>1378895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"03/24/2022 22:11:02.143"</f>
        <v>03/24/2022 22:11:02.143</v>
      </c>
      <c r="C390" t="str">
        <f t="shared" si="103"/>
        <v>FFDFD3C0</v>
      </c>
      <c r="D390" t="s">
        <v>123</v>
      </c>
      <c r="E390">
        <v>8</v>
      </c>
      <c r="H390">
        <v>31</v>
      </c>
      <c r="I390" t="s">
        <v>124</v>
      </c>
      <c r="J390" t="s">
        <v>125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 t="shared" ref="S390:T393" si="118">"22:11:01.000"</f>
        <v>22:11:01.000</v>
      </c>
      <c r="T390" t="str">
        <f t="shared" si="118"/>
        <v>22:11:01.000</v>
      </c>
      <c r="U390" t="str">
        <f t="shared" si="117"/>
        <v>A9D71F</v>
      </c>
      <c r="V390">
        <v>0</v>
      </c>
      <c r="W390">
        <v>0</v>
      </c>
      <c r="X390">
        <v>2</v>
      </c>
      <c r="Z390">
        <v>1</v>
      </c>
      <c r="AA390">
        <v>8</v>
      </c>
      <c r="AB390">
        <v>3</v>
      </c>
      <c r="AC390">
        <v>0</v>
      </c>
      <c r="AD390">
        <v>9</v>
      </c>
      <c r="AE390">
        <v>0</v>
      </c>
      <c r="AF390">
        <v>3</v>
      </c>
      <c r="AG390">
        <v>1</v>
      </c>
      <c r="AH390">
        <v>0</v>
      </c>
      <c r="AI390" t="s">
        <v>253</v>
      </c>
      <c r="AJ390">
        <v>33.187916000000001</v>
      </c>
      <c r="AK390" t="s">
        <v>279</v>
      </c>
      <c r="AL390">
        <v>-97.781109999999998</v>
      </c>
      <c r="AM390">
        <v>25</v>
      </c>
      <c r="AN390">
        <v>2500</v>
      </c>
      <c r="AO390" t="s">
        <v>118</v>
      </c>
      <c r="AP390">
        <v>88</v>
      </c>
      <c r="AQ390">
        <v>4</v>
      </c>
      <c r="AR390">
        <v>640</v>
      </c>
      <c r="AZ390">
        <v>1200</v>
      </c>
      <c r="BA390">
        <v>1</v>
      </c>
      <c r="BB390" t="str">
        <f t="shared" si="105"/>
        <v xml:space="preserve">N733KP  </v>
      </c>
      <c r="BC390">
        <v>1</v>
      </c>
      <c r="BE390">
        <v>0</v>
      </c>
      <c r="BF390">
        <v>0</v>
      </c>
      <c r="BG390">
        <v>0</v>
      </c>
      <c r="BH390">
        <v>2450</v>
      </c>
      <c r="BI390">
        <v>1</v>
      </c>
      <c r="BJ390">
        <v>1</v>
      </c>
      <c r="BK390">
        <v>0</v>
      </c>
      <c r="BL390">
        <v>0</v>
      </c>
      <c r="BO390">
        <v>0</v>
      </c>
      <c r="BP390">
        <v>0</v>
      </c>
      <c r="BW390" t="str">
        <f>"22:11:01.916"</f>
        <v>22:11:01.916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6</v>
      </c>
      <c r="CP390" t="s">
        <v>119</v>
      </c>
      <c r="CQ390">
        <v>364</v>
      </c>
      <c r="CR390">
        <v>0</v>
      </c>
      <c r="CW390">
        <v>1379075</v>
      </c>
      <c r="CY390">
        <v>1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"03/24/2022 22:11:02.143"</f>
        <v>03/24/2022 22:11:02.143</v>
      </c>
      <c r="C391" t="str">
        <f t="shared" si="103"/>
        <v>FFDFD3C0</v>
      </c>
      <c r="D391" t="s">
        <v>120</v>
      </c>
      <c r="E391">
        <v>14</v>
      </c>
      <c r="F391">
        <v>1014</v>
      </c>
      <c r="G391" t="s">
        <v>121</v>
      </c>
      <c r="J391" t="s">
        <v>122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 t="shared" si="118"/>
        <v>22:11:01.000</v>
      </c>
      <c r="T391" t="str">
        <f t="shared" si="118"/>
        <v>22:11:01.000</v>
      </c>
      <c r="U391" t="str">
        <f t="shared" si="117"/>
        <v>A9D71F</v>
      </c>
      <c r="V391">
        <v>0</v>
      </c>
      <c r="W391">
        <v>0</v>
      </c>
      <c r="X391">
        <v>2</v>
      </c>
      <c r="Z391">
        <v>1</v>
      </c>
      <c r="AA391">
        <v>8</v>
      </c>
      <c r="AB391">
        <v>3</v>
      </c>
      <c r="AC391">
        <v>0</v>
      </c>
      <c r="AD391">
        <v>9</v>
      </c>
      <c r="AE391">
        <v>0</v>
      </c>
      <c r="AF391">
        <v>3</v>
      </c>
      <c r="AG391">
        <v>1</v>
      </c>
      <c r="AH391">
        <v>0</v>
      </c>
      <c r="AI391" t="s">
        <v>253</v>
      </c>
      <c r="AJ391">
        <v>33.187916000000001</v>
      </c>
      <c r="AK391" t="s">
        <v>279</v>
      </c>
      <c r="AL391">
        <v>-97.781109999999998</v>
      </c>
      <c r="AM391">
        <v>25</v>
      </c>
      <c r="AN391">
        <v>2500</v>
      </c>
      <c r="AO391" t="s">
        <v>118</v>
      </c>
      <c r="AP391">
        <v>88</v>
      </c>
      <c r="AQ391">
        <v>4</v>
      </c>
      <c r="AR391">
        <v>640</v>
      </c>
      <c r="AZ391">
        <v>1200</v>
      </c>
      <c r="BA391">
        <v>1</v>
      </c>
      <c r="BB391" t="str">
        <f t="shared" si="105"/>
        <v xml:space="preserve">N733KP  </v>
      </c>
      <c r="BC391">
        <v>1</v>
      </c>
      <c r="BE391">
        <v>0</v>
      </c>
      <c r="BF391">
        <v>0</v>
      </c>
      <c r="BG391">
        <v>0</v>
      </c>
      <c r="BH391">
        <v>2450</v>
      </c>
      <c r="BI391">
        <v>1</v>
      </c>
      <c r="BJ391">
        <v>1</v>
      </c>
      <c r="BK391">
        <v>0</v>
      </c>
      <c r="BL391">
        <v>0</v>
      </c>
      <c r="BO391">
        <v>0</v>
      </c>
      <c r="BP391">
        <v>0</v>
      </c>
      <c r="BW391" t="str">
        <f>"22:11:01.916"</f>
        <v>22:11:01.916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6</v>
      </c>
      <c r="CP391" t="s">
        <v>119</v>
      </c>
      <c r="CQ391">
        <v>364</v>
      </c>
      <c r="CR391">
        <v>0</v>
      </c>
      <c r="CW391">
        <v>1379075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"03/24/2022 22:11:02.143"</f>
        <v>03/24/2022 22:11:02.143</v>
      </c>
      <c r="C392" t="str">
        <f t="shared" si="103"/>
        <v>FFDFD3C0</v>
      </c>
      <c r="D392" t="s">
        <v>126</v>
      </c>
      <c r="E392">
        <v>3</v>
      </c>
      <c r="H392">
        <v>160</v>
      </c>
      <c r="I392" t="s">
        <v>121</v>
      </c>
      <c r="J392" t="s">
        <v>127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 t="shared" si="118"/>
        <v>22:11:01.000</v>
      </c>
      <c r="T392" t="str">
        <f t="shared" si="118"/>
        <v>22:11:01.000</v>
      </c>
      <c r="U392" t="str">
        <f t="shared" si="117"/>
        <v>A9D71F</v>
      </c>
      <c r="V392">
        <v>0</v>
      </c>
      <c r="W392">
        <v>0</v>
      </c>
      <c r="X392">
        <v>2</v>
      </c>
      <c r="Z392">
        <v>1</v>
      </c>
      <c r="AA392">
        <v>8</v>
      </c>
      <c r="AB392">
        <v>3</v>
      </c>
      <c r="AC392">
        <v>0</v>
      </c>
      <c r="AD392">
        <v>9</v>
      </c>
      <c r="AE392">
        <v>0</v>
      </c>
      <c r="AF392">
        <v>3</v>
      </c>
      <c r="AG392">
        <v>1</v>
      </c>
      <c r="AH392">
        <v>0</v>
      </c>
      <c r="AI392" t="s">
        <v>253</v>
      </c>
      <c r="AJ392">
        <v>33.187916000000001</v>
      </c>
      <c r="AK392" t="s">
        <v>279</v>
      </c>
      <c r="AL392">
        <v>-97.781109999999998</v>
      </c>
      <c r="AM392">
        <v>25</v>
      </c>
      <c r="AN392">
        <v>2500</v>
      </c>
      <c r="AO392" t="s">
        <v>118</v>
      </c>
      <c r="AP392">
        <v>88</v>
      </c>
      <c r="AQ392">
        <v>4</v>
      </c>
      <c r="AR392">
        <v>640</v>
      </c>
      <c r="AZ392">
        <v>1200</v>
      </c>
      <c r="BA392">
        <v>1</v>
      </c>
      <c r="BB392" t="str">
        <f t="shared" si="105"/>
        <v xml:space="preserve">N733KP  </v>
      </c>
      <c r="BC392">
        <v>1</v>
      </c>
      <c r="BE392">
        <v>0</v>
      </c>
      <c r="BF392">
        <v>0</v>
      </c>
      <c r="BG392">
        <v>0</v>
      </c>
      <c r="BH392">
        <v>2450</v>
      </c>
      <c r="BI392">
        <v>1</v>
      </c>
      <c r="BJ392">
        <v>1</v>
      </c>
      <c r="BK392">
        <v>0</v>
      </c>
      <c r="BL392">
        <v>0</v>
      </c>
      <c r="BO392">
        <v>0</v>
      </c>
      <c r="BP392">
        <v>0</v>
      </c>
      <c r="BW392" t="str">
        <f>"22:11:01.916"</f>
        <v>22:11:01.916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364</v>
      </c>
      <c r="CR392">
        <v>0</v>
      </c>
      <c r="CW392">
        <v>1379075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"03/24/2022 22:11:02.143"</f>
        <v>03/24/2022 22:11:02.143</v>
      </c>
      <c r="C393" t="str">
        <f t="shared" si="103"/>
        <v>FFDFD3C0</v>
      </c>
      <c r="D393" t="s">
        <v>113</v>
      </c>
      <c r="E393">
        <v>24</v>
      </c>
      <c r="F393">
        <v>2024</v>
      </c>
      <c r="G393" t="s">
        <v>114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 t="shared" si="118"/>
        <v>22:11:01.000</v>
      </c>
      <c r="T393" t="str">
        <f t="shared" si="118"/>
        <v>22:11:01.000</v>
      </c>
      <c r="U393" t="str">
        <f t="shared" si="117"/>
        <v>A9D71F</v>
      </c>
      <c r="V393">
        <v>0</v>
      </c>
      <c r="W393">
        <v>0</v>
      </c>
      <c r="X393">
        <v>2</v>
      </c>
      <c r="Z393">
        <v>1</v>
      </c>
      <c r="AA393">
        <v>8</v>
      </c>
      <c r="AB393">
        <v>3</v>
      </c>
      <c r="AC393">
        <v>0</v>
      </c>
      <c r="AD393">
        <v>9</v>
      </c>
      <c r="AE393">
        <v>0</v>
      </c>
      <c r="AF393">
        <v>3</v>
      </c>
      <c r="AG393">
        <v>1</v>
      </c>
      <c r="AH393">
        <v>0</v>
      </c>
      <c r="AI393" t="s">
        <v>253</v>
      </c>
      <c r="AJ393">
        <v>33.187916000000001</v>
      </c>
      <c r="AK393" t="s">
        <v>279</v>
      </c>
      <c r="AL393">
        <v>-97.781109999999998</v>
      </c>
      <c r="AM393">
        <v>25</v>
      </c>
      <c r="AN393">
        <v>2500</v>
      </c>
      <c r="AO393" t="s">
        <v>118</v>
      </c>
      <c r="AP393">
        <v>88</v>
      </c>
      <c r="AQ393">
        <v>4</v>
      </c>
      <c r="AR393">
        <v>640</v>
      </c>
      <c r="AZ393">
        <v>1200</v>
      </c>
      <c r="BA393">
        <v>1</v>
      </c>
      <c r="BB393" t="str">
        <f t="shared" si="105"/>
        <v xml:space="preserve">N733KP  </v>
      </c>
      <c r="BC393">
        <v>1</v>
      </c>
      <c r="BE393">
        <v>0</v>
      </c>
      <c r="BF393">
        <v>0</v>
      </c>
      <c r="BG393">
        <v>0</v>
      </c>
      <c r="BH393">
        <v>2450</v>
      </c>
      <c r="BI393">
        <v>1</v>
      </c>
      <c r="BJ393">
        <v>1</v>
      </c>
      <c r="BK393">
        <v>0</v>
      </c>
      <c r="BL393">
        <v>0</v>
      </c>
      <c r="BO393">
        <v>0</v>
      </c>
      <c r="BP393">
        <v>0</v>
      </c>
      <c r="BW393" t="str">
        <f>"22:11:01.916"</f>
        <v>22:11:01.916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364</v>
      </c>
      <c r="CR393">
        <v>0</v>
      </c>
      <c r="CW393">
        <v>1379075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"03/24/2022 22:11:03.221"</f>
        <v>03/24/2022 22:11:03.221</v>
      </c>
      <c r="C394" t="str">
        <f t="shared" si="103"/>
        <v>FFDFD3C0</v>
      </c>
      <c r="D394" t="s">
        <v>123</v>
      </c>
      <c r="E394">
        <v>8</v>
      </c>
      <c r="H394">
        <v>31</v>
      </c>
      <c r="I394" t="s">
        <v>124</v>
      </c>
      <c r="J394" t="s">
        <v>125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 t="shared" ref="S394:T397" si="119">"22:11:02.000"</f>
        <v>22:11:02.000</v>
      </c>
      <c r="T394" t="str">
        <f t="shared" si="119"/>
        <v>22:11:02.000</v>
      </c>
      <c r="U394" t="str">
        <f t="shared" si="117"/>
        <v>A9D71F</v>
      </c>
      <c r="V394">
        <v>0</v>
      </c>
      <c r="W394">
        <v>0</v>
      </c>
      <c r="X394">
        <v>2</v>
      </c>
      <c r="Z394">
        <v>1</v>
      </c>
      <c r="AA394">
        <v>8</v>
      </c>
      <c r="AB394">
        <v>3</v>
      </c>
      <c r="AC394">
        <v>0</v>
      </c>
      <c r="AD394">
        <v>9</v>
      </c>
      <c r="AE394">
        <v>0</v>
      </c>
      <c r="AF394">
        <v>3</v>
      </c>
      <c r="AG394">
        <v>1</v>
      </c>
      <c r="AH394">
        <v>0</v>
      </c>
      <c r="AI394" t="s">
        <v>253</v>
      </c>
      <c r="AJ394">
        <v>33.187916000000001</v>
      </c>
      <c r="AK394" t="s">
        <v>280</v>
      </c>
      <c r="AL394">
        <v>-97.780595000000005</v>
      </c>
      <c r="AM394">
        <v>25</v>
      </c>
      <c r="AN394">
        <v>2500</v>
      </c>
      <c r="AO394" t="s">
        <v>118</v>
      </c>
      <c r="AP394">
        <v>90</v>
      </c>
      <c r="AQ394">
        <v>4</v>
      </c>
      <c r="AR394">
        <v>640</v>
      </c>
      <c r="AZ394">
        <v>1200</v>
      </c>
      <c r="BA394">
        <v>1</v>
      </c>
      <c r="BB394" t="str">
        <f t="shared" si="105"/>
        <v xml:space="preserve">N733KP  </v>
      </c>
      <c r="BC394">
        <v>1</v>
      </c>
      <c r="BE394">
        <v>0</v>
      </c>
      <c r="BF394">
        <v>0</v>
      </c>
      <c r="BG394">
        <v>0</v>
      </c>
      <c r="BH394">
        <v>2500</v>
      </c>
      <c r="BI394">
        <v>1</v>
      </c>
      <c r="BJ394">
        <v>1</v>
      </c>
      <c r="BK394">
        <v>0</v>
      </c>
      <c r="BL394">
        <v>0</v>
      </c>
      <c r="BO394">
        <v>0</v>
      </c>
      <c r="BP394">
        <v>0</v>
      </c>
      <c r="BW394" t="str">
        <f>"22:11:02.936"</f>
        <v>22:11:02.936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364</v>
      </c>
      <c r="CR394">
        <v>0</v>
      </c>
      <c r="CW394">
        <v>1379218</v>
      </c>
      <c r="CY394">
        <v>1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"03/24/2022 22:11:03.221"</f>
        <v>03/24/2022 22:11:03.221</v>
      </c>
      <c r="C395" t="str">
        <f t="shared" si="103"/>
        <v>FFDFD3C0</v>
      </c>
      <c r="D395" t="s">
        <v>120</v>
      </c>
      <c r="E395">
        <v>14</v>
      </c>
      <c r="F395">
        <v>1014</v>
      </c>
      <c r="G395" t="s">
        <v>121</v>
      </c>
      <c r="J395" t="s">
        <v>122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 t="shared" si="119"/>
        <v>22:11:02.000</v>
      </c>
      <c r="T395" t="str">
        <f t="shared" si="119"/>
        <v>22:11:02.000</v>
      </c>
      <c r="U395" t="str">
        <f t="shared" si="117"/>
        <v>A9D71F</v>
      </c>
      <c r="V395">
        <v>0</v>
      </c>
      <c r="W395">
        <v>0</v>
      </c>
      <c r="X395">
        <v>2</v>
      </c>
      <c r="Z395">
        <v>1</v>
      </c>
      <c r="AA395">
        <v>8</v>
      </c>
      <c r="AB395">
        <v>3</v>
      </c>
      <c r="AC395">
        <v>0</v>
      </c>
      <c r="AD395">
        <v>9</v>
      </c>
      <c r="AE395">
        <v>0</v>
      </c>
      <c r="AF395">
        <v>3</v>
      </c>
      <c r="AG395">
        <v>1</v>
      </c>
      <c r="AH395">
        <v>0</v>
      </c>
      <c r="AI395" t="s">
        <v>253</v>
      </c>
      <c r="AJ395">
        <v>33.187916000000001</v>
      </c>
      <c r="AK395" t="s">
        <v>280</v>
      </c>
      <c r="AL395">
        <v>-97.780595000000005</v>
      </c>
      <c r="AM395">
        <v>25</v>
      </c>
      <c r="AN395">
        <v>2500</v>
      </c>
      <c r="AO395" t="s">
        <v>118</v>
      </c>
      <c r="AP395">
        <v>90</v>
      </c>
      <c r="AQ395">
        <v>4</v>
      </c>
      <c r="AR395">
        <v>640</v>
      </c>
      <c r="AZ395">
        <v>1200</v>
      </c>
      <c r="BA395">
        <v>1</v>
      </c>
      <c r="BB395" t="str">
        <f t="shared" si="105"/>
        <v xml:space="preserve">N733KP  </v>
      </c>
      <c r="BC395">
        <v>1</v>
      </c>
      <c r="BE395">
        <v>0</v>
      </c>
      <c r="BF395">
        <v>0</v>
      </c>
      <c r="BG395">
        <v>0</v>
      </c>
      <c r="BH395">
        <v>2500</v>
      </c>
      <c r="BI395">
        <v>1</v>
      </c>
      <c r="BJ395">
        <v>1</v>
      </c>
      <c r="BK395">
        <v>0</v>
      </c>
      <c r="BL395">
        <v>0</v>
      </c>
      <c r="BO395">
        <v>0</v>
      </c>
      <c r="BP395">
        <v>0</v>
      </c>
      <c r="BW395" t="str">
        <f>"22:11:02.936"</f>
        <v>22:11:02.936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6</v>
      </c>
      <c r="CP395" t="s">
        <v>119</v>
      </c>
      <c r="CQ395">
        <v>364</v>
      </c>
      <c r="CR395">
        <v>0</v>
      </c>
      <c r="CW395">
        <v>1379218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"03/24/2022 22:11:03.221"</f>
        <v>03/24/2022 22:11:03.221</v>
      </c>
      <c r="C396" t="str">
        <f t="shared" si="103"/>
        <v>FFDFD3C0</v>
      </c>
      <c r="D396" t="s">
        <v>126</v>
      </c>
      <c r="E396">
        <v>3</v>
      </c>
      <c r="H396">
        <v>160</v>
      </c>
      <c r="I396" t="s">
        <v>121</v>
      </c>
      <c r="J396" t="s">
        <v>127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 t="shared" si="119"/>
        <v>22:11:02.000</v>
      </c>
      <c r="T396" t="str">
        <f t="shared" si="119"/>
        <v>22:11:02.000</v>
      </c>
      <c r="U396" t="str">
        <f t="shared" si="117"/>
        <v>A9D71F</v>
      </c>
      <c r="V396">
        <v>0</v>
      </c>
      <c r="W396">
        <v>0</v>
      </c>
      <c r="X396">
        <v>2</v>
      </c>
      <c r="Z396">
        <v>1</v>
      </c>
      <c r="AA396">
        <v>8</v>
      </c>
      <c r="AB396">
        <v>3</v>
      </c>
      <c r="AC396">
        <v>0</v>
      </c>
      <c r="AD396">
        <v>9</v>
      </c>
      <c r="AE396">
        <v>0</v>
      </c>
      <c r="AF396">
        <v>3</v>
      </c>
      <c r="AG396">
        <v>1</v>
      </c>
      <c r="AH396">
        <v>0</v>
      </c>
      <c r="AI396" t="s">
        <v>253</v>
      </c>
      <c r="AJ396">
        <v>33.187916000000001</v>
      </c>
      <c r="AK396" t="s">
        <v>280</v>
      </c>
      <c r="AL396">
        <v>-97.780595000000005</v>
      </c>
      <c r="AM396">
        <v>25</v>
      </c>
      <c r="AN396">
        <v>2500</v>
      </c>
      <c r="AO396" t="s">
        <v>118</v>
      </c>
      <c r="AP396">
        <v>90</v>
      </c>
      <c r="AQ396">
        <v>4</v>
      </c>
      <c r="AR396">
        <v>640</v>
      </c>
      <c r="AZ396">
        <v>1200</v>
      </c>
      <c r="BA396">
        <v>1</v>
      </c>
      <c r="BB396" t="str">
        <f t="shared" si="105"/>
        <v xml:space="preserve">N733KP  </v>
      </c>
      <c r="BC396">
        <v>1</v>
      </c>
      <c r="BE396">
        <v>0</v>
      </c>
      <c r="BF396">
        <v>0</v>
      </c>
      <c r="BG396">
        <v>0</v>
      </c>
      <c r="BH396">
        <v>2500</v>
      </c>
      <c r="BI396">
        <v>1</v>
      </c>
      <c r="BJ396">
        <v>1</v>
      </c>
      <c r="BK396">
        <v>0</v>
      </c>
      <c r="BL396">
        <v>0</v>
      </c>
      <c r="BO396">
        <v>0</v>
      </c>
      <c r="BP396">
        <v>0</v>
      </c>
      <c r="BW396" t="str">
        <f>"22:11:02.936"</f>
        <v>22:11:02.936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6</v>
      </c>
      <c r="CP396" t="s">
        <v>119</v>
      </c>
      <c r="CQ396">
        <v>364</v>
      </c>
      <c r="CR396">
        <v>0</v>
      </c>
      <c r="CW396">
        <v>1379218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"03/24/2022 22:11:03.221"</f>
        <v>03/24/2022 22:11:03.221</v>
      </c>
      <c r="C397" t="str">
        <f t="shared" si="103"/>
        <v>FFDFD3C0</v>
      </c>
      <c r="D397" t="s">
        <v>113</v>
      </c>
      <c r="E397">
        <v>24</v>
      </c>
      <c r="F397">
        <v>2024</v>
      </c>
      <c r="G397" t="s">
        <v>114</v>
      </c>
      <c r="J397" t="s">
        <v>115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 t="shared" si="119"/>
        <v>22:11:02.000</v>
      </c>
      <c r="T397" t="str">
        <f t="shared" si="119"/>
        <v>22:11:02.000</v>
      </c>
      <c r="U397" t="str">
        <f t="shared" si="117"/>
        <v>A9D71F</v>
      </c>
      <c r="V397">
        <v>0</v>
      </c>
      <c r="W397">
        <v>0</v>
      </c>
      <c r="X397">
        <v>2</v>
      </c>
      <c r="Z397">
        <v>1</v>
      </c>
      <c r="AA397">
        <v>8</v>
      </c>
      <c r="AB397">
        <v>3</v>
      </c>
      <c r="AC397">
        <v>0</v>
      </c>
      <c r="AD397">
        <v>9</v>
      </c>
      <c r="AE397">
        <v>0</v>
      </c>
      <c r="AF397">
        <v>3</v>
      </c>
      <c r="AG397">
        <v>1</v>
      </c>
      <c r="AH397">
        <v>0</v>
      </c>
      <c r="AI397" t="s">
        <v>253</v>
      </c>
      <c r="AJ397">
        <v>33.187916000000001</v>
      </c>
      <c r="AK397" t="s">
        <v>280</v>
      </c>
      <c r="AL397">
        <v>-97.780595000000005</v>
      </c>
      <c r="AM397">
        <v>25</v>
      </c>
      <c r="AN397">
        <v>2500</v>
      </c>
      <c r="AO397" t="s">
        <v>118</v>
      </c>
      <c r="AP397">
        <v>90</v>
      </c>
      <c r="AQ397">
        <v>4</v>
      </c>
      <c r="AR397">
        <v>640</v>
      </c>
      <c r="AZ397">
        <v>1200</v>
      </c>
      <c r="BA397">
        <v>1</v>
      </c>
      <c r="BB397" t="str">
        <f t="shared" si="105"/>
        <v xml:space="preserve">N733KP  </v>
      </c>
      <c r="BC397">
        <v>1</v>
      </c>
      <c r="BE397">
        <v>0</v>
      </c>
      <c r="BF397">
        <v>0</v>
      </c>
      <c r="BG397">
        <v>0</v>
      </c>
      <c r="BH397">
        <v>2500</v>
      </c>
      <c r="BI397">
        <v>1</v>
      </c>
      <c r="BJ397">
        <v>1</v>
      </c>
      <c r="BK397">
        <v>0</v>
      </c>
      <c r="BL397">
        <v>0</v>
      </c>
      <c r="BO397">
        <v>0</v>
      </c>
      <c r="BP397">
        <v>0</v>
      </c>
      <c r="BW397" t="str">
        <f>"22:11:02.936"</f>
        <v>22:11:02.936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6</v>
      </c>
      <c r="CP397" t="s">
        <v>119</v>
      </c>
      <c r="CQ397">
        <v>364</v>
      </c>
      <c r="CR397">
        <v>0</v>
      </c>
      <c r="CW397">
        <v>1379218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"03/24/2022 22:11:03.409"</f>
        <v>03/24/2022 22:11:03.409</v>
      </c>
      <c r="C398" t="str">
        <f t="shared" si="103"/>
        <v>FFDFD3C0</v>
      </c>
      <c r="D398" t="s">
        <v>120</v>
      </c>
      <c r="E398">
        <v>14</v>
      </c>
      <c r="F398">
        <v>1014</v>
      </c>
      <c r="G398" t="s">
        <v>121</v>
      </c>
      <c r="J398" t="s">
        <v>122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 t="shared" ref="S398:T401" si="120">"22:11:03.000"</f>
        <v>22:11:03.000</v>
      </c>
      <c r="T398" t="str">
        <f t="shared" si="120"/>
        <v>22:11:03.000</v>
      </c>
      <c r="U398" t="str">
        <f t="shared" si="117"/>
        <v>A9D71F</v>
      </c>
      <c r="V398">
        <v>0</v>
      </c>
      <c r="W398">
        <v>0</v>
      </c>
      <c r="X398">
        <v>2</v>
      </c>
      <c r="Z398">
        <v>1</v>
      </c>
      <c r="AA398">
        <v>8</v>
      </c>
      <c r="AB398">
        <v>3</v>
      </c>
      <c r="AC398">
        <v>0</v>
      </c>
      <c r="AD398">
        <v>9</v>
      </c>
      <c r="AE398">
        <v>0</v>
      </c>
      <c r="AF398">
        <v>3</v>
      </c>
      <c r="AG398">
        <v>1</v>
      </c>
      <c r="AH398">
        <v>0</v>
      </c>
      <c r="AI398" t="s">
        <v>253</v>
      </c>
      <c r="AJ398">
        <v>33.187916000000001</v>
      </c>
      <c r="AK398" t="s">
        <v>281</v>
      </c>
      <c r="AL398">
        <v>-97.780101000000002</v>
      </c>
      <c r="AM398">
        <v>25</v>
      </c>
      <c r="AN398">
        <v>2500</v>
      </c>
      <c r="AO398" t="s">
        <v>118</v>
      </c>
      <c r="AP398">
        <v>90</v>
      </c>
      <c r="AQ398">
        <v>1</v>
      </c>
      <c r="AR398">
        <v>576</v>
      </c>
      <c r="AZ398">
        <v>1200</v>
      </c>
      <c r="BA398">
        <v>1</v>
      </c>
      <c r="BB398" t="str">
        <f t="shared" si="105"/>
        <v xml:space="preserve">N733KP  </v>
      </c>
      <c r="BC398">
        <v>1</v>
      </c>
      <c r="BE398">
        <v>0</v>
      </c>
      <c r="BF398">
        <v>0</v>
      </c>
      <c r="BG398">
        <v>0</v>
      </c>
      <c r="BH398">
        <v>2500</v>
      </c>
      <c r="BI398">
        <v>1</v>
      </c>
      <c r="BJ398">
        <v>1</v>
      </c>
      <c r="BK398">
        <v>0</v>
      </c>
      <c r="BL398">
        <v>0</v>
      </c>
      <c r="BO398">
        <v>0</v>
      </c>
      <c r="BP398">
        <v>0</v>
      </c>
      <c r="BW398" t="str">
        <f>"22:11:03.227"</f>
        <v>22:11:03.227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6</v>
      </c>
      <c r="CP398" t="s">
        <v>119</v>
      </c>
      <c r="CQ398">
        <v>364</v>
      </c>
      <c r="CR398">
        <v>0</v>
      </c>
      <c r="CW398">
        <v>1379258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"03/24/2022 22:11:03.409"</f>
        <v>03/24/2022 22:11:03.409</v>
      </c>
      <c r="C399" t="str">
        <f t="shared" si="103"/>
        <v>FFDFD3C0</v>
      </c>
      <c r="D399" t="s">
        <v>126</v>
      </c>
      <c r="E399">
        <v>3</v>
      </c>
      <c r="H399">
        <v>160</v>
      </c>
      <c r="I399" t="s">
        <v>121</v>
      </c>
      <c r="J399" t="s">
        <v>127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 t="shared" si="120"/>
        <v>22:11:03.000</v>
      </c>
      <c r="T399" t="str">
        <f t="shared" si="120"/>
        <v>22:11:03.000</v>
      </c>
      <c r="U399" t="str">
        <f t="shared" si="117"/>
        <v>A9D71F</v>
      </c>
      <c r="V399">
        <v>0</v>
      </c>
      <c r="W399">
        <v>0</v>
      </c>
      <c r="X399">
        <v>2</v>
      </c>
      <c r="Z399">
        <v>1</v>
      </c>
      <c r="AA399">
        <v>8</v>
      </c>
      <c r="AB399">
        <v>3</v>
      </c>
      <c r="AC399">
        <v>0</v>
      </c>
      <c r="AD399">
        <v>9</v>
      </c>
      <c r="AE399">
        <v>0</v>
      </c>
      <c r="AF399">
        <v>3</v>
      </c>
      <c r="AG399">
        <v>1</v>
      </c>
      <c r="AH399">
        <v>0</v>
      </c>
      <c r="AI399" t="s">
        <v>253</v>
      </c>
      <c r="AJ399">
        <v>33.187916000000001</v>
      </c>
      <c r="AK399" t="s">
        <v>281</v>
      </c>
      <c r="AL399">
        <v>-97.780101000000002</v>
      </c>
      <c r="AM399">
        <v>25</v>
      </c>
      <c r="AN399">
        <v>2500</v>
      </c>
      <c r="AO399" t="s">
        <v>118</v>
      </c>
      <c r="AP399">
        <v>90</v>
      </c>
      <c r="AQ399">
        <v>1</v>
      </c>
      <c r="AR399">
        <v>576</v>
      </c>
      <c r="AZ399">
        <v>1200</v>
      </c>
      <c r="BA399">
        <v>1</v>
      </c>
      <c r="BB399" t="str">
        <f t="shared" si="105"/>
        <v xml:space="preserve">N733KP  </v>
      </c>
      <c r="BC399">
        <v>1</v>
      </c>
      <c r="BE399">
        <v>0</v>
      </c>
      <c r="BF399">
        <v>0</v>
      </c>
      <c r="BG399">
        <v>0</v>
      </c>
      <c r="BH399">
        <v>2500</v>
      </c>
      <c r="BI399">
        <v>1</v>
      </c>
      <c r="BJ399">
        <v>1</v>
      </c>
      <c r="BK399">
        <v>0</v>
      </c>
      <c r="BL399">
        <v>0</v>
      </c>
      <c r="BO399">
        <v>0</v>
      </c>
      <c r="BP399">
        <v>0</v>
      </c>
      <c r="BW399" t="str">
        <f>"22:11:03.227"</f>
        <v>22:11:03.227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6</v>
      </c>
      <c r="CP399" t="s">
        <v>119</v>
      </c>
      <c r="CQ399">
        <v>364</v>
      </c>
      <c r="CR399">
        <v>0</v>
      </c>
      <c r="CW399">
        <v>1379258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"03/24/2022 22:11:03.409"</f>
        <v>03/24/2022 22:11:03.409</v>
      </c>
      <c r="C400" t="str">
        <f t="shared" si="103"/>
        <v>FFDFD3C0</v>
      </c>
      <c r="D400" t="s">
        <v>113</v>
      </c>
      <c r="E400">
        <v>24</v>
      </c>
      <c r="F400">
        <v>2024</v>
      </c>
      <c r="G400" t="s">
        <v>114</v>
      </c>
      <c r="J400" t="s">
        <v>115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 t="shared" si="120"/>
        <v>22:11:03.000</v>
      </c>
      <c r="T400" t="str">
        <f t="shared" si="120"/>
        <v>22:11:03.000</v>
      </c>
      <c r="U400" t="str">
        <f t="shared" si="117"/>
        <v>A9D71F</v>
      </c>
      <c r="V400">
        <v>0</v>
      </c>
      <c r="W400">
        <v>0</v>
      </c>
      <c r="X400">
        <v>2</v>
      </c>
      <c r="Z400">
        <v>1</v>
      </c>
      <c r="AA400">
        <v>8</v>
      </c>
      <c r="AB400">
        <v>3</v>
      </c>
      <c r="AC400">
        <v>0</v>
      </c>
      <c r="AD400">
        <v>9</v>
      </c>
      <c r="AE400">
        <v>0</v>
      </c>
      <c r="AF400">
        <v>3</v>
      </c>
      <c r="AG400">
        <v>1</v>
      </c>
      <c r="AH400">
        <v>0</v>
      </c>
      <c r="AI400" t="s">
        <v>253</v>
      </c>
      <c r="AJ400">
        <v>33.187916000000001</v>
      </c>
      <c r="AK400" t="s">
        <v>281</v>
      </c>
      <c r="AL400">
        <v>-97.780101000000002</v>
      </c>
      <c r="AM400">
        <v>25</v>
      </c>
      <c r="AN400">
        <v>2500</v>
      </c>
      <c r="AO400" t="s">
        <v>118</v>
      </c>
      <c r="AP400">
        <v>90</v>
      </c>
      <c r="AQ400">
        <v>1</v>
      </c>
      <c r="AR400">
        <v>576</v>
      </c>
      <c r="AZ400">
        <v>1200</v>
      </c>
      <c r="BA400">
        <v>1</v>
      </c>
      <c r="BB400" t="str">
        <f t="shared" si="105"/>
        <v xml:space="preserve">N733KP  </v>
      </c>
      <c r="BC400">
        <v>1</v>
      </c>
      <c r="BE400">
        <v>0</v>
      </c>
      <c r="BF400">
        <v>0</v>
      </c>
      <c r="BG400">
        <v>0</v>
      </c>
      <c r="BH400">
        <v>2500</v>
      </c>
      <c r="BI400">
        <v>1</v>
      </c>
      <c r="BJ400">
        <v>1</v>
      </c>
      <c r="BK400">
        <v>0</v>
      </c>
      <c r="BL400">
        <v>0</v>
      </c>
      <c r="BO400">
        <v>0</v>
      </c>
      <c r="BP400">
        <v>0</v>
      </c>
      <c r="BW400" t="str">
        <f>"22:11:03.227"</f>
        <v>22:11:03.227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6</v>
      </c>
      <c r="CP400" t="s">
        <v>119</v>
      </c>
      <c r="CQ400">
        <v>364</v>
      </c>
      <c r="CR400">
        <v>0</v>
      </c>
      <c r="CW400">
        <v>1379258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"03/24/2022 22:11:03.614"</f>
        <v>03/24/2022 22:11:03.614</v>
      </c>
      <c r="C401" t="str">
        <f t="shared" si="103"/>
        <v>FFDFD3C0</v>
      </c>
      <c r="D401" t="s">
        <v>123</v>
      </c>
      <c r="E401">
        <v>8</v>
      </c>
      <c r="H401">
        <v>31</v>
      </c>
      <c r="I401" t="s">
        <v>124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 t="shared" si="120"/>
        <v>22:11:03.000</v>
      </c>
      <c r="T401" t="str">
        <f t="shared" si="120"/>
        <v>22:11:03.000</v>
      </c>
      <c r="U401" t="str">
        <f t="shared" si="117"/>
        <v>A9D71F</v>
      </c>
      <c r="V401">
        <v>0</v>
      </c>
      <c r="W401">
        <v>0</v>
      </c>
      <c r="X401">
        <v>2</v>
      </c>
      <c r="Z401">
        <v>1</v>
      </c>
      <c r="AA401">
        <v>8</v>
      </c>
      <c r="AB401">
        <v>3</v>
      </c>
      <c r="AC401">
        <v>0</v>
      </c>
      <c r="AD401">
        <v>9</v>
      </c>
      <c r="AE401">
        <v>0</v>
      </c>
      <c r="AF401">
        <v>3</v>
      </c>
      <c r="AG401">
        <v>1</v>
      </c>
      <c r="AH401">
        <v>0</v>
      </c>
      <c r="AI401" t="s">
        <v>253</v>
      </c>
      <c r="AJ401">
        <v>33.187916000000001</v>
      </c>
      <c r="AK401" t="s">
        <v>281</v>
      </c>
      <c r="AL401">
        <v>-97.780101000000002</v>
      </c>
      <c r="AM401">
        <v>25</v>
      </c>
      <c r="AN401">
        <v>2500</v>
      </c>
      <c r="AO401" t="s">
        <v>118</v>
      </c>
      <c r="AP401">
        <v>90</v>
      </c>
      <c r="AQ401">
        <v>1</v>
      </c>
      <c r="AR401">
        <v>576</v>
      </c>
      <c r="AZ401">
        <v>1200</v>
      </c>
      <c r="BA401">
        <v>1</v>
      </c>
      <c r="BB401" t="str">
        <f t="shared" si="105"/>
        <v xml:space="preserve">N733KP  </v>
      </c>
      <c r="BC401">
        <v>1</v>
      </c>
      <c r="BE401">
        <v>0</v>
      </c>
      <c r="BF401">
        <v>0</v>
      </c>
      <c r="BG401">
        <v>0</v>
      </c>
      <c r="BH401">
        <v>2500</v>
      </c>
      <c r="BI401">
        <v>1</v>
      </c>
      <c r="BJ401">
        <v>1</v>
      </c>
      <c r="BK401">
        <v>0</v>
      </c>
      <c r="BL401">
        <v>0</v>
      </c>
      <c r="BO401">
        <v>0</v>
      </c>
      <c r="BP401">
        <v>0</v>
      </c>
      <c r="BW401" t="str">
        <f>"22:11:03.227"</f>
        <v>22:11:03.227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6</v>
      </c>
      <c r="CP401" t="s">
        <v>119</v>
      </c>
      <c r="CQ401">
        <v>364</v>
      </c>
      <c r="CR401">
        <v>0</v>
      </c>
      <c r="CW401">
        <v>1379258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"03/24/2022 22:11:05.754"</f>
        <v>03/24/2022 22:11:05.754</v>
      </c>
      <c r="C402" t="str">
        <f t="shared" si="103"/>
        <v>FFDFD3C0</v>
      </c>
      <c r="D402" t="s">
        <v>123</v>
      </c>
      <c r="E402">
        <v>8</v>
      </c>
      <c r="H402">
        <v>31</v>
      </c>
      <c r="I402" t="s">
        <v>124</v>
      </c>
      <c r="J402" t="s">
        <v>125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 t="shared" ref="S402:T405" si="121">"22:11:05.000"</f>
        <v>22:11:05.000</v>
      </c>
      <c r="T402" t="str">
        <f t="shared" si="121"/>
        <v>22:11:05.000</v>
      </c>
      <c r="U402" t="str">
        <f t="shared" si="117"/>
        <v>A9D71F</v>
      </c>
      <c r="V402">
        <v>0</v>
      </c>
      <c r="W402">
        <v>0</v>
      </c>
      <c r="X402">
        <v>2</v>
      </c>
      <c r="Z402">
        <v>1</v>
      </c>
      <c r="AA402">
        <v>8</v>
      </c>
      <c r="AB402">
        <v>3</v>
      </c>
      <c r="AC402">
        <v>0</v>
      </c>
      <c r="AD402">
        <v>9</v>
      </c>
      <c r="AE402">
        <v>0</v>
      </c>
      <c r="AF402">
        <v>3</v>
      </c>
      <c r="AG402">
        <v>1</v>
      </c>
      <c r="AH402">
        <v>0</v>
      </c>
      <c r="AI402" t="s">
        <v>251</v>
      </c>
      <c r="AJ402">
        <v>33.187938000000003</v>
      </c>
      <c r="AK402" t="s">
        <v>282</v>
      </c>
      <c r="AL402">
        <v>-97.779093000000003</v>
      </c>
      <c r="AM402">
        <v>25</v>
      </c>
      <c r="AN402">
        <v>2600</v>
      </c>
      <c r="AO402" t="s">
        <v>118</v>
      </c>
      <c r="AP402">
        <v>89</v>
      </c>
      <c r="AQ402">
        <v>3</v>
      </c>
      <c r="AR402">
        <v>768</v>
      </c>
      <c r="AZ402">
        <v>1200</v>
      </c>
      <c r="BA402">
        <v>1</v>
      </c>
      <c r="BB402" t="str">
        <f t="shared" si="105"/>
        <v xml:space="preserve">N733KP  </v>
      </c>
      <c r="BC402">
        <v>1</v>
      </c>
      <c r="BE402">
        <v>0</v>
      </c>
      <c r="BF402">
        <v>0</v>
      </c>
      <c r="BG402">
        <v>0</v>
      </c>
      <c r="BH402">
        <v>2525</v>
      </c>
      <c r="BI402">
        <v>1</v>
      </c>
      <c r="BJ402">
        <v>1</v>
      </c>
      <c r="BK402">
        <v>0</v>
      </c>
      <c r="BL402">
        <v>0</v>
      </c>
      <c r="BO402">
        <v>0</v>
      </c>
      <c r="BP402">
        <v>0</v>
      </c>
      <c r="BW402" t="str">
        <f>"22:11:05.549"</f>
        <v>22:11:05.549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6</v>
      </c>
      <c r="CP402" t="s">
        <v>119</v>
      </c>
      <c r="CQ402">
        <v>364</v>
      </c>
      <c r="CR402">
        <v>0</v>
      </c>
      <c r="CW402">
        <v>1379564</v>
      </c>
      <c r="CY402">
        <v>1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"03/24/2022 22:11:05.801"</f>
        <v>03/24/2022 22:11:05.801</v>
      </c>
      <c r="C403" t="str">
        <f t="shared" si="103"/>
        <v>FFDFD3C0</v>
      </c>
      <c r="D403" t="s">
        <v>120</v>
      </c>
      <c r="E403">
        <v>14</v>
      </c>
      <c r="F403">
        <v>1014</v>
      </c>
      <c r="G403" t="s">
        <v>121</v>
      </c>
      <c r="J403" t="s">
        <v>122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 t="shared" si="121"/>
        <v>22:11:05.000</v>
      </c>
      <c r="T403" t="str">
        <f t="shared" si="121"/>
        <v>22:11:05.000</v>
      </c>
      <c r="U403" t="str">
        <f t="shared" si="117"/>
        <v>A9D71F</v>
      </c>
      <c r="V403">
        <v>0</v>
      </c>
      <c r="W403">
        <v>0</v>
      </c>
      <c r="X403">
        <v>2</v>
      </c>
      <c r="Z403">
        <v>1</v>
      </c>
      <c r="AA403">
        <v>8</v>
      </c>
      <c r="AB403">
        <v>3</v>
      </c>
      <c r="AC403">
        <v>0</v>
      </c>
      <c r="AD403">
        <v>9</v>
      </c>
      <c r="AE403">
        <v>0</v>
      </c>
      <c r="AF403">
        <v>3</v>
      </c>
      <c r="AG403">
        <v>1</v>
      </c>
      <c r="AH403">
        <v>0</v>
      </c>
      <c r="AI403" t="s">
        <v>251</v>
      </c>
      <c r="AJ403">
        <v>33.187938000000003</v>
      </c>
      <c r="AK403" t="s">
        <v>282</v>
      </c>
      <c r="AL403">
        <v>-97.779093000000003</v>
      </c>
      <c r="AM403">
        <v>25</v>
      </c>
      <c r="AN403">
        <v>2600</v>
      </c>
      <c r="AO403" t="s">
        <v>118</v>
      </c>
      <c r="AP403">
        <v>89</v>
      </c>
      <c r="AQ403">
        <v>3</v>
      </c>
      <c r="AR403">
        <v>768</v>
      </c>
      <c r="AZ403">
        <v>1200</v>
      </c>
      <c r="BA403">
        <v>1</v>
      </c>
      <c r="BB403" t="str">
        <f t="shared" si="105"/>
        <v xml:space="preserve">N733KP  </v>
      </c>
      <c r="BC403">
        <v>1</v>
      </c>
      <c r="BE403">
        <v>0</v>
      </c>
      <c r="BF403">
        <v>0</v>
      </c>
      <c r="BG403">
        <v>0</v>
      </c>
      <c r="BH403">
        <v>2525</v>
      </c>
      <c r="BI403">
        <v>1</v>
      </c>
      <c r="BJ403">
        <v>1</v>
      </c>
      <c r="BK403">
        <v>0</v>
      </c>
      <c r="BL403">
        <v>0</v>
      </c>
      <c r="BO403">
        <v>0</v>
      </c>
      <c r="BP403">
        <v>0</v>
      </c>
      <c r="BW403" t="str">
        <f>"22:11:05.549"</f>
        <v>22:11:05.549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6</v>
      </c>
      <c r="CP403" t="s">
        <v>119</v>
      </c>
      <c r="CQ403">
        <v>364</v>
      </c>
      <c r="CR403">
        <v>0</v>
      </c>
      <c r="CW403">
        <v>1379564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"03/24/2022 22:11:05.801"</f>
        <v>03/24/2022 22:11:05.801</v>
      </c>
      <c r="C404" t="str">
        <f t="shared" si="103"/>
        <v>FFDFD3C0</v>
      </c>
      <c r="D404" t="s">
        <v>126</v>
      </c>
      <c r="E404">
        <v>3</v>
      </c>
      <c r="H404">
        <v>160</v>
      </c>
      <c r="I404" t="s">
        <v>121</v>
      </c>
      <c r="J404" t="s">
        <v>127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 t="shared" si="121"/>
        <v>22:11:05.000</v>
      </c>
      <c r="T404" t="str">
        <f t="shared" si="121"/>
        <v>22:11:05.000</v>
      </c>
      <c r="U404" t="str">
        <f t="shared" si="117"/>
        <v>A9D71F</v>
      </c>
      <c r="V404">
        <v>0</v>
      </c>
      <c r="W404">
        <v>0</v>
      </c>
      <c r="X404">
        <v>2</v>
      </c>
      <c r="Z404">
        <v>1</v>
      </c>
      <c r="AA404">
        <v>8</v>
      </c>
      <c r="AB404">
        <v>3</v>
      </c>
      <c r="AC404">
        <v>0</v>
      </c>
      <c r="AD404">
        <v>9</v>
      </c>
      <c r="AE404">
        <v>0</v>
      </c>
      <c r="AF404">
        <v>3</v>
      </c>
      <c r="AG404">
        <v>1</v>
      </c>
      <c r="AH404">
        <v>0</v>
      </c>
      <c r="AI404" t="s">
        <v>251</v>
      </c>
      <c r="AJ404">
        <v>33.187938000000003</v>
      </c>
      <c r="AK404" t="s">
        <v>282</v>
      </c>
      <c r="AL404">
        <v>-97.779093000000003</v>
      </c>
      <c r="AM404">
        <v>25</v>
      </c>
      <c r="AN404">
        <v>2600</v>
      </c>
      <c r="AO404" t="s">
        <v>118</v>
      </c>
      <c r="AP404">
        <v>89</v>
      </c>
      <c r="AQ404">
        <v>3</v>
      </c>
      <c r="AR404">
        <v>768</v>
      </c>
      <c r="AZ404">
        <v>1200</v>
      </c>
      <c r="BA404">
        <v>1</v>
      </c>
      <c r="BB404" t="str">
        <f t="shared" si="105"/>
        <v xml:space="preserve">N733KP  </v>
      </c>
      <c r="BC404">
        <v>1</v>
      </c>
      <c r="BE404">
        <v>0</v>
      </c>
      <c r="BF404">
        <v>0</v>
      </c>
      <c r="BG404">
        <v>0</v>
      </c>
      <c r="BH404">
        <v>2525</v>
      </c>
      <c r="BI404">
        <v>1</v>
      </c>
      <c r="BJ404">
        <v>1</v>
      </c>
      <c r="BK404">
        <v>0</v>
      </c>
      <c r="BL404">
        <v>0</v>
      </c>
      <c r="BO404">
        <v>0</v>
      </c>
      <c r="BP404">
        <v>0</v>
      </c>
      <c r="BW404" t="str">
        <f>"22:11:05.549"</f>
        <v>22:11:05.549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6</v>
      </c>
      <c r="CP404" t="s">
        <v>119</v>
      </c>
      <c r="CQ404">
        <v>364</v>
      </c>
      <c r="CR404">
        <v>0</v>
      </c>
      <c r="CW404">
        <v>1379564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"03/24/2022 22:11:05.801"</f>
        <v>03/24/2022 22:11:05.801</v>
      </c>
      <c r="C405" t="str">
        <f t="shared" si="103"/>
        <v>FFDFD3C0</v>
      </c>
      <c r="D405" t="s">
        <v>113</v>
      </c>
      <c r="E405">
        <v>24</v>
      </c>
      <c r="F405">
        <v>2024</v>
      </c>
      <c r="G405" t="s">
        <v>114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 t="shared" si="121"/>
        <v>22:11:05.000</v>
      </c>
      <c r="T405" t="str">
        <f t="shared" si="121"/>
        <v>22:11:05.000</v>
      </c>
      <c r="U405" t="str">
        <f t="shared" si="117"/>
        <v>A9D71F</v>
      </c>
      <c r="V405">
        <v>0</v>
      </c>
      <c r="W405">
        <v>0</v>
      </c>
      <c r="X405">
        <v>2</v>
      </c>
      <c r="Z405">
        <v>1</v>
      </c>
      <c r="AA405">
        <v>8</v>
      </c>
      <c r="AB405">
        <v>3</v>
      </c>
      <c r="AC405">
        <v>0</v>
      </c>
      <c r="AD405">
        <v>9</v>
      </c>
      <c r="AE405">
        <v>0</v>
      </c>
      <c r="AF405">
        <v>3</v>
      </c>
      <c r="AG405">
        <v>1</v>
      </c>
      <c r="AH405">
        <v>0</v>
      </c>
      <c r="AI405" t="s">
        <v>251</v>
      </c>
      <c r="AJ405">
        <v>33.187938000000003</v>
      </c>
      <c r="AK405" t="s">
        <v>282</v>
      </c>
      <c r="AL405">
        <v>-97.779093000000003</v>
      </c>
      <c r="AM405">
        <v>25</v>
      </c>
      <c r="AN405">
        <v>2600</v>
      </c>
      <c r="AO405" t="s">
        <v>118</v>
      </c>
      <c r="AP405">
        <v>89</v>
      </c>
      <c r="AQ405">
        <v>3</v>
      </c>
      <c r="AR405">
        <v>768</v>
      </c>
      <c r="AZ405">
        <v>1200</v>
      </c>
      <c r="BA405">
        <v>1</v>
      </c>
      <c r="BB405" t="str">
        <f t="shared" si="105"/>
        <v xml:space="preserve">N733KP  </v>
      </c>
      <c r="BC405">
        <v>1</v>
      </c>
      <c r="BE405">
        <v>0</v>
      </c>
      <c r="BF405">
        <v>0</v>
      </c>
      <c r="BG405">
        <v>0</v>
      </c>
      <c r="BH405">
        <v>2525</v>
      </c>
      <c r="BI405">
        <v>1</v>
      </c>
      <c r="BJ405">
        <v>1</v>
      </c>
      <c r="BK405">
        <v>0</v>
      </c>
      <c r="BL405">
        <v>0</v>
      </c>
      <c r="BO405">
        <v>0</v>
      </c>
      <c r="BP405">
        <v>0</v>
      </c>
      <c r="BW405" t="str">
        <f>"22:11:05.549"</f>
        <v>22:11:05.549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6</v>
      </c>
      <c r="CP405" t="s">
        <v>119</v>
      </c>
      <c r="CQ405">
        <v>364</v>
      </c>
      <c r="CR405">
        <v>0</v>
      </c>
      <c r="CW405">
        <v>1379564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"03/24/2022 22:11:06.803"</f>
        <v>03/24/2022 22:11:06.803</v>
      </c>
      <c r="C406" t="str">
        <f t="shared" ref="C406:C469" si="122">"FFDFD3C0"</f>
        <v>FFDFD3C0</v>
      </c>
      <c r="D406" t="s">
        <v>126</v>
      </c>
      <c r="E406">
        <v>3</v>
      </c>
      <c r="H406">
        <v>160</v>
      </c>
      <c r="I406" t="s">
        <v>121</v>
      </c>
      <c r="J406" t="s">
        <v>127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 t="shared" ref="S406:T409" si="123">"22:11:06.000"</f>
        <v>22:11:06.000</v>
      </c>
      <c r="T406" t="str">
        <f t="shared" si="123"/>
        <v>22:11:06.000</v>
      </c>
      <c r="U406" t="str">
        <f t="shared" si="117"/>
        <v>A9D71F</v>
      </c>
      <c r="V406">
        <v>0</v>
      </c>
      <c r="W406">
        <v>0</v>
      </c>
      <c r="X406">
        <v>2</v>
      </c>
      <c r="Z406">
        <v>1</v>
      </c>
      <c r="AA406">
        <v>8</v>
      </c>
      <c r="AB406">
        <v>3</v>
      </c>
      <c r="AC406">
        <v>0</v>
      </c>
      <c r="AD406">
        <v>9</v>
      </c>
      <c r="AE406">
        <v>0</v>
      </c>
      <c r="AF406">
        <v>3</v>
      </c>
      <c r="AG406">
        <v>1</v>
      </c>
      <c r="AH406">
        <v>0</v>
      </c>
      <c r="AI406" t="s">
        <v>283</v>
      </c>
      <c r="AJ406">
        <v>33.187981000000001</v>
      </c>
      <c r="AK406" t="s">
        <v>284</v>
      </c>
      <c r="AL406">
        <v>-97.778599</v>
      </c>
      <c r="AM406">
        <v>25</v>
      </c>
      <c r="AN406">
        <v>2600</v>
      </c>
      <c r="AO406" t="s">
        <v>118</v>
      </c>
      <c r="AP406">
        <v>88</v>
      </c>
      <c r="AQ406">
        <v>3</v>
      </c>
      <c r="AR406">
        <v>640</v>
      </c>
      <c r="AZ406">
        <v>1200</v>
      </c>
      <c r="BA406">
        <v>1</v>
      </c>
      <c r="BB406" t="str">
        <f t="shared" ref="BB406:BB469" si="124">"N733KP  "</f>
        <v xml:space="preserve">N733KP  </v>
      </c>
      <c r="BC406">
        <v>1</v>
      </c>
      <c r="BE406">
        <v>0</v>
      </c>
      <c r="BF406">
        <v>0</v>
      </c>
      <c r="BG406">
        <v>0</v>
      </c>
      <c r="BH406">
        <v>2525</v>
      </c>
      <c r="BI406">
        <v>1</v>
      </c>
      <c r="BJ406">
        <v>1</v>
      </c>
      <c r="BK406">
        <v>0</v>
      </c>
      <c r="BL406">
        <v>0</v>
      </c>
      <c r="BO406">
        <v>0</v>
      </c>
      <c r="BP406">
        <v>0</v>
      </c>
      <c r="BW406" t="str">
        <f>"22:11:06.569"</f>
        <v>22:11:06.569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6</v>
      </c>
      <c r="CP406" t="s">
        <v>119</v>
      </c>
      <c r="CQ406">
        <v>364</v>
      </c>
      <c r="CR406">
        <v>0</v>
      </c>
      <c r="CW406">
        <v>1379701</v>
      </c>
      <c r="CY406">
        <v>1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"03/24/2022 22:11:06.803"</f>
        <v>03/24/2022 22:11:06.803</v>
      </c>
      <c r="C407" t="str">
        <f t="shared" si="122"/>
        <v>FFDFD3C0</v>
      </c>
      <c r="D407" t="s">
        <v>120</v>
      </c>
      <c r="E407">
        <v>14</v>
      </c>
      <c r="F407">
        <v>1014</v>
      </c>
      <c r="G407" t="s">
        <v>121</v>
      </c>
      <c r="J407" t="s">
        <v>122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 t="shared" si="123"/>
        <v>22:11:06.000</v>
      </c>
      <c r="T407" t="str">
        <f t="shared" si="123"/>
        <v>22:11:06.000</v>
      </c>
      <c r="U407" t="str">
        <f t="shared" si="117"/>
        <v>A9D71F</v>
      </c>
      <c r="V407">
        <v>0</v>
      </c>
      <c r="W407">
        <v>0</v>
      </c>
      <c r="X407">
        <v>2</v>
      </c>
      <c r="Z407">
        <v>1</v>
      </c>
      <c r="AA407">
        <v>8</v>
      </c>
      <c r="AB407">
        <v>3</v>
      </c>
      <c r="AC407">
        <v>0</v>
      </c>
      <c r="AD407">
        <v>9</v>
      </c>
      <c r="AE407">
        <v>0</v>
      </c>
      <c r="AF407">
        <v>3</v>
      </c>
      <c r="AG407">
        <v>1</v>
      </c>
      <c r="AH407">
        <v>0</v>
      </c>
      <c r="AI407" t="s">
        <v>283</v>
      </c>
      <c r="AJ407">
        <v>33.187981000000001</v>
      </c>
      <c r="AK407" t="s">
        <v>284</v>
      </c>
      <c r="AL407">
        <v>-97.778599</v>
      </c>
      <c r="AM407">
        <v>25</v>
      </c>
      <c r="AN407">
        <v>2600</v>
      </c>
      <c r="AO407" t="s">
        <v>118</v>
      </c>
      <c r="AP407">
        <v>88</v>
      </c>
      <c r="AQ407">
        <v>3</v>
      </c>
      <c r="AR407">
        <v>640</v>
      </c>
      <c r="AZ407">
        <v>1200</v>
      </c>
      <c r="BA407">
        <v>1</v>
      </c>
      <c r="BB407" t="str">
        <f t="shared" si="124"/>
        <v xml:space="preserve">N733KP  </v>
      </c>
      <c r="BC407">
        <v>1</v>
      </c>
      <c r="BE407">
        <v>0</v>
      </c>
      <c r="BF407">
        <v>0</v>
      </c>
      <c r="BG407">
        <v>0</v>
      </c>
      <c r="BH407">
        <v>2525</v>
      </c>
      <c r="BI407">
        <v>1</v>
      </c>
      <c r="BJ407">
        <v>1</v>
      </c>
      <c r="BK407">
        <v>0</v>
      </c>
      <c r="BL407">
        <v>0</v>
      </c>
      <c r="BO407">
        <v>0</v>
      </c>
      <c r="BP407">
        <v>0</v>
      </c>
      <c r="BW407" t="str">
        <f>"22:11:06.569"</f>
        <v>22:11:06.569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6</v>
      </c>
      <c r="CP407" t="s">
        <v>119</v>
      </c>
      <c r="CQ407">
        <v>364</v>
      </c>
      <c r="CR407">
        <v>0</v>
      </c>
      <c r="CW407">
        <v>1379701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"03/24/2022 22:11:06.803"</f>
        <v>03/24/2022 22:11:06.803</v>
      </c>
      <c r="C408" t="str">
        <f t="shared" si="122"/>
        <v>FFDFD3C0</v>
      </c>
      <c r="D408" t="s">
        <v>113</v>
      </c>
      <c r="E408">
        <v>24</v>
      </c>
      <c r="F408">
        <v>2024</v>
      </c>
      <c r="G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 t="shared" si="123"/>
        <v>22:11:06.000</v>
      </c>
      <c r="T408" t="str">
        <f t="shared" si="123"/>
        <v>22:11:06.000</v>
      </c>
      <c r="U408" t="str">
        <f t="shared" si="117"/>
        <v>A9D71F</v>
      </c>
      <c r="V408">
        <v>0</v>
      </c>
      <c r="W408">
        <v>0</v>
      </c>
      <c r="X408">
        <v>2</v>
      </c>
      <c r="Z408">
        <v>1</v>
      </c>
      <c r="AA408">
        <v>8</v>
      </c>
      <c r="AB408">
        <v>3</v>
      </c>
      <c r="AC408">
        <v>0</v>
      </c>
      <c r="AD408">
        <v>9</v>
      </c>
      <c r="AE408">
        <v>0</v>
      </c>
      <c r="AF408">
        <v>3</v>
      </c>
      <c r="AG408">
        <v>1</v>
      </c>
      <c r="AH408">
        <v>0</v>
      </c>
      <c r="AI408" t="s">
        <v>283</v>
      </c>
      <c r="AJ408">
        <v>33.187981000000001</v>
      </c>
      <c r="AK408" t="s">
        <v>284</v>
      </c>
      <c r="AL408">
        <v>-97.778599</v>
      </c>
      <c r="AM408">
        <v>25</v>
      </c>
      <c r="AN408">
        <v>2600</v>
      </c>
      <c r="AO408" t="s">
        <v>118</v>
      </c>
      <c r="AP408">
        <v>88</v>
      </c>
      <c r="AQ408">
        <v>3</v>
      </c>
      <c r="AR408">
        <v>640</v>
      </c>
      <c r="AZ408">
        <v>1200</v>
      </c>
      <c r="BA408">
        <v>1</v>
      </c>
      <c r="BB408" t="str">
        <f t="shared" si="124"/>
        <v xml:space="preserve">N733KP  </v>
      </c>
      <c r="BC408">
        <v>1</v>
      </c>
      <c r="BE408">
        <v>0</v>
      </c>
      <c r="BF408">
        <v>0</v>
      </c>
      <c r="BG408">
        <v>0</v>
      </c>
      <c r="BH408">
        <v>2525</v>
      </c>
      <c r="BI408">
        <v>1</v>
      </c>
      <c r="BJ408">
        <v>1</v>
      </c>
      <c r="BK408">
        <v>0</v>
      </c>
      <c r="BL408">
        <v>0</v>
      </c>
      <c r="BO408">
        <v>0</v>
      </c>
      <c r="BP408">
        <v>0</v>
      </c>
      <c r="BW408" t="str">
        <f>"22:11:06.569"</f>
        <v>22:11:06.569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6</v>
      </c>
      <c r="CP408" t="s">
        <v>119</v>
      </c>
      <c r="CQ408">
        <v>364</v>
      </c>
      <c r="CR408">
        <v>0</v>
      </c>
      <c r="CW408">
        <v>1379701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"03/24/2022 22:11:06.819"</f>
        <v>03/24/2022 22:11:06.819</v>
      </c>
      <c r="C409" t="str">
        <f t="shared" si="122"/>
        <v>FFDFD3C0</v>
      </c>
      <c r="D409" t="s">
        <v>123</v>
      </c>
      <c r="E409">
        <v>8</v>
      </c>
      <c r="H409">
        <v>31</v>
      </c>
      <c r="I409" t="s">
        <v>124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 t="shared" si="123"/>
        <v>22:11:06.000</v>
      </c>
      <c r="T409" t="str">
        <f t="shared" si="123"/>
        <v>22:11:06.000</v>
      </c>
      <c r="U409" t="str">
        <f t="shared" si="117"/>
        <v>A9D71F</v>
      </c>
      <c r="V409">
        <v>0</v>
      </c>
      <c r="W409">
        <v>0</v>
      </c>
      <c r="X409">
        <v>2</v>
      </c>
      <c r="Z409">
        <v>1</v>
      </c>
      <c r="AA409">
        <v>8</v>
      </c>
      <c r="AB409">
        <v>3</v>
      </c>
      <c r="AC409">
        <v>0</v>
      </c>
      <c r="AD409">
        <v>9</v>
      </c>
      <c r="AE409">
        <v>0</v>
      </c>
      <c r="AF409">
        <v>3</v>
      </c>
      <c r="AG409">
        <v>1</v>
      </c>
      <c r="AH409">
        <v>0</v>
      </c>
      <c r="AI409" t="s">
        <v>283</v>
      </c>
      <c r="AJ409">
        <v>33.187981000000001</v>
      </c>
      <c r="AK409" t="s">
        <v>284</v>
      </c>
      <c r="AL409">
        <v>-97.778599</v>
      </c>
      <c r="AM409">
        <v>25</v>
      </c>
      <c r="AN409">
        <v>2600</v>
      </c>
      <c r="AO409" t="s">
        <v>118</v>
      </c>
      <c r="AP409">
        <v>88</v>
      </c>
      <c r="AQ409">
        <v>3</v>
      </c>
      <c r="AR409">
        <v>640</v>
      </c>
      <c r="AZ409">
        <v>1200</v>
      </c>
      <c r="BA409">
        <v>1</v>
      </c>
      <c r="BB409" t="str">
        <f t="shared" si="124"/>
        <v xml:space="preserve">N733KP  </v>
      </c>
      <c r="BC409">
        <v>1</v>
      </c>
      <c r="BE409">
        <v>0</v>
      </c>
      <c r="BF409">
        <v>0</v>
      </c>
      <c r="BG409">
        <v>0</v>
      </c>
      <c r="BH409">
        <v>2525</v>
      </c>
      <c r="BI409">
        <v>1</v>
      </c>
      <c r="BJ409">
        <v>1</v>
      </c>
      <c r="BK409">
        <v>0</v>
      </c>
      <c r="BL409">
        <v>0</v>
      </c>
      <c r="BO409">
        <v>0</v>
      </c>
      <c r="BP409">
        <v>0</v>
      </c>
      <c r="BW409" t="str">
        <f>"22:11:06.569"</f>
        <v>22:11:06.569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6</v>
      </c>
      <c r="CP409" t="s">
        <v>119</v>
      </c>
      <c r="CQ409">
        <v>364</v>
      </c>
      <c r="CR409">
        <v>0</v>
      </c>
      <c r="CW409">
        <v>1379701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"03/24/2022 22:11:07.804"</f>
        <v>03/24/2022 22:11:07.804</v>
      </c>
      <c r="C410" t="str">
        <f t="shared" si="122"/>
        <v>FFDFD3C0</v>
      </c>
      <c r="D410" t="s">
        <v>126</v>
      </c>
      <c r="E410">
        <v>3</v>
      </c>
      <c r="H410">
        <v>160</v>
      </c>
      <c r="I410" t="s">
        <v>121</v>
      </c>
      <c r="J410" t="s">
        <v>127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 t="shared" ref="S410:T413" si="125">"22:11:07.000"</f>
        <v>22:11:07.000</v>
      </c>
      <c r="T410" t="str">
        <f t="shared" si="125"/>
        <v>22:11:07.000</v>
      </c>
      <c r="U410" t="str">
        <f t="shared" si="117"/>
        <v>A9D71F</v>
      </c>
      <c r="V410">
        <v>0</v>
      </c>
      <c r="W410">
        <v>0</v>
      </c>
      <c r="X410">
        <v>2</v>
      </c>
      <c r="Z410">
        <v>1</v>
      </c>
      <c r="AA410">
        <v>8</v>
      </c>
      <c r="AB410">
        <v>3</v>
      </c>
      <c r="AC410">
        <v>0</v>
      </c>
      <c r="AD410">
        <v>9</v>
      </c>
      <c r="AE410">
        <v>0</v>
      </c>
      <c r="AF410">
        <v>3</v>
      </c>
      <c r="AG410">
        <v>1</v>
      </c>
      <c r="AH410">
        <v>0</v>
      </c>
      <c r="AI410" t="s">
        <v>283</v>
      </c>
      <c r="AJ410">
        <v>33.187981000000001</v>
      </c>
      <c r="AK410" t="s">
        <v>285</v>
      </c>
      <c r="AL410">
        <v>-97.778126999999998</v>
      </c>
      <c r="AM410">
        <v>25</v>
      </c>
      <c r="AN410">
        <v>2600</v>
      </c>
      <c r="AO410" t="s">
        <v>118</v>
      </c>
      <c r="AP410">
        <v>88</v>
      </c>
      <c r="AQ410">
        <v>4</v>
      </c>
      <c r="AR410">
        <v>576</v>
      </c>
      <c r="AZ410">
        <v>1200</v>
      </c>
      <c r="BA410">
        <v>1</v>
      </c>
      <c r="BB410" t="str">
        <f t="shared" si="124"/>
        <v xml:space="preserve">N733KP  </v>
      </c>
      <c r="BC410">
        <v>1</v>
      </c>
      <c r="BE410">
        <v>0</v>
      </c>
      <c r="BF410">
        <v>0</v>
      </c>
      <c r="BG410">
        <v>0</v>
      </c>
      <c r="BH410">
        <v>2550</v>
      </c>
      <c r="BI410">
        <v>1</v>
      </c>
      <c r="BJ410">
        <v>1</v>
      </c>
      <c r="BK410">
        <v>0</v>
      </c>
      <c r="BL410">
        <v>0</v>
      </c>
      <c r="BO410">
        <v>0</v>
      </c>
      <c r="BP410">
        <v>0</v>
      </c>
      <c r="BW410" t="str">
        <f>"22:11:07.484"</f>
        <v>22:11:07.484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364</v>
      </c>
      <c r="CR410">
        <v>0</v>
      </c>
      <c r="CW410">
        <v>1379822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"03/24/2022 22:11:07.804"</f>
        <v>03/24/2022 22:11:07.804</v>
      </c>
      <c r="C411" t="str">
        <f t="shared" si="122"/>
        <v>FFDFD3C0</v>
      </c>
      <c r="D411" t="s">
        <v>120</v>
      </c>
      <c r="E411">
        <v>14</v>
      </c>
      <c r="F411">
        <v>1014</v>
      </c>
      <c r="G411" t="s">
        <v>121</v>
      </c>
      <c r="J411" t="s">
        <v>122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 t="shared" si="125"/>
        <v>22:11:07.000</v>
      </c>
      <c r="T411" t="str">
        <f t="shared" si="125"/>
        <v>22:11:07.000</v>
      </c>
      <c r="U411" t="str">
        <f t="shared" si="117"/>
        <v>A9D71F</v>
      </c>
      <c r="V411">
        <v>0</v>
      </c>
      <c r="W411">
        <v>0</v>
      </c>
      <c r="X411">
        <v>2</v>
      </c>
      <c r="Z411">
        <v>1</v>
      </c>
      <c r="AA411">
        <v>8</v>
      </c>
      <c r="AB411">
        <v>3</v>
      </c>
      <c r="AC411">
        <v>0</v>
      </c>
      <c r="AD411">
        <v>9</v>
      </c>
      <c r="AE411">
        <v>0</v>
      </c>
      <c r="AF411">
        <v>3</v>
      </c>
      <c r="AG411">
        <v>1</v>
      </c>
      <c r="AH411">
        <v>0</v>
      </c>
      <c r="AI411" t="s">
        <v>283</v>
      </c>
      <c r="AJ411">
        <v>33.187981000000001</v>
      </c>
      <c r="AK411" t="s">
        <v>285</v>
      </c>
      <c r="AL411">
        <v>-97.778126999999998</v>
      </c>
      <c r="AM411">
        <v>25</v>
      </c>
      <c r="AN411">
        <v>2600</v>
      </c>
      <c r="AO411" t="s">
        <v>118</v>
      </c>
      <c r="AP411">
        <v>88</v>
      </c>
      <c r="AQ411">
        <v>4</v>
      </c>
      <c r="AR411">
        <v>576</v>
      </c>
      <c r="AZ411">
        <v>1200</v>
      </c>
      <c r="BA411">
        <v>1</v>
      </c>
      <c r="BB411" t="str">
        <f t="shared" si="124"/>
        <v xml:space="preserve">N733KP  </v>
      </c>
      <c r="BC411">
        <v>1</v>
      </c>
      <c r="BE411">
        <v>0</v>
      </c>
      <c r="BF411">
        <v>0</v>
      </c>
      <c r="BG411">
        <v>0</v>
      </c>
      <c r="BH411">
        <v>2550</v>
      </c>
      <c r="BI411">
        <v>1</v>
      </c>
      <c r="BJ411">
        <v>1</v>
      </c>
      <c r="BK411">
        <v>0</v>
      </c>
      <c r="BL411">
        <v>0</v>
      </c>
      <c r="BO411">
        <v>0</v>
      </c>
      <c r="BP411">
        <v>0</v>
      </c>
      <c r="BW411" t="str">
        <f>"22:11:07.484"</f>
        <v>22:11:07.484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364</v>
      </c>
      <c r="CR411">
        <v>0</v>
      </c>
      <c r="CW411">
        <v>1379822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"03/24/2022 22:11:07.804"</f>
        <v>03/24/2022 22:11:07.804</v>
      </c>
      <c r="C412" t="str">
        <f t="shared" si="122"/>
        <v>FFDFD3C0</v>
      </c>
      <c r="D412" t="s">
        <v>113</v>
      </c>
      <c r="E412">
        <v>24</v>
      </c>
      <c r="F412">
        <v>2024</v>
      </c>
      <c r="G412" t="s">
        <v>114</v>
      </c>
      <c r="J412" t="s">
        <v>115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 t="shared" si="125"/>
        <v>22:11:07.000</v>
      </c>
      <c r="T412" t="str">
        <f t="shared" si="125"/>
        <v>22:11:07.000</v>
      </c>
      <c r="U412" t="str">
        <f t="shared" si="117"/>
        <v>A9D71F</v>
      </c>
      <c r="V412">
        <v>0</v>
      </c>
      <c r="W412">
        <v>0</v>
      </c>
      <c r="X412">
        <v>2</v>
      </c>
      <c r="Z412">
        <v>1</v>
      </c>
      <c r="AA412">
        <v>8</v>
      </c>
      <c r="AB412">
        <v>3</v>
      </c>
      <c r="AC412">
        <v>0</v>
      </c>
      <c r="AD412">
        <v>9</v>
      </c>
      <c r="AE412">
        <v>0</v>
      </c>
      <c r="AF412">
        <v>3</v>
      </c>
      <c r="AG412">
        <v>1</v>
      </c>
      <c r="AH412">
        <v>0</v>
      </c>
      <c r="AI412" t="s">
        <v>283</v>
      </c>
      <c r="AJ412">
        <v>33.187981000000001</v>
      </c>
      <c r="AK412" t="s">
        <v>285</v>
      </c>
      <c r="AL412">
        <v>-97.778126999999998</v>
      </c>
      <c r="AM412">
        <v>25</v>
      </c>
      <c r="AN412">
        <v>2600</v>
      </c>
      <c r="AO412" t="s">
        <v>118</v>
      </c>
      <c r="AP412">
        <v>88</v>
      </c>
      <c r="AQ412">
        <v>4</v>
      </c>
      <c r="AR412">
        <v>576</v>
      </c>
      <c r="AZ412">
        <v>1200</v>
      </c>
      <c r="BA412">
        <v>1</v>
      </c>
      <c r="BB412" t="str">
        <f t="shared" si="124"/>
        <v xml:space="preserve">N733KP  </v>
      </c>
      <c r="BC412">
        <v>1</v>
      </c>
      <c r="BE412">
        <v>0</v>
      </c>
      <c r="BF412">
        <v>0</v>
      </c>
      <c r="BG412">
        <v>0</v>
      </c>
      <c r="BH412">
        <v>2550</v>
      </c>
      <c r="BI412">
        <v>1</v>
      </c>
      <c r="BJ412">
        <v>1</v>
      </c>
      <c r="BK412">
        <v>0</v>
      </c>
      <c r="BL412">
        <v>0</v>
      </c>
      <c r="BO412">
        <v>0</v>
      </c>
      <c r="BP412">
        <v>0</v>
      </c>
      <c r="BW412" t="str">
        <f>"22:11:07.484"</f>
        <v>22:11:07.484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364</v>
      </c>
      <c r="CR412">
        <v>0</v>
      </c>
      <c r="CW412">
        <v>1379822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"03/24/2022 22:11:07.866"</f>
        <v>03/24/2022 22:11:07.866</v>
      </c>
      <c r="C413" t="str">
        <f t="shared" si="122"/>
        <v>FFDFD3C0</v>
      </c>
      <c r="D413" t="s">
        <v>123</v>
      </c>
      <c r="E413">
        <v>8</v>
      </c>
      <c r="H413">
        <v>31</v>
      </c>
      <c r="I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 t="shared" si="125"/>
        <v>22:11:07.000</v>
      </c>
      <c r="T413" t="str">
        <f t="shared" si="125"/>
        <v>22:11:07.000</v>
      </c>
      <c r="U413" t="str">
        <f t="shared" si="117"/>
        <v>A9D71F</v>
      </c>
      <c r="V413">
        <v>0</v>
      </c>
      <c r="W413">
        <v>0</v>
      </c>
      <c r="X413">
        <v>2</v>
      </c>
      <c r="Z413">
        <v>1</v>
      </c>
      <c r="AA413">
        <v>8</v>
      </c>
      <c r="AB413">
        <v>3</v>
      </c>
      <c r="AC413">
        <v>0</v>
      </c>
      <c r="AD413">
        <v>9</v>
      </c>
      <c r="AE413">
        <v>0</v>
      </c>
      <c r="AF413">
        <v>3</v>
      </c>
      <c r="AG413">
        <v>1</v>
      </c>
      <c r="AH413">
        <v>0</v>
      </c>
      <c r="AI413" t="s">
        <v>283</v>
      </c>
      <c r="AJ413">
        <v>33.187981000000001</v>
      </c>
      <c r="AK413" t="s">
        <v>285</v>
      </c>
      <c r="AL413">
        <v>-97.778126999999998</v>
      </c>
      <c r="AM413">
        <v>25</v>
      </c>
      <c r="AN413">
        <v>2600</v>
      </c>
      <c r="AO413" t="s">
        <v>118</v>
      </c>
      <c r="AP413">
        <v>88</v>
      </c>
      <c r="AQ413">
        <v>4</v>
      </c>
      <c r="AR413">
        <v>576</v>
      </c>
      <c r="AZ413">
        <v>1200</v>
      </c>
      <c r="BA413">
        <v>1</v>
      </c>
      <c r="BB413" t="str">
        <f t="shared" si="124"/>
        <v xml:space="preserve">N733KP  </v>
      </c>
      <c r="BC413">
        <v>1</v>
      </c>
      <c r="BE413">
        <v>0</v>
      </c>
      <c r="BF413">
        <v>0</v>
      </c>
      <c r="BG413">
        <v>0</v>
      </c>
      <c r="BH413">
        <v>2550</v>
      </c>
      <c r="BI413">
        <v>1</v>
      </c>
      <c r="BJ413">
        <v>1</v>
      </c>
      <c r="BK413">
        <v>0</v>
      </c>
      <c r="BL413">
        <v>0</v>
      </c>
      <c r="BO413">
        <v>0</v>
      </c>
      <c r="BP413">
        <v>0</v>
      </c>
      <c r="BW413" t="str">
        <f>"22:11:07.484"</f>
        <v>22:11:07.484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364</v>
      </c>
      <c r="CR413">
        <v>0</v>
      </c>
      <c r="CW413">
        <v>1379822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"03/24/2022 22:11:08.933"</f>
        <v>03/24/2022 22:11:08.933</v>
      </c>
      <c r="C414" t="str">
        <f t="shared" si="122"/>
        <v>FFDFD3C0</v>
      </c>
      <c r="D414" t="s">
        <v>126</v>
      </c>
      <c r="E414">
        <v>3</v>
      </c>
      <c r="H414">
        <v>160</v>
      </c>
      <c r="I414" t="s">
        <v>121</v>
      </c>
      <c r="J414" t="s">
        <v>127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 t="shared" ref="S414:T417" si="126">"22:11:08.000"</f>
        <v>22:11:08.000</v>
      </c>
      <c r="T414" t="str">
        <f t="shared" si="126"/>
        <v>22:11:08.000</v>
      </c>
      <c r="U414" t="str">
        <f t="shared" si="117"/>
        <v>A9D71F</v>
      </c>
      <c r="V414">
        <v>0</v>
      </c>
      <c r="W414">
        <v>0</v>
      </c>
      <c r="X414">
        <v>2</v>
      </c>
      <c r="Z414">
        <v>1</v>
      </c>
      <c r="AA414">
        <v>8</v>
      </c>
      <c r="AB414">
        <v>3</v>
      </c>
      <c r="AC414">
        <v>0</v>
      </c>
      <c r="AD414">
        <v>9</v>
      </c>
      <c r="AE414">
        <v>0</v>
      </c>
      <c r="AF414">
        <v>3</v>
      </c>
      <c r="AG414">
        <v>1</v>
      </c>
      <c r="AH414">
        <v>0</v>
      </c>
      <c r="AI414" t="s">
        <v>245</v>
      </c>
      <c r="AJ414">
        <v>33.188023999999999</v>
      </c>
      <c r="AK414" t="s">
        <v>286</v>
      </c>
      <c r="AL414">
        <v>-97.777634000000006</v>
      </c>
      <c r="AM414">
        <v>25</v>
      </c>
      <c r="AN414">
        <v>2600</v>
      </c>
      <c r="AO414" t="s">
        <v>118</v>
      </c>
      <c r="AP414">
        <v>89</v>
      </c>
      <c r="AQ414">
        <v>2</v>
      </c>
      <c r="AR414">
        <v>448</v>
      </c>
      <c r="AZ414">
        <v>1200</v>
      </c>
      <c r="BA414">
        <v>1</v>
      </c>
      <c r="BB414" t="str">
        <f t="shared" si="124"/>
        <v xml:space="preserve">N733KP  </v>
      </c>
      <c r="BC414">
        <v>1</v>
      </c>
      <c r="BE414">
        <v>0</v>
      </c>
      <c r="BF414">
        <v>0</v>
      </c>
      <c r="BG414">
        <v>0</v>
      </c>
      <c r="BH414">
        <v>2550</v>
      </c>
      <c r="BI414">
        <v>1</v>
      </c>
      <c r="BJ414">
        <v>1</v>
      </c>
      <c r="BK414">
        <v>0</v>
      </c>
      <c r="BL414">
        <v>0</v>
      </c>
      <c r="BO414">
        <v>0</v>
      </c>
      <c r="BP414">
        <v>0</v>
      </c>
      <c r="BW414" t="str">
        <f>"22:11:08.704"</f>
        <v>22:11:08.704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364</v>
      </c>
      <c r="CR414">
        <v>0</v>
      </c>
      <c r="CW414">
        <v>1379972</v>
      </c>
      <c r="CY414">
        <v>1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"03/24/2022 22:11:08.933"</f>
        <v>03/24/2022 22:11:08.933</v>
      </c>
      <c r="C415" t="str">
        <f t="shared" si="122"/>
        <v>FFDFD3C0</v>
      </c>
      <c r="D415" t="s">
        <v>120</v>
      </c>
      <c r="E415">
        <v>14</v>
      </c>
      <c r="F415">
        <v>1014</v>
      </c>
      <c r="G415" t="s">
        <v>121</v>
      </c>
      <c r="J415" t="s">
        <v>122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 t="shared" si="126"/>
        <v>22:11:08.000</v>
      </c>
      <c r="T415" t="str">
        <f t="shared" si="126"/>
        <v>22:11:08.000</v>
      </c>
      <c r="U415" t="str">
        <f t="shared" si="117"/>
        <v>A9D71F</v>
      </c>
      <c r="V415">
        <v>0</v>
      </c>
      <c r="W415">
        <v>0</v>
      </c>
      <c r="X415">
        <v>2</v>
      </c>
      <c r="Z415">
        <v>1</v>
      </c>
      <c r="AA415">
        <v>8</v>
      </c>
      <c r="AB415">
        <v>3</v>
      </c>
      <c r="AC415">
        <v>0</v>
      </c>
      <c r="AD415">
        <v>9</v>
      </c>
      <c r="AE415">
        <v>0</v>
      </c>
      <c r="AF415">
        <v>3</v>
      </c>
      <c r="AG415">
        <v>1</v>
      </c>
      <c r="AH415">
        <v>0</v>
      </c>
      <c r="AI415" t="s">
        <v>245</v>
      </c>
      <c r="AJ415">
        <v>33.188023999999999</v>
      </c>
      <c r="AK415" t="s">
        <v>286</v>
      </c>
      <c r="AL415">
        <v>-97.777634000000006</v>
      </c>
      <c r="AM415">
        <v>25</v>
      </c>
      <c r="AN415">
        <v>2600</v>
      </c>
      <c r="AO415" t="s">
        <v>118</v>
      </c>
      <c r="AP415">
        <v>89</v>
      </c>
      <c r="AQ415">
        <v>2</v>
      </c>
      <c r="AR415">
        <v>448</v>
      </c>
      <c r="AZ415">
        <v>1200</v>
      </c>
      <c r="BA415">
        <v>1</v>
      </c>
      <c r="BB415" t="str">
        <f t="shared" si="124"/>
        <v xml:space="preserve">N733KP  </v>
      </c>
      <c r="BC415">
        <v>1</v>
      </c>
      <c r="BE415">
        <v>0</v>
      </c>
      <c r="BF415">
        <v>0</v>
      </c>
      <c r="BG415">
        <v>0</v>
      </c>
      <c r="BH415">
        <v>2550</v>
      </c>
      <c r="BI415">
        <v>1</v>
      </c>
      <c r="BJ415">
        <v>1</v>
      </c>
      <c r="BK415">
        <v>0</v>
      </c>
      <c r="BL415">
        <v>0</v>
      </c>
      <c r="BO415">
        <v>0</v>
      </c>
      <c r="BP415">
        <v>0</v>
      </c>
      <c r="BW415" t="str">
        <f>"22:11:08.704"</f>
        <v>22:11:08.704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364</v>
      </c>
      <c r="CR415">
        <v>0</v>
      </c>
      <c r="CW415">
        <v>1379972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"03/24/2022 22:11:08.964"</f>
        <v>03/24/2022 22:11:08.964</v>
      </c>
      <c r="C416" t="str">
        <f t="shared" si="122"/>
        <v>FFDFD3C0</v>
      </c>
      <c r="D416" t="s">
        <v>113</v>
      </c>
      <c r="E416">
        <v>24</v>
      </c>
      <c r="F416">
        <v>2024</v>
      </c>
      <c r="G416" t="s">
        <v>114</v>
      </c>
      <c r="J416" t="s">
        <v>115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 t="shared" si="126"/>
        <v>22:11:08.000</v>
      </c>
      <c r="T416" t="str">
        <f t="shared" si="126"/>
        <v>22:11:08.000</v>
      </c>
      <c r="U416" t="str">
        <f t="shared" si="117"/>
        <v>A9D71F</v>
      </c>
      <c r="V416">
        <v>0</v>
      </c>
      <c r="W416">
        <v>0</v>
      </c>
      <c r="X416">
        <v>2</v>
      </c>
      <c r="Z416">
        <v>1</v>
      </c>
      <c r="AA416">
        <v>8</v>
      </c>
      <c r="AB416">
        <v>3</v>
      </c>
      <c r="AC416">
        <v>0</v>
      </c>
      <c r="AD416">
        <v>9</v>
      </c>
      <c r="AE416">
        <v>0</v>
      </c>
      <c r="AF416">
        <v>3</v>
      </c>
      <c r="AG416">
        <v>1</v>
      </c>
      <c r="AH416">
        <v>0</v>
      </c>
      <c r="AI416" t="s">
        <v>245</v>
      </c>
      <c r="AJ416">
        <v>33.188023999999999</v>
      </c>
      <c r="AK416" t="s">
        <v>286</v>
      </c>
      <c r="AL416">
        <v>-97.777634000000006</v>
      </c>
      <c r="AM416">
        <v>25</v>
      </c>
      <c r="AN416">
        <v>2600</v>
      </c>
      <c r="AO416" t="s">
        <v>118</v>
      </c>
      <c r="AP416">
        <v>89</v>
      </c>
      <c r="AQ416">
        <v>2</v>
      </c>
      <c r="AR416">
        <v>448</v>
      </c>
      <c r="AZ416">
        <v>1200</v>
      </c>
      <c r="BA416">
        <v>1</v>
      </c>
      <c r="BB416" t="str">
        <f t="shared" si="124"/>
        <v xml:space="preserve">N733KP  </v>
      </c>
      <c r="BC416">
        <v>1</v>
      </c>
      <c r="BE416">
        <v>0</v>
      </c>
      <c r="BF416">
        <v>0</v>
      </c>
      <c r="BG416">
        <v>0</v>
      </c>
      <c r="BH416">
        <v>2550</v>
      </c>
      <c r="BI416">
        <v>1</v>
      </c>
      <c r="BJ416">
        <v>1</v>
      </c>
      <c r="BK416">
        <v>0</v>
      </c>
      <c r="BL416">
        <v>0</v>
      </c>
      <c r="BO416">
        <v>0</v>
      </c>
      <c r="BP416">
        <v>0</v>
      </c>
      <c r="BW416" t="str">
        <f>"22:11:08.704"</f>
        <v>22:11:08.704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364</v>
      </c>
      <c r="CR416">
        <v>0</v>
      </c>
      <c r="CW416">
        <v>1379972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"03/24/2022 22:11:09.011"</f>
        <v>03/24/2022 22:11:09.011</v>
      </c>
      <c r="C417" t="str">
        <f t="shared" si="122"/>
        <v>FFDFD3C0</v>
      </c>
      <c r="D417" t="s">
        <v>123</v>
      </c>
      <c r="E417">
        <v>8</v>
      </c>
      <c r="H417">
        <v>31</v>
      </c>
      <c r="I417" t="s">
        <v>124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 t="shared" si="126"/>
        <v>22:11:08.000</v>
      </c>
      <c r="T417" t="str">
        <f t="shared" si="126"/>
        <v>22:11:08.000</v>
      </c>
      <c r="U417" t="str">
        <f t="shared" si="117"/>
        <v>A9D71F</v>
      </c>
      <c r="V417">
        <v>0</v>
      </c>
      <c r="W417">
        <v>0</v>
      </c>
      <c r="X417">
        <v>2</v>
      </c>
      <c r="Z417">
        <v>1</v>
      </c>
      <c r="AA417">
        <v>8</v>
      </c>
      <c r="AB417">
        <v>3</v>
      </c>
      <c r="AC417">
        <v>0</v>
      </c>
      <c r="AD417">
        <v>9</v>
      </c>
      <c r="AE417">
        <v>0</v>
      </c>
      <c r="AF417">
        <v>3</v>
      </c>
      <c r="AG417">
        <v>1</v>
      </c>
      <c r="AH417">
        <v>0</v>
      </c>
      <c r="AI417" t="s">
        <v>245</v>
      </c>
      <c r="AJ417">
        <v>33.188023999999999</v>
      </c>
      <c r="AK417" t="s">
        <v>286</v>
      </c>
      <c r="AL417">
        <v>-97.777634000000006</v>
      </c>
      <c r="AM417">
        <v>25</v>
      </c>
      <c r="AN417">
        <v>2600</v>
      </c>
      <c r="AO417" t="s">
        <v>118</v>
      </c>
      <c r="AP417">
        <v>89</v>
      </c>
      <c r="AQ417">
        <v>2</v>
      </c>
      <c r="AR417">
        <v>448</v>
      </c>
      <c r="AZ417">
        <v>1200</v>
      </c>
      <c r="BA417">
        <v>1</v>
      </c>
      <c r="BB417" t="str">
        <f t="shared" si="124"/>
        <v xml:space="preserve">N733KP  </v>
      </c>
      <c r="BC417">
        <v>1</v>
      </c>
      <c r="BE417">
        <v>0</v>
      </c>
      <c r="BF417">
        <v>0</v>
      </c>
      <c r="BG417">
        <v>0</v>
      </c>
      <c r="BH417">
        <v>2550</v>
      </c>
      <c r="BI417">
        <v>1</v>
      </c>
      <c r="BJ417">
        <v>1</v>
      </c>
      <c r="BK417">
        <v>0</v>
      </c>
      <c r="BL417">
        <v>0</v>
      </c>
      <c r="BO417">
        <v>0</v>
      </c>
      <c r="BP417">
        <v>0</v>
      </c>
      <c r="BW417" t="str">
        <f>"22:11:08.704"</f>
        <v>22:11:08.704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364</v>
      </c>
      <c r="CR417">
        <v>0</v>
      </c>
      <c r="CW417">
        <v>1379972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"03/24/2022 22:11:09.698"</f>
        <v>03/24/2022 22:11:09.698</v>
      </c>
      <c r="C418" t="str">
        <f t="shared" si="122"/>
        <v>FFDFD3C0</v>
      </c>
      <c r="D418" t="s">
        <v>113</v>
      </c>
      <c r="E418">
        <v>24</v>
      </c>
      <c r="F418">
        <v>2024</v>
      </c>
      <c r="G418" t="s">
        <v>114</v>
      </c>
      <c r="J418" t="s">
        <v>115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 t="shared" ref="S418:T421" si="127">"22:11:09.000"</f>
        <v>22:11:09.000</v>
      </c>
      <c r="T418" t="str">
        <f t="shared" si="127"/>
        <v>22:11:09.000</v>
      </c>
      <c r="U418" t="str">
        <f t="shared" si="117"/>
        <v>A9D71F</v>
      </c>
      <c r="V418">
        <v>0</v>
      </c>
      <c r="W418">
        <v>0</v>
      </c>
      <c r="X418">
        <v>2</v>
      </c>
      <c r="Z418">
        <v>1</v>
      </c>
      <c r="AA418">
        <v>8</v>
      </c>
      <c r="AB418">
        <v>3</v>
      </c>
      <c r="AC418">
        <v>0</v>
      </c>
      <c r="AD418">
        <v>9</v>
      </c>
      <c r="AE418">
        <v>0</v>
      </c>
      <c r="AF418">
        <v>3</v>
      </c>
      <c r="AG418">
        <v>1</v>
      </c>
      <c r="AH418">
        <v>0</v>
      </c>
      <c r="AI418" t="s">
        <v>241</v>
      </c>
      <c r="AJ418">
        <v>33.188065999999999</v>
      </c>
      <c r="AK418" t="s">
        <v>287</v>
      </c>
      <c r="AL418">
        <v>-97.777162000000004</v>
      </c>
      <c r="AM418">
        <v>25</v>
      </c>
      <c r="AN418">
        <v>2600</v>
      </c>
      <c r="AO418" t="s">
        <v>118</v>
      </c>
      <c r="AP418">
        <v>90</v>
      </c>
      <c r="AQ418">
        <v>0</v>
      </c>
      <c r="AR418">
        <v>448</v>
      </c>
      <c r="AZ418">
        <v>1200</v>
      </c>
      <c r="BA418">
        <v>1</v>
      </c>
      <c r="BB418" t="str">
        <f t="shared" si="124"/>
        <v xml:space="preserve">N733KP  </v>
      </c>
      <c r="BC418">
        <v>1</v>
      </c>
      <c r="BE418">
        <v>0</v>
      </c>
      <c r="BF418">
        <v>0</v>
      </c>
      <c r="BG418">
        <v>0</v>
      </c>
      <c r="BH418">
        <v>2550</v>
      </c>
      <c r="BI418">
        <v>1</v>
      </c>
      <c r="BJ418">
        <v>1</v>
      </c>
      <c r="BK418">
        <v>0</v>
      </c>
      <c r="BL418">
        <v>0</v>
      </c>
      <c r="BO418">
        <v>0</v>
      </c>
      <c r="BP418">
        <v>0</v>
      </c>
      <c r="BW418" t="str">
        <f>"22:11:09.430"</f>
        <v>22:11:09.430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364</v>
      </c>
      <c r="CR418">
        <v>0</v>
      </c>
      <c r="CW418">
        <v>1380081</v>
      </c>
      <c r="CY418">
        <v>1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"03/24/2022 22:11:09.698"</f>
        <v>03/24/2022 22:11:09.698</v>
      </c>
      <c r="C419" t="str">
        <f t="shared" si="122"/>
        <v>FFDFD3C0</v>
      </c>
      <c r="D419" t="s">
        <v>123</v>
      </c>
      <c r="E419">
        <v>8</v>
      </c>
      <c r="H419">
        <v>31</v>
      </c>
      <c r="I419" t="s">
        <v>124</v>
      </c>
      <c r="J419" t="s">
        <v>125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 t="shared" si="127"/>
        <v>22:11:09.000</v>
      </c>
      <c r="T419" t="str">
        <f t="shared" si="127"/>
        <v>22:11:09.000</v>
      </c>
      <c r="U419" t="str">
        <f t="shared" si="117"/>
        <v>A9D71F</v>
      </c>
      <c r="V419">
        <v>0</v>
      </c>
      <c r="W419">
        <v>0</v>
      </c>
      <c r="X419">
        <v>2</v>
      </c>
      <c r="Z419">
        <v>1</v>
      </c>
      <c r="AA419">
        <v>8</v>
      </c>
      <c r="AB419">
        <v>3</v>
      </c>
      <c r="AC419">
        <v>0</v>
      </c>
      <c r="AD419">
        <v>9</v>
      </c>
      <c r="AE419">
        <v>0</v>
      </c>
      <c r="AF419">
        <v>3</v>
      </c>
      <c r="AG419">
        <v>1</v>
      </c>
      <c r="AH419">
        <v>0</v>
      </c>
      <c r="AI419" t="s">
        <v>241</v>
      </c>
      <c r="AJ419">
        <v>33.188065999999999</v>
      </c>
      <c r="AK419" t="s">
        <v>287</v>
      </c>
      <c r="AL419">
        <v>-97.777162000000004</v>
      </c>
      <c r="AM419">
        <v>25</v>
      </c>
      <c r="AN419">
        <v>2600</v>
      </c>
      <c r="AO419" t="s">
        <v>118</v>
      </c>
      <c r="AP419">
        <v>90</v>
      </c>
      <c r="AQ419">
        <v>0</v>
      </c>
      <c r="AR419">
        <v>448</v>
      </c>
      <c r="AZ419">
        <v>1200</v>
      </c>
      <c r="BA419">
        <v>1</v>
      </c>
      <c r="BB419" t="str">
        <f t="shared" si="124"/>
        <v xml:space="preserve">N733KP  </v>
      </c>
      <c r="BC419">
        <v>1</v>
      </c>
      <c r="BE419">
        <v>0</v>
      </c>
      <c r="BF419">
        <v>0</v>
      </c>
      <c r="BG419">
        <v>0</v>
      </c>
      <c r="BH419">
        <v>2550</v>
      </c>
      <c r="BI419">
        <v>1</v>
      </c>
      <c r="BJ419">
        <v>1</v>
      </c>
      <c r="BK419">
        <v>0</v>
      </c>
      <c r="BL419">
        <v>0</v>
      </c>
      <c r="BO419">
        <v>0</v>
      </c>
      <c r="BP419">
        <v>0</v>
      </c>
      <c r="BW419" t="str">
        <f>"22:11:09.430"</f>
        <v>22:11:09.430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364</v>
      </c>
      <c r="CR419">
        <v>0</v>
      </c>
      <c r="CW419">
        <v>1380081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"03/24/2022 22:11:09.698"</f>
        <v>03/24/2022 22:11:09.698</v>
      </c>
      <c r="C420" t="str">
        <f t="shared" si="122"/>
        <v>FFDFD3C0</v>
      </c>
      <c r="D420" t="s">
        <v>126</v>
      </c>
      <c r="E420">
        <v>3</v>
      </c>
      <c r="H420">
        <v>160</v>
      </c>
      <c r="I420" t="s">
        <v>121</v>
      </c>
      <c r="J420" t="s">
        <v>127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 t="shared" si="127"/>
        <v>22:11:09.000</v>
      </c>
      <c r="T420" t="str">
        <f t="shared" si="127"/>
        <v>22:11:09.000</v>
      </c>
      <c r="U420" t="str">
        <f t="shared" si="117"/>
        <v>A9D71F</v>
      </c>
      <c r="V420">
        <v>0</v>
      </c>
      <c r="W420">
        <v>0</v>
      </c>
      <c r="X420">
        <v>2</v>
      </c>
      <c r="Z420">
        <v>1</v>
      </c>
      <c r="AA420">
        <v>8</v>
      </c>
      <c r="AB420">
        <v>3</v>
      </c>
      <c r="AC420">
        <v>0</v>
      </c>
      <c r="AD420">
        <v>9</v>
      </c>
      <c r="AE420">
        <v>0</v>
      </c>
      <c r="AF420">
        <v>3</v>
      </c>
      <c r="AG420">
        <v>1</v>
      </c>
      <c r="AH420">
        <v>0</v>
      </c>
      <c r="AI420" t="s">
        <v>241</v>
      </c>
      <c r="AJ420">
        <v>33.188065999999999</v>
      </c>
      <c r="AK420" t="s">
        <v>287</v>
      </c>
      <c r="AL420">
        <v>-97.777162000000004</v>
      </c>
      <c r="AM420">
        <v>25</v>
      </c>
      <c r="AN420">
        <v>2600</v>
      </c>
      <c r="AO420" t="s">
        <v>118</v>
      </c>
      <c r="AP420">
        <v>90</v>
      </c>
      <c r="AQ420">
        <v>0</v>
      </c>
      <c r="AR420">
        <v>448</v>
      </c>
      <c r="AZ420">
        <v>1200</v>
      </c>
      <c r="BA420">
        <v>1</v>
      </c>
      <c r="BB420" t="str">
        <f t="shared" si="124"/>
        <v xml:space="preserve">N733KP  </v>
      </c>
      <c r="BC420">
        <v>1</v>
      </c>
      <c r="BE420">
        <v>0</v>
      </c>
      <c r="BF420">
        <v>0</v>
      </c>
      <c r="BG420">
        <v>0</v>
      </c>
      <c r="BH420">
        <v>2550</v>
      </c>
      <c r="BI420">
        <v>1</v>
      </c>
      <c r="BJ420">
        <v>1</v>
      </c>
      <c r="BK420">
        <v>0</v>
      </c>
      <c r="BL420">
        <v>0</v>
      </c>
      <c r="BO420">
        <v>0</v>
      </c>
      <c r="BP420">
        <v>0</v>
      </c>
      <c r="BW420" t="str">
        <f>"22:11:09.430"</f>
        <v>22:11:09.430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364</v>
      </c>
      <c r="CR420">
        <v>0</v>
      </c>
      <c r="CW420">
        <v>1380081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"03/24/2022 22:11:09.698"</f>
        <v>03/24/2022 22:11:09.698</v>
      </c>
      <c r="C421" t="str">
        <f t="shared" si="122"/>
        <v>FFDFD3C0</v>
      </c>
      <c r="D421" t="s">
        <v>120</v>
      </c>
      <c r="E421">
        <v>14</v>
      </c>
      <c r="F421">
        <v>1014</v>
      </c>
      <c r="G421" t="s">
        <v>121</v>
      </c>
      <c r="J421" t="s">
        <v>122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 t="shared" si="127"/>
        <v>22:11:09.000</v>
      </c>
      <c r="T421" t="str">
        <f t="shared" si="127"/>
        <v>22:11:09.000</v>
      </c>
      <c r="U421" t="str">
        <f t="shared" si="117"/>
        <v>A9D71F</v>
      </c>
      <c r="V421">
        <v>0</v>
      </c>
      <c r="W421">
        <v>0</v>
      </c>
      <c r="X421">
        <v>2</v>
      </c>
      <c r="Z421">
        <v>1</v>
      </c>
      <c r="AA421">
        <v>8</v>
      </c>
      <c r="AB421">
        <v>3</v>
      </c>
      <c r="AC421">
        <v>0</v>
      </c>
      <c r="AD421">
        <v>9</v>
      </c>
      <c r="AE421">
        <v>0</v>
      </c>
      <c r="AF421">
        <v>3</v>
      </c>
      <c r="AG421">
        <v>1</v>
      </c>
      <c r="AH421">
        <v>0</v>
      </c>
      <c r="AI421" t="s">
        <v>241</v>
      </c>
      <c r="AJ421">
        <v>33.188065999999999</v>
      </c>
      <c r="AK421" t="s">
        <v>287</v>
      </c>
      <c r="AL421">
        <v>-97.777162000000004</v>
      </c>
      <c r="AM421">
        <v>25</v>
      </c>
      <c r="AN421">
        <v>2600</v>
      </c>
      <c r="AO421" t="s">
        <v>118</v>
      </c>
      <c r="AP421">
        <v>90</v>
      </c>
      <c r="AQ421">
        <v>0</v>
      </c>
      <c r="AR421">
        <v>448</v>
      </c>
      <c r="AZ421">
        <v>1200</v>
      </c>
      <c r="BA421">
        <v>1</v>
      </c>
      <c r="BB421" t="str">
        <f t="shared" si="124"/>
        <v xml:space="preserve">N733KP  </v>
      </c>
      <c r="BC421">
        <v>1</v>
      </c>
      <c r="BE421">
        <v>0</v>
      </c>
      <c r="BF421">
        <v>0</v>
      </c>
      <c r="BG421">
        <v>0</v>
      </c>
      <c r="BH421">
        <v>2550</v>
      </c>
      <c r="BI421">
        <v>1</v>
      </c>
      <c r="BJ421">
        <v>1</v>
      </c>
      <c r="BK421">
        <v>0</v>
      </c>
      <c r="BL421">
        <v>0</v>
      </c>
      <c r="BO421">
        <v>0</v>
      </c>
      <c r="BP421">
        <v>0</v>
      </c>
      <c r="BW421" t="str">
        <f>"22:11:09.430"</f>
        <v>22:11:09.430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364</v>
      </c>
      <c r="CR421">
        <v>0</v>
      </c>
      <c r="CW421">
        <v>1380081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"03/24/2022 22:11:10.823"</f>
        <v>03/24/2022 22:11:10.823</v>
      </c>
      <c r="C422" t="str">
        <f t="shared" si="122"/>
        <v>FFDFD3C0</v>
      </c>
      <c r="D422" t="s">
        <v>120</v>
      </c>
      <c r="E422">
        <v>14</v>
      </c>
      <c r="F422">
        <v>1014</v>
      </c>
      <c r="G422" t="s">
        <v>121</v>
      </c>
      <c r="J422" t="s">
        <v>122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 t="shared" ref="S422:T425" si="128">"22:11:10.000"</f>
        <v>22:11:10.000</v>
      </c>
      <c r="T422" t="str">
        <f t="shared" si="128"/>
        <v>22:11:10.000</v>
      </c>
      <c r="U422" t="str">
        <f t="shared" si="117"/>
        <v>A9D71F</v>
      </c>
      <c r="V422">
        <v>0</v>
      </c>
      <c r="W422">
        <v>0</v>
      </c>
      <c r="X422">
        <v>2</v>
      </c>
      <c r="Z422">
        <v>1</v>
      </c>
      <c r="AA422">
        <v>8</v>
      </c>
      <c r="AB422">
        <v>3</v>
      </c>
      <c r="AC422">
        <v>0</v>
      </c>
      <c r="AD422">
        <v>9</v>
      </c>
      <c r="AE422">
        <v>0</v>
      </c>
      <c r="AF422">
        <v>3</v>
      </c>
      <c r="AG422">
        <v>1</v>
      </c>
      <c r="AH422">
        <v>0</v>
      </c>
      <c r="AI422" t="s">
        <v>245</v>
      </c>
      <c r="AJ422">
        <v>33.188023999999999</v>
      </c>
      <c r="AK422" t="s">
        <v>288</v>
      </c>
      <c r="AL422">
        <v>-97.776646999999997</v>
      </c>
      <c r="AM422">
        <v>25</v>
      </c>
      <c r="AN422">
        <v>2600</v>
      </c>
      <c r="AO422" t="s">
        <v>118</v>
      </c>
      <c r="AP422">
        <v>90</v>
      </c>
      <c r="AQ422">
        <v>0</v>
      </c>
      <c r="AR422">
        <v>448</v>
      </c>
      <c r="AZ422">
        <v>1200</v>
      </c>
      <c r="BA422">
        <v>1</v>
      </c>
      <c r="BB422" t="str">
        <f t="shared" si="124"/>
        <v xml:space="preserve">N733KP  </v>
      </c>
      <c r="BC422">
        <v>1</v>
      </c>
      <c r="BE422">
        <v>0</v>
      </c>
      <c r="BF422">
        <v>0</v>
      </c>
      <c r="BG422">
        <v>0</v>
      </c>
      <c r="BH422">
        <v>2575</v>
      </c>
      <c r="BI422">
        <v>1</v>
      </c>
      <c r="BJ422">
        <v>1</v>
      </c>
      <c r="BK422">
        <v>0</v>
      </c>
      <c r="BL422">
        <v>0</v>
      </c>
      <c r="BO422">
        <v>0</v>
      </c>
      <c r="BP422">
        <v>0</v>
      </c>
      <c r="BW422" t="str">
        <f>"22:11:10.650"</f>
        <v>22:11:10.650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119</v>
      </c>
      <c r="CQ422">
        <v>364</v>
      </c>
      <c r="CR422">
        <v>0</v>
      </c>
      <c r="CW422">
        <v>1380248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"03/24/2022 22:11:10.839"</f>
        <v>03/24/2022 22:11:10.839</v>
      </c>
      <c r="C423" t="str">
        <f t="shared" si="122"/>
        <v>FFDFD3C0</v>
      </c>
      <c r="D423" t="s">
        <v>113</v>
      </c>
      <c r="E423">
        <v>24</v>
      </c>
      <c r="F423">
        <v>2024</v>
      </c>
      <c r="G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 t="shared" si="128"/>
        <v>22:11:10.000</v>
      </c>
      <c r="T423" t="str">
        <f t="shared" si="128"/>
        <v>22:11:10.000</v>
      </c>
      <c r="U423" t="str">
        <f t="shared" si="117"/>
        <v>A9D71F</v>
      </c>
      <c r="V423">
        <v>0</v>
      </c>
      <c r="W423">
        <v>0</v>
      </c>
      <c r="X423">
        <v>2</v>
      </c>
      <c r="Z423">
        <v>1</v>
      </c>
      <c r="AA423">
        <v>8</v>
      </c>
      <c r="AB423">
        <v>3</v>
      </c>
      <c r="AC423">
        <v>0</v>
      </c>
      <c r="AD423">
        <v>9</v>
      </c>
      <c r="AE423">
        <v>0</v>
      </c>
      <c r="AF423">
        <v>3</v>
      </c>
      <c r="AG423">
        <v>1</v>
      </c>
      <c r="AH423">
        <v>0</v>
      </c>
      <c r="AI423" t="s">
        <v>245</v>
      </c>
      <c r="AJ423">
        <v>33.188023999999999</v>
      </c>
      <c r="AK423" t="s">
        <v>288</v>
      </c>
      <c r="AL423">
        <v>-97.776646999999997</v>
      </c>
      <c r="AM423">
        <v>25</v>
      </c>
      <c r="AN423">
        <v>2600</v>
      </c>
      <c r="AO423" t="s">
        <v>118</v>
      </c>
      <c r="AP423">
        <v>90</v>
      </c>
      <c r="AQ423">
        <v>0</v>
      </c>
      <c r="AR423">
        <v>448</v>
      </c>
      <c r="AZ423">
        <v>1200</v>
      </c>
      <c r="BA423">
        <v>1</v>
      </c>
      <c r="BB423" t="str">
        <f t="shared" si="124"/>
        <v xml:space="preserve">N733KP  </v>
      </c>
      <c r="BC423">
        <v>1</v>
      </c>
      <c r="BE423">
        <v>0</v>
      </c>
      <c r="BF423">
        <v>0</v>
      </c>
      <c r="BG423">
        <v>0</v>
      </c>
      <c r="BH423">
        <v>2575</v>
      </c>
      <c r="BI423">
        <v>1</v>
      </c>
      <c r="BJ423">
        <v>1</v>
      </c>
      <c r="BK423">
        <v>0</v>
      </c>
      <c r="BL423">
        <v>0</v>
      </c>
      <c r="BO423">
        <v>0</v>
      </c>
      <c r="BP423">
        <v>0</v>
      </c>
      <c r="BW423" t="str">
        <f>"22:11:10.650"</f>
        <v>22:11:10.650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364</v>
      </c>
      <c r="CR423">
        <v>0</v>
      </c>
      <c r="CW423">
        <v>1380248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"03/24/2022 22:11:10.948"</f>
        <v>03/24/2022 22:11:10.948</v>
      </c>
      <c r="C424" t="str">
        <f t="shared" si="122"/>
        <v>FFDFD3C0</v>
      </c>
      <c r="D424" t="s">
        <v>123</v>
      </c>
      <c r="E424">
        <v>8</v>
      </c>
      <c r="H424">
        <v>31</v>
      </c>
      <c r="I424" t="s">
        <v>124</v>
      </c>
      <c r="J424" t="s">
        <v>125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 t="shared" si="128"/>
        <v>22:11:10.000</v>
      </c>
      <c r="T424" t="str">
        <f t="shared" si="128"/>
        <v>22:11:10.000</v>
      </c>
      <c r="U424" t="str">
        <f t="shared" si="117"/>
        <v>A9D71F</v>
      </c>
      <c r="V424">
        <v>0</v>
      </c>
      <c r="W424">
        <v>0</v>
      </c>
      <c r="X424">
        <v>2</v>
      </c>
      <c r="Z424">
        <v>1</v>
      </c>
      <c r="AA424">
        <v>8</v>
      </c>
      <c r="AB424">
        <v>3</v>
      </c>
      <c r="AC424">
        <v>0</v>
      </c>
      <c r="AD424">
        <v>9</v>
      </c>
      <c r="AE424">
        <v>0</v>
      </c>
      <c r="AF424">
        <v>3</v>
      </c>
      <c r="AG424">
        <v>1</v>
      </c>
      <c r="AH424">
        <v>0</v>
      </c>
      <c r="AI424" t="s">
        <v>245</v>
      </c>
      <c r="AJ424">
        <v>33.188023999999999</v>
      </c>
      <c r="AK424" t="s">
        <v>288</v>
      </c>
      <c r="AL424">
        <v>-97.776646999999997</v>
      </c>
      <c r="AM424">
        <v>25</v>
      </c>
      <c r="AN424">
        <v>2600</v>
      </c>
      <c r="AO424" t="s">
        <v>118</v>
      </c>
      <c r="AP424">
        <v>90</v>
      </c>
      <c r="AQ424">
        <v>0</v>
      </c>
      <c r="AR424">
        <v>448</v>
      </c>
      <c r="AZ424">
        <v>1200</v>
      </c>
      <c r="BA424">
        <v>1</v>
      </c>
      <c r="BB424" t="str">
        <f t="shared" si="124"/>
        <v xml:space="preserve">N733KP  </v>
      </c>
      <c r="BC424">
        <v>1</v>
      </c>
      <c r="BE424">
        <v>0</v>
      </c>
      <c r="BF424">
        <v>0</v>
      </c>
      <c r="BG424">
        <v>0</v>
      </c>
      <c r="BH424">
        <v>2575</v>
      </c>
      <c r="BI424">
        <v>1</v>
      </c>
      <c r="BJ424">
        <v>1</v>
      </c>
      <c r="BK424">
        <v>0</v>
      </c>
      <c r="BL424">
        <v>0</v>
      </c>
      <c r="BO424">
        <v>0</v>
      </c>
      <c r="BP424">
        <v>0</v>
      </c>
      <c r="BW424" t="str">
        <f>"22:11:10.650"</f>
        <v>22:11:10.650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364</v>
      </c>
      <c r="CR424">
        <v>0</v>
      </c>
      <c r="CW424">
        <v>1380248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"03/24/2022 22:11:10.980"</f>
        <v>03/24/2022 22:11:10.980</v>
      </c>
      <c r="C425" t="str">
        <f t="shared" si="122"/>
        <v>FFDFD3C0</v>
      </c>
      <c r="D425" t="s">
        <v>126</v>
      </c>
      <c r="E425">
        <v>3</v>
      </c>
      <c r="H425">
        <v>160</v>
      </c>
      <c r="I425" t="s">
        <v>121</v>
      </c>
      <c r="J425" t="s">
        <v>127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 t="shared" si="128"/>
        <v>22:11:10.000</v>
      </c>
      <c r="T425" t="str">
        <f t="shared" si="128"/>
        <v>22:11:10.000</v>
      </c>
      <c r="U425" t="str">
        <f t="shared" si="117"/>
        <v>A9D71F</v>
      </c>
      <c r="V425">
        <v>0</v>
      </c>
      <c r="W425">
        <v>0</v>
      </c>
      <c r="X425">
        <v>2</v>
      </c>
      <c r="Z425">
        <v>1</v>
      </c>
      <c r="AA425">
        <v>8</v>
      </c>
      <c r="AB425">
        <v>3</v>
      </c>
      <c r="AC425">
        <v>0</v>
      </c>
      <c r="AD425">
        <v>9</v>
      </c>
      <c r="AE425">
        <v>0</v>
      </c>
      <c r="AF425">
        <v>3</v>
      </c>
      <c r="AG425">
        <v>1</v>
      </c>
      <c r="AH425">
        <v>0</v>
      </c>
      <c r="AI425" t="s">
        <v>245</v>
      </c>
      <c r="AJ425">
        <v>33.188023999999999</v>
      </c>
      <c r="AK425" t="s">
        <v>288</v>
      </c>
      <c r="AL425">
        <v>-97.776646999999997</v>
      </c>
      <c r="AM425">
        <v>25</v>
      </c>
      <c r="AN425">
        <v>2600</v>
      </c>
      <c r="AO425" t="s">
        <v>118</v>
      </c>
      <c r="AP425">
        <v>90</v>
      </c>
      <c r="AQ425">
        <v>0</v>
      </c>
      <c r="AR425">
        <v>448</v>
      </c>
      <c r="AZ425">
        <v>1200</v>
      </c>
      <c r="BA425">
        <v>1</v>
      </c>
      <c r="BB425" t="str">
        <f t="shared" si="124"/>
        <v xml:space="preserve">N733KP  </v>
      </c>
      <c r="BC425">
        <v>1</v>
      </c>
      <c r="BE425">
        <v>0</v>
      </c>
      <c r="BF425">
        <v>0</v>
      </c>
      <c r="BG425">
        <v>0</v>
      </c>
      <c r="BH425">
        <v>2575</v>
      </c>
      <c r="BI425">
        <v>1</v>
      </c>
      <c r="BJ425">
        <v>1</v>
      </c>
      <c r="BK425">
        <v>0</v>
      </c>
      <c r="BL425">
        <v>0</v>
      </c>
      <c r="BO425">
        <v>0</v>
      </c>
      <c r="BP425">
        <v>0</v>
      </c>
      <c r="BW425" t="str">
        <f>"22:11:10.650"</f>
        <v>22:11:10.650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364</v>
      </c>
      <c r="CR425">
        <v>0</v>
      </c>
      <c r="CW425">
        <v>1380248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"03/24/2022 22:11:11.590"</f>
        <v>03/24/2022 22:11:11.590</v>
      </c>
      <c r="C426" t="str">
        <f t="shared" si="122"/>
        <v>FFDFD3C0</v>
      </c>
      <c r="D426" t="s">
        <v>126</v>
      </c>
      <c r="E426">
        <v>3</v>
      </c>
      <c r="H426">
        <v>160</v>
      </c>
      <c r="I426" t="s">
        <v>121</v>
      </c>
      <c r="J426" t="s">
        <v>127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 t="shared" ref="S426:T429" si="129">"22:11:11.000"</f>
        <v>22:11:11.000</v>
      </c>
      <c r="T426" t="str">
        <f t="shared" si="129"/>
        <v>22:11:11.000</v>
      </c>
      <c r="U426" t="str">
        <f t="shared" si="117"/>
        <v>A9D71F</v>
      </c>
      <c r="V426">
        <v>0</v>
      </c>
      <c r="W426">
        <v>0</v>
      </c>
      <c r="X426">
        <v>2</v>
      </c>
      <c r="Z426">
        <v>1</v>
      </c>
      <c r="AA426">
        <v>8</v>
      </c>
      <c r="AB426">
        <v>3</v>
      </c>
      <c r="AC426">
        <v>0</v>
      </c>
      <c r="AD426">
        <v>9</v>
      </c>
      <c r="AE426">
        <v>0</v>
      </c>
      <c r="AF426">
        <v>3</v>
      </c>
      <c r="AG426">
        <v>1</v>
      </c>
      <c r="AH426">
        <v>0</v>
      </c>
      <c r="AI426" t="s">
        <v>245</v>
      </c>
      <c r="AJ426">
        <v>33.188023999999999</v>
      </c>
      <c r="AK426" t="s">
        <v>289</v>
      </c>
      <c r="AL426">
        <v>-97.776152999999994</v>
      </c>
      <c r="AM426">
        <v>25</v>
      </c>
      <c r="AN426">
        <v>2600</v>
      </c>
      <c r="AO426" t="s">
        <v>118</v>
      </c>
      <c r="AP426">
        <v>88</v>
      </c>
      <c r="AQ426">
        <v>4</v>
      </c>
      <c r="AR426">
        <v>512</v>
      </c>
      <c r="AZ426">
        <v>1200</v>
      </c>
      <c r="BA426">
        <v>1</v>
      </c>
      <c r="BB426" t="str">
        <f t="shared" si="124"/>
        <v xml:space="preserve">N733KP  </v>
      </c>
      <c r="BC426">
        <v>1</v>
      </c>
      <c r="BE426">
        <v>0</v>
      </c>
      <c r="BF426">
        <v>0</v>
      </c>
      <c r="BG426">
        <v>0</v>
      </c>
      <c r="BH426">
        <v>2575</v>
      </c>
      <c r="BI426">
        <v>1</v>
      </c>
      <c r="BJ426">
        <v>1</v>
      </c>
      <c r="BK426">
        <v>0</v>
      </c>
      <c r="BL426">
        <v>0</v>
      </c>
      <c r="BO426">
        <v>0</v>
      </c>
      <c r="BP426">
        <v>0</v>
      </c>
      <c r="BW426" t="str">
        <f>"22:11:11.387"</f>
        <v>22:11:11.387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364</v>
      </c>
      <c r="CR426">
        <v>0</v>
      </c>
      <c r="CW426">
        <v>1380352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"03/24/2022 22:11:11.653"</f>
        <v>03/24/2022 22:11:11.653</v>
      </c>
      <c r="C427" t="str">
        <f t="shared" si="122"/>
        <v>FFDFD3C0</v>
      </c>
      <c r="D427" t="s">
        <v>120</v>
      </c>
      <c r="E427">
        <v>14</v>
      </c>
      <c r="F427">
        <v>1014</v>
      </c>
      <c r="G427" t="s">
        <v>121</v>
      </c>
      <c r="J427" t="s">
        <v>122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 t="shared" si="129"/>
        <v>22:11:11.000</v>
      </c>
      <c r="T427" t="str">
        <f t="shared" si="129"/>
        <v>22:11:11.000</v>
      </c>
      <c r="U427" t="str">
        <f t="shared" si="117"/>
        <v>A9D71F</v>
      </c>
      <c r="V427">
        <v>0</v>
      </c>
      <c r="W427">
        <v>0</v>
      </c>
      <c r="X427">
        <v>2</v>
      </c>
      <c r="Z427">
        <v>1</v>
      </c>
      <c r="AA427">
        <v>8</v>
      </c>
      <c r="AB427">
        <v>3</v>
      </c>
      <c r="AC427">
        <v>0</v>
      </c>
      <c r="AD427">
        <v>9</v>
      </c>
      <c r="AE427">
        <v>0</v>
      </c>
      <c r="AF427">
        <v>3</v>
      </c>
      <c r="AG427">
        <v>1</v>
      </c>
      <c r="AH427">
        <v>0</v>
      </c>
      <c r="AI427" t="s">
        <v>245</v>
      </c>
      <c r="AJ427">
        <v>33.188023999999999</v>
      </c>
      <c r="AK427" t="s">
        <v>289</v>
      </c>
      <c r="AL427">
        <v>-97.776152999999994</v>
      </c>
      <c r="AM427">
        <v>25</v>
      </c>
      <c r="AN427">
        <v>2600</v>
      </c>
      <c r="AO427" t="s">
        <v>118</v>
      </c>
      <c r="AP427">
        <v>88</v>
      </c>
      <c r="AQ427">
        <v>4</v>
      </c>
      <c r="AR427">
        <v>512</v>
      </c>
      <c r="AZ427">
        <v>1200</v>
      </c>
      <c r="BA427">
        <v>1</v>
      </c>
      <c r="BB427" t="str">
        <f t="shared" si="124"/>
        <v xml:space="preserve">N733KP  </v>
      </c>
      <c r="BC427">
        <v>1</v>
      </c>
      <c r="BE427">
        <v>0</v>
      </c>
      <c r="BF427">
        <v>0</v>
      </c>
      <c r="BG427">
        <v>0</v>
      </c>
      <c r="BH427">
        <v>2575</v>
      </c>
      <c r="BI427">
        <v>1</v>
      </c>
      <c r="BJ427">
        <v>1</v>
      </c>
      <c r="BK427">
        <v>0</v>
      </c>
      <c r="BL427">
        <v>0</v>
      </c>
      <c r="BO427">
        <v>0</v>
      </c>
      <c r="BP427">
        <v>0</v>
      </c>
      <c r="BW427" t="str">
        <f>"22:11:11.387"</f>
        <v>22:11:11.387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364</v>
      </c>
      <c r="CR427">
        <v>0</v>
      </c>
      <c r="CW427">
        <v>1380352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"03/24/2022 22:11:11.653"</f>
        <v>03/24/2022 22:11:11.653</v>
      </c>
      <c r="C428" t="str">
        <f t="shared" si="122"/>
        <v>FFDFD3C0</v>
      </c>
      <c r="D428" t="s">
        <v>113</v>
      </c>
      <c r="E428">
        <v>24</v>
      </c>
      <c r="F428">
        <v>2024</v>
      </c>
      <c r="G428" t="s">
        <v>114</v>
      </c>
      <c r="J428" t="s">
        <v>115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 t="shared" si="129"/>
        <v>22:11:11.000</v>
      </c>
      <c r="T428" t="str">
        <f t="shared" si="129"/>
        <v>22:11:11.000</v>
      </c>
      <c r="U428" t="str">
        <f t="shared" si="117"/>
        <v>A9D71F</v>
      </c>
      <c r="V428">
        <v>0</v>
      </c>
      <c r="W428">
        <v>0</v>
      </c>
      <c r="X428">
        <v>2</v>
      </c>
      <c r="Z428">
        <v>1</v>
      </c>
      <c r="AA428">
        <v>8</v>
      </c>
      <c r="AB428">
        <v>3</v>
      </c>
      <c r="AC428">
        <v>0</v>
      </c>
      <c r="AD428">
        <v>9</v>
      </c>
      <c r="AE428">
        <v>0</v>
      </c>
      <c r="AF428">
        <v>3</v>
      </c>
      <c r="AG428">
        <v>1</v>
      </c>
      <c r="AH428">
        <v>0</v>
      </c>
      <c r="AI428" t="s">
        <v>245</v>
      </c>
      <c r="AJ428">
        <v>33.188023999999999</v>
      </c>
      <c r="AK428" t="s">
        <v>289</v>
      </c>
      <c r="AL428">
        <v>-97.776152999999994</v>
      </c>
      <c r="AM428">
        <v>25</v>
      </c>
      <c r="AN428">
        <v>2600</v>
      </c>
      <c r="AO428" t="s">
        <v>118</v>
      </c>
      <c r="AP428">
        <v>88</v>
      </c>
      <c r="AQ428">
        <v>4</v>
      </c>
      <c r="AR428">
        <v>512</v>
      </c>
      <c r="AZ428">
        <v>1200</v>
      </c>
      <c r="BA428">
        <v>1</v>
      </c>
      <c r="BB428" t="str">
        <f t="shared" si="124"/>
        <v xml:space="preserve">N733KP  </v>
      </c>
      <c r="BC428">
        <v>1</v>
      </c>
      <c r="BE428">
        <v>0</v>
      </c>
      <c r="BF428">
        <v>0</v>
      </c>
      <c r="BG428">
        <v>0</v>
      </c>
      <c r="BH428">
        <v>2575</v>
      </c>
      <c r="BI428">
        <v>1</v>
      </c>
      <c r="BJ428">
        <v>1</v>
      </c>
      <c r="BK428">
        <v>0</v>
      </c>
      <c r="BL428">
        <v>0</v>
      </c>
      <c r="BO428">
        <v>0</v>
      </c>
      <c r="BP428">
        <v>0</v>
      </c>
      <c r="BW428" t="str">
        <f>"22:11:11.387"</f>
        <v>22:11:11.387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364</v>
      </c>
      <c r="CR428">
        <v>0</v>
      </c>
      <c r="CW428">
        <v>1380352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"03/24/2022 22:11:11.653"</f>
        <v>03/24/2022 22:11:11.653</v>
      </c>
      <c r="C429" t="str">
        <f t="shared" si="122"/>
        <v>FFDFD3C0</v>
      </c>
      <c r="D429" t="s">
        <v>123</v>
      </c>
      <c r="E429">
        <v>8</v>
      </c>
      <c r="H429">
        <v>31</v>
      </c>
      <c r="I429" t="s">
        <v>124</v>
      </c>
      <c r="J429" t="s">
        <v>125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 t="shared" si="129"/>
        <v>22:11:11.000</v>
      </c>
      <c r="T429" t="str">
        <f t="shared" si="129"/>
        <v>22:11:11.000</v>
      </c>
      <c r="U429" t="str">
        <f t="shared" si="117"/>
        <v>A9D71F</v>
      </c>
      <c r="V429">
        <v>0</v>
      </c>
      <c r="W429">
        <v>0</v>
      </c>
      <c r="X429">
        <v>2</v>
      </c>
      <c r="Z429">
        <v>1</v>
      </c>
      <c r="AA429">
        <v>8</v>
      </c>
      <c r="AB429">
        <v>3</v>
      </c>
      <c r="AC429">
        <v>0</v>
      </c>
      <c r="AD429">
        <v>9</v>
      </c>
      <c r="AE429">
        <v>0</v>
      </c>
      <c r="AF429">
        <v>3</v>
      </c>
      <c r="AG429">
        <v>1</v>
      </c>
      <c r="AH429">
        <v>0</v>
      </c>
      <c r="AI429" t="s">
        <v>245</v>
      </c>
      <c r="AJ429">
        <v>33.188023999999999</v>
      </c>
      <c r="AK429" t="s">
        <v>289</v>
      </c>
      <c r="AL429">
        <v>-97.776152999999994</v>
      </c>
      <c r="AM429">
        <v>25</v>
      </c>
      <c r="AN429">
        <v>2600</v>
      </c>
      <c r="AO429" t="s">
        <v>118</v>
      </c>
      <c r="AP429">
        <v>88</v>
      </c>
      <c r="AQ429">
        <v>4</v>
      </c>
      <c r="AR429">
        <v>512</v>
      </c>
      <c r="AZ429">
        <v>1200</v>
      </c>
      <c r="BA429">
        <v>1</v>
      </c>
      <c r="BB429" t="str">
        <f t="shared" si="124"/>
        <v xml:space="preserve">N733KP  </v>
      </c>
      <c r="BC429">
        <v>1</v>
      </c>
      <c r="BE429">
        <v>0</v>
      </c>
      <c r="BF429">
        <v>0</v>
      </c>
      <c r="BG429">
        <v>0</v>
      </c>
      <c r="BH429">
        <v>2575</v>
      </c>
      <c r="BI429">
        <v>1</v>
      </c>
      <c r="BJ429">
        <v>1</v>
      </c>
      <c r="BK429">
        <v>0</v>
      </c>
      <c r="BL429">
        <v>0</v>
      </c>
      <c r="BO429">
        <v>0</v>
      </c>
      <c r="BP429">
        <v>0</v>
      </c>
      <c r="BW429" t="str">
        <f>"22:11:11.387"</f>
        <v>22:11:11.387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7</v>
      </c>
      <c r="CP429" t="s">
        <v>119</v>
      </c>
      <c r="CQ429">
        <v>364</v>
      </c>
      <c r="CR429">
        <v>0</v>
      </c>
      <c r="CW429">
        <v>1380352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"03/24/2022 22:11:12.731"</f>
        <v>03/24/2022 22:11:12.731</v>
      </c>
      <c r="C430" t="str">
        <f t="shared" si="122"/>
        <v>FFDFD3C0</v>
      </c>
      <c r="D430" t="s">
        <v>126</v>
      </c>
      <c r="E430">
        <v>3</v>
      </c>
      <c r="H430">
        <v>160</v>
      </c>
      <c r="I430" t="s">
        <v>121</v>
      </c>
      <c r="J430" t="s">
        <v>127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 t="shared" ref="S430:T433" si="130">"22:11:12.000"</f>
        <v>22:11:12.000</v>
      </c>
      <c r="T430" t="str">
        <f t="shared" si="130"/>
        <v>22:11:12.000</v>
      </c>
      <c r="U430" t="str">
        <f t="shared" si="117"/>
        <v>A9D71F</v>
      </c>
      <c r="V430">
        <v>0</v>
      </c>
      <c r="W430">
        <v>0</v>
      </c>
      <c r="X430">
        <v>2</v>
      </c>
      <c r="Z430">
        <v>1</v>
      </c>
      <c r="AA430">
        <v>8</v>
      </c>
      <c r="AB430">
        <v>3</v>
      </c>
      <c r="AC430">
        <v>0</v>
      </c>
      <c r="AD430">
        <v>9</v>
      </c>
      <c r="AE430">
        <v>0</v>
      </c>
      <c r="AF430">
        <v>3</v>
      </c>
      <c r="AG430">
        <v>1</v>
      </c>
      <c r="AH430">
        <v>0</v>
      </c>
      <c r="AI430" t="s">
        <v>243</v>
      </c>
      <c r="AJ430">
        <v>33.188045000000002</v>
      </c>
      <c r="AK430" t="s">
        <v>290</v>
      </c>
      <c r="AL430">
        <v>-97.775660000000002</v>
      </c>
      <c r="AM430">
        <v>25</v>
      </c>
      <c r="AN430">
        <v>2600</v>
      </c>
      <c r="AO430" t="s">
        <v>118</v>
      </c>
      <c r="AP430">
        <v>88</v>
      </c>
      <c r="AQ430">
        <v>2</v>
      </c>
      <c r="AR430">
        <v>576</v>
      </c>
      <c r="AZ430">
        <v>1200</v>
      </c>
      <c r="BA430">
        <v>1</v>
      </c>
      <c r="BB430" t="str">
        <f t="shared" si="124"/>
        <v xml:space="preserve">N733KP  </v>
      </c>
      <c r="BC430">
        <v>1</v>
      </c>
      <c r="BE430">
        <v>0</v>
      </c>
      <c r="BF430">
        <v>0</v>
      </c>
      <c r="BG430">
        <v>0</v>
      </c>
      <c r="BH430">
        <v>2600</v>
      </c>
      <c r="BI430">
        <v>1</v>
      </c>
      <c r="BJ430">
        <v>1</v>
      </c>
      <c r="BK430">
        <v>0</v>
      </c>
      <c r="BL430">
        <v>0</v>
      </c>
      <c r="BO430">
        <v>0</v>
      </c>
      <c r="BP430">
        <v>0</v>
      </c>
      <c r="BW430" t="str">
        <f>"22:11:12.408"</f>
        <v>22:11:12.408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7</v>
      </c>
      <c r="CP430" t="s">
        <v>119</v>
      </c>
      <c r="CQ430">
        <v>364</v>
      </c>
      <c r="CR430">
        <v>0</v>
      </c>
      <c r="CW430">
        <v>1380487</v>
      </c>
      <c r="CY430">
        <v>1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"03/24/2022 22:11:12.731"</f>
        <v>03/24/2022 22:11:12.731</v>
      </c>
      <c r="C431" t="str">
        <f t="shared" si="122"/>
        <v>FFDFD3C0</v>
      </c>
      <c r="D431" t="s">
        <v>120</v>
      </c>
      <c r="E431">
        <v>14</v>
      </c>
      <c r="F431">
        <v>1014</v>
      </c>
      <c r="G431" t="s">
        <v>121</v>
      </c>
      <c r="J431" t="s">
        <v>122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 t="shared" si="130"/>
        <v>22:11:12.000</v>
      </c>
      <c r="T431" t="str">
        <f t="shared" si="130"/>
        <v>22:11:12.000</v>
      </c>
      <c r="U431" t="str">
        <f t="shared" si="117"/>
        <v>A9D71F</v>
      </c>
      <c r="V431">
        <v>0</v>
      </c>
      <c r="W431">
        <v>0</v>
      </c>
      <c r="X431">
        <v>2</v>
      </c>
      <c r="Z431">
        <v>1</v>
      </c>
      <c r="AA431">
        <v>8</v>
      </c>
      <c r="AB431">
        <v>3</v>
      </c>
      <c r="AC431">
        <v>0</v>
      </c>
      <c r="AD431">
        <v>9</v>
      </c>
      <c r="AE431">
        <v>0</v>
      </c>
      <c r="AF431">
        <v>3</v>
      </c>
      <c r="AG431">
        <v>1</v>
      </c>
      <c r="AH431">
        <v>0</v>
      </c>
      <c r="AI431" t="s">
        <v>243</v>
      </c>
      <c r="AJ431">
        <v>33.188045000000002</v>
      </c>
      <c r="AK431" t="s">
        <v>290</v>
      </c>
      <c r="AL431">
        <v>-97.775660000000002</v>
      </c>
      <c r="AM431">
        <v>25</v>
      </c>
      <c r="AN431">
        <v>2600</v>
      </c>
      <c r="AO431" t="s">
        <v>118</v>
      </c>
      <c r="AP431">
        <v>88</v>
      </c>
      <c r="AQ431">
        <v>2</v>
      </c>
      <c r="AR431">
        <v>576</v>
      </c>
      <c r="AZ431">
        <v>1200</v>
      </c>
      <c r="BA431">
        <v>1</v>
      </c>
      <c r="BB431" t="str">
        <f t="shared" si="124"/>
        <v xml:space="preserve">N733KP  </v>
      </c>
      <c r="BC431">
        <v>1</v>
      </c>
      <c r="BE431">
        <v>0</v>
      </c>
      <c r="BF431">
        <v>0</v>
      </c>
      <c r="BG431">
        <v>0</v>
      </c>
      <c r="BH431">
        <v>2600</v>
      </c>
      <c r="BI431">
        <v>1</v>
      </c>
      <c r="BJ431">
        <v>1</v>
      </c>
      <c r="BK431">
        <v>0</v>
      </c>
      <c r="BL431">
        <v>0</v>
      </c>
      <c r="BO431">
        <v>0</v>
      </c>
      <c r="BP431">
        <v>0</v>
      </c>
      <c r="BW431" t="str">
        <f>"22:11:12.408"</f>
        <v>22:11:12.408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7</v>
      </c>
      <c r="CP431" t="s">
        <v>119</v>
      </c>
      <c r="CQ431">
        <v>364</v>
      </c>
      <c r="CR431">
        <v>0</v>
      </c>
      <c r="CW431">
        <v>1380487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"03/24/2022 22:11:12.747"</f>
        <v>03/24/2022 22:11:12.747</v>
      </c>
      <c r="C432" t="str">
        <f t="shared" si="122"/>
        <v>FFDFD3C0</v>
      </c>
      <c r="D432" t="s">
        <v>113</v>
      </c>
      <c r="E432">
        <v>24</v>
      </c>
      <c r="F432">
        <v>2024</v>
      </c>
      <c r="G432" t="s">
        <v>114</v>
      </c>
      <c r="J432" t="s">
        <v>115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 t="shared" si="130"/>
        <v>22:11:12.000</v>
      </c>
      <c r="T432" t="str">
        <f t="shared" si="130"/>
        <v>22:11:12.000</v>
      </c>
      <c r="U432" t="str">
        <f t="shared" si="117"/>
        <v>A9D71F</v>
      </c>
      <c r="V432">
        <v>0</v>
      </c>
      <c r="W432">
        <v>0</v>
      </c>
      <c r="X432">
        <v>2</v>
      </c>
      <c r="Z432">
        <v>1</v>
      </c>
      <c r="AA432">
        <v>8</v>
      </c>
      <c r="AB432">
        <v>3</v>
      </c>
      <c r="AC432">
        <v>0</v>
      </c>
      <c r="AD432">
        <v>9</v>
      </c>
      <c r="AE432">
        <v>0</v>
      </c>
      <c r="AF432">
        <v>3</v>
      </c>
      <c r="AG432">
        <v>1</v>
      </c>
      <c r="AH432">
        <v>0</v>
      </c>
      <c r="AI432" t="s">
        <v>243</v>
      </c>
      <c r="AJ432">
        <v>33.188045000000002</v>
      </c>
      <c r="AK432" t="s">
        <v>290</v>
      </c>
      <c r="AL432">
        <v>-97.775660000000002</v>
      </c>
      <c r="AM432">
        <v>25</v>
      </c>
      <c r="AN432">
        <v>2600</v>
      </c>
      <c r="AO432" t="s">
        <v>118</v>
      </c>
      <c r="AP432">
        <v>88</v>
      </c>
      <c r="AQ432">
        <v>2</v>
      </c>
      <c r="AR432">
        <v>576</v>
      </c>
      <c r="AZ432">
        <v>1200</v>
      </c>
      <c r="BA432">
        <v>1</v>
      </c>
      <c r="BB432" t="str">
        <f t="shared" si="124"/>
        <v xml:space="preserve">N733KP  </v>
      </c>
      <c r="BC432">
        <v>1</v>
      </c>
      <c r="BE432">
        <v>0</v>
      </c>
      <c r="BF432">
        <v>0</v>
      </c>
      <c r="BG432">
        <v>0</v>
      </c>
      <c r="BH432">
        <v>2600</v>
      </c>
      <c r="BI432">
        <v>1</v>
      </c>
      <c r="BJ432">
        <v>1</v>
      </c>
      <c r="BK432">
        <v>0</v>
      </c>
      <c r="BL432">
        <v>0</v>
      </c>
      <c r="BO432">
        <v>0</v>
      </c>
      <c r="BP432">
        <v>0</v>
      </c>
      <c r="BW432" t="str">
        <f>"22:11:12.408"</f>
        <v>22:11:12.408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7</v>
      </c>
      <c r="CP432" t="s">
        <v>119</v>
      </c>
      <c r="CQ432">
        <v>364</v>
      </c>
      <c r="CR432">
        <v>0</v>
      </c>
      <c r="CW432">
        <v>1380487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"03/24/2022 22:11:12.747"</f>
        <v>03/24/2022 22:11:12.747</v>
      </c>
      <c r="C433" t="str">
        <f t="shared" si="122"/>
        <v>FFDFD3C0</v>
      </c>
      <c r="D433" t="s">
        <v>123</v>
      </c>
      <c r="E433">
        <v>8</v>
      </c>
      <c r="H433">
        <v>31</v>
      </c>
      <c r="I433" t="s">
        <v>124</v>
      </c>
      <c r="J433" t="s">
        <v>125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 t="shared" si="130"/>
        <v>22:11:12.000</v>
      </c>
      <c r="T433" t="str">
        <f t="shared" si="130"/>
        <v>22:11:12.000</v>
      </c>
      <c r="U433" t="str">
        <f t="shared" si="117"/>
        <v>A9D71F</v>
      </c>
      <c r="V433">
        <v>0</v>
      </c>
      <c r="W433">
        <v>0</v>
      </c>
      <c r="X433">
        <v>2</v>
      </c>
      <c r="Z433">
        <v>1</v>
      </c>
      <c r="AA433">
        <v>8</v>
      </c>
      <c r="AB433">
        <v>3</v>
      </c>
      <c r="AC433">
        <v>0</v>
      </c>
      <c r="AD433">
        <v>9</v>
      </c>
      <c r="AE433">
        <v>0</v>
      </c>
      <c r="AF433">
        <v>3</v>
      </c>
      <c r="AG433">
        <v>1</v>
      </c>
      <c r="AH433">
        <v>0</v>
      </c>
      <c r="AI433" t="s">
        <v>243</v>
      </c>
      <c r="AJ433">
        <v>33.188045000000002</v>
      </c>
      <c r="AK433" t="s">
        <v>290</v>
      </c>
      <c r="AL433">
        <v>-97.775660000000002</v>
      </c>
      <c r="AM433">
        <v>25</v>
      </c>
      <c r="AN433">
        <v>2600</v>
      </c>
      <c r="AO433" t="s">
        <v>118</v>
      </c>
      <c r="AP433">
        <v>88</v>
      </c>
      <c r="AQ433">
        <v>2</v>
      </c>
      <c r="AR433">
        <v>576</v>
      </c>
      <c r="AZ433">
        <v>1200</v>
      </c>
      <c r="BA433">
        <v>1</v>
      </c>
      <c r="BB433" t="str">
        <f t="shared" si="124"/>
        <v xml:space="preserve">N733KP  </v>
      </c>
      <c r="BC433">
        <v>1</v>
      </c>
      <c r="BE433">
        <v>0</v>
      </c>
      <c r="BF433">
        <v>0</v>
      </c>
      <c r="BG433">
        <v>0</v>
      </c>
      <c r="BH433">
        <v>2600</v>
      </c>
      <c r="BI433">
        <v>1</v>
      </c>
      <c r="BJ433">
        <v>1</v>
      </c>
      <c r="BK433">
        <v>0</v>
      </c>
      <c r="BL433">
        <v>0</v>
      </c>
      <c r="BO433">
        <v>0</v>
      </c>
      <c r="BP433">
        <v>0</v>
      </c>
      <c r="BW433" t="str">
        <f>"22:11:12.408"</f>
        <v>22:11:12.408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7</v>
      </c>
      <c r="CP433" t="s">
        <v>119</v>
      </c>
      <c r="CQ433">
        <v>364</v>
      </c>
      <c r="CR433">
        <v>0</v>
      </c>
      <c r="CW433">
        <v>1380487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"03/24/2022 22:11:14.177"</f>
        <v>03/24/2022 22:11:14.177</v>
      </c>
      <c r="C434" t="str">
        <f t="shared" si="122"/>
        <v>FFDFD3C0</v>
      </c>
      <c r="D434" t="s">
        <v>126</v>
      </c>
      <c r="E434">
        <v>3</v>
      </c>
      <c r="H434">
        <v>160</v>
      </c>
      <c r="I434" t="s">
        <v>121</v>
      </c>
      <c r="J434" t="s">
        <v>127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 t="shared" ref="S434:T437" si="131">"22:11:13.000"</f>
        <v>22:11:13.000</v>
      </c>
      <c r="T434" t="str">
        <f t="shared" si="131"/>
        <v>22:11:13.000</v>
      </c>
      <c r="U434" t="str">
        <f t="shared" si="117"/>
        <v>A9D71F</v>
      </c>
      <c r="V434">
        <v>0</v>
      </c>
      <c r="W434">
        <v>0</v>
      </c>
      <c r="X434">
        <v>2</v>
      </c>
      <c r="Z434">
        <v>1</v>
      </c>
      <c r="AA434">
        <v>8</v>
      </c>
      <c r="AB434">
        <v>3</v>
      </c>
      <c r="AC434">
        <v>0</v>
      </c>
      <c r="AD434">
        <v>9</v>
      </c>
      <c r="AE434">
        <v>0</v>
      </c>
      <c r="AF434">
        <v>3</v>
      </c>
      <c r="AG434">
        <v>1</v>
      </c>
      <c r="AH434">
        <v>0</v>
      </c>
      <c r="AI434" t="s">
        <v>241</v>
      </c>
      <c r="AJ434">
        <v>33.188065999999999</v>
      </c>
      <c r="AK434" t="s">
        <v>291</v>
      </c>
      <c r="AL434">
        <v>-97.775165999999999</v>
      </c>
      <c r="AM434">
        <v>25</v>
      </c>
      <c r="AN434">
        <v>2600</v>
      </c>
      <c r="AO434" t="s">
        <v>118</v>
      </c>
      <c r="AP434">
        <v>88</v>
      </c>
      <c r="AQ434">
        <v>2</v>
      </c>
      <c r="AR434">
        <v>640</v>
      </c>
      <c r="AZ434">
        <v>1200</v>
      </c>
      <c r="BA434">
        <v>1</v>
      </c>
      <c r="BB434" t="str">
        <f t="shared" si="124"/>
        <v xml:space="preserve">N733KP  </v>
      </c>
      <c r="BC434">
        <v>1</v>
      </c>
      <c r="BE434">
        <v>0</v>
      </c>
      <c r="BF434">
        <v>0</v>
      </c>
      <c r="BG434">
        <v>0</v>
      </c>
      <c r="BH434">
        <v>2600</v>
      </c>
      <c r="BI434">
        <v>1</v>
      </c>
      <c r="BJ434">
        <v>1</v>
      </c>
      <c r="BK434">
        <v>0</v>
      </c>
      <c r="BL434">
        <v>0</v>
      </c>
      <c r="BO434">
        <v>0</v>
      </c>
      <c r="BP434">
        <v>0</v>
      </c>
      <c r="BW434" t="str">
        <f>"22:11:13.957"</f>
        <v>22:11:13.957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364</v>
      </c>
      <c r="CR434">
        <v>0</v>
      </c>
      <c r="CW434">
        <v>1380718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"03/24/2022 22:11:14.177"</f>
        <v>03/24/2022 22:11:14.177</v>
      </c>
      <c r="C435" t="str">
        <f t="shared" si="122"/>
        <v>FFDFD3C0</v>
      </c>
      <c r="D435" t="s">
        <v>113</v>
      </c>
      <c r="E435">
        <v>24</v>
      </c>
      <c r="F435">
        <v>2024</v>
      </c>
      <c r="G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 t="shared" si="131"/>
        <v>22:11:13.000</v>
      </c>
      <c r="T435" t="str">
        <f t="shared" si="131"/>
        <v>22:11:13.000</v>
      </c>
      <c r="U435" t="str">
        <f t="shared" si="117"/>
        <v>A9D71F</v>
      </c>
      <c r="V435">
        <v>0</v>
      </c>
      <c r="W435">
        <v>0</v>
      </c>
      <c r="X435">
        <v>2</v>
      </c>
      <c r="Z435">
        <v>1</v>
      </c>
      <c r="AA435">
        <v>8</v>
      </c>
      <c r="AB435">
        <v>3</v>
      </c>
      <c r="AC435">
        <v>0</v>
      </c>
      <c r="AD435">
        <v>9</v>
      </c>
      <c r="AE435">
        <v>0</v>
      </c>
      <c r="AF435">
        <v>3</v>
      </c>
      <c r="AG435">
        <v>1</v>
      </c>
      <c r="AH435">
        <v>0</v>
      </c>
      <c r="AI435" t="s">
        <v>241</v>
      </c>
      <c r="AJ435">
        <v>33.188065999999999</v>
      </c>
      <c r="AK435" t="s">
        <v>291</v>
      </c>
      <c r="AL435">
        <v>-97.775165999999999</v>
      </c>
      <c r="AM435">
        <v>25</v>
      </c>
      <c r="AN435">
        <v>2600</v>
      </c>
      <c r="AO435" t="s">
        <v>118</v>
      </c>
      <c r="AP435">
        <v>88</v>
      </c>
      <c r="AQ435">
        <v>2</v>
      </c>
      <c r="AR435">
        <v>640</v>
      </c>
      <c r="AZ435">
        <v>1200</v>
      </c>
      <c r="BA435">
        <v>1</v>
      </c>
      <c r="BB435" t="str">
        <f t="shared" si="124"/>
        <v xml:space="preserve">N733KP  </v>
      </c>
      <c r="BC435">
        <v>1</v>
      </c>
      <c r="BE435">
        <v>0</v>
      </c>
      <c r="BF435">
        <v>0</v>
      </c>
      <c r="BG435">
        <v>0</v>
      </c>
      <c r="BH435">
        <v>2600</v>
      </c>
      <c r="BI435">
        <v>1</v>
      </c>
      <c r="BJ435">
        <v>1</v>
      </c>
      <c r="BK435">
        <v>0</v>
      </c>
      <c r="BL435">
        <v>0</v>
      </c>
      <c r="BO435">
        <v>0</v>
      </c>
      <c r="BP435">
        <v>0</v>
      </c>
      <c r="BW435" t="str">
        <f>"22:11:13.957"</f>
        <v>22:11:13.957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119</v>
      </c>
      <c r="CQ435">
        <v>364</v>
      </c>
      <c r="CR435">
        <v>0</v>
      </c>
      <c r="CW435">
        <v>1380718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"03/24/2022 22:11:14.177"</f>
        <v>03/24/2022 22:11:14.177</v>
      </c>
      <c r="C436" t="str">
        <f t="shared" si="122"/>
        <v>FFDFD3C0</v>
      </c>
      <c r="D436" t="s">
        <v>120</v>
      </c>
      <c r="E436">
        <v>14</v>
      </c>
      <c r="F436">
        <v>1014</v>
      </c>
      <c r="G436" t="s">
        <v>121</v>
      </c>
      <c r="J436" t="s">
        <v>122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 t="shared" si="131"/>
        <v>22:11:13.000</v>
      </c>
      <c r="T436" t="str">
        <f t="shared" si="131"/>
        <v>22:11:13.000</v>
      </c>
      <c r="U436" t="str">
        <f t="shared" si="117"/>
        <v>A9D71F</v>
      </c>
      <c r="V436">
        <v>0</v>
      </c>
      <c r="W436">
        <v>0</v>
      </c>
      <c r="X436">
        <v>2</v>
      </c>
      <c r="Z436">
        <v>1</v>
      </c>
      <c r="AA436">
        <v>8</v>
      </c>
      <c r="AB436">
        <v>3</v>
      </c>
      <c r="AC436">
        <v>0</v>
      </c>
      <c r="AD436">
        <v>9</v>
      </c>
      <c r="AE436">
        <v>0</v>
      </c>
      <c r="AF436">
        <v>3</v>
      </c>
      <c r="AG436">
        <v>1</v>
      </c>
      <c r="AH436">
        <v>0</v>
      </c>
      <c r="AI436" t="s">
        <v>241</v>
      </c>
      <c r="AJ436">
        <v>33.188065999999999</v>
      </c>
      <c r="AK436" t="s">
        <v>291</v>
      </c>
      <c r="AL436">
        <v>-97.775165999999999</v>
      </c>
      <c r="AM436">
        <v>25</v>
      </c>
      <c r="AN436">
        <v>2600</v>
      </c>
      <c r="AO436" t="s">
        <v>118</v>
      </c>
      <c r="AP436">
        <v>88</v>
      </c>
      <c r="AQ436">
        <v>2</v>
      </c>
      <c r="AR436">
        <v>640</v>
      </c>
      <c r="AZ436">
        <v>1200</v>
      </c>
      <c r="BA436">
        <v>1</v>
      </c>
      <c r="BB436" t="str">
        <f t="shared" si="124"/>
        <v xml:space="preserve">N733KP  </v>
      </c>
      <c r="BC436">
        <v>1</v>
      </c>
      <c r="BE436">
        <v>0</v>
      </c>
      <c r="BF436">
        <v>0</v>
      </c>
      <c r="BG436">
        <v>0</v>
      </c>
      <c r="BH436">
        <v>2600</v>
      </c>
      <c r="BI436">
        <v>1</v>
      </c>
      <c r="BJ436">
        <v>1</v>
      </c>
      <c r="BK436">
        <v>0</v>
      </c>
      <c r="BL436">
        <v>0</v>
      </c>
      <c r="BO436">
        <v>0</v>
      </c>
      <c r="BP436">
        <v>0</v>
      </c>
      <c r="BW436" t="str">
        <f>"22:11:13.957"</f>
        <v>22:11:13.957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119</v>
      </c>
      <c r="CQ436">
        <v>364</v>
      </c>
      <c r="CR436">
        <v>0</v>
      </c>
      <c r="CW436">
        <v>1380718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"03/24/2022 22:11:14.177"</f>
        <v>03/24/2022 22:11:14.177</v>
      </c>
      <c r="C437" t="str">
        <f t="shared" si="122"/>
        <v>FFDFD3C0</v>
      </c>
      <c r="D437" t="s">
        <v>123</v>
      </c>
      <c r="E437">
        <v>8</v>
      </c>
      <c r="H437">
        <v>31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 t="shared" si="131"/>
        <v>22:11:13.000</v>
      </c>
      <c r="T437" t="str">
        <f t="shared" si="131"/>
        <v>22:11:13.000</v>
      </c>
      <c r="U437" t="str">
        <f t="shared" si="117"/>
        <v>A9D71F</v>
      </c>
      <c r="V437">
        <v>0</v>
      </c>
      <c r="W437">
        <v>0</v>
      </c>
      <c r="X437">
        <v>2</v>
      </c>
      <c r="Z437">
        <v>1</v>
      </c>
      <c r="AA437">
        <v>8</v>
      </c>
      <c r="AB437">
        <v>3</v>
      </c>
      <c r="AC437">
        <v>0</v>
      </c>
      <c r="AD437">
        <v>9</v>
      </c>
      <c r="AE437">
        <v>0</v>
      </c>
      <c r="AF437">
        <v>3</v>
      </c>
      <c r="AG437">
        <v>1</v>
      </c>
      <c r="AH437">
        <v>0</v>
      </c>
      <c r="AI437" t="s">
        <v>241</v>
      </c>
      <c r="AJ437">
        <v>33.188065999999999</v>
      </c>
      <c r="AK437" t="s">
        <v>291</v>
      </c>
      <c r="AL437">
        <v>-97.775165999999999</v>
      </c>
      <c r="AM437">
        <v>25</v>
      </c>
      <c r="AN437">
        <v>2600</v>
      </c>
      <c r="AO437" t="s">
        <v>118</v>
      </c>
      <c r="AP437">
        <v>88</v>
      </c>
      <c r="AQ437">
        <v>2</v>
      </c>
      <c r="AR437">
        <v>640</v>
      </c>
      <c r="AZ437">
        <v>1200</v>
      </c>
      <c r="BA437">
        <v>1</v>
      </c>
      <c r="BB437" t="str">
        <f t="shared" si="124"/>
        <v xml:space="preserve">N733KP  </v>
      </c>
      <c r="BC437">
        <v>1</v>
      </c>
      <c r="BE437">
        <v>0</v>
      </c>
      <c r="BF437">
        <v>0</v>
      </c>
      <c r="BG437">
        <v>0</v>
      </c>
      <c r="BH437">
        <v>2600</v>
      </c>
      <c r="BI437">
        <v>1</v>
      </c>
      <c r="BJ437">
        <v>1</v>
      </c>
      <c r="BK437">
        <v>0</v>
      </c>
      <c r="BL437">
        <v>0</v>
      </c>
      <c r="BO437">
        <v>0</v>
      </c>
      <c r="BP437">
        <v>0</v>
      </c>
      <c r="BW437" t="str">
        <f>"22:11:13.957"</f>
        <v>22:11:13.957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364</v>
      </c>
      <c r="CR437">
        <v>0</v>
      </c>
      <c r="CW437">
        <v>1380718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"03/24/2022 22:11:14.773"</f>
        <v>03/24/2022 22:11:14.773</v>
      </c>
      <c r="C438" t="str">
        <f t="shared" si="122"/>
        <v>FFDFD3C0</v>
      </c>
      <c r="D438" t="s">
        <v>123</v>
      </c>
      <c r="E438">
        <v>8</v>
      </c>
      <c r="H438">
        <v>31</v>
      </c>
      <c r="I438" t="s">
        <v>124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 t="shared" ref="S438:T441" si="132">"22:11:14.000"</f>
        <v>22:11:14.000</v>
      </c>
      <c r="T438" t="str">
        <f t="shared" si="132"/>
        <v>22:11:14.000</v>
      </c>
      <c r="U438" t="str">
        <f t="shared" si="117"/>
        <v>A9D71F</v>
      </c>
      <c r="V438">
        <v>0</v>
      </c>
      <c r="W438">
        <v>0</v>
      </c>
      <c r="X438">
        <v>2</v>
      </c>
      <c r="Z438">
        <v>1</v>
      </c>
      <c r="AA438">
        <v>8</v>
      </c>
      <c r="AB438">
        <v>3</v>
      </c>
      <c r="AC438">
        <v>0</v>
      </c>
      <c r="AD438">
        <v>9</v>
      </c>
      <c r="AE438">
        <v>0</v>
      </c>
      <c r="AF438">
        <v>3</v>
      </c>
      <c r="AG438">
        <v>1</v>
      </c>
      <c r="AH438">
        <v>0</v>
      </c>
      <c r="AI438" t="s">
        <v>241</v>
      </c>
      <c r="AJ438">
        <v>33.188065999999999</v>
      </c>
      <c r="AK438" t="s">
        <v>292</v>
      </c>
      <c r="AL438">
        <v>-97.774693999999997</v>
      </c>
      <c r="AM438">
        <v>25</v>
      </c>
      <c r="AN438">
        <v>2700</v>
      </c>
      <c r="AO438" t="s">
        <v>118</v>
      </c>
      <c r="AP438">
        <v>85</v>
      </c>
      <c r="AQ438">
        <v>6</v>
      </c>
      <c r="AR438">
        <v>640</v>
      </c>
      <c r="AZ438">
        <v>1200</v>
      </c>
      <c r="BA438">
        <v>1</v>
      </c>
      <c r="BB438" t="str">
        <f t="shared" si="124"/>
        <v xml:space="preserve">N733KP  </v>
      </c>
      <c r="BC438">
        <v>1</v>
      </c>
      <c r="BE438">
        <v>0</v>
      </c>
      <c r="BF438">
        <v>0</v>
      </c>
      <c r="BG438">
        <v>0</v>
      </c>
      <c r="BH438">
        <v>2600</v>
      </c>
      <c r="BI438">
        <v>1</v>
      </c>
      <c r="BJ438">
        <v>1</v>
      </c>
      <c r="BK438">
        <v>0</v>
      </c>
      <c r="BL438">
        <v>0</v>
      </c>
      <c r="BO438">
        <v>0</v>
      </c>
      <c r="BP438">
        <v>0</v>
      </c>
      <c r="BW438" t="str">
        <f>"22:11:14.578"</f>
        <v>22:11:14.578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119</v>
      </c>
      <c r="CQ438">
        <v>364</v>
      </c>
      <c r="CR438">
        <v>0</v>
      </c>
      <c r="CW438">
        <v>1380803</v>
      </c>
      <c r="CY438">
        <v>1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"03/24/2022 22:11:14.773"</f>
        <v>03/24/2022 22:11:14.773</v>
      </c>
      <c r="C439" t="str">
        <f t="shared" si="122"/>
        <v>FFDFD3C0</v>
      </c>
      <c r="D439" t="s">
        <v>126</v>
      </c>
      <c r="E439">
        <v>3</v>
      </c>
      <c r="H439">
        <v>160</v>
      </c>
      <c r="I439" t="s">
        <v>121</v>
      </c>
      <c r="J439" t="s">
        <v>127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 t="shared" si="132"/>
        <v>22:11:14.000</v>
      </c>
      <c r="T439" t="str">
        <f t="shared" si="132"/>
        <v>22:11:14.000</v>
      </c>
      <c r="U439" t="str">
        <f t="shared" si="117"/>
        <v>A9D71F</v>
      </c>
      <c r="V439">
        <v>0</v>
      </c>
      <c r="W439">
        <v>0</v>
      </c>
      <c r="X439">
        <v>2</v>
      </c>
      <c r="Z439">
        <v>1</v>
      </c>
      <c r="AA439">
        <v>8</v>
      </c>
      <c r="AB439">
        <v>3</v>
      </c>
      <c r="AC439">
        <v>0</v>
      </c>
      <c r="AD439">
        <v>9</v>
      </c>
      <c r="AE439">
        <v>0</v>
      </c>
      <c r="AF439">
        <v>3</v>
      </c>
      <c r="AG439">
        <v>1</v>
      </c>
      <c r="AH439">
        <v>0</v>
      </c>
      <c r="AI439" t="s">
        <v>241</v>
      </c>
      <c r="AJ439">
        <v>33.188065999999999</v>
      </c>
      <c r="AK439" t="s">
        <v>292</v>
      </c>
      <c r="AL439">
        <v>-97.774693999999997</v>
      </c>
      <c r="AM439">
        <v>25</v>
      </c>
      <c r="AN439">
        <v>2700</v>
      </c>
      <c r="AO439" t="s">
        <v>118</v>
      </c>
      <c r="AP439">
        <v>85</v>
      </c>
      <c r="AQ439">
        <v>6</v>
      </c>
      <c r="AR439">
        <v>640</v>
      </c>
      <c r="AZ439">
        <v>1200</v>
      </c>
      <c r="BA439">
        <v>1</v>
      </c>
      <c r="BB439" t="str">
        <f t="shared" si="124"/>
        <v xml:space="preserve">N733KP  </v>
      </c>
      <c r="BC439">
        <v>1</v>
      </c>
      <c r="BE439">
        <v>0</v>
      </c>
      <c r="BF439">
        <v>0</v>
      </c>
      <c r="BG439">
        <v>0</v>
      </c>
      <c r="BH439">
        <v>2600</v>
      </c>
      <c r="BI439">
        <v>1</v>
      </c>
      <c r="BJ439">
        <v>1</v>
      </c>
      <c r="BK439">
        <v>0</v>
      </c>
      <c r="BL439">
        <v>0</v>
      </c>
      <c r="BO439">
        <v>0</v>
      </c>
      <c r="BP439">
        <v>0</v>
      </c>
      <c r="BW439" t="str">
        <f>"22:11:14.578"</f>
        <v>22:11:14.578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119</v>
      </c>
      <c r="CQ439">
        <v>364</v>
      </c>
      <c r="CR439">
        <v>0</v>
      </c>
      <c r="CW439">
        <v>1380803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"03/24/2022 22:11:14.805"</f>
        <v>03/24/2022 22:11:14.805</v>
      </c>
      <c r="C440" t="str">
        <f t="shared" si="122"/>
        <v>FFDFD3C0</v>
      </c>
      <c r="D440" t="s">
        <v>120</v>
      </c>
      <c r="E440">
        <v>14</v>
      </c>
      <c r="F440">
        <v>1014</v>
      </c>
      <c r="G440" t="s">
        <v>121</v>
      </c>
      <c r="J440" t="s">
        <v>122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 t="shared" si="132"/>
        <v>22:11:14.000</v>
      </c>
      <c r="T440" t="str">
        <f t="shared" si="132"/>
        <v>22:11:14.000</v>
      </c>
      <c r="U440" t="str">
        <f t="shared" si="117"/>
        <v>A9D71F</v>
      </c>
      <c r="V440">
        <v>0</v>
      </c>
      <c r="W440">
        <v>0</v>
      </c>
      <c r="X440">
        <v>2</v>
      </c>
      <c r="Z440">
        <v>1</v>
      </c>
      <c r="AA440">
        <v>8</v>
      </c>
      <c r="AB440">
        <v>3</v>
      </c>
      <c r="AC440">
        <v>0</v>
      </c>
      <c r="AD440">
        <v>9</v>
      </c>
      <c r="AE440">
        <v>0</v>
      </c>
      <c r="AF440">
        <v>3</v>
      </c>
      <c r="AG440">
        <v>1</v>
      </c>
      <c r="AH440">
        <v>0</v>
      </c>
      <c r="AI440" t="s">
        <v>241</v>
      </c>
      <c r="AJ440">
        <v>33.188065999999999</v>
      </c>
      <c r="AK440" t="s">
        <v>292</v>
      </c>
      <c r="AL440">
        <v>-97.774693999999997</v>
      </c>
      <c r="AM440">
        <v>25</v>
      </c>
      <c r="AN440">
        <v>2700</v>
      </c>
      <c r="AO440" t="s">
        <v>118</v>
      </c>
      <c r="AP440">
        <v>85</v>
      </c>
      <c r="AQ440">
        <v>6</v>
      </c>
      <c r="AR440">
        <v>640</v>
      </c>
      <c r="AZ440">
        <v>1200</v>
      </c>
      <c r="BA440">
        <v>1</v>
      </c>
      <c r="BB440" t="str">
        <f t="shared" si="124"/>
        <v xml:space="preserve">N733KP  </v>
      </c>
      <c r="BC440">
        <v>1</v>
      </c>
      <c r="BE440">
        <v>0</v>
      </c>
      <c r="BF440">
        <v>0</v>
      </c>
      <c r="BG440">
        <v>0</v>
      </c>
      <c r="BH440">
        <v>2600</v>
      </c>
      <c r="BI440">
        <v>1</v>
      </c>
      <c r="BJ440">
        <v>1</v>
      </c>
      <c r="BK440">
        <v>0</v>
      </c>
      <c r="BL440">
        <v>0</v>
      </c>
      <c r="BO440">
        <v>0</v>
      </c>
      <c r="BP440">
        <v>0</v>
      </c>
      <c r="BW440" t="str">
        <f>"22:11:14.578"</f>
        <v>22:11:14.578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119</v>
      </c>
      <c r="CQ440">
        <v>364</v>
      </c>
      <c r="CR440">
        <v>0</v>
      </c>
      <c r="CW440">
        <v>1380803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"03/24/2022 22:11:14.805"</f>
        <v>03/24/2022 22:11:14.805</v>
      </c>
      <c r="C441" t="str">
        <f t="shared" si="122"/>
        <v>FFDFD3C0</v>
      </c>
      <c r="D441" t="s">
        <v>113</v>
      </c>
      <c r="E441">
        <v>24</v>
      </c>
      <c r="F441">
        <v>2024</v>
      </c>
      <c r="G441" t="s">
        <v>114</v>
      </c>
      <c r="J441" t="s">
        <v>115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 t="shared" si="132"/>
        <v>22:11:14.000</v>
      </c>
      <c r="T441" t="str">
        <f t="shared" si="132"/>
        <v>22:11:14.000</v>
      </c>
      <c r="U441" t="str">
        <f t="shared" si="117"/>
        <v>A9D71F</v>
      </c>
      <c r="V441">
        <v>0</v>
      </c>
      <c r="W441">
        <v>0</v>
      </c>
      <c r="X441">
        <v>2</v>
      </c>
      <c r="Z441">
        <v>1</v>
      </c>
      <c r="AA441">
        <v>8</v>
      </c>
      <c r="AB441">
        <v>3</v>
      </c>
      <c r="AC441">
        <v>0</v>
      </c>
      <c r="AD441">
        <v>9</v>
      </c>
      <c r="AE441">
        <v>0</v>
      </c>
      <c r="AF441">
        <v>3</v>
      </c>
      <c r="AG441">
        <v>1</v>
      </c>
      <c r="AH441">
        <v>0</v>
      </c>
      <c r="AI441" t="s">
        <v>241</v>
      </c>
      <c r="AJ441">
        <v>33.188065999999999</v>
      </c>
      <c r="AK441" t="s">
        <v>292</v>
      </c>
      <c r="AL441">
        <v>-97.774693999999997</v>
      </c>
      <c r="AM441">
        <v>25</v>
      </c>
      <c r="AN441">
        <v>2700</v>
      </c>
      <c r="AO441" t="s">
        <v>118</v>
      </c>
      <c r="AP441">
        <v>85</v>
      </c>
      <c r="AQ441">
        <v>6</v>
      </c>
      <c r="AR441">
        <v>640</v>
      </c>
      <c r="AZ441">
        <v>1200</v>
      </c>
      <c r="BA441">
        <v>1</v>
      </c>
      <c r="BB441" t="str">
        <f t="shared" si="124"/>
        <v xml:space="preserve">N733KP  </v>
      </c>
      <c r="BC441">
        <v>1</v>
      </c>
      <c r="BE441">
        <v>0</v>
      </c>
      <c r="BF441">
        <v>0</v>
      </c>
      <c r="BG441">
        <v>0</v>
      </c>
      <c r="BH441">
        <v>2600</v>
      </c>
      <c r="BI441">
        <v>1</v>
      </c>
      <c r="BJ441">
        <v>1</v>
      </c>
      <c r="BK441">
        <v>0</v>
      </c>
      <c r="BL441">
        <v>0</v>
      </c>
      <c r="BO441">
        <v>0</v>
      </c>
      <c r="BP441">
        <v>0</v>
      </c>
      <c r="BW441" t="str">
        <f>"22:11:14.578"</f>
        <v>22:11:14.578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119</v>
      </c>
      <c r="CQ441">
        <v>364</v>
      </c>
      <c r="CR441">
        <v>0</v>
      </c>
      <c r="CW441">
        <v>1380803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"03/24/2022 22:11:16.149"</f>
        <v>03/24/2022 22:11:16.149</v>
      </c>
      <c r="C442" t="str">
        <f t="shared" si="122"/>
        <v>FFDFD3C0</v>
      </c>
      <c r="D442" t="s">
        <v>123</v>
      </c>
      <c r="E442">
        <v>8</v>
      </c>
      <c r="H442">
        <v>31</v>
      </c>
      <c r="I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 t="shared" ref="S442:T445" si="133">"22:11:15.000"</f>
        <v>22:11:15.000</v>
      </c>
      <c r="T442" t="str">
        <f t="shared" si="133"/>
        <v>22:11:15.000</v>
      </c>
      <c r="U442" t="str">
        <f t="shared" si="117"/>
        <v>A9D71F</v>
      </c>
      <c r="V442">
        <v>0</v>
      </c>
      <c r="W442">
        <v>0</v>
      </c>
      <c r="X442">
        <v>2</v>
      </c>
      <c r="Z442">
        <v>1</v>
      </c>
      <c r="AA442">
        <v>8</v>
      </c>
      <c r="AB442">
        <v>3</v>
      </c>
      <c r="AC442">
        <v>0</v>
      </c>
      <c r="AD442">
        <v>9</v>
      </c>
      <c r="AE442">
        <v>0</v>
      </c>
      <c r="AF442">
        <v>3</v>
      </c>
      <c r="AG442">
        <v>1</v>
      </c>
      <c r="AH442">
        <v>0</v>
      </c>
      <c r="AI442" t="s">
        <v>236</v>
      </c>
      <c r="AJ442">
        <v>33.188108999999997</v>
      </c>
      <c r="AK442" t="s">
        <v>293</v>
      </c>
      <c r="AL442">
        <v>-97.774221999999995</v>
      </c>
      <c r="AM442">
        <v>25</v>
      </c>
      <c r="AN442">
        <v>2700</v>
      </c>
      <c r="AO442" t="s">
        <v>118</v>
      </c>
      <c r="AP442">
        <v>87</v>
      </c>
      <c r="AQ442">
        <v>2</v>
      </c>
      <c r="AR442">
        <v>640</v>
      </c>
      <c r="AZ442">
        <v>1200</v>
      </c>
      <c r="BA442">
        <v>1</v>
      </c>
      <c r="BB442" t="str">
        <f t="shared" si="124"/>
        <v xml:space="preserve">N733KP  </v>
      </c>
      <c r="BC442">
        <v>1</v>
      </c>
      <c r="BE442">
        <v>0</v>
      </c>
      <c r="BF442">
        <v>0</v>
      </c>
      <c r="BG442">
        <v>0</v>
      </c>
      <c r="BH442">
        <v>2625</v>
      </c>
      <c r="BI442">
        <v>1</v>
      </c>
      <c r="BJ442">
        <v>1</v>
      </c>
      <c r="BK442">
        <v>0</v>
      </c>
      <c r="BL442">
        <v>0</v>
      </c>
      <c r="BO442">
        <v>0</v>
      </c>
      <c r="BP442">
        <v>0</v>
      </c>
      <c r="BW442" t="str">
        <f>"22:11:15.938"</f>
        <v>22:11:15.938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119</v>
      </c>
      <c r="CQ442">
        <v>364</v>
      </c>
      <c r="CR442">
        <v>0</v>
      </c>
      <c r="CW442">
        <v>1380996</v>
      </c>
      <c r="CY442">
        <v>1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"03/24/2022 22:11:16.149"</f>
        <v>03/24/2022 22:11:16.149</v>
      </c>
      <c r="C443" t="str">
        <f t="shared" si="122"/>
        <v>FFDFD3C0</v>
      </c>
      <c r="D443" t="s">
        <v>126</v>
      </c>
      <c r="E443">
        <v>3</v>
      </c>
      <c r="H443">
        <v>160</v>
      </c>
      <c r="I443" t="s">
        <v>121</v>
      </c>
      <c r="J443" t="s">
        <v>127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 t="shared" si="133"/>
        <v>22:11:15.000</v>
      </c>
      <c r="T443" t="str">
        <f t="shared" si="133"/>
        <v>22:11:15.000</v>
      </c>
      <c r="U443" t="str">
        <f t="shared" si="117"/>
        <v>A9D71F</v>
      </c>
      <c r="V443">
        <v>0</v>
      </c>
      <c r="W443">
        <v>0</v>
      </c>
      <c r="X443">
        <v>2</v>
      </c>
      <c r="Z443">
        <v>1</v>
      </c>
      <c r="AA443">
        <v>8</v>
      </c>
      <c r="AB443">
        <v>3</v>
      </c>
      <c r="AC443">
        <v>0</v>
      </c>
      <c r="AD443">
        <v>9</v>
      </c>
      <c r="AE443">
        <v>0</v>
      </c>
      <c r="AF443">
        <v>3</v>
      </c>
      <c r="AG443">
        <v>1</v>
      </c>
      <c r="AH443">
        <v>0</v>
      </c>
      <c r="AI443" t="s">
        <v>236</v>
      </c>
      <c r="AJ443">
        <v>33.188108999999997</v>
      </c>
      <c r="AK443" t="s">
        <v>293</v>
      </c>
      <c r="AL443">
        <v>-97.774221999999995</v>
      </c>
      <c r="AM443">
        <v>25</v>
      </c>
      <c r="AN443">
        <v>2700</v>
      </c>
      <c r="AO443" t="s">
        <v>118</v>
      </c>
      <c r="AP443">
        <v>87</v>
      </c>
      <c r="AQ443">
        <v>2</v>
      </c>
      <c r="AR443">
        <v>640</v>
      </c>
      <c r="AZ443">
        <v>1200</v>
      </c>
      <c r="BA443">
        <v>1</v>
      </c>
      <c r="BB443" t="str">
        <f t="shared" si="124"/>
        <v xml:space="preserve">N733KP  </v>
      </c>
      <c r="BC443">
        <v>1</v>
      </c>
      <c r="BE443">
        <v>0</v>
      </c>
      <c r="BF443">
        <v>0</v>
      </c>
      <c r="BG443">
        <v>0</v>
      </c>
      <c r="BH443">
        <v>2625</v>
      </c>
      <c r="BI443">
        <v>1</v>
      </c>
      <c r="BJ443">
        <v>1</v>
      </c>
      <c r="BK443">
        <v>0</v>
      </c>
      <c r="BL443">
        <v>0</v>
      </c>
      <c r="BO443">
        <v>0</v>
      </c>
      <c r="BP443">
        <v>0</v>
      </c>
      <c r="BW443" t="str">
        <f>"22:11:15.938"</f>
        <v>22:11:15.938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119</v>
      </c>
      <c r="CQ443">
        <v>364</v>
      </c>
      <c r="CR443">
        <v>0</v>
      </c>
      <c r="CW443">
        <v>1380996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"03/24/2022 22:11:16.181"</f>
        <v>03/24/2022 22:11:16.181</v>
      </c>
      <c r="C444" t="str">
        <f t="shared" si="122"/>
        <v>FFDFD3C0</v>
      </c>
      <c r="D444" t="s">
        <v>113</v>
      </c>
      <c r="E444">
        <v>24</v>
      </c>
      <c r="F444">
        <v>2024</v>
      </c>
      <c r="G444" t="s">
        <v>114</v>
      </c>
      <c r="J444" t="s">
        <v>115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 t="shared" si="133"/>
        <v>22:11:15.000</v>
      </c>
      <c r="T444" t="str">
        <f t="shared" si="133"/>
        <v>22:11:15.000</v>
      </c>
      <c r="U444" t="str">
        <f t="shared" si="117"/>
        <v>A9D71F</v>
      </c>
      <c r="V444">
        <v>0</v>
      </c>
      <c r="W444">
        <v>0</v>
      </c>
      <c r="X444">
        <v>2</v>
      </c>
      <c r="Z444">
        <v>1</v>
      </c>
      <c r="AA444">
        <v>8</v>
      </c>
      <c r="AB444">
        <v>3</v>
      </c>
      <c r="AC444">
        <v>0</v>
      </c>
      <c r="AD444">
        <v>9</v>
      </c>
      <c r="AE444">
        <v>0</v>
      </c>
      <c r="AF444">
        <v>3</v>
      </c>
      <c r="AG444">
        <v>1</v>
      </c>
      <c r="AH444">
        <v>0</v>
      </c>
      <c r="AI444" t="s">
        <v>236</v>
      </c>
      <c r="AJ444">
        <v>33.188108999999997</v>
      </c>
      <c r="AK444" t="s">
        <v>293</v>
      </c>
      <c r="AL444">
        <v>-97.774221999999995</v>
      </c>
      <c r="AM444">
        <v>25</v>
      </c>
      <c r="AN444">
        <v>2700</v>
      </c>
      <c r="AO444" t="s">
        <v>118</v>
      </c>
      <c r="AP444">
        <v>87</v>
      </c>
      <c r="AQ444">
        <v>2</v>
      </c>
      <c r="AR444">
        <v>640</v>
      </c>
      <c r="AZ444">
        <v>1200</v>
      </c>
      <c r="BA444">
        <v>1</v>
      </c>
      <c r="BB444" t="str">
        <f t="shared" si="124"/>
        <v xml:space="preserve">N733KP  </v>
      </c>
      <c r="BC444">
        <v>1</v>
      </c>
      <c r="BE444">
        <v>0</v>
      </c>
      <c r="BF444">
        <v>0</v>
      </c>
      <c r="BG444">
        <v>0</v>
      </c>
      <c r="BH444">
        <v>2625</v>
      </c>
      <c r="BI444">
        <v>1</v>
      </c>
      <c r="BJ444">
        <v>1</v>
      </c>
      <c r="BK444">
        <v>0</v>
      </c>
      <c r="BL444">
        <v>0</v>
      </c>
      <c r="BO444">
        <v>0</v>
      </c>
      <c r="BP444">
        <v>0</v>
      </c>
      <c r="BW444" t="str">
        <f>"22:11:15.938"</f>
        <v>22:11:15.938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364</v>
      </c>
      <c r="CR444">
        <v>0</v>
      </c>
      <c r="CW444">
        <v>1380996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"03/24/2022 22:11:16.181"</f>
        <v>03/24/2022 22:11:16.181</v>
      </c>
      <c r="C445" t="str">
        <f t="shared" si="122"/>
        <v>FFDFD3C0</v>
      </c>
      <c r="D445" t="s">
        <v>120</v>
      </c>
      <c r="E445">
        <v>14</v>
      </c>
      <c r="F445">
        <v>1014</v>
      </c>
      <c r="G445" t="s">
        <v>121</v>
      </c>
      <c r="J445" t="s">
        <v>122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 t="shared" si="133"/>
        <v>22:11:15.000</v>
      </c>
      <c r="T445" t="str">
        <f t="shared" si="133"/>
        <v>22:11:15.000</v>
      </c>
      <c r="U445" t="str">
        <f t="shared" si="117"/>
        <v>A9D71F</v>
      </c>
      <c r="V445">
        <v>0</v>
      </c>
      <c r="W445">
        <v>0</v>
      </c>
      <c r="X445">
        <v>2</v>
      </c>
      <c r="Z445">
        <v>1</v>
      </c>
      <c r="AA445">
        <v>8</v>
      </c>
      <c r="AB445">
        <v>3</v>
      </c>
      <c r="AC445">
        <v>0</v>
      </c>
      <c r="AD445">
        <v>9</v>
      </c>
      <c r="AE445">
        <v>0</v>
      </c>
      <c r="AF445">
        <v>3</v>
      </c>
      <c r="AG445">
        <v>1</v>
      </c>
      <c r="AH445">
        <v>0</v>
      </c>
      <c r="AI445" t="s">
        <v>236</v>
      </c>
      <c r="AJ445">
        <v>33.188108999999997</v>
      </c>
      <c r="AK445" t="s">
        <v>293</v>
      </c>
      <c r="AL445">
        <v>-97.774221999999995</v>
      </c>
      <c r="AM445">
        <v>25</v>
      </c>
      <c r="AN445">
        <v>2700</v>
      </c>
      <c r="AO445" t="s">
        <v>118</v>
      </c>
      <c r="AP445">
        <v>87</v>
      </c>
      <c r="AQ445">
        <v>2</v>
      </c>
      <c r="AR445">
        <v>640</v>
      </c>
      <c r="AZ445">
        <v>1200</v>
      </c>
      <c r="BA445">
        <v>1</v>
      </c>
      <c r="BB445" t="str">
        <f t="shared" si="124"/>
        <v xml:space="preserve">N733KP  </v>
      </c>
      <c r="BC445">
        <v>1</v>
      </c>
      <c r="BE445">
        <v>0</v>
      </c>
      <c r="BF445">
        <v>0</v>
      </c>
      <c r="BG445">
        <v>0</v>
      </c>
      <c r="BH445">
        <v>2625</v>
      </c>
      <c r="BI445">
        <v>1</v>
      </c>
      <c r="BJ445">
        <v>1</v>
      </c>
      <c r="BK445">
        <v>0</v>
      </c>
      <c r="BL445">
        <v>0</v>
      </c>
      <c r="BO445">
        <v>0</v>
      </c>
      <c r="BP445">
        <v>0</v>
      </c>
      <c r="BW445" t="str">
        <f>"22:11:15.938"</f>
        <v>22:11:15.938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364</v>
      </c>
      <c r="CR445">
        <v>0</v>
      </c>
      <c r="CW445">
        <v>1380996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"03/24/2022 22:11:16.540"</f>
        <v>03/24/2022 22:11:16.540</v>
      </c>
      <c r="C446" t="str">
        <f t="shared" si="122"/>
        <v>FFDFD3C0</v>
      </c>
      <c r="D446" t="s">
        <v>113</v>
      </c>
      <c r="E446">
        <v>24</v>
      </c>
      <c r="F446">
        <v>2024</v>
      </c>
      <c r="G446" t="s">
        <v>114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 t="shared" ref="S446:T449" si="134">"22:11:16.000"</f>
        <v>22:11:16.000</v>
      </c>
      <c r="T446" t="str">
        <f t="shared" si="134"/>
        <v>22:11:16.000</v>
      </c>
      <c r="U446" t="str">
        <f t="shared" si="117"/>
        <v>A9D71F</v>
      </c>
      <c r="V446">
        <v>0</v>
      </c>
      <c r="W446">
        <v>0</v>
      </c>
      <c r="X446">
        <v>2</v>
      </c>
      <c r="Z446">
        <v>1</v>
      </c>
      <c r="AA446">
        <v>8</v>
      </c>
      <c r="AB446">
        <v>3</v>
      </c>
      <c r="AC446">
        <v>0</v>
      </c>
      <c r="AD446">
        <v>9</v>
      </c>
      <c r="AE446">
        <v>0</v>
      </c>
      <c r="AF446">
        <v>3</v>
      </c>
      <c r="AG446">
        <v>1</v>
      </c>
      <c r="AH446">
        <v>0</v>
      </c>
      <c r="AI446" t="s">
        <v>294</v>
      </c>
      <c r="AJ446">
        <v>33.188130999999998</v>
      </c>
      <c r="AK446" t="s">
        <v>295</v>
      </c>
      <c r="AL446">
        <v>-97.773728000000006</v>
      </c>
      <c r="AM446">
        <v>25</v>
      </c>
      <c r="AN446">
        <v>2700</v>
      </c>
      <c r="AO446" t="s">
        <v>118</v>
      </c>
      <c r="AP446">
        <v>87</v>
      </c>
      <c r="AQ446">
        <v>3</v>
      </c>
      <c r="AR446">
        <v>576</v>
      </c>
      <c r="AZ446">
        <v>1200</v>
      </c>
      <c r="BA446">
        <v>1</v>
      </c>
      <c r="BB446" t="str">
        <f t="shared" si="124"/>
        <v xml:space="preserve">N733KP  </v>
      </c>
      <c r="BC446">
        <v>1</v>
      </c>
      <c r="BE446">
        <v>0</v>
      </c>
      <c r="BF446">
        <v>0</v>
      </c>
      <c r="BG446">
        <v>0</v>
      </c>
      <c r="BH446">
        <v>2625</v>
      </c>
      <c r="BI446">
        <v>1</v>
      </c>
      <c r="BJ446">
        <v>1</v>
      </c>
      <c r="BK446">
        <v>0</v>
      </c>
      <c r="BL446">
        <v>0</v>
      </c>
      <c r="BO446">
        <v>0</v>
      </c>
      <c r="BP446">
        <v>0</v>
      </c>
      <c r="BW446" t="str">
        <f>"22:11:16.359"</f>
        <v>22:11:16.359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364</v>
      </c>
      <c r="CR446">
        <v>0</v>
      </c>
      <c r="CW446">
        <v>1381058</v>
      </c>
      <c r="CY446">
        <v>1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"03/24/2022 22:11:16.540"</f>
        <v>03/24/2022 22:11:16.540</v>
      </c>
      <c r="C447" t="str">
        <f t="shared" si="122"/>
        <v>FFDFD3C0</v>
      </c>
      <c r="D447" t="s">
        <v>120</v>
      </c>
      <c r="E447">
        <v>14</v>
      </c>
      <c r="F447">
        <v>1014</v>
      </c>
      <c r="G447" t="s">
        <v>121</v>
      </c>
      <c r="J447" t="s">
        <v>122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 t="shared" si="134"/>
        <v>22:11:16.000</v>
      </c>
      <c r="T447" t="str">
        <f t="shared" si="134"/>
        <v>22:11:16.000</v>
      </c>
      <c r="U447" t="str">
        <f t="shared" si="117"/>
        <v>A9D71F</v>
      </c>
      <c r="V447">
        <v>0</v>
      </c>
      <c r="W447">
        <v>0</v>
      </c>
      <c r="X447">
        <v>2</v>
      </c>
      <c r="Z447">
        <v>1</v>
      </c>
      <c r="AA447">
        <v>8</v>
      </c>
      <c r="AB447">
        <v>3</v>
      </c>
      <c r="AC447">
        <v>0</v>
      </c>
      <c r="AD447">
        <v>9</v>
      </c>
      <c r="AE447">
        <v>0</v>
      </c>
      <c r="AF447">
        <v>3</v>
      </c>
      <c r="AG447">
        <v>1</v>
      </c>
      <c r="AH447">
        <v>0</v>
      </c>
      <c r="AI447" t="s">
        <v>294</v>
      </c>
      <c r="AJ447">
        <v>33.188130999999998</v>
      </c>
      <c r="AK447" t="s">
        <v>295</v>
      </c>
      <c r="AL447">
        <v>-97.773728000000006</v>
      </c>
      <c r="AM447">
        <v>25</v>
      </c>
      <c r="AN447">
        <v>2700</v>
      </c>
      <c r="AO447" t="s">
        <v>118</v>
      </c>
      <c r="AP447">
        <v>87</v>
      </c>
      <c r="AQ447">
        <v>3</v>
      </c>
      <c r="AR447">
        <v>576</v>
      </c>
      <c r="AZ447">
        <v>1200</v>
      </c>
      <c r="BA447">
        <v>1</v>
      </c>
      <c r="BB447" t="str">
        <f t="shared" si="124"/>
        <v xml:space="preserve">N733KP  </v>
      </c>
      <c r="BC447">
        <v>1</v>
      </c>
      <c r="BE447">
        <v>0</v>
      </c>
      <c r="BF447">
        <v>0</v>
      </c>
      <c r="BG447">
        <v>0</v>
      </c>
      <c r="BH447">
        <v>2625</v>
      </c>
      <c r="BI447">
        <v>1</v>
      </c>
      <c r="BJ447">
        <v>1</v>
      </c>
      <c r="BK447">
        <v>0</v>
      </c>
      <c r="BL447">
        <v>0</v>
      </c>
      <c r="BO447">
        <v>0</v>
      </c>
      <c r="BP447">
        <v>0</v>
      </c>
      <c r="BW447" t="str">
        <f>"22:11:16.359"</f>
        <v>22:11:16.359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364</v>
      </c>
      <c r="CR447">
        <v>0</v>
      </c>
      <c r="CW447">
        <v>1381058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"03/24/2022 22:11:16.540"</f>
        <v>03/24/2022 22:11:16.540</v>
      </c>
      <c r="C448" t="str">
        <f t="shared" si="122"/>
        <v>FFDFD3C0</v>
      </c>
      <c r="D448" t="s">
        <v>123</v>
      </c>
      <c r="E448">
        <v>8</v>
      </c>
      <c r="H448">
        <v>31</v>
      </c>
      <c r="I448" t="s">
        <v>124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 t="shared" si="134"/>
        <v>22:11:16.000</v>
      </c>
      <c r="T448" t="str">
        <f t="shared" si="134"/>
        <v>22:11:16.000</v>
      </c>
      <c r="U448" t="str">
        <f t="shared" si="117"/>
        <v>A9D71F</v>
      </c>
      <c r="V448">
        <v>0</v>
      </c>
      <c r="W448">
        <v>0</v>
      </c>
      <c r="X448">
        <v>2</v>
      </c>
      <c r="Z448">
        <v>1</v>
      </c>
      <c r="AA448">
        <v>8</v>
      </c>
      <c r="AB448">
        <v>3</v>
      </c>
      <c r="AC448">
        <v>0</v>
      </c>
      <c r="AD448">
        <v>9</v>
      </c>
      <c r="AE448">
        <v>0</v>
      </c>
      <c r="AF448">
        <v>3</v>
      </c>
      <c r="AG448">
        <v>1</v>
      </c>
      <c r="AH448">
        <v>0</v>
      </c>
      <c r="AI448" t="s">
        <v>294</v>
      </c>
      <c r="AJ448">
        <v>33.188130999999998</v>
      </c>
      <c r="AK448" t="s">
        <v>295</v>
      </c>
      <c r="AL448">
        <v>-97.773728000000006</v>
      </c>
      <c r="AM448">
        <v>25</v>
      </c>
      <c r="AN448">
        <v>2700</v>
      </c>
      <c r="AO448" t="s">
        <v>118</v>
      </c>
      <c r="AP448">
        <v>87</v>
      </c>
      <c r="AQ448">
        <v>3</v>
      </c>
      <c r="AR448">
        <v>576</v>
      </c>
      <c r="AZ448">
        <v>1200</v>
      </c>
      <c r="BA448">
        <v>1</v>
      </c>
      <c r="BB448" t="str">
        <f t="shared" si="124"/>
        <v xml:space="preserve">N733KP  </v>
      </c>
      <c r="BC448">
        <v>1</v>
      </c>
      <c r="BE448">
        <v>0</v>
      </c>
      <c r="BF448">
        <v>0</v>
      </c>
      <c r="BG448">
        <v>0</v>
      </c>
      <c r="BH448">
        <v>2625</v>
      </c>
      <c r="BI448">
        <v>1</v>
      </c>
      <c r="BJ448">
        <v>1</v>
      </c>
      <c r="BK448">
        <v>0</v>
      </c>
      <c r="BL448">
        <v>0</v>
      </c>
      <c r="BO448">
        <v>0</v>
      </c>
      <c r="BP448">
        <v>0</v>
      </c>
      <c r="BW448" t="str">
        <f>"22:11:16.359"</f>
        <v>22:11:16.359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364</v>
      </c>
      <c r="CR448">
        <v>0</v>
      </c>
      <c r="CW448">
        <v>1381058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"03/24/2022 22:11:16.619"</f>
        <v>03/24/2022 22:11:16.619</v>
      </c>
      <c r="C449" t="str">
        <f t="shared" si="122"/>
        <v>FFDFD3C0</v>
      </c>
      <c r="D449" t="s">
        <v>126</v>
      </c>
      <c r="E449">
        <v>3</v>
      </c>
      <c r="H449">
        <v>160</v>
      </c>
      <c r="I449" t="s">
        <v>121</v>
      </c>
      <c r="J449" t="s">
        <v>127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 t="shared" si="134"/>
        <v>22:11:16.000</v>
      </c>
      <c r="T449" t="str">
        <f t="shared" si="134"/>
        <v>22:11:16.000</v>
      </c>
      <c r="U449" t="str">
        <f t="shared" si="117"/>
        <v>A9D71F</v>
      </c>
      <c r="V449">
        <v>0</v>
      </c>
      <c r="W449">
        <v>0</v>
      </c>
      <c r="X449">
        <v>2</v>
      </c>
      <c r="Z449">
        <v>1</v>
      </c>
      <c r="AA449">
        <v>8</v>
      </c>
      <c r="AB449">
        <v>3</v>
      </c>
      <c r="AC449">
        <v>0</v>
      </c>
      <c r="AD449">
        <v>9</v>
      </c>
      <c r="AE449">
        <v>0</v>
      </c>
      <c r="AF449">
        <v>3</v>
      </c>
      <c r="AG449">
        <v>1</v>
      </c>
      <c r="AH449">
        <v>0</v>
      </c>
      <c r="AI449" t="s">
        <v>294</v>
      </c>
      <c r="AJ449">
        <v>33.188130999999998</v>
      </c>
      <c r="AK449" t="s">
        <v>295</v>
      </c>
      <c r="AL449">
        <v>-97.773728000000006</v>
      </c>
      <c r="AM449">
        <v>25</v>
      </c>
      <c r="AN449">
        <v>2700</v>
      </c>
      <c r="AO449" t="s">
        <v>118</v>
      </c>
      <c r="AP449">
        <v>87</v>
      </c>
      <c r="AQ449">
        <v>3</v>
      </c>
      <c r="AR449">
        <v>576</v>
      </c>
      <c r="AZ449">
        <v>1200</v>
      </c>
      <c r="BA449">
        <v>1</v>
      </c>
      <c r="BB449" t="str">
        <f t="shared" si="124"/>
        <v xml:space="preserve">N733KP  </v>
      </c>
      <c r="BC449">
        <v>1</v>
      </c>
      <c r="BE449">
        <v>0</v>
      </c>
      <c r="BF449">
        <v>0</v>
      </c>
      <c r="BG449">
        <v>0</v>
      </c>
      <c r="BH449">
        <v>2625</v>
      </c>
      <c r="BI449">
        <v>1</v>
      </c>
      <c r="BJ449">
        <v>1</v>
      </c>
      <c r="BK449">
        <v>0</v>
      </c>
      <c r="BL449">
        <v>0</v>
      </c>
      <c r="BO449">
        <v>0</v>
      </c>
      <c r="BP449">
        <v>0</v>
      </c>
      <c r="BW449" t="str">
        <f>"22:11:16.359"</f>
        <v>22:11:16.359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364</v>
      </c>
      <c r="CR449">
        <v>0</v>
      </c>
      <c r="CW449">
        <v>1381058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"03/24/2022 22:11:17.541"</f>
        <v>03/24/2022 22:11:17.541</v>
      </c>
      <c r="C450" t="str">
        <f t="shared" si="122"/>
        <v>FFDFD3C0</v>
      </c>
      <c r="D450" t="s">
        <v>126</v>
      </c>
      <c r="E450">
        <v>3</v>
      </c>
      <c r="H450">
        <v>160</v>
      </c>
      <c r="I450" t="s">
        <v>121</v>
      </c>
      <c r="J450" t="s">
        <v>127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 t="shared" ref="S450:T453" si="135">"22:11:17.000"</f>
        <v>22:11:17.000</v>
      </c>
      <c r="T450" t="str">
        <f t="shared" si="135"/>
        <v>22:11:17.000</v>
      </c>
      <c r="U450" t="str">
        <f t="shared" ref="U450:U513" si="136">"A9D71F"</f>
        <v>A9D71F</v>
      </c>
      <c r="V450">
        <v>0</v>
      </c>
      <c r="W450">
        <v>0</v>
      </c>
      <c r="X450">
        <v>2</v>
      </c>
      <c r="Z450">
        <v>1</v>
      </c>
      <c r="AA450">
        <v>8</v>
      </c>
      <c r="AB450">
        <v>3</v>
      </c>
      <c r="AC450">
        <v>0</v>
      </c>
      <c r="AD450">
        <v>9</v>
      </c>
      <c r="AE450">
        <v>0</v>
      </c>
      <c r="AF450">
        <v>3</v>
      </c>
      <c r="AG450">
        <v>1</v>
      </c>
      <c r="AH450">
        <v>0</v>
      </c>
      <c r="AI450" t="s">
        <v>236</v>
      </c>
      <c r="AJ450">
        <v>33.188108999999997</v>
      </c>
      <c r="AK450" t="s">
        <v>296</v>
      </c>
      <c r="AL450">
        <v>-97.773235</v>
      </c>
      <c r="AM450">
        <v>25</v>
      </c>
      <c r="AN450">
        <v>2700</v>
      </c>
      <c r="AO450" t="s">
        <v>118</v>
      </c>
      <c r="AP450">
        <v>88</v>
      </c>
      <c r="AQ450">
        <v>1</v>
      </c>
      <c r="AR450">
        <v>512</v>
      </c>
      <c r="AZ450">
        <v>1200</v>
      </c>
      <c r="BA450">
        <v>1</v>
      </c>
      <c r="BB450" t="str">
        <f t="shared" si="124"/>
        <v xml:space="preserve">N733KP  </v>
      </c>
      <c r="BC450">
        <v>1</v>
      </c>
      <c r="BE450">
        <v>0</v>
      </c>
      <c r="BF450">
        <v>0</v>
      </c>
      <c r="BG450">
        <v>0</v>
      </c>
      <c r="BH450">
        <v>2625</v>
      </c>
      <c r="BI450">
        <v>1</v>
      </c>
      <c r="BJ450">
        <v>1</v>
      </c>
      <c r="BK450">
        <v>0</v>
      </c>
      <c r="BL450">
        <v>0</v>
      </c>
      <c r="BO450">
        <v>0</v>
      </c>
      <c r="BP450">
        <v>0</v>
      </c>
      <c r="BW450" t="str">
        <f>"22:11:17.331"</f>
        <v>22:11:17.331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364</v>
      </c>
      <c r="CR450">
        <v>0</v>
      </c>
      <c r="CW450">
        <v>1381184</v>
      </c>
      <c r="CY450">
        <v>1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"03/24/2022 22:11:17.541"</f>
        <v>03/24/2022 22:11:17.541</v>
      </c>
      <c r="C451" t="str">
        <f t="shared" si="122"/>
        <v>FFDFD3C0</v>
      </c>
      <c r="D451" t="s">
        <v>113</v>
      </c>
      <c r="E451">
        <v>24</v>
      </c>
      <c r="F451">
        <v>2024</v>
      </c>
      <c r="G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 t="shared" si="135"/>
        <v>22:11:17.000</v>
      </c>
      <c r="T451" t="str">
        <f t="shared" si="135"/>
        <v>22:11:17.000</v>
      </c>
      <c r="U451" t="str">
        <f t="shared" si="136"/>
        <v>A9D71F</v>
      </c>
      <c r="V451">
        <v>0</v>
      </c>
      <c r="W451">
        <v>0</v>
      </c>
      <c r="X451">
        <v>2</v>
      </c>
      <c r="Z451">
        <v>1</v>
      </c>
      <c r="AA451">
        <v>8</v>
      </c>
      <c r="AB451">
        <v>3</v>
      </c>
      <c r="AC451">
        <v>0</v>
      </c>
      <c r="AD451">
        <v>9</v>
      </c>
      <c r="AE451">
        <v>0</v>
      </c>
      <c r="AF451">
        <v>3</v>
      </c>
      <c r="AG451">
        <v>1</v>
      </c>
      <c r="AH451">
        <v>0</v>
      </c>
      <c r="AI451" t="s">
        <v>236</v>
      </c>
      <c r="AJ451">
        <v>33.188108999999997</v>
      </c>
      <c r="AK451" t="s">
        <v>296</v>
      </c>
      <c r="AL451">
        <v>-97.773235</v>
      </c>
      <c r="AM451">
        <v>25</v>
      </c>
      <c r="AN451">
        <v>2700</v>
      </c>
      <c r="AO451" t="s">
        <v>118</v>
      </c>
      <c r="AP451">
        <v>88</v>
      </c>
      <c r="AQ451">
        <v>1</v>
      </c>
      <c r="AR451">
        <v>512</v>
      </c>
      <c r="AZ451">
        <v>1200</v>
      </c>
      <c r="BA451">
        <v>1</v>
      </c>
      <c r="BB451" t="str">
        <f t="shared" si="124"/>
        <v xml:space="preserve">N733KP  </v>
      </c>
      <c r="BC451">
        <v>1</v>
      </c>
      <c r="BE451">
        <v>0</v>
      </c>
      <c r="BF451">
        <v>0</v>
      </c>
      <c r="BG451">
        <v>0</v>
      </c>
      <c r="BH451">
        <v>2625</v>
      </c>
      <c r="BI451">
        <v>1</v>
      </c>
      <c r="BJ451">
        <v>1</v>
      </c>
      <c r="BK451">
        <v>0</v>
      </c>
      <c r="BL451">
        <v>0</v>
      </c>
      <c r="BO451">
        <v>0</v>
      </c>
      <c r="BP451">
        <v>0</v>
      </c>
      <c r="BW451" t="str">
        <f>"22:11:17.331"</f>
        <v>22:11:17.331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364</v>
      </c>
      <c r="CR451">
        <v>0</v>
      </c>
      <c r="CW451">
        <v>1381184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"03/24/2022 22:11:17.541"</f>
        <v>03/24/2022 22:11:17.541</v>
      </c>
      <c r="C452" t="str">
        <f t="shared" si="122"/>
        <v>FFDFD3C0</v>
      </c>
      <c r="D452" t="s">
        <v>123</v>
      </c>
      <c r="E452">
        <v>8</v>
      </c>
      <c r="H452">
        <v>31</v>
      </c>
      <c r="I452" t="s">
        <v>124</v>
      </c>
      <c r="J452" t="s">
        <v>125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 t="shared" si="135"/>
        <v>22:11:17.000</v>
      </c>
      <c r="T452" t="str">
        <f t="shared" si="135"/>
        <v>22:11:17.000</v>
      </c>
      <c r="U452" t="str">
        <f t="shared" si="136"/>
        <v>A9D71F</v>
      </c>
      <c r="V452">
        <v>0</v>
      </c>
      <c r="W452">
        <v>0</v>
      </c>
      <c r="X452">
        <v>2</v>
      </c>
      <c r="Z452">
        <v>1</v>
      </c>
      <c r="AA452">
        <v>8</v>
      </c>
      <c r="AB452">
        <v>3</v>
      </c>
      <c r="AC452">
        <v>0</v>
      </c>
      <c r="AD452">
        <v>9</v>
      </c>
      <c r="AE452">
        <v>0</v>
      </c>
      <c r="AF452">
        <v>3</v>
      </c>
      <c r="AG452">
        <v>1</v>
      </c>
      <c r="AH452">
        <v>0</v>
      </c>
      <c r="AI452" t="s">
        <v>236</v>
      </c>
      <c r="AJ452">
        <v>33.188108999999997</v>
      </c>
      <c r="AK452" t="s">
        <v>296</v>
      </c>
      <c r="AL452">
        <v>-97.773235</v>
      </c>
      <c r="AM452">
        <v>25</v>
      </c>
      <c r="AN452">
        <v>2700</v>
      </c>
      <c r="AO452" t="s">
        <v>118</v>
      </c>
      <c r="AP452">
        <v>88</v>
      </c>
      <c r="AQ452">
        <v>1</v>
      </c>
      <c r="AR452">
        <v>512</v>
      </c>
      <c r="AZ452">
        <v>1200</v>
      </c>
      <c r="BA452">
        <v>1</v>
      </c>
      <c r="BB452" t="str">
        <f t="shared" si="124"/>
        <v xml:space="preserve">N733KP  </v>
      </c>
      <c r="BC452">
        <v>1</v>
      </c>
      <c r="BE452">
        <v>0</v>
      </c>
      <c r="BF452">
        <v>0</v>
      </c>
      <c r="BG452">
        <v>0</v>
      </c>
      <c r="BH452">
        <v>2625</v>
      </c>
      <c r="BI452">
        <v>1</v>
      </c>
      <c r="BJ452">
        <v>1</v>
      </c>
      <c r="BK452">
        <v>0</v>
      </c>
      <c r="BL452">
        <v>0</v>
      </c>
      <c r="BO452">
        <v>0</v>
      </c>
      <c r="BP452">
        <v>0</v>
      </c>
      <c r="BW452" t="str">
        <f>"22:11:17.331"</f>
        <v>22:11:17.331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364</v>
      </c>
      <c r="CR452">
        <v>0</v>
      </c>
      <c r="CW452">
        <v>1381184</v>
      </c>
      <c r="CY452">
        <v>1</v>
      </c>
      <c r="CZ452">
        <v>0</v>
      </c>
      <c r="DA452">
        <v>1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"03/24/2022 22:11:17.541"</f>
        <v>03/24/2022 22:11:17.541</v>
      </c>
      <c r="C453" t="str">
        <f t="shared" si="122"/>
        <v>FFDFD3C0</v>
      </c>
      <c r="D453" t="s">
        <v>120</v>
      </c>
      <c r="E453">
        <v>14</v>
      </c>
      <c r="F453">
        <v>1014</v>
      </c>
      <c r="G453" t="s">
        <v>121</v>
      </c>
      <c r="J453" t="s">
        <v>122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 t="shared" si="135"/>
        <v>22:11:17.000</v>
      </c>
      <c r="T453" t="str">
        <f t="shared" si="135"/>
        <v>22:11:17.000</v>
      </c>
      <c r="U453" t="str">
        <f t="shared" si="136"/>
        <v>A9D71F</v>
      </c>
      <c r="V453">
        <v>0</v>
      </c>
      <c r="W453">
        <v>0</v>
      </c>
      <c r="X453">
        <v>2</v>
      </c>
      <c r="Z453">
        <v>1</v>
      </c>
      <c r="AA453">
        <v>8</v>
      </c>
      <c r="AB453">
        <v>3</v>
      </c>
      <c r="AC453">
        <v>0</v>
      </c>
      <c r="AD453">
        <v>9</v>
      </c>
      <c r="AE453">
        <v>0</v>
      </c>
      <c r="AF453">
        <v>3</v>
      </c>
      <c r="AG453">
        <v>1</v>
      </c>
      <c r="AH453">
        <v>0</v>
      </c>
      <c r="AI453" t="s">
        <v>236</v>
      </c>
      <c r="AJ453">
        <v>33.188108999999997</v>
      </c>
      <c r="AK453" t="s">
        <v>296</v>
      </c>
      <c r="AL453">
        <v>-97.773235</v>
      </c>
      <c r="AM453">
        <v>25</v>
      </c>
      <c r="AN453">
        <v>2700</v>
      </c>
      <c r="AO453" t="s">
        <v>118</v>
      </c>
      <c r="AP453">
        <v>88</v>
      </c>
      <c r="AQ453">
        <v>1</v>
      </c>
      <c r="AR453">
        <v>512</v>
      </c>
      <c r="AZ453">
        <v>1200</v>
      </c>
      <c r="BA453">
        <v>1</v>
      </c>
      <c r="BB453" t="str">
        <f t="shared" si="124"/>
        <v xml:space="preserve">N733KP  </v>
      </c>
      <c r="BC453">
        <v>1</v>
      </c>
      <c r="BE453">
        <v>0</v>
      </c>
      <c r="BF453">
        <v>0</v>
      </c>
      <c r="BG453">
        <v>0</v>
      </c>
      <c r="BH453">
        <v>2625</v>
      </c>
      <c r="BI453">
        <v>1</v>
      </c>
      <c r="BJ453">
        <v>1</v>
      </c>
      <c r="BK453">
        <v>0</v>
      </c>
      <c r="BL453">
        <v>0</v>
      </c>
      <c r="BO453">
        <v>0</v>
      </c>
      <c r="BP453">
        <v>0</v>
      </c>
      <c r="BW453" t="str">
        <f>"22:11:17.331"</f>
        <v>22:11:17.331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364</v>
      </c>
      <c r="CR453">
        <v>0</v>
      </c>
      <c r="CW453">
        <v>1381184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"03/24/2022 22:11:18.810"</f>
        <v>03/24/2022 22:11:18.810</v>
      </c>
      <c r="C454" t="str">
        <f t="shared" si="122"/>
        <v>FFDFD3C0</v>
      </c>
      <c r="D454" t="s">
        <v>126</v>
      </c>
      <c r="E454">
        <v>3</v>
      </c>
      <c r="H454">
        <v>160</v>
      </c>
      <c r="I454" t="s">
        <v>121</v>
      </c>
      <c r="J454" t="s">
        <v>127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 t="shared" ref="S454:T457" si="137">"22:11:18.000"</f>
        <v>22:11:18.000</v>
      </c>
      <c r="T454" t="str">
        <f t="shared" si="137"/>
        <v>22:11:18.000</v>
      </c>
      <c r="U454" t="str">
        <f t="shared" si="136"/>
        <v>A9D71F</v>
      </c>
      <c r="V454">
        <v>0</v>
      </c>
      <c r="W454">
        <v>0</v>
      </c>
      <c r="X454">
        <v>2</v>
      </c>
      <c r="Z454">
        <v>1</v>
      </c>
      <c r="AA454">
        <v>8</v>
      </c>
      <c r="AB454">
        <v>3</v>
      </c>
      <c r="AC454">
        <v>0</v>
      </c>
      <c r="AD454">
        <v>9</v>
      </c>
      <c r="AE454">
        <v>0</v>
      </c>
      <c r="AF454">
        <v>3</v>
      </c>
      <c r="AG454">
        <v>1</v>
      </c>
      <c r="AH454">
        <v>0</v>
      </c>
      <c r="AI454" t="s">
        <v>239</v>
      </c>
      <c r="AJ454">
        <v>33.188088</v>
      </c>
      <c r="AK454" t="s">
        <v>297</v>
      </c>
      <c r="AL454">
        <v>-97.772740999999996</v>
      </c>
      <c r="AM454">
        <v>25</v>
      </c>
      <c r="AN454">
        <v>2700</v>
      </c>
      <c r="AO454" t="s">
        <v>118</v>
      </c>
      <c r="AP454">
        <v>88</v>
      </c>
      <c r="AQ454">
        <v>0</v>
      </c>
      <c r="AR454">
        <v>512</v>
      </c>
      <c r="AZ454">
        <v>1200</v>
      </c>
      <c r="BA454">
        <v>1</v>
      </c>
      <c r="BB454" t="str">
        <f t="shared" si="124"/>
        <v xml:space="preserve">N733KP  </v>
      </c>
      <c r="BC454">
        <v>1</v>
      </c>
      <c r="BE454">
        <v>0</v>
      </c>
      <c r="BF454">
        <v>0</v>
      </c>
      <c r="BG454">
        <v>0</v>
      </c>
      <c r="BH454">
        <v>2675</v>
      </c>
      <c r="BI454">
        <v>1</v>
      </c>
      <c r="BJ454">
        <v>1</v>
      </c>
      <c r="BK454">
        <v>0</v>
      </c>
      <c r="BL454">
        <v>0</v>
      </c>
      <c r="BO454">
        <v>0</v>
      </c>
      <c r="BP454">
        <v>0</v>
      </c>
      <c r="BW454" t="str">
        <f>"22:11:18.552"</f>
        <v>22:11:18.552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364</v>
      </c>
      <c r="CR454">
        <v>0</v>
      </c>
      <c r="CW454">
        <v>1381345</v>
      </c>
      <c r="CY454">
        <v>1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"03/24/2022 22:11:18.810"</f>
        <v>03/24/2022 22:11:18.810</v>
      </c>
      <c r="C455" t="str">
        <f t="shared" si="122"/>
        <v>FFDFD3C0</v>
      </c>
      <c r="D455" t="s">
        <v>113</v>
      </c>
      <c r="E455">
        <v>24</v>
      </c>
      <c r="F455">
        <v>2024</v>
      </c>
      <c r="G455" t="s">
        <v>114</v>
      </c>
      <c r="J455" t="s">
        <v>115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 t="shared" si="137"/>
        <v>22:11:18.000</v>
      </c>
      <c r="T455" t="str">
        <f t="shared" si="137"/>
        <v>22:11:18.000</v>
      </c>
      <c r="U455" t="str">
        <f t="shared" si="136"/>
        <v>A9D71F</v>
      </c>
      <c r="V455">
        <v>0</v>
      </c>
      <c r="W455">
        <v>0</v>
      </c>
      <c r="X455">
        <v>2</v>
      </c>
      <c r="Z455">
        <v>1</v>
      </c>
      <c r="AA455">
        <v>8</v>
      </c>
      <c r="AB455">
        <v>3</v>
      </c>
      <c r="AC455">
        <v>0</v>
      </c>
      <c r="AD455">
        <v>9</v>
      </c>
      <c r="AE455">
        <v>0</v>
      </c>
      <c r="AF455">
        <v>3</v>
      </c>
      <c r="AG455">
        <v>1</v>
      </c>
      <c r="AH455">
        <v>0</v>
      </c>
      <c r="AI455" t="s">
        <v>239</v>
      </c>
      <c r="AJ455">
        <v>33.188088</v>
      </c>
      <c r="AK455" t="s">
        <v>297</v>
      </c>
      <c r="AL455">
        <v>-97.772740999999996</v>
      </c>
      <c r="AM455">
        <v>25</v>
      </c>
      <c r="AN455">
        <v>2700</v>
      </c>
      <c r="AO455" t="s">
        <v>118</v>
      </c>
      <c r="AP455">
        <v>88</v>
      </c>
      <c r="AQ455">
        <v>0</v>
      </c>
      <c r="AR455">
        <v>512</v>
      </c>
      <c r="AZ455">
        <v>1200</v>
      </c>
      <c r="BA455">
        <v>1</v>
      </c>
      <c r="BB455" t="str">
        <f t="shared" si="124"/>
        <v xml:space="preserve">N733KP  </v>
      </c>
      <c r="BC455">
        <v>1</v>
      </c>
      <c r="BE455">
        <v>0</v>
      </c>
      <c r="BF455">
        <v>0</v>
      </c>
      <c r="BG455">
        <v>0</v>
      </c>
      <c r="BH455">
        <v>2675</v>
      </c>
      <c r="BI455">
        <v>1</v>
      </c>
      <c r="BJ455">
        <v>1</v>
      </c>
      <c r="BK455">
        <v>0</v>
      </c>
      <c r="BL455">
        <v>0</v>
      </c>
      <c r="BO455">
        <v>0</v>
      </c>
      <c r="BP455">
        <v>0</v>
      </c>
      <c r="BW455" t="str">
        <f>"22:11:18.552"</f>
        <v>22:11:18.552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364</v>
      </c>
      <c r="CR455">
        <v>0</v>
      </c>
      <c r="CW455">
        <v>1381345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"03/24/2022 22:11:18.810"</f>
        <v>03/24/2022 22:11:18.810</v>
      </c>
      <c r="C456" t="str">
        <f t="shared" si="122"/>
        <v>FFDFD3C0</v>
      </c>
      <c r="D456" t="s">
        <v>123</v>
      </c>
      <c r="E456">
        <v>8</v>
      </c>
      <c r="H456">
        <v>31</v>
      </c>
      <c r="I456" t="s">
        <v>124</v>
      </c>
      <c r="J456" t="s">
        <v>125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 t="shared" si="137"/>
        <v>22:11:18.000</v>
      </c>
      <c r="T456" t="str">
        <f t="shared" si="137"/>
        <v>22:11:18.000</v>
      </c>
      <c r="U456" t="str">
        <f t="shared" si="136"/>
        <v>A9D71F</v>
      </c>
      <c r="V456">
        <v>0</v>
      </c>
      <c r="W456">
        <v>0</v>
      </c>
      <c r="X456">
        <v>2</v>
      </c>
      <c r="Z456">
        <v>1</v>
      </c>
      <c r="AA456">
        <v>8</v>
      </c>
      <c r="AB456">
        <v>3</v>
      </c>
      <c r="AC456">
        <v>0</v>
      </c>
      <c r="AD456">
        <v>9</v>
      </c>
      <c r="AE456">
        <v>0</v>
      </c>
      <c r="AF456">
        <v>3</v>
      </c>
      <c r="AG456">
        <v>1</v>
      </c>
      <c r="AH456">
        <v>0</v>
      </c>
      <c r="AI456" t="s">
        <v>239</v>
      </c>
      <c r="AJ456">
        <v>33.188088</v>
      </c>
      <c r="AK456" t="s">
        <v>297</v>
      </c>
      <c r="AL456">
        <v>-97.772740999999996</v>
      </c>
      <c r="AM456">
        <v>25</v>
      </c>
      <c r="AN456">
        <v>2700</v>
      </c>
      <c r="AO456" t="s">
        <v>118</v>
      </c>
      <c r="AP456">
        <v>88</v>
      </c>
      <c r="AQ456">
        <v>0</v>
      </c>
      <c r="AR456">
        <v>512</v>
      </c>
      <c r="AZ456">
        <v>1200</v>
      </c>
      <c r="BA456">
        <v>1</v>
      </c>
      <c r="BB456" t="str">
        <f t="shared" si="124"/>
        <v xml:space="preserve">N733KP  </v>
      </c>
      <c r="BC456">
        <v>1</v>
      </c>
      <c r="BE456">
        <v>0</v>
      </c>
      <c r="BF456">
        <v>0</v>
      </c>
      <c r="BG456">
        <v>0</v>
      </c>
      <c r="BH456">
        <v>2675</v>
      </c>
      <c r="BI456">
        <v>1</v>
      </c>
      <c r="BJ456">
        <v>1</v>
      </c>
      <c r="BK456">
        <v>0</v>
      </c>
      <c r="BL456">
        <v>0</v>
      </c>
      <c r="BO456">
        <v>0</v>
      </c>
      <c r="BP456">
        <v>0</v>
      </c>
      <c r="BW456" t="str">
        <f>"22:11:18.552"</f>
        <v>22:11:18.552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364</v>
      </c>
      <c r="CR456">
        <v>0</v>
      </c>
      <c r="CW456">
        <v>1381345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"03/24/2022 22:11:18.810"</f>
        <v>03/24/2022 22:11:18.810</v>
      </c>
      <c r="C457" t="str">
        <f t="shared" si="122"/>
        <v>FFDFD3C0</v>
      </c>
      <c r="D457" t="s">
        <v>120</v>
      </c>
      <c r="E457">
        <v>14</v>
      </c>
      <c r="F457">
        <v>1014</v>
      </c>
      <c r="G457" t="s">
        <v>121</v>
      </c>
      <c r="J457" t="s">
        <v>122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 t="shared" si="137"/>
        <v>22:11:18.000</v>
      </c>
      <c r="T457" t="str">
        <f t="shared" si="137"/>
        <v>22:11:18.000</v>
      </c>
      <c r="U457" t="str">
        <f t="shared" si="136"/>
        <v>A9D71F</v>
      </c>
      <c r="V457">
        <v>0</v>
      </c>
      <c r="W457">
        <v>0</v>
      </c>
      <c r="X457">
        <v>2</v>
      </c>
      <c r="Z457">
        <v>1</v>
      </c>
      <c r="AA457">
        <v>8</v>
      </c>
      <c r="AB457">
        <v>3</v>
      </c>
      <c r="AC457">
        <v>0</v>
      </c>
      <c r="AD457">
        <v>9</v>
      </c>
      <c r="AE457">
        <v>0</v>
      </c>
      <c r="AF457">
        <v>3</v>
      </c>
      <c r="AG457">
        <v>1</v>
      </c>
      <c r="AH457">
        <v>0</v>
      </c>
      <c r="AI457" t="s">
        <v>239</v>
      </c>
      <c r="AJ457">
        <v>33.188088</v>
      </c>
      <c r="AK457" t="s">
        <v>297</v>
      </c>
      <c r="AL457">
        <v>-97.772740999999996</v>
      </c>
      <c r="AM457">
        <v>25</v>
      </c>
      <c r="AN457">
        <v>2700</v>
      </c>
      <c r="AO457" t="s">
        <v>118</v>
      </c>
      <c r="AP457">
        <v>88</v>
      </c>
      <c r="AQ457">
        <v>0</v>
      </c>
      <c r="AR457">
        <v>512</v>
      </c>
      <c r="AZ457">
        <v>1200</v>
      </c>
      <c r="BA457">
        <v>1</v>
      </c>
      <c r="BB457" t="str">
        <f t="shared" si="124"/>
        <v xml:space="preserve">N733KP  </v>
      </c>
      <c r="BC457">
        <v>1</v>
      </c>
      <c r="BE457">
        <v>0</v>
      </c>
      <c r="BF457">
        <v>0</v>
      </c>
      <c r="BG457">
        <v>0</v>
      </c>
      <c r="BH457">
        <v>2675</v>
      </c>
      <c r="BI457">
        <v>1</v>
      </c>
      <c r="BJ457">
        <v>1</v>
      </c>
      <c r="BK457">
        <v>0</v>
      </c>
      <c r="BL457">
        <v>0</v>
      </c>
      <c r="BO457">
        <v>0</v>
      </c>
      <c r="BP457">
        <v>0</v>
      </c>
      <c r="BW457" t="str">
        <f>"22:11:18.552"</f>
        <v>22:11:18.552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364</v>
      </c>
      <c r="CR457">
        <v>0</v>
      </c>
      <c r="CW457">
        <v>1381345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"03/24/2022 22:11:20.076"</f>
        <v>03/24/2022 22:11:20.076</v>
      </c>
      <c r="C458" t="str">
        <f t="shared" si="122"/>
        <v>FFDFD3C0</v>
      </c>
      <c r="D458" t="s">
        <v>120</v>
      </c>
      <c r="E458">
        <v>14</v>
      </c>
      <c r="F458">
        <v>1014</v>
      </c>
      <c r="G458" t="s">
        <v>121</v>
      </c>
      <c r="J458" t="s">
        <v>122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 t="shared" ref="S458:T461" si="138">"22:11:19.000"</f>
        <v>22:11:19.000</v>
      </c>
      <c r="T458" t="str">
        <f t="shared" si="138"/>
        <v>22:11:19.000</v>
      </c>
      <c r="U458" t="str">
        <f t="shared" si="136"/>
        <v>A9D71F</v>
      </c>
      <c r="V458">
        <v>0</v>
      </c>
      <c r="W458">
        <v>0</v>
      </c>
      <c r="X458">
        <v>2</v>
      </c>
      <c r="Z458">
        <v>1</v>
      </c>
      <c r="AA458">
        <v>8</v>
      </c>
      <c r="AB458">
        <v>3</v>
      </c>
      <c r="AC458">
        <v>0</v>
      </c>
      <c r="AD458">
        <v>9</v>
      </c>
      <c r="AE458">
        <v>0</v>
      </c>
      <c r="AF458">
        <v>3</v>
      </c>
      <c r="AG458">
        <v>1</v>
      </c>
      <c r="AH458">
        <v>0</v>
      </c>
      <c r="AI458" t="s">
        <v>294</v>
      </c>
      <c r="AJ458">
        <v>33.188130999999998</v>
      </c>
      <c r="AK458" t="s">
        <v>298</v>
      </c>
      <c r="AL458">
        <v>-97.772248000000005</v>
      </c>
      <c r="AM458">
        <v>25</v>
      </c>
      <c r="AN458">
        <v>2700</v>
      </c>
      <c r="AO458" t="s">
        <v>118</v>
      </c>
      <c r="AP458">
        <v>88</v>
      </c>
      <c r="AQ458">
        <v>1</v>
      </c>
      <c r="AR458">
        <v>448</v>
      </c>
      <c r="AZ458">
        <v>1200</v>
      </c>
      <c r="BA458">
        <v>1</v>
      </c>
      <c r="BB458" t="str">
        <f t="shared" si="124"/>
        <v xml:space="preserve">N733KP  </v>
      </c>
      <c r="BC458">
        <v>1</v>
      </c>
      <c r="BE458">
        <v>0</v>
      </c>
      <c r="BF458">
        <v>0</v>
      </c>
      <c r="BG458">
        <v>0</v>
      </c>
      <c r="BH458">
        <v>2675</v>
      </c>
      <c r="BI458">
        <v>1</v>
      </c>
      <c r="BJ458">
        <v>1</v>
      </c>
      <c r="BK458">
        <v>0</v>
      </c>
      <c r="BL458">
        <v>0</v>
      </c>
      <c r="BO458">
        <v>0</v>
      </c>
      <c r="BP458">
        <v>0</v>
      </c>
      <c r="BW458" t="str">
        <f>"22:11:19.934"</f>
        <v>22:11:19.934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6</v>
      </c>
      <c r="CP458" t="s">
        <v>119</v>
      </c>
      <c r="CQ458">
        <v>364</v>
      </c>
      <c r="CR458">
        <v>0</v>
      </c>
      <c r="CW458">
        <v>1381528</v>
      </c>
      <c r="CY458">
        <v>1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"03/24/2022 22:11:20.107"</f>
        <v>03/24/2022 22:11:20.107</v>
      </c>
      <c r="C459" t="str">
        <f t="shared" si="122"/>
        <v>FFDFD3C0</v>
      </c>
      <c r="D459" t="s">
        <v>126</v>
      </c>
      <c r="E459">
        <v>3</v>
      </c>
      <c r="H459">
        <v>160</v>
      </c>
      <c r="I459" t="s">
        <v>121</v>
      </c>
      <c r="J459" t="s">
        <v>127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 t="shared" si="138"/>
        <v>22:11:19.000</v>
      </c>
      <c r="T459" t="str">
        <f t="shared" si="138"/>
        <v>22:11:19.000</v>
      </c>
      <c r="U459" t="str">
        <f t="shared" si="136"/>
        <v>A9D71F</v>
      </c>
      <c r="V459">
        <v>0</v>
      </c>
      <c r="W459">
        <v>0</v>
      </c>
      <c r="X459">
        <v>2</v>
      </c>
      <c r="Z459">
        <v>1</v>
      </c>
      <c r="AA459">
        <v>8</v>
      </c>
      <c r="AB459">
        <v>3</v>
      </c>
      <c r="AC459">
        <v>0</v>
      </c>
      <c r="AD459">
        <v>9</v>
      </c>
      <c r="AE459">
        <v>0</v>
      </c>
      <c r="AF459">
        <v>3</v>
      </c>
      <c r="AG459">
        <v>1</v>
      </c>
      <c r="AH459">
        <v>0</v>
      </c>
      <c r="AI459" t="s">
        <v>294</v>
      </c>
      <c r="AJ459">
        <v>33.188130999999998</v>
      </c>
      <c r="AK459" t="s">
        <v>298</v>
      </c>
      <c r="AL459">
        <v>-97.772248000000005</v>
      </c>
      <c r="AM459">
        <v>25</v>
      </c>
      <c r="AN459">
        <v>2700</v>
      </c>
      <c r="AO459" t="s">
        <v>118</v>
      </c>
      <c r="AP459">
        <v>88</v>
      </c>
      <c r="AQ459">
        <v>1</v>
      </c>
      <c r="AR459">
        <v>448</v>
      </c>
      <c r="AZ459">
        <v>1200</v>
      </c>
      <c r="BA459">
        <v>1</v>
      </c>
      <c r="BB459" t="str">
        <f t="shared" si="124"/>
        <v xml:space="preserve">N733KP  </v>
      </c>
      <c r="BC459">
        <v>1</v>
      </c>
      <c r="BE459">
        <v>0</v>
      </c>
      <c r="BF459">
        <v>0</v>
      </c>
      <c r="BG459">
        <v>0</v>
      </c>
      <c r="BH459">
        <v>2675</v>
      </c>
      <c r="BI459">
        <v>1</v>
      </c>
      <c r="BJ459">
        <v>1</v>
      </c>
      <c r="BK459">
        <v>0</v>
      </c>
      <c r="BL459">
        <v>0</v>
      </c>
      <c r="BO459">
        <v>0</v>
      </c>
      <c r="BP459">
        <v>0</v>
      </c>
      <c r="BW459" t="str">
        <f>"22:11:19.934"</f>
        <v>22:11:19.934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6</v>
      </c>
      <c r="CP459" t="s">
        <v>119</v>
      </c>
      <c r="CQ459">
        <v>364</v>
      </c>
      <c r="CR459">
        <v>0</v>
      </c>
      <c r="CW459">
        <v>1381528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"03/24/2022 22:11:20.122"</f>
        <v>03/24/2022 22:11:20.122</v>
      </c>
      <c r="C460" t="str">
        <f t="shared" si="122"/>
        <v>FFDFD3C0</v>
      </c>
      <c r="D460" t="s">
        <v>123</v>
      </c>
      <c r="E460">
        <v>8</v>
      </c>
      <c r="H460">
        <v>31</v>
      </c>
      <c r="I460" t="s">
        <v>124</v>
      </c>
      <c r="J460" t="s">
        <v>125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 t="shared" si="138"/>
        <v>22:11:19.000</v>
      </c>
      <c r="T460" t="str">
        <f t="shared" si="138"/>
        <v>22:11:19.000</v>
      </c>
      <c r="U460" t="str">
        <f t="shared" si="136"/>
        <v>A9D71F</v>
      </c>
      <c r="V460">
        <v>0</v>
      </c>
      <c r="W460">
        <v>0</v>
      </c>
      <c r="X460">
        <v>2</v>
      </c>
      <c r="Z460">
        <v>1</v>
      </c>
      <c r="AA460">
        <v>8</v>
      </c>
      <c r="AB460">
        <v>3</v>
      </c>
      <c r="AC460">
        <v>0</v>
      </c>
      <c r="AD460">
        <v>9</v>
      </c>
      <c r="AE460">
        <v>0</v>
      </c>
      <c r="AF460">
        <v>3</v>
      </c>
      <c r="AG460">
        <v>1</v>
      </c>
      <c r="AH460">
        <v>0</v>
      </c>
      <c r="AI460" t="s">
        <v>294</v>
      </c>
      <c r="AJ460">
        <v>33.188130999999998</v>
      </c>
      <c r="AK460" t="s">
        <v>298</v>
      </c>
      <c r="AL460">
        <v>-97.772248000000005</v>
      </c>
      <c r="AM460">
        <v>25</v>
      </c>
      <c r="AN460">
        <v>2700</v>
      </c>
      <c r="AO460" t="s">
        <v>118</v>
      </c>
      <c r="AP460">
        <v>88</v>
      </c>
      <c r="AQ460">
        <v>1</v>
      </c>
      <c r="AR460">
        <v>448</v>
      </c>
      <c r="AZ460">
        <v>1200</v>
      </c>
      <c r="BA460">
        <v>1</v>
      </c>
      <c r="BB460" t="str">
        <f t="shared" si="124"/>
        <v xml:space="preserve">N733KP  </v>
      </c>
      <c r="BC460">
        <v>1</v>
      </c>
      <c r="BE460">
        <v>0</v>
      </c>
      <c r="BF460">
        <v>0</v>
      </c>
      <c r="BG460">
        <v>0</v>
      </c>
      <c r="BH460">
        <v>2675</v>
      </c>
      <c r="BI460">
        <v>1</v>
      </c>
      <c r="BJ460">
        <v>1</v>
      </c>
      <c r="BK460">
        <v>0</v>
      </c>
      <c r="BL460">
        <v>0</v>
      </c>
      <c r="BO460">
        <v>0</v>
      </c>
      <c r="BP460">
        <v>0</v>
      </c>
      <c r="BW460" t="str">
        <f>"22:11:19.934"</f>
        <v>22:11:19.934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6</v>
      </c>
      <c r="CP460" t="s">
        <v>119</v>
      </c>
      <c r="CQ460">
        <v>364</v>
      </c>
      <c r="CR460">
        <v>0</v>
      </c>
      <c r="CW460">
        <v>1381528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"03/24/2022 22:11:20.122"</f>
        <v>03/24/2022 22:11:20.122</v>
      </c>
      <c r="C461" t="str">
        <f t="shared" si="122"/>
        <v>FFDFD3C0</v>
      </c>
      <c r="D461" t="s">
        <v>113</v>
      </c>
      <c r="E461">
        <v>24</v>
      </c>
      <c r="F461">
        <v>2024</v>
      </c>
      <c r="G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 t="shared" si="138"/>
        <v>22:11:19.000</v>
      </c>
      <c r="T461" t="str">
        <f t="shared" si="138"/>
        <v>22:11:19.000</v>
      </c>
      <c r="U461" t="str">
        <f t="shared" si="136"/>
        <v>A9D71F</v>
      </c>
      <c r="V461">
        <v>0</v>
      </c>
      <c r="W461">
        <v>0</v>
      </c>
      <c r="X461">
        <v>2</v>
      </c>
      <c r="Z461">
        <v>1</v>
      </c>
      <c r="AA461">
        <v>8</v>
      </c>
      <c r="AB461">
        <v>3</v>
      </c>
      <c r="AC461">
        <v>0</v>
      </c>
      <c r="AD461">
        <v>9</v>
      </c>
      <c r="AE461">
        <v>0</v>
      </c>
      <c r="AF461">
        <v>3</v>
      </c>
      <c r="AG461">
        <v>1</v>
      </c>
      <c r="AH461">
        <v>0</v>
      </c>
      <c r="AI461" t="s">
        <v>294</v>
      </c>
      <c r="AJ461">
        <v>33.188130999999998</v>
      </c>
      <c r="AK461" t="s">
        <v>298</v>
      </c>
      <c r="AL461">
        <v>-97.772248000000005</v>
      </c>
      <c r="AM461">
        <v>25</v>
      </c>
      <c r="AN461">
        <v>2700</v>
      </c>
      <c r="AO461" t="s">
        <v>118</v>
      </c>
      <c r="AP461">
        <v>88</v>
      </c>
      <c r="AQ461">
        <v>1</v>
      </c>
      <c r="AR461">
        <v>448</v>
      </c>
      <c r="AZ461">
        <v>1200</v>
      </c>
      <c r="BA461">
        <v>1</v>
      </c>
      <c r="BB461" t="str">
        <f t="shared" si="124"/>
        <v xml:space="preserve">N733KP  </v>
      </c>
      <c r="BC461">
        <v>1</v>
      </c>
      <c r="BE461">
        <v>0</v>
      </c>
      <c r="BF461">
        <v>0</v>
      </c>
      <c r="BG461">
        <v>0</v>
      </c>
      <c r="BH461">
        <v>2675</v>
      </c>
      <c r="BI461">
        <v>1</v>
      </c>
      <c r="BJ461">
        <v>1</v>
      </c>
      <c r="BK461">
        <v>0</v>
      </c>
      <c r="BL461">
        <v>0</v>
      </c>
      <c r="BO461">
        <v>0</v>
      </c>
      <c r="BP461">
        <v>0</v>
      </c>
      <c r="BW461" t="str">
        <f>"22:11:19.934"</f>
        <v>22:11:19.934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6</v>
      </c>
      <c r="CP461" t="s">
        <v>119</v>
      </c>
      <c r="CQ461">
        <v>364</v>
      </c>
      <c r="CR461">
        <v>0</v>
      </c>
      <c r="CW461">
        <v>1381528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"03/24/2022 22:11:21.138"</f>
        <v>03/24/2022 22:11:21.138</v>
      </c>
      <c r="C462" t="str">
        <f t="shared" si="122"/>
        <v>FFDFD3C0</v>
      </c>
      <c r="D462" t="s">
        <v>123</v>
      </c>
      <c r="E462">
        <v>8</v>
      </c>
      <c r="H462">
        <v>31</v>
      </c>
      <c r="I462" t="s">
        <v>124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 t="shared" ref="S462:T465" si="139">"22:11:20.000"</f>
        <v>22:11:20.000</v>
      </c>
      <c r="T462" t="str">
        <f t="shared" si="139"/>
        <v>22:11:20.000</v>
      </c>
      <c r="U462" t="str">
        <f t="shared" si="136"/>
        <v>A9D71F</v>
      </c>
      <c r="V462">
        <v>0</v>
      </c>
      <c r="W462">
        <v>0</v>
      </c>
      <c r="X462">
        <v>2</v>
      </c>
      <c r="Z462">
        <v>1</v>
      </c>
      <c r="AA462">
        <v>8</v>
      </c>
      <c r="AB462">
        <v>3</v>
      </c>
      <c r="AC462">
        <v>0</v>
      </c>
      <c r="AD462">
        <v>9</v>
      </c>
      <c r="AE462">
        <v>0</v>
      </c>
      <c r="AF462">
        <v>3</v>
      </c>
      <c r="AG462">
        <v>1</v>
      </c>
      <c r="AH462">
        <v>0</v>
      </c>
      <c r="AI462" t="s">
        <v>299</v>
      </c>
      <c r="AJ462">
        <v>33.188152000000002</v>
      </c>
      <c r="AK462" t="s">
        <v>300</v>
      </c>
      <c r="AL462">
        <v>-97.771776000000003</v>
      </c>
      <c r="AM462">
        <v>25</v>
      </c>
      <c r="AN462">
        <v>2700</v>
      </c>
      <c r="AO462" t="s">
        <v>118</v>
      </c>
      <c r="AP462">
        <v>91</v>
      </c>
      <c r="AQ462">
        <v>-3</v>
      </c>
      <c r="AR462">
        <v>320</v>
      </c>
      <c r="AZ462">
        <v>1200</v>
      </c>
      <c r="BA462">
        <v>1</v>
      </c>
      <c r="BB462" t="str">
        <f t="shared" si="124"/>
        <v xml:space="preserve">N733KP  </v>
      </c>
      <c r="BC462">
        <v>1</v>
      </c>
      <c r="BE462">
        <v>0</v>
      </c>
      <c r="BF462">
        <v>0</v>
      </c>
      <c r="BG462">
        <v>0</v>
      </c>
      <c r="BH462">
        <v>2700</v>
      </c>
      <c r="BI462">
        <v>1</v>
      </c>
      <c r="BJ462">
        <v>1</v>
      </c>
      <c r="BK462">
        <v>0</v>
      </c>
      <c r="BL462">
        <v>0</v>
      </c>
      <c r="BO462">
        <v>0</v>
      </c>
      <c r="BP462">
        <v>0</v>
      </c>
      <c r="BW462" t="str">
        <f>"22:11:20.956"</f>
        <v>22:11:20.956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6</v>
      </c>
      <c r="CP462" t="s">
        <v>119</v>
      </c>
      <c r="CQ462">
        <v>364</v>
      </c>
      <c r="CR462">
        <v>0</v>
      </c>
      <c r="CW462">
        <v>1381665</v>
      </c>
      <c r="CY462">
        <v>1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"03/24/2022 22:11:21.138"</f>
        <v>03/24/2022 22:11:21.138</v>
      </c>
      <c r="C463" t="str">
        <f t="shared" si="122"/>
        <v>FFDFD3C0</v>
      </c>
      <c r="D463" t="s">
        <v>113</v>
      </c>
      <c r="E463">
        <v>24</v>
      </c>
      <c r="F463">
        <v>2024</v>
      </c>
      <c r="G463" t="s">
        <v>114</v>
      </c>
      <c r="J463" t="s">
        <v>115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 t="shared" si="139"/>
        <v>22:11:20.000</v>
      </c>
      <c r="T463" t="str">
        <f t="shared" si="139"/>
        <v>22:11:20.000</v>
      </c>
      <c r="U463" t="str">
        <f t="shared" si="136"/>
        <v>A9D71F</v>
      </c>
      <c r="V463">
        <v>0</v>
      </c>
      <c r="W463">
        <v>0</v>
      </c>
      <c r="X463">
        <v>2</v>
      </c>
      <c r="Z463">
        <v>1</v>
      </c>
      <c r="AA463">
        <v>8</v>
      </c>
      <c r="AB463">
        <v>3</v>
      </c>
      <c r="AC463">
        <v>0</v>
      </c>
      <c r="AD463">
        <v>9</v>
      </c>
      <c r="AE463">
        <v>0</v>
      </c>
      <c r="AF463">
        <v>3</v>
      </c>
      <c r="AG463">
        <v>1</v>
      </c>
      <c r="AH463">
        <v>0</v>
      </c>
      <c r="AI463" t="s">
        <v>299</v>
      </c>
      <c r="AJ463">
        <v>33.188152000000002</v>
      </c>
      <c r="AK463" t="s">
        <v>300</v>
      </c>
      <c r="AL463">
        <v>-97.771776000000003</v>
      </c>
      <c r="AM463">
        <v>25</v>
      </c>
      <c r="AN463">
        <v>2700</v>
      </c>
      <c r="AO463" t="s">
        <v>118</v>
      </c>
      <c r="AP463">
        <v>91</v>
      </c>
      <c r="AQ463">
        <v>-3</v>
      </c>
      <c r="AR463">
        <v>320</v>
      </c>
      <c r="AZ463">
        <v>1200</v>
      </c>
      <c r="BA463">
        <v>1</v>
      </c>
      <c r="BB463" t="str">
        <f t="shared" si="124"/>
        <v xml:space="preserve">N733KP  </v>
      </c>
      <c r="BC463">
        <v>1</v>
      </c>
      <c r="BE463">
        <v>0</v>
      </c>
      <c r="BF463">
        <v>0</v>
      </c>
      <c r="BG463">
        <v>0</v>
      </c>
      <c r="BH463">
        <v>2700</v>
      </c>
      <c r="BI463">
        <v>1</v>
      </c>
      <c r="BJ463">
        <v>1</v>
      </c>
      <c r="BK463">
        <v>0</v>
      </c>
      <c r="BL463">
        <v>0</v>
      </c>
      <c r="BO463">
        <v>0</v>
      </c>
      <c r="BP463">
        <v>0</v>
      </c>
      <c r="BW463" t="str">
        <f>"22:11:20.956"</f>
        <v>22:11:20.956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6</v>
      </c>
      <c r="CP463" t="s">
        <v>119</v>
      </c>
      <c r="CQ463">
        <v>364</v>
      </c>
      <c r="CR463">
        <v>0</v>
      </c>
      <c r="CW463">
        <v>1381665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"03/24/2022 22:11:21.154"</f>
        <v>03/24/2022 22:11:21.154</v>
      </c>
      <c r="C464" t="str">
        <f t="shared" si="122"/>
        <v>FFDFD3C0</v>
      </c>
      <c r="D464" t="s">
        <v>120</v>
      </c>
      <c r="E464">
        <v>14</v>
      </c>
      <c r="F464">
        <v>1014</v>
      </c>
      <c r="G464" t="s">
        <v>121</v>
      </c>
      <c r="J464" t="s">
        <v>122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 t="shared" si="139"/>
        <v>22:11:20.000</v>
      </c>
      <c r="T464" t="str">
        <f t="shared" si="139"/>
        <v>22:11:20.000</v>
      </c>
      <c r="U464" t="str">
        <f t="shared" si="136"/>
        <v>A9D71F</v>
      </c>
      <c r="V464">
        <v>0</v>
      </c>
      <c r="W464">
        <v>0</v>
      </c>
      <c r="X464">
        <v>2</v>
      </c>
      <c r="Z464">
        <v>1</v>
      </c>
      <c r="AA464">
        <v>8</v>
      </c>
      <c r="AB464">
        <v>3</v>
      </c>
      <c r="AC464">
        <v>0</v>
      </c>
      <c r="AD464">
        <v>9</v>
      </c>
      <c r="AE464">
        <v>0</v>
      </c>
      <c r="AF464">
        <v>3</v>
      </c>
      <c r="AG464">
        <v>1</v>
      </c>
      <c r="AH464">
        <v>0</v>
      </c>
      <c r="AI464" t="s">
        <v>299</v>
      </c>
      <c r="AJ464">
        <v>33.188152000000002</v>
      </c>
      <c r="AK464" t="s">
        <v>300</v>
      </c>
      <c r="AL464">
        <v>-97.771776000000003</v>
      </c>
      <c r="AM464">
        <v>25</v>
      </c>
      <c r="AN464">
        <v>2700</v>
      </c>
      <c r="AO464" t="s">
        <v>118</v>
      </c>
      <c r="AP464">
        <v>91</v>
      </c>
      <c r="AQ464">
        <v>-3</v>
      </c>
      <c r="AR464">
        <v>320</v>
      </c>
      <c r="AZ464">
        <v>1200</v>
      </c>
      <c r="BA464">
        <v>1</v>
      </c>
      <c r="BB464" t="str">
        <f t="shared" si="124"/>
        <v xml:space="preserve">N733KP  </v>
      </c>
      <c r="BC464">
        <v>1</v>
      </c>
      <c r="BE464">
        <v>0</v>
      </c>
      <c r="BF464">
        <v>0</v>
      </c>
      <c r="BG464">
        <v>0</v>
      </c>
      <c r="BH464">
        <v>2700</v>
      </c>
      <c r="BI464">
        <v>1</v>
      </c>
      <c r="BJ464">
        <v>1</v>
      </c>
      <c r="BK464">
        <v>0</v>
      </c>
      <c r="BL464">
        <v>0</v>
      </c>
      <c r="BO464">
        <v>0</v>
      </c>
      <c r="BP464">
        <v>0</v>
      </c>
      <c r="BW464" t="str">
        <f>"22:11:20.956"</f>
        <v>22:11:20.956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6</v>
      </c>
      <c r="CP464" t="s">
        <v>119</v>
      </c>
      <c r="CQ464">
        <v>364</v>
      </c>
      <c r="CR464">
        <v>0</v>
      </c>
      <c r="CW464">
        <v>1381665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"03/24/2022 22:11:21.169"</f>
        <v>03/24/2022 22:11:21.169</v>
      </c>
      <c r="C465" t="str">
        <f t="shared" si="122"/>
        <v>FFDFD3C0</v>
      </c>
      <c r="D465" t="s">
        <v>126</v>
      </c>
      <c r="E465">
        <v>3</v>
      </c>
      <c r="H465">
        <v>160</v>
      </c>
      <c r="I465" t="s">
        <v>121</v>
      </c>
      <c r="J465" t="s">
        <v>127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 t="shared" si="139"/>
        <v>22:11:20.000</v>
      </c>
      <c r="T465" t="str">
        <f t="shared" si="139"/>
        <v>22:11:20.000</v>
      </c>
      <c r="U465" t="str">
        <f t="shared" si="136"/>
        <v>A9D71F</v>
      </c>
      <c r="V465">
        <v>0</v>
      </c>
      <c r="W465">
        <v>0</v>
      </c>
      <c r="X465">
        <v>2</v>
      </c>
      <c r="Z465">
        <v>1</v>
      </c>
      <c r="AA465">
        <v>8</v>
      </c>
      <c r="AB465">
        <v>3</v>
      </c>
      <c r="AC465">
        <v>0</v>
      </c>
      <c r="AD465">
        <v>9</v>
      </c>
      <c r="AE465">
        <v>0</v>
      </c>
      <c r="AF465">
        <v>3</v>
      </c>
      <c r="AG465">
        <v>1</v>
      </c>
      <c r="AH465">
        <v>0</v>
      </c>
      <c r="AI465" t="s">
        <v>299</v>
      </c>
      <c r="AJ465">
        <v>33.188152000000002</v>
      </c>
      <c r="AK465" t="s">
        <v>300</v>
      </c>
      <c r="AL465">
        <v>-97.771776000000003</v>
      </c>
      <c r="AM465">
        <v>25</v>
      </c>
      <c r="AN465">
        <v>2700</v>
      </c>
      <c r="AO465" t="s">
        <v>118</v>
      </c>
      <c r="AP465">
        <v>91</v>
      </c>
      <c r="AQ465">
        <v>-3</v>
      </c>
      <c r="AR465">
        <v>320</v>
      </c>
      <c r="AZ465">
        <v>1200</v>
      </c>
      <c r="BA465">
        <v>1</v>
      </c>
      <c r="BB465" t="str">
        <f t="shared" si="124"/>
        <v xml:space="preserve">N733KP  </v>
      </c>
      <c r="BC465">
        <v>1</v>
      </c>
      <c r="BE465">
        <v>0</v>
      </c>
      <c r="BF465">
        <v>0</v>
      </c>
      <c r="BG465">
        <v>0</v>
      </c>
      <c r="BH465">
        <v>2700</v>
      </c>
      <c r="BI465">
        <v>1</v>
      </c>
      <c r="BJ465">
        <v>1</v>
      </c>
      <c r="BK465">
        <v>0</v>
      </c>
      <c r="BL465">
        <v>0</v>
      </c>
      <c r="BO465">
        <v>0</v>
      </c>
      <c r="BP465">
        <v>0</v>
      </c>
      <c r="BW465" t="str">
        <f>"22:11:20.956"</f>
        <v>22:11:20.956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6</v>
      </c>
      <c r="CP465" t="s">
        <v>119</v>
      </c>
      <c r="CQ465">
        <v>364</v>
      </c>
      <c r="CR465">
        <v>0</v>
      </c>
      <c r="CW465">
        <v>1381665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"03/24/2022 22:11:21.923"</f>
        <v>03/24/2022 22:11:21.923</v>
      </c>
      <c r="C466" t="str">
        <f t="shared" si="122"/>
        <v>FFDFD3C0</v>
      </c>
      <c r="D466" t="s">
        <v>120</v>
      </c>
      <c r="E466">
        <v>14</v>
      </c>
      <c r="F466">
        <v>1014</v>
      </c>
      <c r="G466" t="s">
        <v>121</v>
      </c>
      <c r="J466" t="s">
        <v>122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 t="shared" ref="S466:T469" si="140">"22:11:21.000"</f>
        <v>22:11:21.000</v>
      </c>
      <c r="T466" t="str">
        <f t="shared" si="140"/>
        <v>22:11:21.000</v>
      </c>
      <c r="U466" t="str">
        <f t="shared" si="136"/>
        <v>A9D71F</v>
      </c>
      <c r="V466">
        <v>0</v>
      </c>
      <c r="W466">
        <v>0</v>
      </c>
      <c r="X466">
        <v>2</v>
      </c>
      <c r="Z466">
        <v>1</v>
      </c>
      <c r="AA466">
        <v>8</v>
      </c>
      <c r="AB466">
        <v>3</v>
      </c>
      <c r="AC466">
        <v>0</v>
      </c>
      <c r="AD466">
        <v>9</v>
      </c>
      <c r="AE466">
        <v>0</v>
      </c>
      <c r="AF466">
        <v>3</v>
      </c>
      <c r="AG466">
        <v>1</v>
      </c>
      <c r="AH466">
        <v>0</v>
      </c>
      <c r="AI466" t="s">
        <v>299</v>
      </c>
      <c r="AJ466">
        <v>33.188152000000002</v>
      </c>
      <c r="AK466" t="s">
        <v>301</v>
      </c>
      <c r="AL466">
        <v>-97.771260999999996</v>
      </c>
      <c r="AM466">
        <v>25</v>
      </c>
      <c r="AN466">
        <v>2700</v>
      </c>
      <c r="AO466" t="s">
        <v>118</v>
      </c>
      <c r="AP466">
        <v>90</v>
      </c>
      <c r="AQ466">
        <v>-1</v>
      </c>
      <c r="AR466">
        <v>320</v>
      </c>
      <c r="AZ466">
        <v>1200</v>
      </c>
      <c r="BA466">
        <v>1</v>
      </c>
      <c r="BB466" t="str">
        <f t="shared" si="124"/>
        <v xml:space="preserve">N733KP  </v>
      </c>
      <c r="BC466">
        <v>1</v>
      </c>
      <c r="BE466">
        <v>0</v>
      </c>
      <c r="BF466">
        <v>0</v>
      </c>
      <c r="BG466">
        <v>0</v>
      </c>
      <c r="BH466">
        <v>2700</v>
      </c>
      <c r="BI466">
        <v>1</v>
      </c>
      <c r="BJ466">
        <v>1</v>
      </c>
      <c r="BK466">
        <v>0</v>
      </c>
      <c r="BL466">
        <v>0</v>
      </c>
      <c r="BO466">
        <v>0</v>
      </c>
      <c r="BP466">
        <v>0</v>
      </c>
      <c r="BW466" t="str">
        <f>"22:11:21.750"</f>
        <v>22:11:21.750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6</v>
      </c>
      <c r="CP466" t="s">
        <v>119</v>
      </c>
      <c r="CQ466">
        <v>364</v>
      </c>
      <c r="CR466">
        <v>0</v>
      </c>
      <c r="CW466">
        <v>1381758</v>
      </c>
      <c r="CY466">
        <v>1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"03/24/2022 22:11:21.938"</f>
        <v>03/24/2022 22:11:21.938</v>
      </c>
      <c r="C467" t="str">
        <f t="shared" si="122"/>
        <v>FFDFD3C0</v>
      </c>
      <c r="D467" t="s">
        <v>126</v>
      </c>
      <c r="E467">
        <v>3</v>
      </c>
      <c r="H467">
        <v>160</v>
      </c>
      <c r="I467" t="s">
        <v>121</v>
      </c>
      <c r="J467" t="s">
        <v>127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 t="shared" si="140"/>
        <v>22:11:21.000</v>
      </c>
      <c r="T467" t="str">
        <f t="shared" si="140"/>
        <v>22:11:21.000</v>
      </c>
      <c r="U467" t="str">
        <f t="shared" si="136"/>
        <v>A9D71F</v>
      </c>
      <c r="V467">
        <v>0</v>
      </c>
      <c r="W467">
        <v>0</v>
      </c>
      <c r="X467">
        <v>2</v>
      </c>
      <c r="Z467">
        <v>1</v>
      </c>
      <c r="AA467">
        <v>8</v>
      </c>
      <c r="AB467">
        <v>3</v>
      </c>
      <c r="AC467">
        <v>0</v>
      </c>
      <c r="AD467">
        <v>9</v>
      </c>
      <c r="AE467">
        <v>0</v>
      </c>
      <c r="AF467">
        <v>3</v>
      </c>
      <c r="AG467">
        <v>1</v>
      </c>
      <c r="AH467">
        <v>0</v>
      </c>
      <c r="AI467" t="s">
        <v>299</v>
      </c>
      <c r="AJ467">
        <v>33.188152000000002</v>
      </c>
      <c r="AK467" t="s">
        <v>301</v>
      </c>
      <c r="AL467">
        <v>-97.771260999999996</v>
      </c>
      <c r="AM467">
        <v>25</v>
      </c>
      <c r="AN467">
        <v>2700</v>
      </c>
      <c r="AO467" t="s">
        <v>118</v>
      </c>
      <c r="AP467">
        <v>90</v>
      </c>
      <c r="AQ467">
        <v>-1</v>
      </c>
      <c r="AR467">
        <v>320</v>
      </c>
      <c r="AZ467">
        <v>1200</v>
      </c>
      <c r="BA467">
        <v>1</v>
      </c>
      <c r="BB467" t="str">
        <f t="shared" si="124"/>
        <v xml:space="preserve">N733KP  </v>
      </c>
      <c r="BC467">
        <v>1</v>
      </c>
      <c r="BE467">
        <v>0</v>
      </c>
      <c r="BF467">
        <v>0</v>
      </c>
      <c r="BG467">
        <v>0</v>
      </c>
      <c r="BH467">
        <v>2700</v>
      </c>
      <c r="BI467">
        <v>1</v>
      </c>
      <c r="BJ467">
        <v>1</v>
      </c>
      <c r="BK467">
        <v>0</v>
      </c>
      <c r="BL467">
        <v>0</v>
      </c>
      <c r="BO467">
        <v>0</v>
      </c>
      <c r="BP467">
        <v>0</v>
      </c>
      <c r="BW467" t="str">
        <f>"22:11:21.750"</f>
        <v>22:11:21.750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6</v>
      </c>
      <c r="CP467" t="s">
        <v>119</v>
      </c>
      <c r="CQ467">
        <v>364</v>
      </c>
      <c r="CR467">
        <v>0</v>
      </c>
      <c r="CW467">
        <v>1381758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"03/24/2022 22:11:21.938"</f>
        <v>03/24/2022 22:11:21.938</v>
      </c>
      <c r="C468" t="str">
        <f t="shared" si="122"/>
        <v>FFDFD3C0</v>
      </c>
      <c r="D468" t="s">
        <v>123</v>
      </c>
      <c r="E468">
        <v>8</v>
      </c>
      <c r="H468">
        <v>31</v>
      </c>
      <c r="I468" t="s">
        <v>124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 t="shared" si="140"/>
        <v>22:11:21.000</v>
      </c>
      <c r="T468" t="str">
        <f t="shared" si="140"/>
        <v>22:11:21.000</v>
      </c>
      <c r="U468" t="str">
        <f t="shared" si="136"/>
        <v>A9D71F</v>
      </c>
      <c r="V468">
        <v>0</v>
      </c>
      <c r="W468">
        <v>0</v>
      </c>
      <c r="X468">
        <v>2</v>
      </c>
      <c r="Z468">
        <v>1</v>
      </c>
      <c r="AA468">
        <v>8</v>
      </c>
      <c r="AB468">
        <v>3</v>
      </c>
      <c r="AC468">
        <v>0</v>
      </c>
      <c r="AD468">
        <v>9</v>
      </c>
      <c r="AE468">
        <v>0</v>
      </c>
      <c r="AF468">
        <v>3</v>
      </c>
      <c r="AG468">
        <v>1</v>
      </c>
      <c r="AH468">
        <v>0</v>
      </c>
      <c r="AI468" t="s">
        <v>299</v>
      </c>
      <c r="AJ468">
        <v>33.188152000000002</v>
      </c>
      <c r="AK468" t="s">
        <v>301</v>
      </c>
      <c r="AL468">
        <v>-97.771260999999996</v>
      </c>
      <c r="AM468">
        <v>25</v>
      </c>
      <c r="AN468">
        <v>2700</v>
      </c>
      <c r="AO468" t="s">
        <v>118</v>
      </c>
      <c r="AP468">
        <v>90</v>
      </c>
      <c r="AQ468">
        <v>-1</v>
      </c>
      <c r="AR468">
        <v>320</v>
      </c>
      <c r="AZ468">
        <v>1200</v>
      </c>
      <c r="BA468">
        <v>1</v>
      </c>
      <c r="BB468" t="str">
        <f t="shared" si="124"/>
        <v xml:space="preserve">N733KP  </v>
      </c>
      <c r="BC468">
        <v>1</v>
      </c>
      <c r="BE468">
        <v>0</v>
      </c>
      <c r="BF468">
        <v>0</v>
      </c>
      <c r="BG468">
        <v>0</v>
      </c>
      <c r="BH468">
        <v>2700</v>
      </c>
      <c r="BI468">
        <v>1</v>
      </c>
      <c r="BJ468">
        <v>1</v>
      </c>
      <c r="BK468">
        <v>0</v>
      </c>
      <c r="BL468">
        <v>0</v>
      </c>
      <c r="BO468">
        <v>0</v>
      </c>
      <c r="BP468">
        <v>0</v>
      </c>
      <c r="BW468" t="str">
        <f>"22:11:21.750"</f>
        <v>22:11:21.750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6</v>
      </c>
      <c r="CP468" t="s">
        <v>119</v>
      </c>
      <c r="CQ468">
        <v>364</v>
      </c>
      <c r="CR468">
        <v>0</v>
      </c>
      <c r="CW468">
        <v>1381758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"03/24/2022 22:11:21.954"</f>
        <v>03/24/2022 22:11:21.954</v>
      </c>
      <c r="C469" t="str">
        <f t="shared" si="122"/>
        <v>FFDFD3C0</v>
      </c>
      <c r="D469" t="s">
        <v>113</v>
      </c>
      <c r="E469">
        <v>24</v>
      </c>
      <c r="F469">
        <v>2024</v>
      </c>
      <c r="G469" t="s">
        <v>114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 t="shared" si="140"/>
        <v>22:11:21.000</v>
      </c>
      <c r="T469" t="str">
        <f t="shared" si="140"/>
        <v>22:11:21.000</v>
      </c>
      <c r="U469" t="str">
        <f t="shared" si="136"/>
        <v>A9D71F</v>
      </c>
      <c r="V469">
        <v>0</v>
      </c>
      <c r="W469">
        <v>0</v>
      </c>
      <c r="X469">
        <v>2</v>
      </c>
      <c r="Z469">
        <v>1</v>
      </c>
      <c r="AA469">
        <v>8</v>
      </c>
      <c r="AB469">
        <v>3</v>
      </c>
      <c r="AC469">
        <v>0</v>
      </c>
      <c r="AD469">
        <v>9</v>
      </c>
      <c r="AE469">
        <v>0</v>
      </c>
      <c r="AF469">
        <v>3</v>
      </c>
      <c r="AG469">
        <v>1</v>
      </c>
      <c r="AH469">
        <v>0</v>
      </c>
      <c r="AI469" t="s">
        <v>299</v>
      </c>
      <c r="AJ469">
        <v>33.188152000000002</v>
      </c>
      <c r="AK469" t="s">
        <v>301</v>
      </c>
      <c r="AL469">
        <v>-97.771260999999996</v>
      </c>
      <c r="AM469">
        <v>25</v>
      </c>
      <c r="AN469">
        <v>2700</v>
      </c>
      <c r="AO469" t="s">
        <v>118</v>
      </c>
      <c r="AP469">
        <v>90</v>
      </c>
      <c r="AQ469">
        <v>-1</v>
      </c>
      <c r="AR469">
        <v>320</v>
      </c>
      <c r="AZ469">
        <v>1200</v>
      </c>
      <c r="BA469">
        <v>1</v>
      </c>
      <c r="BB469" t="str">
        <f t="shared" si="124"/>
        <v xml:space="preserve">N733KP  </v>
      </c>
      <c r="BC469">
        <v>1</v>
      </c>
      <c r="BE469">
        <v>0</v>
      </c>
      <c r="BF469">
        <v>0</v>
      </c>
      <c r="BG469">
        <v>0</v>
      </c>
      <c r="BH469">
        <v>2700</v>
      </c>
      <c r="BI469">
        <v>1</v>
      </c>
      <c r="BJ469">
        <v>1</v>
      </c>
      <c r="BK469">
        <v>0</v>
      </c>
      <c r="BL469">
        <v>0</v>
      </c>
      <c r="BO469">
        <v>0</v>
      </c>
      <c r="BP469">
        <v>0</v>
      </c>
      <c r="BW469" t="str">
        <f>"22:11:21.750"</f>
        <v>22:11:21.750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6</v>
      </c>
      <c r="CP469" t="s">
        <v>119</v>
      </c>
      <c r="CQ469">
        <v>364</v>
      </c>
      <c r="CR469">
        <v>0</v>
      </c>
      <c r="CW469">
        <v>1381758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"03/24/2022 22:11:22.954"</f>
        <v>03/24/2022 22:11:22.954</v>
      </c>
      <c r="C470" t="str">
        <f t="shared" ref="C470:C533" si="141">"FFDFD3C0"</f>
        <v>FFDFD3C0</v>
      </c>
      <c r="D470" t="s">
        <v>126</v>
      </c>
      <c r="E470">
        <v>3</v>
      </c>
      <c r="H470">
        <v>160</v>
      </c>
      <c r="I470" t="s">
        <v>121</v>
      </c>
      <c r="J470" t="s">
        <v>127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 t="shared" ref="S470:T473" si="142">"22:11:22.000"</f>
        <v>22:11:22.000</v>
      </c>
      <c r="T470" t="str">
        <f t="shared" si="142"/>
        <v>22:11:22.000</v>
      </c>
      <c r="U470" t="str">
        <f t="shared" si="136"/>
        <v>A9D71F</v>
      </c>
      <c r="V470">
        <v>0</v>
      </c>
      <c r="W470">
        <v>0</v>
      </c>
      <c r="X470">
        <v>2</v>
      </c>
      <c r="Z470">
        <v>1</v>
      </c>
      <c r="AA470">
        <v>8</v>
      </c>
      <c r="AB470">
        <v>3</v>
      </c>
      <c r="AC470">
        <v>0</v>
      </c>
      <c r="AD470">
        <v>9</v>
      </c>
      <c r="AE470">
        <v>0</v>
      </c>
      <c r="AF470">
        <v>3</v>
      </c>
      <c r="AG470">
        <v>1</v>
      </c>
      <c r="AH470">
        <v>0</v>
      </c>
      <c r="AI470" t="s">
        <v>243</v>
      </c>
      <c r="AJ470">
        <v>33.188045000000002</v>
      </c>
      <c r="AK470" t="s">
        <v>302</v>
      </c>
      <c r="AL470">
        <v>-97.770767000000006</v>
      </c>
      <c r="AM470">
        <v>25</v>
      </c>
      <c r="AN470">
        <v>2700</v>
      </c>
      <c r="AO470" t="s">
        <v>118</v>
      </c>
      <c r="AP470">
        <v>89</v>
      </c>
      <c r="AQ470">
        <v>0</v>
      </c>
      <c r="AR470">
        <v>320</v>
      </c>
      <c r="AZ470">
        <v>1200</v>
      </c>
      <c r="BA470">
        <v>1</v>
      </c>
      <c r="BB470" t="str">
        <f t="shared" ref="BB470:BB533" si="143">"N733KP  "</f>
        <v xml:space="preserve">N733KP  </v>
      </c>
      <c r="BC470">
        <v>1</v>
      </c>
      <c r="BE470">
        <v>0</v>
      </c>
      <c r="BF470">
        <v>0</v>
      </c>
      <c r="BG470">
        <v>0</v>
      </c>
      <c r="BH470">
        <v>2700</v>
      </c>
      <c r="BI470">
        <v>1</v>
      </c>
      <c r="BJ470">
        <v>1</v>
      </c>
      <c r="BK470">
        <v>0</v>
      </c>
      <c r="BL470">
        <v>0</v>
      </c>
      <c r="BO470">
        <v>0</v>
      </c>
      <c r="BP470">
        <v>0</v>
      </c>
      <c r="BW470" t="str">
        <f>"22:11:22.771"</f>
        <v>22:11:22.771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6</v>
      </c>
      <c r="CP470" t="s">
        <v>119</v>
      </c>
      <c r="CQ470">
        <v>364</v>
      </c>
      <c r="CR470">
        <v>0</v>
      </c>
      <c r="CW470">
        <v>1381898</v>
      </c>
      <c r="CY470">
        <v>1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"03/24/2022 22:11:22.970"</f>
        <v>03/24/2022 22:11:22.970</v>
      </c>
      <c r="C471" t="str">
        <f t="shared" si="141"/>
        <v>FFDFD3C0</v>
      </c>
      <c r="D471" t="s">
        <v>123</v>
      </c>
      <c r="E471">
        <v>8</v>
      </c>
      <c r="H471">
        <v>31</v>
      </c>
      <c r="I471" t="s">
        <v>124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 t="shared" si="142"/>
        <v>22:11:22.000</v>
      </c>
      <c r="T471" t="str">
        <f t="shared" si="142"/>
        <v>22:11:22.000</v>
      </c>
      <c r="U471" t="str">
        <f t="shared" si="136"/>
        <v>A9D71F</v>
      </c>
      <c r="V471">
        <v>0</v>
      </c>
      <c r="W471">
        <v>0</v>
      </c>
      <c r="X471">
        <v>2</v>
      </c>
      <c r="Z471">
        <v>1</v>
      </c>
      <c r="AA471">
        <v>8</v>
      </c>
      <c r="AB471">
        <v>3</v>
      </c>
      <c r="AC471">
        <v>0</v>
      </c>
      <c r="AD471">
        <v>9</v>
      </c>
      <c r="AE471">
        <v>0</v>
      </c>
      <c r="AF471">
        <v>3</v>
      </c>
      <c r="AG471">
        <v>1</v>
      </c>
      <c r="AH471">
        <v>0</v>
      </c>
      <c r="AI471" t="s">
        <v>243</v>
      </c>
      <c r="AJ471">
        <v>33.188045000000002</v>
      </c>
      <c r="AK471" t="s">
        <v>302</v>
      </c>
      <c r="AL471">
        <v>-97.770767000000006</v>
      </c>
      <c r="AM471">
        <v>25</v>
      </c>
      <c r="AN471">
        <v>2700</v>
      </c>
      <c r="AO471" t="s">
        <v>118</v>
      </c>
      <c r="AP471">
        <v>89</v>
      </c>
      <c r="AQ471">
        <v>0</v>
      </c>
      <c r="AR471">
        <v>320</v>
      </c>
      <c r="AZ471">
        <v>1200</v>
      </c>
      <c r="BA471">
        <v>1</v>
      </c>
      <c r="BB471" t="str">
        <f t="shared" si="143"/>
        <v xml:space="preserve">N733KP  </v>
      </c>
      <c r="BC471">
        <v>1</v>
      </c>
      <c r="BE471">
        <v>0</v>
      </c>
      <c r="BF471">
        <v>0</v>
      </c>
      <c r="BG471">
        <v>0</v>
      </c>
      <c r="BH471">
        <v>2700</v>
      </c>
      <c r="BI471">
        <v>1</v>
      </c>
      <c r="BJ471">
        <v>1</v>
      </c>
      <c r="BK471">
        <v>0</v>
      </c>
      <c r="BL471">
        <v>0</v>
      </c>
      <c r="BO471">
        <v>0</v>
      </c>
      <c r="BP471">
        <v>0</v>
      </c>
      <c r="BW471" t="str">
        <f>"22:11:22.771"</f>
        <v>22:11:22.771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6</v>
      </c>
      <c r="CP471" t="s">
        <v>119</v>
      </c>
      <c r="CQ471">
        <v>364</v>
      </c>
      <c r="CR471">
        <v>0</v>
      </c>
      <c r="CW471">
        <v>1381898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"03/24/2022 22:11:22.970"</f>
        <v>03/24/2022 22:11:22.970</v>
      </c>
      <c r="C472" t="str">
        <f t="shared" si="141"/>
        <v>FFDFD3C0</v>
      </c>
      <c r="D472" t="s">
        <v>113</v>
      </c>
      <c r="E472">
        <v>24</v>
      </c>
      <c r="F472">
        <v>2024</v>
      </c>
      <c r="G472" t="s">
        <v>114</v>
      </c>
      <c r="J472" t="s">
        <v>115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 t="shared" si="142"/>
        <v>22:11:22.000</v>
      </c>
      <c r="T472" t="str">
        <f t="shared" si="142"/>
        <v>22:11:22.000</v>
      </c>
      <c r="U472" t="str">
        <f t="shared" si="136"/>
        <v>A9D71F</v>
      </c>
      <c r="V472">
        <v>0</v>
      </c>
      <c r="W472">
        <v>0</v>
      </c>
      <c r="X472">
        <v>2</v>
      </c>
      <c r="Z472">
        <v>1</v>
      </c>
      <c r="AA472">
        <v>8</v>
      </c>
      <c r="AB472">
        <v>3</v>
      </c>
      <c r="AC472">
        <v>0</v>
      </c>
      <c r="AD472">
        <v>9</v>
      </c>
      <c r="AE472">
        <v>0</v>
      </c>
      <c r="AF472">
        <v>3</v>
      </c>
      <c r="AG472">
        <v>1</v>
      </c>
      <c r="AH472">
        <v>0</v>
      </c>
      <c r="AI472" t="s">
        <v>243</v>
      </c>
      <c r="AJ472">
        <v>33.188045000000002</v>
      </c>
      <c r="AK472" t="s">
        <v>302</v>
      </c>
      <c r="AL472">
        <v>-97.770767000000006</v>
      </c>
      <c r="AM472">
        <v>25</v>
      </c>
      <c r="AN472">
        <v>2700</v>
      </c>
      <c r="AO472" t="s">
        <v>118</v>
      </c>
      <c r="AP472">
        <v>89</v>
      </c>
      <c r="AQ472">
        <v>0</v>
      </c>
      <c r="AR472">
        <v>320</v>
      </c>
      <c r="AZ472">
        <v>1200</v>
      </c>
      <c r="BA472">
        <v>1</v>
      </c>
      <c r="BB472" t="str">
        <f t="shared" si="143"/>
        <v xml:space="preserve">N733KP  </v>
      </c>
      <c r="BC472">
        <v>1</v>
      </c>
      <c r="BE472">
        <v>0</v>
      </c>
      <c r="BF472">
        <v>0</v>
      </c>
      <c r="BG472">
        <v>0</v>
      </c>
      <c r="BH472">
        <v>2700</v>
      </c>
      <c r="BI472">
        <v>1</v>
      </c>
      <c r="BJ472">
        <v>1</v>
      </c>
      <c r="BK472">
        <v>0</v>
      </c>
      <c r="BL472">
        <v>0</v>
      </c>
      <c r="BO472">
        <v>0</v>
      </c>
      <c r="BP472">
        <v>0</v>
      </c>
      <c r="BW472" t="str">
        <f>"22:11:22.771"</f>
        <v>22:11:22.771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6</v>
      </c>
      <c r="CP472" t="s">
        <v>119</v>
      </c>
      <c r="CQ472">
        <v>364</v>
      </c>
      <c r="CR472">
        <v>0</v>
      </c>
      <c r="CW472">
        <v>1381898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"03/24/2022 22:11:22.970"</f>
        <v>03/24/2022 22:11:22.970</v>
      </c>
      <c r="C473" t="str">
        <f t="shared" si="141"/>
        <v>FFDFD3C0</v>
      </c>
      <c r="D473" t="s">
        <v>120</v>
      </c>
      <c r="E473">
        <v>14</v>
      </c>
      <c r="F473">
        <v>1014</v>
      </c>
      <c r="G473" t="s">
        <v>121</v>
      </c>
      <c r="J473" t="s">
        <v>122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 t="shared" si="142"/>
        <v>22:11:22.000</v>
      </c>
      <c r="T473" t="str">
        <f t="shared" si="142"/>
        <v>22:11:22.000</v>
      </c>
      <c r="U473" t="str">
        <f t="shared" si="136"/>
        <v>A9D71F</v>
      </c>
      <c r="V473">
        <v>0</v>
      </c>
      <c r="W473">
        <v>0</v>
      </c>
      <c r="X473">
        <v>2</v>
      </c>
      <c r="Z473">
        <v>1</v>
      </c>
      <c r="AA473">
        <v>8</v>
      </c>
      <c r="AB473">
        <v>3</v>
      </c>
      <c r="AC473">
        <v>0</v>
      </c>
      <c r="AD473">
        <v>9</v>
      </c>
      <c r="AE473">
        <v>0</v>
      </c>
      <c r="AF473">
        <v>3</v>
      </c>
      <c r="AG473">
        <v>1</v>
      </c>
      <c r="AH473">
        <v>0</v>
      </c>
      <c r="AI473" t="s">
        <v>243</v>
      </c>
      <c r="AJ473">
        <v>33.188045000000002</v>
      </c>
      <c r="AK473" t="s">
        <v>302</v>
      </c>
      <c r="AL473">
        <v>-97.770767000000006</v>
      </c>
      <c r="AM473">
        <v>25</v>
      </c>
      <c r="AN473">
        <v>2700</v>
      </c>
      <c r="AO473" t="s">
        <v>118</v>
      </c>
      <c r="AP473">
        <v>89</v>
      </c>
      <c r="AQ473">
        <v>0</v>
      </c>
      <c r="AR473">
        <v>320</v>
      </c>
      <c r="AZ473">
        <v>1200</v>
      </c>
      <c r="BA473">
        <v>1</v>
      </c>
      <c r="BB473" t="str">
        <f t="shared" si="143"/>
        <v xml:space="preserve">N733KP  </v>
      </c>
      <c r="BC473">
        <v>1</v>
      </c>
      <c r="BE473">
        <v>0</v>
      </c>
      <c r="BF473">
        <v>0</v>
      </c>
      <c r="BG473">
        <v>0</v>
      </c>
      <c r="BH473">
        <v>2700</v>
      </c>
      <c r="BI473">
        <v>1</v>
      </c>
      <c r="BJ473">
        <v>1</v>
      </c>
      <c r="BK473">
        <v>0</v>
      </c>
      <c r="BL473">
        <v>0</v>
      </c>
      <c r="BO473">
        <v>0</v>
      </c>
      <c r="BP473">
        <v>0</v>
      </c>
      <c r="BW473" t="str">
        <f>"22:11:22.771"</f>
        <v>22:11:22.771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6</v>
      </c>
      <c r="CP473" t="s">
        <v>119</v>
      </c>
      <c r="CQ473">
        <v>364</v>
      </c>
      <c r="CR473">
        <v>0</v>
      </c>
      <c r="CW473">
        <v>1381898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"03/24/2022 22:11:23.737"</f>
        <v>03/24/2022 22:11:23.737</v>
      </c>
      <c r="C474" t="str">
        <f t="shared" si="141"/>
        <v>FFDFD3C0</v>
      </c>
      <c r="D474" t="s">
        <v>120</v>
      </c>
      <c r="E474">
        <v>14</v>
      </c>
      <c r="F474">
        <v>1014</v>
      </c>
      <c r="G474" t="s">
        <v>121</v>
      </c>
      <c r="J474" t="s">
        <v>122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 t="shared" ref="S474:T477" si="144">"22:11:23.000"</f>
        <v>22:11:23.000</v>
      </c>
      <c r="T474" t="str">
        <f t="shared" si="144"/>
        <v>22:11:23.000</v>
      </c>
      <c r="U474" t="str">
        <f t="shared" si="136"/>
        <v>A9D71F</v>
      </c>
      <c r="V474">
        <v>0</v>
      </c>
      <c r="W474">
        <v>0</v>
      </c>
      <c r="X474">
        <v>2</v>
      </c>
      <c r="Z474">
        <v>1</v>
      </c>
      <c r="AA474">
        <v>8</v>
      </c>
      <c r="AB474">
        <v>3</v>
      </c>
      <c r="AC474">
        <v>0</v>
      </c>
      <c r="AD474">
        <v>9</v>
      </c>
      <c r="AE474">
        <v>0</v>
      </c>
      <c r="AF474">
        <v>3</v>
      </c>
      <c r="AG474">
        <v>1</v>
      </c>
      <c r="AH474">
        <v>0</v>
      </c>
      <c r="AI474" t="s">
        <v>239</v>
      </c>
      <c r="AJ474">
        <v>33.188088</v>
      </c>
      <c r="AK474" t="s">
        <v>303</v>
      </c>
      <c r="AL474">
        <v>-97.770274000000001</v>
      </c>
      <c r="AM474">
        <v>25</v>
      </c>
      <c r="AN474">
        <v>2700</v>
      </c>
      <c r="AO474" t="s">
        <v>118</v>
      </c>
      <c r="AP474">
        <v>91</v>
      </c>
      <c r="AQ474">
        <v>-1</v>
      </c>
      <c r="AR474">
        <v>320</v>
      </c>
      <c r="AZ474">
        <v>1200</v>
      </c>
      <c r="BA474">
        <v>1</v>
      </c>
      <c r="BB474" t="str">
        <f t="shared" si="143"/>
        <v xml:space="preserve">N733KP  </v>
      </c>
      <c r="BC474">
        <v>1</v>
      </c>
      <c r="BE474">
        <v>0</v>
      </c>
      <c r="BF474">
        <v>0</v>
      </c>
      <c r="BG474">
        <v>0</v>
      </c>
      <c r="BH474">
        <v>2700</v>
      </c>
      <c r="BI474">
        <v>1</v>
      </c>
      <c r="BJ474">
        <v>1</v>
      </c>
      <c r="BK474">
        <v>0</v>
      </c>
      <c r="BL474">
        <v>0</v>
      </c>
      <c r="BO474">
        <v>0</v>
      </c>
      <c r="BP474">
        <v>0</v>
      </c>
      <c r="BW474" t="str">
        <f>"22:11:23.577"</f>
        <v>22:11:23.577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6</v>
      </c>
      <c r="CP474" t="s">
        <v>119</v>
      </c>
      <c r="CQ474">
        <v>364</v>
      </c>
      <c r="CR474">
        <v>0</v>
      </c>
      <c r="CW474">
        <v>1382006</v>
      </c>
      <c r="CY474">
        <v>1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"03/24/2022 22:11:23.737"</f>
        <v>03/24/2022 22:11:23.737</v>
      </c>
      <c r="C475" t="str">
        <f t="shared" si="141"/>
        <v>FFDFD3C0</v>
      </c>
      <c r="D475" t="s">
        <v>126</v>
      </c>
      <c r="E475">
        <v>3</v>
      </c>
      <c r="H475">
        <v>160</v>
      </c>
      <c r="I475" t="s">
        <v>121</v>
      </c>
      <c r="J475" t="s">
        <v>127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 t="shared" si="144"/>
        <v>22:11:23.000</v>
      </c>
      <c r="T475" t="str">
        <f t="shared" si="144"/>
        <v>22:11:23.000</v>
      </c>
      <c r="U475" t="str">
        <f t="shared" si="136"/>
        <v>A9D71F</v>
      </c>
      <c r="V475">
        <v>0</v>
      </c>
      <c r="W475">
        <v>0</v>
      </c>
      <c r="X475">
        <v>2</v>
      </c>
      <c r="Z475">
        <v>1</v>
      </c>
      <c r="AA475">
        <v>8</v>
      </c>
      <c r="AB475">
        <v>3</v>
      </c>
      <c r="AC475">
        <v>0</v>
      </c>
      <c r="AD475">
        <v>9</v>
      </c>
      <c r="AE475">
        <v>0</v>
      </c>
      <c r="AF475">
        <v>3</v>
      </c>
      <c r="AG475">
        <v>1</v>
      </c>
      <c r="AH475">
        <v>0</v>
      </c>
      <c r="AI475" t="s">
        <v>239</v>
      </c>
      <c r="AJ475">
        <v>33.188088</v>
      </c>
      <c r="AK475" t="s">
        <v>303</v>
      </c>
      <c r="AL475">
        <v>-97.770274000000001</v>
      </c>
      <c r="AM475">
        <v>25</v>
      </c>
      <c r="AN475">
        <v>2700</v>
      </c>
      <c r="AO475" t="s">
        <v>118</v>
      </c>
      <c r="AP475">
        <v>91</v>
      </c>
      <c r="AQ475">
        <v>-1</v>
      </c>
      <c r="AR475">
        <v>320</v>
      </c>
      <c r="AZ475">
        <v>1200</v>
      </c>
      <c r="BA475">
        <v>1</v>
      </c>
      <c r="BB475" t="str">
        <f t="shared" si="143"/>
        <v xml:space="preserve">N733KP  </v>
      </c>
      <c r="BC475">
        <v>1</v>
      </c>
      <c r="BE475">
        <v>0</v>
      </c>
      <c r="BF475">
        <v>0</v>
      </c>
      <c r="BG475">
        <v>0</v>
      </c>
      <c r="BH475">
        <v>2700</v>
      </c>
      <c r="BI475">
        <v>1</v>
      </c>
      <c r="BJ475">
        <v>1</v>
      </c>
      <c r="BK475">
        <v>0</v>
      </c>
      <c r="BL475">
        <v>0</v>
      </c>
      <c r="BO475">
        <v>0</v>
      </c>
      <c r="BP475">
        <v>0</v>
      </c>
      <c r="BW475" t="str">
        <f>"22:11:23.577"</f>
        <v>22:11:23.577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6</v>
      </c>
      <c r="CP475" t="s">
        <v>119</v>
      </c>
      <c r="CQ475">
        <v>364</v>
      </c>
      <c r="CR475">
        <v>0</v>
      </c>
      <c r="CW475">
        <v>1382006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"03/24/2022 22:11:23.753"</f>
        <v>03/24/2022 22:11:23.753</v>
      </c>
      <c r="C476" t="str">
        <f t="shared" si="141"/>
        <v>FFDFD3C0</v>
      </c>
      <c r="D476" t="s">
        <v>123</v>
      </c>
      <c r="E476">
        <v>8</v>
      </c>
      <c r="H476">
        <v>31</v>
      </c>
      <c r="I476" t="s">
        <v>124</v>
      </c>
      <c r="J476" t="s">
        <v>125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 t="shared" si="144"/>
        <v>22:11:23.000</v>
      </c>
      <c r="T476" t="str">
        <f t="shared" si="144"/>
        <v>22:11:23.000</v>
      </c>
      <c r="U476" t="str">
        <f t="shared" si="136"/>
        <v>A9D71F</v>
      </c>
      <c r="V476">
        <v>0</v>
      </c>
      <c r="W476">
        <v>0</v>
      </c>
      <c r="X476">
        <v>2</v>
      </c>
      <c r="Z476">
        <v>1</v>
      </c>
      <c r="AA476">
        <v>8</v>
      </c>
      <c r="AB476">
        <v>3</v>
      </c>
      <c r="AC476">
        <v>0</v>
      </c>
      <c r="AD476">
        <v>9</v>
      </c>
      <c r="AE476">
        <v>0</v>
      </c>
      <c r="AF476">
        <v>3</v>
      </c>
      <c r="AG476">
        <v>1</v>
      </c>
      <c r="AH476">
        <v>0</v>
      </c>
      <c r="AI476" t="s">
        <v>239</v>
      </c>
      <c r="AJ476">
        <v>33.188088</v>
      </c>
      <c r="AK476" t="s">
        <v>303</v>
      </c>
      <c r="AL476">
        <v>-97.770274000000001</v>
      </c>
      <c r="AM476">
        <v>25</v>
      </c>
      <c r="AN476">
        <v>2700</v>
      </c>
      <c r="AO476" t="s">
        <v>118</v>
      </c>
      <c r="AP476">
        <v>91</v>
      </c>
      <c r="AQ476">
        <v>-1</v>
      </c>
      <c r="AR476">
        <v>320</v>
      </c>
      <c r="AZ476">
        <v>1200</v>
      </c>
      <c r="BA476">
        <v>1</v>
      </c>
      <c r="BB476" t="str">
        <f t="shared" si="143"/>
        <v xml:space="preserve">N733KP  </v>
      </c>
      <c r="BC476">
        <v>1</v>
      </c>
      <c r="BE476">
        <v>0</v>
      </c>
      <c r="BF476">
        <v>0</v>
      </c>
      <c r="BG476">
        <v>0</v>
      </c>
      <c r="BH476">
        <v>2700</v>
      </c>
      <c r="BI476">
        <v>1</v>
      </c>
      <c r="BJ476">
        <v>1</v>
      </c>
      <c r="BK476">
        <v>0</v>
      </c>
      <c r="BL476">
        <v>0</v>
      </c>
      <c r="BO476">
        <v>0</v>
      </c>
      <c r="BP476">
        <v>0</v>
      </c>
      <c r="BW476" t="str">
        <f>"22:11:23.577"</f>
        <v>22:11:23.577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6</v>
      </c>
      <c r="CP476" t="s">
        <v>119</v>
      </c>
      <c r="CQ476">
        <v>364</v>
      </c>
      <c r="CR476">
        <v>0</v>
      </c>
      <c r="CW476">
        <v>1382006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"03/24/2022 22:11:23.784"</f>
        <v>03/24/2022 22:11:23.784</v>
      </c>
      <c r="C477" t="str">
        <f t="shared" si="141"/>
        <v>FFDFD3C0</v>
      </c>
      <c r="D477" t="s">
        <v>113</v>
      </c>
      <c r="E477">
        <v>24</v>
      </c>
      <c r="F477">
        <v>2024</v>
      </c>
      <c r="G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 t="shared" si="144"/>
        <v>22:11:23.000</v>
      </c>
      <c r="T477" t="str">
        <f t="shared" si="144"/>
        <v>22:11:23.000</v>
      </c>
      <c r="U477" t="str">
        <f t="shared" si="136"/>
        <v>A9D71F</v>
      </c>
      <c r="V477">
        <v>0</v>
      </c>
      <c r="W477">
        <v>0</v>
      </c>
      <c r="X477">
        <v>2</v>
      </c>
      <c r="Z477">
        <v>1</v>
      </c>
      <c r="AA477">
        <v>8</v>
      </c>
      <c r="AB477">
        <v>3</v>
      </c>
      <c r="AC477">
        <v>0</v>
      </c>
      <c r="AD477">
        <v>9</v>
      </c>
      <c r="AE477">
        <v>0</v>
      </c>
      <c r="AF477">
        <v>3</v>
      </c>
      <c r="AG477">
        <v>1</v>
      </c>
      <c r="AH477">
        <v>0</v>
      </c>
      <c r="AI477" t="s">
        <v>239</v>
      </c>
      <c r="AJ477">
        <v>33.188088</v>
      </c>
      <c r="AK477" t="s">
        <v>303</v>
      </c>
      <c r="AL477">
        <v>-97.770274000000001</v>
      </c>
      <c r="AM477">
        <v>25</v>
      </c>
      <c r="AN477">
        <v>2700</v>
      </c>
      <c r="AO477" t="s">
        <v>118</v>
      </c>
      <c r="AP477">
        <v>91</v>
      </c>
      <c r="AQ477">
        <v>-1</v>
      </c>
      <c r="AR477">
        <v>320</v>
      </c>
      <c r="AZ477">
        <v>1200</v>
      </c>
      <c r="BA477">
        <v>1</v>
      </c>
      <c r="BB477" t="str">
        <f t="shared" si="143"/>
        <v xml:space="preserve">N733KP  </v>
      </c>
      <c r="BC477">
        <v>1</v>
      </c>
      <c r="BE477">
        <v>0</v>
      </c>
      <c r="BF477">
        <v>0</v>
      </c>
      <c r="BG477">
        <v>0</v>
      </c>
      <c r="BH477">
        <v>2700</v>
      </c>
      <c r="BI477">
        <v>1</v>
      </c>
      <c r="BJ477">
        <v>1</v>
      </c>
      <c r="BK477">
        <v>0</v>
      </c>
      <c r="BL477">
        <v>0</v>
      </c>
      <c r="BO477">
        <v>0</v>
      </c>
      <c r="BP477">
        <v>0</v>
      </c>
      <c r="BW477" t="str">
        <f>"22:11:23.577"</f>
        <v>22:11:23.577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6</v>
      </c>
      <c r="CP477" t="s">
        <v>119</v>
      </c>
      <c r="CQ477">
        <v>364</v>
      </c>
      <c r="CR477">
        <v>0</v>
      </c>
      <c r="CW477">
        <v>1382006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"03/24/2022 22:11:24.987"</f>
        <v>03/24/2022 22:11:24.987</v>
      </c>
      <c r="C478" t="str">
        <f t="shared" si="141"/>
        <v>FFDFD3C0</v>
      </c>
      <c r="D478" t="s">
        <v>126</v>
      </c>
      <c r="E478">
        <v>3</v>
      </c>
      <c r="H478">
        <v>160</v>
      </c>
      <c r="I478" t="s">
        <v>121</v>
      </c>
      <c r="J478" t="s">
        <v>127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 t="shared" ref="S478:T481" si="145">"22:11:24.000"</f>
        <v>22:11:24.000</v>
      </c>
      <c r="T478" t="str">
        <f t="shared" si="145"/>
        <v>22:11:24.000</v>
      </c>
      <c r="U478" t="str">
        <f t="shared" si="136"/>
        <v>A9D71F</v>
      </c>
      <c r="V478">
        <v>0</v>
      </c>
      <c r="W478">
        <v>0</v>
      </c>
      <c r="X478">
        <v>2</v>
      </c>
      <c r="Z478">
        <v>1</v>
      </c>
      <c r="AA478">
        <v>8</v>
      </c>
      <c r="AB478">
        <v>3</v>
      </c>
      <c r="AC478">
        <v>0</v>
      </c>
      <c r="AD478">
        <v>9</v>
      </c>
      <c r="AE478">
        <v>0</v>
      </c>
      <c r="AF478">
        <v>3</v>
      </c>
      <c r="AG478">
        <v>1</v>
      </c>
      <c r="AH478">
        <v>0</v>
      </c>
      <c r="AI478" t="s">
        <v>236</v>
      </c>
      <c r="AJ478">
        <v>33.188108999999997</v>
      </c>
      <c r="AK478" t="s">
        <v>304</v>
      </c>
      <c r="AL478">
        <v>-97.769801999999999</v>
      </c>
      <c r="AM478">
        <v>25</v>
      </c>
      <c r="AN478">
        <v>2700</v>
      </c>
      <c r="AO478" t="s">
        <v>118</v>
      </c>
      <c r="AP478">
        <v>91</v>
      </c>
      <c r="AQ478">
        <v>-2</v>
      </c>
      <c r="AR478">
        <v>384</v>
      </c>
      <c r="AZ478">
        <v>1200</v>
      </c>
      <c r="BA478">
        <v>1</v>
      </c>
      <c r="BB478" t="str">
        <f t="shared" si="143"/>
        <v xml:space="preserve">N733KP  </v>
      </c>
      <c r="BC478">
        <v>1</v>
      </c>
      <c r="BE478">
        <v>0</v>
      </c>
      <c r="BF478">
        <v>0</v>
      </c>
      <c r="BG478">
        <v>0</v>
      </c>
      <c r="BH478">
        <v>2700</v>
      </c>
      <c r="BI478">
        <v>1</v>
      </c>
      <c r="BJ478">
        <v>1</v>
      </c>
      <c r="BK478">
        <v>0</v>
      </c>
      <c r="BL478">
        <v>0</v>
      </c>
      <c r="BO478">
        <v>0</v>
      </c>
      <c r="BP478">
        <v>0</v>
      </c>
      <c r="BW478" t="str">
        <f>"22:11:24.798"</f>
        <v>22:11:24.798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6</v>
      </c>
      <c r="CP478" t="s">
        <v>119</v>
      </c>
      <c r="CQ478">
        <v>364</v>
      </c>
      <c r="CR478">
        <v>0</v>
      </c>
      <c r="CW478">
        <v>1382174</v>
      </c>
      <c r="CY478">
        <v>1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"03/24/2022 22:11:25.003"</f>
        <v>03/24/2022 22:11:25.003</v>
      </c>
      <c r="C479" t="str">
        <f t="shared" si="141"/>
        <v>FFDFD3C0</v>
      </c>
      <c r="D479" t="s">
        <v>123</v>
      </c>
      <c r="E479">
        <v>8</v>
      </c>
      <c r="H479">
        <v>31</v>
      </c>
      <c r="I479" t="s">
        <v>124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 t="shared" si="145"/>
        <v>22:11:24.000</v>
      </c>
      <c r="T479" t="str">
        <f t="shared" si="145"/>
        <v>22:11:24.000</v>
      </c>
      <c r="U479" t="str">
        <f t="shared" si="136"/>
        <v>A9D71F</v>
      </c>
      <c r="V479">
        <v>0</v>
      </c>
      <c r="W479">
        <v>0</v>
      </c>
      <c r="X479">
        <v>2</v>
      </c>
      <c r="Z479">
        <v>1</v>
      </c>
      <c r="AA479">
        <v>8</v>
      </c>
      <c r="AB479">
        <v>3</v>
      </c>
      <c r="AC479">
        <v>0</v>
      </c>
      <c r="AD479">
        <v>9</v>
      </c>
      <c r="AE479">
        <v>0</v>
      </c>
      <c r="AF479">
        <v>3</v>
      </c>
      <c r="AG479">
        <v>1</v>
      </c>
      <c r="AH479">
        <v>0</v>
      </c>
      <c r="AI479" t="s">
        <v>236</v>
      </c>
      <c r="AJ479">
        <v>33.188108999999997</v>
      </c>
      <c r="AK479" t="s">
        <v>304</v>
      </c>
      <c r="AL479">
        <v>-97.769801999999999</v>
      </c>
      <c r="AM479">
        <v>25</v>
      </c>
      <c r="AN479">
        <v>2700</v>
      </c>
      <c r="AO479" t="s">
        <v>118</v>
      </c>
      <c r="AP479">
        <v>91</v>
      </c>
      <c r="AQ479">
        <v>-2</v>
      </c>
      <c r="AR479">
        <v>384</v>
      </c>
      <c r="AZ479">
        <v>1200</v>
      </c>
      <c r="BA479">
        <v>1</v>
      </c>
      <c r="BB479" t="str">
        <f t="shared" si="143"/>
        <v xml:space="preserve">N733KP  </v>
      </c>
      <c r="BC479">
        <v>1</v>
      </c>
      <c r="BE479">
        <v>0</v>
      </c>
      <c r="BF479">
        <v>0</v>
      </c>
      <c r="BG479">
        <v>0</v>
      </c>
      <c r="BH479">
        <v>2700</v>
      </c>
      <c r="BI479">
        <v>1</v>
      </c>
      <c r="BJ479">
        <v>1</v>
      </c>
      <c r="BK479">
        <v>0</v>
      </c>
      <c r="BL479">
        <v>0</v>
      </c>
      <c r="BO479">
        <v>0</v>
      </c>
      <c r="BP479">
        <v>0</v>
      </c>
      <c r="BW479" t="str">
        <f>"22:11:24.798"</f>
        <v>22:11:24.798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6</v>
      </c>
      <c r="CP479" t="s">
        <v>119</v>
      </c>
      <c r="CQ479">
        <v>364</v>
      </c>
      <c r="CR479">
        <v>0</v>
      </c>
      <c r="CW479">
        <v>1382174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"03/24/2022 22:11:25.003"</f>
        <v>03/24/2022 22:11:25.003</v>
      </c>
      <c r="C480" t="str">
        <f t="shared" si="141"/>
        <v>FFDFD3C0</v>
      </c>
      <c r="D480" t="s">
        <v>113</v>
      </c>
      <c r="E480">
        <v>24</v>
      </c>
      <c r="F480">
        <v>2024</v>
      </c>
      <c r="G480" t="s">
        <v>114</v>
      </c>
      <c r="J480" t="s">
        <v>115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 t="shared" si="145"/>
        <v>22:11:24.000</v>
      </c>
      <c r="T480" t="str">
        <f t="shared" si="145"/>
        <v>22:11:24.000</v>
      </c>
      <c r="U480" t="str">
        <f t="shared" si="136"/>
        <v>A9D71F</v>
      </c>
      <c r="V480">
        <v>0</v>
      </c>
      <c r="W480">
        <v>0</v>
      </c>
      <c r="X480">
        <v>2</v>
      </c>
      <c r="Z480">
        <v>1</v>
      </c>
      <c r="AA480">
        <v>8</v>
      </c>
      <c r="AB480">
        <v>3</v>
      </c>
      <c r="AC480">
        <v>0</v>
      </c>
      <c r="AD480">
        <v>9</v>
      </c>
      <c r="AE480">
        <v>0</v>
      </c>
      <c r="AF480">
        <v>3</v>
      </c>
      <c r="AG480">
        <v>1</v>
      </c>
      <c r="AH480">
        <v>0</v>
      </c>
      <c r="AI480" t="s">
        <v>236</v>
      </c>
      <c r="AJ480">
        <v>33.188108999999997</v>
      </c>
      <c r="AK480" t="s">
        <v>304</v>
      </c>
      <c r="AL480">
        <v>-97.769801999999999</v>
      </c>
      <c r="AM480">
        <v>25</v>
      </c>
      <c r="AN480">
        <v>2700</v>
      </c>
      <c r="AO480" t="s">
        <v>118</v>
      </c>
      <c r="AP480">
        <v>91</v>
      </c>
      <c r="AQ480">
        <v>-2</v>
      </c>
      <c r="AR480">
        <v>384</v>
      </c>
      <c r="AZ480">
        <v>1200</v>
      </c>
      <c r="BA480">
        <v>1</v>
      </c>
      <c r="BB480" t="str">
        <f t="shared" si="143"/>
        <v xml:space="preserve">N733KP  </v>
      </c>
      <c r="BC480">
        <v>1</v>
      </c>
      <c r="BE480">
        <v>0</v>
      </c>
      <c r="BF480">
        <v>0</v>
      </c>
      <c r="BG480">
        <v>0</v>
      </c>
      <c r="BH480">
        <v>2700</v>
      </c>
      <c r="BI480">
        <v>1</v>
      </c>
      <c r="BJ480">
        <v>1</v>
      </c>
      <c r="BK480">
        <v>0</v>
      </c>
      <c r="BL480">
        <v>0</v>
      </c>
      <c r="BO480">
        <v>0</v>
      </c>
      <c r="BP480">
        <v>0</v>
      </c>
      <c r="BW480" t="str">
        <f>"22:11:24.798"</f>
        <v>22:11:24.798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6</v>
      </c>
      <c r="CP480" t="s">
        <v>119</v>
      </c>
      <c r="CQ480">
        <v>364</v>
      </c>
      <c r="CR480">
        <v>0</v>
      </c>
      <c r="CW480">
        <v>1382174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"03/24/2022 22:11:25.003"</f>
        <v>03/24/2022 22:11:25.003</v>
      </c>
      <c r="C481" t="str">
        <f t="shared" si="141"/>
        <v>FFDFD3C0</v>
      </c>
      <c r="D481" t="s">
        <v>120</v>
      </c>
      <c r="E481">
        <v>14</v>
      </c>
      <c r="F481">
        <v>1014</v>
      </c>
      <c r="G481" t="s">
        <v>121</v>
      </c>
      <c r="J481" t="s">
        <v>122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 t="shared" si="145"/>
        <v>22:11:24.000</v>
      </c>
      <c r="T481" t="str">
        <f t="shared" si="145"/>
        <v>22:11:24.000</v>
      </c>
      <c r="U481" t="str">
        <f t="shared" si="136"/>
        <v>A9D71F</v>
      </c>
      <c r="V481">
        <v>0</v>
      </c>
      <c r="W481">
        <v>0</v>
      </c>
      <c r="X481">
        <v>2</v>
      </c>
      <c r="Z481">
        <v>1</v>
      </c>
      <c r="AA481">
        <v>8</v>
      </c>
      <c r="AB481">
        <v>3</v>
      </c>
      <c r="AC481">
        <v>0</v>
      </c>
      <c r="AD481">
        <v>9</v>
      </c>
      <c r="AE481">
        <v>0</v>
      </c>
      <c r="AF481">
        <v>3</v>
      </c>
      <c r="AG481">
        <v>1</v>
      </c>
      <c r="AH481">
        <v>0</v>
      </c>
      <c r="AI481" t="s">
        <v>236</v>
      </c>
      <c r="AJ481">
        <v>33.188108999999997</v>
      </c>
      <c r="AK481" t="s">
        <v>304</v>
      </c>
      <c r="AL481">
        <v>-97.769801999999999</v>
      </c>
      <c r="AM481">
        <v>25</v>
      </c>
      <c r="AN481">
        <v>2700</v>
      </c>
      <c r="AO481" t="s">
        <v>118</v>
      </c>
      <c r="AP481">
        <v>91</v>
      </c>
      <c r="AQ481">
        <v>-2</v>
      </c>
      <c r="AR481">
        <v>384</v>
      </c>
      <c r="AZ481">
        <v>1200</v>
      </c>
      <c r="BA481">
        <v>1</v>
      </c>
      <c r="BB481" t="str">
        <f t="shared" si="143"/>
        <v xml:space="preserve">N733KP  </v>
      </c>
      <c r="BC481">
        <v>1</v>
      </c>
      <c r="BE481">
        <v>0</v>
      </c>
      <c r="BF481">
        <v>0</v>
      </c>
      <c r="BG481">
        <v>0</v>
      </c>
      <c r="BH481">
        <v>2700</v>
      </c>
      <c r="BI481">
        <v>1</v>
      </c>
      <c r="BJ481">
        <v>1</v>
      </c>
      <c r="BK481">
        <v>0</v>
      </c>
      <c r="BL481">
        <v>0</v>
      </c>
      <c r="BO481">
        <v>0</v>
      </c>
      <c r="BP481">
        <v>0</v>
      </c>
      <c r="BW481" t="str">
        <f>"22:11:24.798"</f>
        <v>22:11:24.798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6</v>
      </c>
      <c r="CP481" t="s">
        <v>119</v>
      </c>
      <c r="CQ481">
        <v>364</v>
      </c>
      <c r="CR481">
        <v>0</v>
      </c>
      <c r="CW481">
        <v>1382174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"03/24/2022 22:11:25.816"</f>
        <v>03/24/2022 22:11:25.816</v>
      </c>
      <c r="C482" t="str">
        <f t="shared" si="141"/>
        <v>FFDFD3C0</v>
      </c>
      <c r="D482" t="s">
        <v>123</v>
      </c>
      <c r="E482">
        <v>8</v>
      </c>
      <c r="H482">
        <v>31</v>
      </c>
      <c r="I482" t="s">
        <v>124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 t="shared" ref="S482:T485" si="146">"22:11:25.000"</f>
        <v>22:11:25.000</v>
      </c>
      <c r="T482" t="str">
        <f t="shared" si="146"/>
        <v>22:11:25.000</v>
      </c>
      <c r="U482" t="str">
        <f t="shared" si="136"/>
        <v>A9D71F</v>
      </c>
      <c r="V482">
        <v>0</v>
      </c>
      <c r="W482">
        <v>0</v>
      </c>
      <c r="X482">
        <v>2</v>
      </c>
      <c r="Z482">
        <v>1</v>
      </c>
      <c r="AA482">
        <v>8</v>
      </c>
      <c r="AB482">
        <v>3</v>
      </c>
      <c r="AC482">
        <v>0</v>
      </c>
      <c r="AD482">
        <v>9</v>
      </c>
      <c r="AE482">
        <v>0</v>
      </c>
      <c r="AF482">
        <v>3</v>
      </c>
      <c r="AG482">
        <v>1</v>
      </c>
      <c r="AH482">
        <v>0</v>
      </c>
      <c r="AI482" t="s">
        <v>294</v>
      </c>
      <c r="AJ482">
        <v>33.188130999999998</v>
      </c>
      <c r="AK482" t="s">
        <v>305</v>
      </c>
      <c r="AL482">
        <v>-97.769287000000006</v>
      </c>
      <c r="AM482">
        <v>25</v>
      </c>
      <c r="AN482">
        <v>2700</v>
      </c>
      <c r="AO482" t="s">
        <v>118</v>
      </c>
      <c r="AP482">
        <v>91</v>
      </c>
      <c r="AQ482">
        <v>0</v>
      </c>
      <c r="AR482">
        <v>448</v>
      </c>
      <c r="AZ482">
        <v>1200</v>
      </c>
      <c r="BA482">
        <v>1</v>
      </c>
      <c r="BB482" t="str">
        <f t="shared" si="143"/>
        <v xml:space="preserve">N733KP  </v>
      </c>
      <c r="BC482">
        <v>1</v>
      </c>
      <c r="BE482">
        <v>0</v>
      </c>
      <c r="BF482">
        <v>0</v>
      </c>
      <c r="BG482">
        <v>0</v>
      </c>
      <c r="BH482">
        <v>2700</v>
      </c>
      <c r="BI482">
        <v>1</v>
      </c>
      <c r="BJ482">
        <v>1</v>
      </c>
      <c r="BK482">
        <v>0</v>
      </c>
      <c r="BL482">
        <v>0</v>
      </c>
      <c r="BO482">
        <v>0</v>
      </c>
      <c r="BP482">
        <v>0</v>
      </c>
      <c r="BW482" t="str">
        <f>"22:11:25.615"</f>
        <v>22:11:25.615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6</v>
      </c>
      <c r="CP482" t="s">
        <v>119</v>
      </c>
      <c r="CQ482">
        <v>364</v>
      </c>
      <c r="CR482">
        <v>0</v>
      </c>
      <c r="CW482">
        <v>1382282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"03/24/2022 22:11:25.816"</f>
        <v>03/24/2022 22:11:25.816</v>
      </c>
      <c r="C483" t="str">
        <f t="shared" si="141"/>
        <v>FFDFD3C0</v>
      </c>
      <c r="D483" t="s">
        <v>113</v>
      </c>
      <c r="E483">
        <v>24</v>
      </c>
      <c r="F483">
        <v>2024</v>
      </c>
      <c r="G483" t="s">
        <v>114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 t="shared" si="146"/>
        <v>22:11:25.000</v>
      </c>
      <c r="T483" t="str">
        <f t="shared" si="146"/>
        <v>22:11:25.000</v>
      </c>
      <c r="U483" t="str">
        <f t="shared" si="136"/>
        <v>A9D71F</v>
      </c>
      <c r="V483">
        <v>0</v>
      </c>
      <c r="W483">
        <v>0</v>
      </c>
      <c r="X483">
        <v>2</v>
      </c>
      <c r="Z483">
        <v>1</v>
      </c>
      <c r="AA483">
        <v>8</v>
      </c>
      <c r="AB483">
        <v>3</v>
      </c>
      <c r="AC483">
        <v>0</v>
      </c>
      <c r="AD483">
        <v>9</v>
      </c>
      <c r="AE483">
        <v>0</v>
      </c>
      <c r="AF483">
        <v>3</v>
      </c>
      <c r="AG483">
        <v>1</v>
      </c>
      <c r="AH483">
        <v>0</v>
      </c>
      <c r="AI483" t="s">
        <v>294</v>
      </c>
      <c r="AJ483">
        <v>33.188130999999998</v>
      </c>
      <c r="AK483" t="s">
        <v>305</v>
      </c>
      <c r="AL483">
        <v>-97.769287000000006</v>
      </c>
      <c r="AM483">
        <v>25</v>
      </c>
      <c r="AN483">
        <v>2700</v>
      </c>
      <c r="AO483" t="s">
        <v>118</v>
      </c>
      <c r="AP483">
        <v>91</v>
      </c>
      <c r="AQ483">
        <v>0</v>
      </c>
      <c r="AR483">
        <v>448</v>
      </c>
      <c r="AZ483">
        <v>1200</v>
      </c>
      <c r="BA483">
        <v>1</v>
      </c>
      <c r="BB483" t="str">
        <f t="shared" si="143"/>
        <v xml:space="preserve">N733KP  </v>
      </c>
      <c r="BC483">
        <v>1</v>
      </c>
      <c r="BE483">
        <v>0</v>
      </c>
      <c r="BF483">
        <v>0</v>
      </c>
      <c r="BG483">
        <v>0</v>
      </c>
      <c r="BH483">
        <v>2700</v>
      </c>
      <c r="BI483">
        <v>1</v>
      </c>
      <c r="BJ483">
        <v>1</v>
      </c>
      <c r="BK483">
        <v>0</v>
      </c>
      <c r="BL483">
        <v>0</v>
      </c>
      <c r="BO483">
        <v>0</v>
      </c>
      <c r="BP483">
        <v>0</v>
      </c>
      <c r="BW483" t="str">
        <f>"22:11:25.615"</f>
        <v>22:11:25.615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6</v>
      </c>
      <c r="CP483" t="s">
        <v>119</v>
      </c>
      <c r="CQ483">
        <v>364</v>
      </c>
      <c r="CR483">
        <v>0</v>
      </c>
      <c r="CW483">
        <v>1382282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"03/24/2022 22:11:25.816"</f>
        <v>03/24/2022 22:11:25.816</v>
      </c>
      <c r="C484" t="str">
        <f t="shared" si="141"/>
        <v>FFDFD3C0</v>
      </c>
      <c r="D484" t="s">
        <v>120</v>
      </c>
      <c r="E484">
        <v>14</v>
      </c>
      <c r="F484">
        <v>1014</v>
      </c>
      <c r="G484" t="s">
        <v>121</v>
      </c>
      <c r="J484" t="s">
        <v>122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 t="shared" si="146"/>
        <v>22:11:25.000</v>
      </c>
      <c r="T484" t="str">
        <f t="shared" si="146"/>
        <v>22:11:25.000</v>
      </c>
      <c r="U484" t="str">
        <f t="shared" si="136"/>
        <v>A9D71F</v>
      </c>
      <c r="V484">
        <v>0</v>
      </c>
      <c r="W484">
        <v>0</v>
      </c>
      <c r="X484">
        <v>2</v>
      </c>
      <c r="Z484">
        <v>1</v>
      </c>
      <c r="AA484">
        <v>8</v>
      </c>
      <c r="AB484">
        <v>3</v>
      </c>
      <c r="AC484">
        <v>0</v>
      </c>
      <c r="AD484">
        <v>9</v>
      </c>
      <c r="AE484">
        <v>0</v>
      </c>
      <c r="AF484">
        <v>3</v>
      </c>
      <c r="AG484">
        <v>1</v>
      </c>
      <c r="AH484">
        <v>0</v>
      </c>
      <c r="AI484" t="s">
        <v>294</v>
      </c>
      <c r="AJ484">
        <v>33.188130999999998</v>
      </c>
      <c r="AK484" t="s">
        <v>305</v>
      </c>
      <c r="AL484">
        <v>-97.769287000000006</v>
      </c>
      <c r="AM484">
        <v>25</v>
      </c>
      <c r="AN484">
        <v>2700</v>
      </c>
      <c r="AO484" t="s">
        <v>118</v>
      </c>
      <c r="AP484">
        <v>91</v>
      </c>
      <c r="AQ484">
        <v>0</v>
      </c>
      <c r="AR484">
        <v>448</v>
      </c>
      <c r="AZ484">
        <v>1200</v>
      </c>
      <c r="BA484">
        <v>1</v>
      </c>
      <c r="BB484" t="str">
        <f t="shared" si="143"/>
        <v xml:space="preserve">N733KP  </v>
      </c>
      <c r="BC484">
        <v>1</v>
      </c>
      <c r="BE484">
        <v>0</v>
      </c>
      <c r="BF484">
        <v>0</v>
      </c>
      <c r="BG484">
        <v>0</v>
      </c>
      <c r="BH484">
        <v>2700</v>
      </c>
      <c r="BI484">
        <v>1</v>
      </c>
      <c r="BJ484">
        <v>1</v>
      </c>
      <c r="BK484">
        <v>0</v>
      </c>
      <c r="BL484">
        <v>0</v>
      </c>
      <c r="BO484">
        <v>0</v>
      </c>
      <c r="BP484">
        <v>0</v>
      </c>
      <c r="BW484" t="str">
        <f>"22:11:25.615"</f>
        <v>22:11:25.615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6</v>
      </c>
      <c r="CP484" t="s">
        <v>119</v>
      </c>
      <c r="CQ484">
        <v>364</v>
      </c>
      <c r="CR484">
        <v>0</v>
      </c>
      <c r="CW484">
        <v>1382282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"03/24/2022 22:11:25.816"</f>
        <v>03/24/2022 22:11:25.816</v>
      </c>
      <c r="C485" t="str">
        <f t="shared" si="141"/>
        <v>FFDFD3C0</v>
      </c>
      <c r="D485" t="s">
        <v>126</v>
      </c>
      <c r="E485">
        <v>3</v>
      </c>
      <c r="H485">
        <v>160</v>
      </c>
      <c r="I485" t="s">
        <v>121</v>
      </c>
      <c r="J485" t="s">
        <v>127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 t="shared" si="146"/>
        <v>22:11:25.000</v>
      </c>
      <c r="T485" t="str">
        <f t="shared" si="146"/>
        <v>22:11:25.000</v>
      </c>
      <c r="U485" t="str">
        <f t="shared" si="136"/>
        <v>A9D71F</v>
      </c>
      <c r="V485">
        <v>0</v>
      </c>
      <c r="W485">
        <v>0</v>
      </c>
      <c r="X485">
        <v>2</v>
      </c>
      <c r="Z485">
        <v>1</v>
      </c>
      <c r="AA485">
        <v>8</v>
      </c>
      <c r="AB485">
        <v>3</v>
      </c>
      <c r="AC485">
        <v>0</v>
      </c>
      <c r="AD485">
        <v>9</v>
      </c>
      <c r="AE485">
        <v>0</v>
      </c>
      <c r="AF485">
        <v>3</v>
      </c>
      <c r="AG485">
        <v>1</v>
      </c>
      <c r="AH485">
        <v>0</v>
      </c>
      <c r="AI485" t="s">
        <v>294</v>
      </c>
      <c r="AJ485">
        <v>33.188130999999998</v>
      </c>
      <c r="AK485" t="s">
        <v>305</v>
      </c>
      <c r="AL485">
        <v>-97.769287000000006</v>
      </c>
      <c r="AM485">
        <v>25</v>
      </c>
      <c r="AN485">
        <v>2700</v>
      </c>
      <c r="AO485" t="s">
        <v>118</v>
      </c>
      <c r="AP485">
        <v>91</v>
      </c>
      <c r="AQ485">
        <v>0</v>
      </c>
      <c r="AR485">
        <v>448</v>
      </c>
      <c r="AZ485">
        <v>1200</v>
      </c>
      <c r="BA485">
        <v>1</v>
      </c>
      <c r="BB485" t="str">
        <f t="shared" si="143"/>
        <v xml:space="preserve">N733KP  </v>
      </c>
      <c r="BC485">
        <v>1</v>
      </c>
      <c r="BE485">
        <v>0</v>
      </c>
      <c r="BF485">
        <v>0</v>
      </c>
      <c r="BG485">
        <v>0</v>
      </c>
      <c r="BH485">
        <v>2700</v>
      </c>
      <c r="BI485">
        <v>1</v>
      </c>
      <c r="BJ485">
        <v>1</v>
      </c>
      <c r="BK485">
        <v>0</v>
      </c>
      <c r="BL485">
        <v>0</v>
      </c>
      <c r="BO485">
        <v>0</v>
      </c>
      <c r="BP485">
        <v>0</v>
      </c>
      <c r="BW485" t="str">
        <f>"22:11:25.615"</f>
        <v>22:11:25.615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6</v>
      </c>
      <c r="CP485" t="s">
        <v>119</v>
      </c>
      <c r="CQ485">
        <v>364</v>
      </c>
      <c r="CR485">
        <v>0</v>
      </c>
      <c r="CW485">
        <v>1382282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"03/24/2022 22:11:26.848"</f>
        <v>03/24/2022 22:11:26.848</v>
      </c>
      <c r="C486" t="str">
        <f t="shared" si="141"/>
        <v>FFDFD3C0</v>
      </c>
      <c r="D486" t="s">
        <v>113</v>
      </c>
      <c r="E486">
        <v>24</v>
      </c>
      <c r="F486">
        <v>2024</v>
      </c>
      <c r="G486" t="s">
        <v>114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 t="shared" ref="S486:T489" si="147">"22:11:26.000"</f>
        <v>22:11:26.000</v>
      </c>
      <c r="T486" t="str">
        <f t="shared" si="147"/>
        <v>22:11:26.000</v>
      </c>
      <c r="U486" t="str">
        <f t="shared" si="136"/>
        <v>A9D71F</v>
      </c>
      <c r="V486">
        <v>0</v>
      </c>
      <c r="W486">
        <v>0</v>
      </c>
      <c r="X486">
        <v>2</v>
      </c>
      <c r="Z486">
        <v>1</v>
      </c>
      <c r="AA486">
        <v>8</v>
      </c>
      <c r="AB486">
        <v>3</v>
      </c>
      <c r="AC486">
        <v>0</v>
      </c>
      <c r="AD486">
        <v>9</v>
      </c>
      <c r="AE486">
        <v>0</v>
      </c>
      <c r="AF486">
        <v>3</v>
      </c>
      <c r="AG486">
        <v>1</v>
      </c>
      <c r="AH486">
        <v>0</v>
      </c>
      <c r="AI486" t="s">
        <v>236</v>
      </c>
      <c r="AJ486">
        <v>33.188108999999997</v>
      </c>
      <c r="AK486" t="s">
        <v>306</v>
      </c>
      <c r="AL486">
        <v>-97.768793000000002</v>
      </c>
      <c r="AM486">
        <v>25</v>
      </c>
      <c r="AN486">
        <v>2800</v>
      </c>
      <c r="AO486" t="s">
        <v>118</v>
      </c>
      <c r="AP486">
        <v>92</v>
      </c>
      <c r="AQ486">
        <v>0</v>
      </c>
      <c r="AR486">
        <v>576</v>
      </c>
      <c r="AZ486">
        <v>1200</v>
      </c>
      <c r="BA486">
        <v>1</v>
      </c>
      <c r="BB486" t="str">
        <f t="shared" si="143"/>
        <v xml:space="preserve">N733KP  </v>
      </c>
      <c r="BC486">
        <v>1</v>
      </c>
      <c r="BE486">
        <v>0</v>
      </c>
      <c r="BF486">
        <v>0</v>
      </c>
      <c r="BG486">
        <v>0</v>
      </c>
      <c r="BH486">
        <v>2725</v>
      </c>
      <c r="BI486">
        <v>1</v>
      </c>
      <c r="BJ486">
        <v>1</v>
      </c>
      <c r="BK486">
        <v>0</v>
      </c>
      <c r="BL486">
        <v>0</v>
      </c>
      <c r="BO486">
        <v>0</v>
      </c>
      <c r="BP486">
        <v>0</v>
      </c>
      <c r="BW486" t="str">
        <f>"22:11:26.637"</f>
        <v>22:11:26.637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364</v>
      </c>
      <c r="CR486">
        <v>0</v>
      </c>
      <c r="CW486">
        <v>1382431</v>
      </c>
      <c r="CY486">
        <v>1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"03/24/2022 22:11:26.864"</f>
        <v>03/24/2022 22:11:26.864</v>
      </c>
      <c r="C487" t="str">
        <f t="shared" si="141"/>
        <v>FFDFD3C0</v>
      </c>
      <c r="D487" t="s">
        <v>120</v>
      </c>
      <c r="E487">
        <v>14</v>
      </c>
      <c r="F487">
        <v>1014</v>
      </c>
      <c r="G487" t="s">
        <v>121</v>
      </c>
      <c r="J487" t="s">
        <v>122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 t="shared" si="147"/>
        <v>22:11:26.000</v>
      </c>
      <c r="T487" t="str">
        <f t="shared" si="147"/>
        <v>22:11:26.000</v>
      </c>
      <c r="U487" t="str">
        <f t="shared" si="136"/>
        <v>A9D71F</v>
      </c>
      <c r="V487">
        <v>0</v>
      </c>
      <c r="W487">
        <v>0</v>
      </c>
      <c r="X487">
        <v>2</v>
      </c>
      <c r="Z487">
        <v>1</v>
      </c>
      <c r="AA487">
        <v>8</v>
      </c>
      <c r="AB487">
        <v>3</v>
      </c>
      <c r="AC487">
        <v>0</v>
      </c>
      <c r="AD487">
        <v>9</v>
      </c>
      <c r="AE487">
        <v>0</v>
      </c>
      <c r="AF487">
        <v>3</v>
      </c>
      <c r="AG487">
        <v>1</v>
      </c>
      <c r="AH487">
        <v>0</v>
      </c>
      <c r="AI487" t="s">
        <v>236</v>
      </c>
      <c r="AJ487">
        <v>33.188108999999997</v>
      </c>
      <c r="AK487" t="s">
        <v>306</v>
      </c>
      <c r="AL487">
        <v>-97.768793000000002</v>
      </c>
      <c r="AM487">
        <v>25</v>
      </c>
      <c r="AN487">
        <v>2800</v>
      </c>
      <c r="AO487" t="s">
        <v>118</v>
      </c>
      <c r="AP487">
        <v>92</v>
      </c>
      <c r="AQ487">
        <v>0</v>
      </c>
      <c r="AR487">
        <v>576</v>
      </c>
      <c r="AZ487">
        <v>1200</v>
      </c>
      <c r="BA487">
        <v>1</v>
      </c>
      <c r="BB487" t="str">
        <f t="shared" si="143"/>
        <v xml:space="preserve">N733KP  </v>
      </c>
      <c r="BC487">
        <v>1</v>
      </c>
      <c r="BE487">
        <v>0</v>
      </c>
      <c r="BF487">
        <v>0</v>
      </c>
      <c r="BG487">
        <v>0</v>
      </c>
      <c r="BH487">
        <v>2725</v>
      </c>
      <c r="BI487">
        <v>1</v>
      </c>
      <c r="BJ487">
        <v>1</v>
      </c>
      <c r="BK487">
        <v>0</v>
      </c>
      <c r="BL487">
        <v>0</v>
      </c>
      <c r="BO487">
        <v>0</v>
      </c>
      <c r="BP487">
        <v>0</v>
      </c>
      <c r="BW487" t="str">
        <f>"22:11:26.637"</f>
        <v>22:11:26.637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364</v>
      </c>
      <c r="CR487">
        <v>0</v>
      </c>
      <c r="CW487">
        <v>1382431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"03/24/2022 22:11:26.864"</f>
        <v>03/24/2022 22:11:26.864</v>
      </c>
      <c r="C488" t="str">
        <f t="shared" si="141"/>
        <v>FFDFD3C0</v>
      </c>
      <c r="D488" t="s">
        <v>126</v>
      </c>
      <c r="E488">
        <v>3</v>
      </c>
      <c r="H488">
        <v>160</v>
      </c>
      <c r="I488" t="s">
        <v>121</v>
      </c>
      <c r="J488" t="s">
        <v>127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 t="shared" si="147"/>
        <v>22:11:26.000</v>
      </c>
      <c r="T488" t="str">
        <f t="shared" si="147"/>
        <v>22:11:26.000</v>
      </c>
      <c r="U488" t="str">
        <f t="shared" si="136"/>
        <v>A9D71F</v>
      </c>
      <c r="V488">
        <v>0</v>
      </c>
      <c r="W488">
        <v>0</v>
      </c>
      <c r="X488">
        <v>2</v>
      </c>
      <c r="Z488">
        <v>1</v>
      </c>
      <c r="AA488">
        <v>8</v>
      </c>
      <c r="AB488">
        <v>3</v>
      </c>
      <c r="AC488">
        <v>0</v>
      </c>
      <c r="AD488">
        <v>9</v>
      </c>
      <c r="AE488">
        <v>0</v>
      </c>
      <c r="AF488">
        <v>3</v>
      </c>
      <c r="AG488">
        <v>1</v>
      </c>
      <c r="AH488">
        <v>0</v>
      </c>
      <c r="AI488" t="s">
        <v>236</v>
      </c>
      <c r="AJ488">
        <v>33.188108999999997</v>
      </c>
      <c r="AK488" t="s">
        <v>306</v>
      </c>
      <c r="AL488">
        <v>-97.768793000000002</v>
      </c>
      <c r="AM488">
        <v>25</v>
      </c>
      <c r="AN488">
        <v>2800</v>
      </c>
      <c r="AO488" t="s">
        <v>118</v>
      </c>
      <c r="AP488">
        <v>92</v>
      </c>
      <c r="AQ488">
        <v>0</v>
      </c>
      <c r="AR488">
        <v>576</v>
      </c>
      <c r="AZ488">
        <v>1200</v>
      </c>
      <c r="BA488">
        <v>1</v>
      </c>
      <c r="BB488" t="str">
        <f t="shared" si="143"/>
        <v xml:space="preserve">N733KP  </v>
      </c>
      <c r="BC488">
        <v>1</v>
      </c>
      <c r="BE488">
        <v>0</v>
      </c>
      <c r="BF488">
        <v>0</v>
      </c>
      <c r="BG488">
        <v>0</v>
      </c>
      <c r="BH488">
        <v>2725</v>
      </c>
      <c r="BI488">
        <v>1</v>
      </c>
      <c r="BJ488">
        <v>1</v>
      </c>
      <c r="BK488">
        <v>0</v>
      </c>
      <c r="BL488">
        <v>0</v>
      </c>
      <c r="BO488">
        <v>0</v>
      </c>
      <c r="BP488">
        <v>0</v>
      </c>
      <c r="BW488" t="str">
        <f>"22:11:26.637"</f>
        <v>22:11:26.637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364</v>
      </c>
      <c r="CR488">
        <v>0</v>
      </c>
      <c r="CW488">
        <v>1382431</v>
      </c>
      <c r="CY488">
        <v>1</v>
      </c>
      <c r="CZ488">
        <v>0</v>
      </c>
      <c r="DA488">
        <v>1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"03/24/2022 22:11:26.864"</f>
        <v>03/24/2022 22:11:26.864</v>
      </c>
      <c r="C489" t="str">
        <f t="shared" si="141"/>
        <v>FFDFD3C0</v>
      </c>
      <c r="D489" t="s">
        <v>123</v>
      </c>
      <c r="E489">
        <v>8</v>
      </c>
      <c r="H489">
        <v>31</v>
      </c>
      <c r="I489" t="s">
        <v>124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 t="shared" si="147"/>
        <v>22:11:26.000</v>
      </c>
      <c r="T489" t="str">
        <f t="shared" si="147"/>
        <v>22:11:26.000</v>
      </c>
      <c r="U489" t="str">
        <f t="shared" si="136"/>
        <v>A9D71F</v>
      </c>
      <c r="V489">
        <v>0</v>
      </c>
      <c r="W489">
        <v>0</v>
      </c>
      <c r="X489">
        <v>2</v>
      </c>
      <c r="Z489">
        <v>1</v>
      </c>
      <c r="AA489">
        <v>8</v>
      </c>
      <c r="AB489">
        <v>3</v>
      </c>
      <c r="AC489">
        <v>0</v>
      </c>
      <c r="AD489">
        <v>9</v>
      </c>
      <c r="AE489">
        <v>0</v>
      </c>
      <c r="AF489">
        <v>3</v>
      </c>
      <c r="AG489">
        <v>1</v>
      </c>
      <c r="AH489">
        <v>0</v>
      </c>
      <c r="AI489" t="s">
        <v>236</v>
      </c>
      <c r="AJ489">
        <v>33.188108999999997</v>
      </c>
      <c r="AK489" t="s">
        <v>306</v>
      </c>
      <c r="AL489">
        <v>-97.768793000000002</v>
      </c>
      <c r="AM489">
        <v>25</v>
      </c>
      <c r="AN489">
        <v>2800</v>
      </c>
      <c r="AO489" t="s">
        <v>118</v>
      </c>
      <c r="AP489">
        <v>92</v>
      </c>
      <c r="AQ489">
        <v>0</v>
      </c>
      <c r="AR489">
        <v>576</v>
      </c>
      <c r="AZ489">
        <v>1200</v>
      </c>
      <c r="BA489">
        <v>1</v>
      </c>
      <c r="BB489" t="str">
        <f t="shared" si="143"/>
        <v xml:space="preserve">N733KP  </v>
      </c>
      <c r="BC489">
        <v>1</v>
      </c>
      <c r="BE489">
        <v>0</v>
      </c>
      <c r="BF489">
        <v>0</v>
      </c>
      <c r="BG489">
        <v>0</v>
      </c>
      <c r="BH489">
        <v>2725</v>
      </c>
      <c r="BI489">
        <v>1</v>
      </c>
      <c r="BJ489">
        <v>1</v>
      </c>
      <c r="BK489">
        <v>0</v>
      </c>
      <c r="BL489">
        <v>0</v>
      </c>
      <c r="BO489">
        <v>0</v>
      </c>
      <c r="BP489">
        <v>0</v>
      </c>
      <c r="BW489" t="str">
        <f>"22:11:26.637"</f>
        <v>22:11:26.637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364</v>
      </c>
      <c r="CR489">
        <v>0</v>
      </c>
      <c r="CW489">
        <v>1382431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"03/24/2022 22:11:27.474"</f>
        <v>03/24/2022 22:11:27.474</v>
      </c>
      <c r="C490" t="str">
        <f t="shared" si="141"/>
        <v>FFDFD3C0</v>
      </c>
      <c r="D490" t="s">
        <v>120</v>
      </c>
      <c r="E490">
        <v>14</v>
      </c>
      <c r="F490">
        <v>1014</v>
      </c>
      <c r="G490" t="s">
        <v>121</v>
      </c>
      <c r="J490" t="s">
        <v>122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 t="shared" ref="S490:T493" si="148">"22:11:27.000"</f>
        <v>22:11:27.000</v>
      </c>
      <c r="T490" t="str">
        <f t="shared" si="148"/>
        <v>22:11:27.000</v>
      </c>
      <c r="U490" t="str">
        <f t="shared" si="136"/>
        <v>A9D71F</v>
      </c>
      <c r="V490">
        <v>0</v>
      </c>
      <c r="W490">
        <v>0</v>
      </c>
      <c r="X490">
        <v>2</v>
      </c>
      <c r="Z490">
        <v>1</v>
      </c>
      <c r="AA490">
        <v>8</v>
      </c>
      <c r="AB490">
        <v>3</v>
      </c>
      <c r="AC490">
        <v>0</v>
      </c>
      <c r="AD490">
        <v>9</v>
      </c>
      <c r="AE490">
        <v>0</v>
      </c>
      <c r="AF490">
        <v>3</v>
      </c>
      <c r="AG490">
        <v>1</v>
      </c>
      <c r="AH490">
        <v>0</v>
      </c>
      <c r="AI490" t="s">
        <v>236</v>
      </c>
      <c r="AJ490">
        <v>33.188108999999997</v>
      </c>
      <c r="AK490" t="s">
        <v>307</v>
      </c>
      <c r="AL490">
        <v>-97.768277999999995</v>
      </c>
      <c r="AM490">
        <v>25</v>
      </c>
      <c r="AN490">
        <v>2800</v>
      </c>
      <c r="AO490" t="s">
        <v>118</v>
      </c>
      <c r="AP490">
        <v>92</v>
      </c>
      <c r="AQ490">
        <v>-2</v>
      </c>
      <c r="AR490">
        <v>704</v>
      </c>
      <c r="AZ490">
        <v>1200</v>
      </c>
      <c r="BA490">
        <v>1</v>
      </c>
      <c r="BB490" t="str">
        <f t="shared" si="143"/>
        <v xml:space="preserve">N733KP  </v>
      </c>
      <c r="BC490">
        <v>1</v>
      </c>
      <c r="BE490">
        <v>0</v>
      </c>
      <c r="BF490">
        <v>0</v>
      </c>
      <c r="BG490">
        <v>0</v>
      </c>
      <c r="BH490">
        <v>2725</v>
      </c>
      <c r="BI490">
        <v>1</v>
      </c>
      <c r="BJ490">
        <v>1</v>
      </c>
      <c r="BK490">
        <v>0</v>
      </c>
      <c r="BL490">
        <v>0</v>
      </c>
      <c r="BO490">
        <v>0</v>
      </c>
      <c r="BP490">
        <v>0</v>
      </c>
      <c r="BW490" t="str">
        <f>"22:11:27.266"</f>
        <v>22:11:27.266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364</v>
      </c>
      <c r="CR490">
        <v>0</v>
      </c>
      <c r="CW490">
        <v>1382517</v>
      </c>
      <c r="CY490">
        <v>1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"03/24/2022 22:11:27.474"</f>
        <v>03/24/2022 22:11:27.474</v>
      </c>
      <c r="C491" t="str">
        <f t="shared" si="141"/>
        <v>FFDFD3C0</v>
      </c>
      <c r="D491" t="s">
        <v>126</v>
      </c>
      <c r="E491">
        <v>3</v>
      </c>
      <c r="H491">
        <v>160</v>
      </c>
      <c r="I491" t="s">
        <v>121</v>
      </c>
      <c r="J491" t="s">
        <v>127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 t="shared" si="148"/>
        <v>22:11:27.000</v>
      </c>
      <c r="T491" t="str">
        <f t="shared" si="148"/>
        <v>22:11:27.000</v>
      </c>
      <c r="U491" t="str">
        <f t="shared" si="136"/>
        <v>A9D71F</v>
      </c>
      <c r="V491">
        <v>0</v>
      </c>
      <c r="W491">
        <v>0</v>
      </c>
      <c r="X491">
        <v>2</v>
      </c>
      <c r="Z491">
        <v>1</v>
      </c>
      <c r="AA491">
        <v>8</v>
      </c>
      <c r="AB491">
        <v>3</v>
      </c>
      <c r="AC491">
        <v>0</v>
      </c>
      <c r="AD491">
        <v>9</v>
      </c>
      <c r="AE491">
        <v>0</v>
      </c>
      <c r="AF491">
        <v>3</v>
      </c>
      <c r="AG491">
        <v>1</v>
      </c>
      <c r="AH491">
        <v>0</v>
      </c>
      <c r="AI491" t="s">
        <v>236</v>
      </c>
      <c r="AJ491">
        <v>33.188108999999997</v>
      </c>
      <c r="AK491" t="s">
        <v>307</v>
      </c>
      <c r="AL491">
        <v>-97.768277999999995</v>
      </c>
      <c r="AM491">
        <v>25</v>
      </c>
      <c r="AN491">
        <v>2800</v>
      </c>
      <c r="AO491" t="s">
        <v>118</v>
      </c>
      <c r="AP491">
        <v>92</v>
      </c>
      <c r="AQ491">
        <v>-2</v>
      </c>
      <c r="AR491">
        <v>704</v>
      </c>
      <c r="AZ491">
        <v>1200</v>
      </c>
      <c r="BA491">
        <v>1</v>
      </c>
      <c r="BB491" t="str">
        <f t="shared" si="143"/>
        <v xml:space="preserve">N733KP  </v>
      </c>
      <c r="BC491">
        <v>1</v>
      </c>
      <c r="BE491">
        <v>0</v>
      </c>
      <c r="BF491">
        <v>0</v>
      </c>
      <c r="BG491">
        <v>0</v>
      </c>
      <c r="BH491">
        <v>2725</v>
      </c>
      <c r="BI491">
        <v>1</v>
      </c>
      <c r="BJ491">
        <v>1</v>
      </c>
      <c r="BK491">
        <v>0</v>
      </c>
      <c r="BL491">
        <v>0</v>
      </c>
      <c r="BO491">
        <v>0</v>
      </c>
      <c r="BP491">
        <v>0</v>
      </c>
      <c r="BW491" t="str">
        <f>"22:11:27.266"</f>
        <v>22:11:27.266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364</v>
      </c>
      <c r="CR491">
        <v>0</v>
      </c>
      <c r="CW491">
        <v>1382517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"03/24/2022 22:11:27.474"</f>
        <v>03/24/2022 22:11:27.474</v>
      </c>
      <c r="C492" t="str">
        <f t="shared" si="141"/>
        <v>FFDFD3C0</v>
      </c>
      <c r="D492" t="s">
        <v>123</v>
      </c>
      <c r="E492">
        <v>8</v>
      </c>
      <c r="H492">
        <v>31</v>
      </c>
      <c r="I492" t="s">
        <v>124</v>
      </c>
      <c r="J492" t="s">
        <v>125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 t="shared" si="148"/>
        <v>22:11:27.000</v>
      </c>
      <c r="T492" t="str">
        <f t="shared" si="148"/>
        <v>22:11:27.000</v>
      </c>
      <c r="U492" t="str">
        <f t="shared" si="136"/>
        <v>A9D71F</v>
      </c>
      <c r="V492">
        <v>0</v>
      </c>
      <c r="W492">
        <v>0</v>
      </c>
      <c r="X492">
        <v>2</v>
      </c>
      <c r="Z492">
        <v>1</v>
      </c>
      <c r="AA492">
        <v>8</v>
      </c>
      <c r="AB492">
        <v>3</v>
      </c>
      <c r="AC492">
        <v>0</v>
      </c>
      <c r="AD492">
        <v>9</v>
      </c>
      <c r="AE492">
        <v>0</v>
      </c>
      <c r="AF492">
        <v>3</v>
      </c>
      <c r="AG492">
        <v>1</v>
      </c>
      <c r="AH492">
        <v>0</v>
      </c>
      <c r="AI492" t="s">
        <v>236</v>
      </c>
      <c r="AJ492">
        <v>33.188108999999997</v>
      </c>
      <c r="AK492" t="s">
        <v>307</v>
      </c>
      <c r="AL492">
        <v>-97.768277999999995</v>
      </c>
      <c r="AM492">
        <v>25</v>
      </c>
      <c r="AN492">
        <v>2800</v>
      </c>
      <c r="AO492" t="s">
        <v>118</v>
      </c>
      <c r="AP492">
        <v>92</v>
      </c>
      <c r="AQ492">
        <v>-2</v>
      </c>
      <c r="AR492">
        <v>704</v>
      </c>
      <c r="AZ492">
        <v>1200</v>
      </c>
      <c r="BA492">
        <v>1</v>
      </c>
      <c r="BB492" t="str">
        <f t="shared" si="143"/>
        <v xml:space="preserve">N733KP  </v>
      </c>
      <c r="BC492">
        <v>1</v>
      </c>
      <c r="BE492">
        <v>0</v>
      </c>
      <c r="BF492">
        <v>0</v>
      </c>
      <c r="BG492">
        <v>0</v>
      </c>
      <c r="BH492">
        <v>2725</v>
      </c>
      <c r="BI492">
        <v>1</v>
      </c>
      <c r="BJ492">
        <v>1</v>
      </c>
      <c r="BK492">
        <v>0</v>
      </c>
      <c r="BL492">
        <v>0</v>
      </c>
      <c r="BO492">
        <v>0</v>
      </c>
      <c r="BP492">
        <v>0</v>
      </c>
      <c r="BW492" t="str">
        <f>"22:11:27.266"</f>
        <v>22:11:27.266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364</v>
      </c>
      <c r="CR492">
        <v>0</v>
      </c>
      <c r="CW492">
        <v>1382517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"03/24/2022 22:11:27.521"</f>
        <v>03/24/2022 22:11:27.521</v>
      </c>
      <c r="C493" t="str">
        <f t="shared" si="141"/>
        <v>FFDFD3C0</v>
      </c>
      <c r="D493" t="s">
        <v>113</v>
      </c>
      <c r="E493">
        <v>24</v>
      </c>
      <c r="F493">
        <v>2024</v>
      </c>
      <c r="G493" t="s">
        <v>114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 t="shared" si="148"/>
        <v>22:11:27.000</v>
      </c>
      <c r="T493" t="str">
        <f t="shared" si="148"/>
        <v>22:11:27.000</v>
      </c>
      <c r="U493" t="str">
        <f t="shared" si="136"/>
        <v>A9D71F</v>
      </c>
      <c r="V493">
        <v>0</v>
      </c>
      <c r="W493">
        <v>0</v>
      </c>
      <c r="X493">
        <v>2</v>
      </c>
      <c r="Z493">
        <v>1</v>
      </c>
      <c r="AA493">
        <v>8</v>
      </c>
      <c r="AB493">
        <v>3</v>
      </c>
      <c r="AC493">
        <v>0</v>
      </c>
      <c r="AD493">
        <v>9</v>
      </c>
      <c r="AE493">
        <v>0</v>
      </c>
      <c r="AF493">
        <v>3</v>
      </c>
      <c r="AG493">
        <v>1</v>
      </c>
      <c r="AH493">
        <v>0</v>
      </c>
      <c r="AI493" t="s">
        <v>236</v>
      </c>
      <c r="AJ493">
        <v>33.188108999999997</v>
      </c>
      <c r="AK493" t="s">
        <v>307</v>
      </c>
      <c r="AL493">
        <v>-97.768277999999995</v>
      </c>
      <c r="AM493">
        <v>25</v>
      </c>
      <c r="AN493">
        <v>2800</v>
      </c>
      <c r="AO493" t="s">
        <v>118</v>
      </c>
      <c r="AP493">
        <v>92</v>
      </c>
      <c r="AQ493">
        <v>-2</v>
      </c>
      <c r="AR493">
        <v>704</v>
      </c>
      <c r="AZ493">
        <v>1200</v>
      </c>
      <c r="BA493">
        <v>1</v>
      </c>
      <c r="BB493" t="str">
        <f t="shared" si="143"/>
        <v xml:space="preserve">N733KP  </v>
      </c>
      <c r="BC493">
        <v>1</v>
      </c>
      <c r="BE493">
        <v>0</v>
      </c>
      <c r="BF493">
        <v>0</v>
      </c>
      <c r="BG493">
        <v>0</v>
      </c>
      <c r="BH493">
        <v>2725</v>
      </c>
      <c r="BI493">
        <v>1</v>
      </c>
      <c r="BJ493">
        <v>1</v>
      </c>
      <c r="BK493">
        <v>0</v>
      </c>
      <c r="BL493">
        <v>0</v>
      </c>
      <c r="BO493">
        <v>0</v>
      </c>
      <c r="BP493">
        <v>0</v>
      </c>
      <c r="BW493" t="str">
        <f>"22:11:27.266"</f>
        <v>22:11:27.266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364</v>
      </c>
      <c r="CR493">
        <v>0</v>
      </c>
      <c r="CW493">
        <v>1382517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"03/24/2022 22:11:28.883"</f>
        <v>03/24/2022 22:11:28.883</v>
      </c>
      <c r="C494" t="str">
        <f t="shared" si="141"/>
        <v>FFDFD3C0</v>
      </c>
      <c r="D494" t="s">
        <v>123</v>
      </c>
      <c r="E494">
        <v>8</v>
      </c>
      <c r="H494">
        <v>31</v>
      </c>
      <c r="I494" t="s">
        <v>124</v>
      </c>
      <c r="J494" t="s">
        <v>125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 t="shared" ref="S494:T497" si="149">"22:11:28.000"</f>
        <v>22:11:28.000</v>
      </c>
      <c r="T494" t="str">
        <f t="shared" si="149"/>
        <v>22:11:28.000</v>
      </c>
      <c r="U494" t="str">
        <f t="shared" si="136"/>
        <v>A9D71F</v>
      </c>
      <c r="V494">
        <v>0</v>
      </c>
      <c r="W494">
        <v>0</v>
      </c>
      <c r="X494">
        <v>2</v>
      </c>
      <c r="Z494">
        <v>1</v>
      </c>
      <c r="AA494">
        <v>8</v>
      </c>
      <c r="AB494">
        <v>3</v>
      </c>
      <c r="AC494">
        <v>0</v>
      </c>
      <c r="AD494">
        <v>9</v>
      </c>
      <c r="AE494">
        <v>0</v>
      </c>
      <c r="AF494">
        <v>3</v>
      </c>
      <c r="AG494">
        <v>1</v>
      </c>
      <c r="AH494">
        <v>0</v>
      </c>
      <c r="AI494" t="s">
        <v>236</v>
      </c>
      <c r="AJ494">
        <v>33.188108999999997</v>
      </c>
      <c r="AK494" t="s">
        <v>308</v>
      </c>
      <c r="AL494">
        <v>-97.767785000000003</v>
      </c>
      <c r="AM494">
        <v>25</v>
      </c>
      <c r="AN494">
        <v>2800</v>
      </c>
      <c r="AO494" t="s">
        <v>118</v>
      </c>
      <c r="AP494">
        <v>91</v>
      </c>
      <c r="AQ494">
        <v>0</v>
      </c>
      <c r="AR494">
        <v>896</v>
      </c>
      <c r="AZ494">
        <v>1200</v>
      </c>
      <c r="BA494">
        <v>1</v>
      </c>
      <c r="BB494" t="str">
        <f t="shared" si="143"/>
        <v xml:space="preserve">N733KP  </v>
      </c>
      <c r="BC494">
        <v>1</v>
      </c>
      <c r="BE494">
        <v>0</v>
      </c>
      <c r="BF494">
        <v>0</v>
      </c>
      <c r="BG494">
        <v>0</v>
      </c>
      <c r="BH494">
        <v>2750</v>
      </c>
      <c r="BI494">
        <v>1</v>
      </c>
      <c r="BJ494">
        <v>1</v>
      </c>
      <c r="BK494">
        <v>0</v>
      </c>
      <c r="BL494">
        <v>0</v>
      </c>
      <c r="BO494">
        <v>0</v>
      </c>
      <c r="BP494">
        <v>0</v>
      </c>
      <c r="BW494" t="str">
        <f>"22:11:28.687"</f>
        <v>22:11:28.687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364</v>
      </c>
      <c r="CR494">
        <v>0</v>
      </c>
      <c r="CW494">
        <v>1382718</v>
      </c>
      <c r="CY494">
        <v>1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"03/24/2022 22:11:28.883"</f>
        <v>03/24/2022 22:11:28.883</v>
      </c>
      <c r="C495" t="str">
        <f t="shared" si="141"/>
        <v>FFDFD3C0</v>
      </c>
      <c r="D495" t="s">
        <v>113</v>
      </c>
      <c r="E495">
        <v>24</v>
      </c>
      <c r="F495">
        <v>2024</v>
      </c>
      <c r="G495" t="s">
        <v>114</v>
      </c>
      <c r="J495" t="s">
        <v>115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 t="shared" si="149"/>
        <v>22:11:28.000</v>
      </c>
      <c r="T495" t="str">
        <f t="shared" si="149"/>
        <v>22:11:28.000</v>
      </c>
      <c r="U495" t="str">
        <f t="shared" si="136"/>
        <v>A9D71F</v>
      </c>
      <c r="V495">
        <v>0</v>
      </c>
      <c r="W495">
        <v>0</v>
      </c>
      <c r="X495">
        <v>2</v>
      </c>
      <c r="Z495">
        <v>1</v>
      </c>
      <c r="AA495">
        <v>8</v>
      </c>
      <c r="AB495">
        <v>3</v>
      </c>
      <c r="AC495">
        <v>0</v>
      </c>
      <c r="AD495">
        <v>9</v>
      </c>
      <c r="AE495">
        <v>0</v>
      </c>
      <c r="AF495">
        <v>3</v>
      </c>
      <c r="AG495">
        <v>1</v>
      </c>
      <c r="AH495">
        <v>0</v>
      </c>
      <c r="AI495" t="s">
        <v>236</v>
      </c>
      <c r="AJ495">
        <v>33.188108999999997</v>
      </c>
      <c r="AK495" t="s">
        <v>308</v>
      </c>
      <c r="AL495">
        <v>-97.767785000000003</v>
      </c>
      <c r="AM495">
        <v>25</v>
      </c>
      <c r="AN495">
        <v>2800</v>
      </c>
      <c r="AO495" t="s">
        <v>118</v>
      </c>
      <c r="AP495">
        <v>91</v>
      </c>
      <c r="AQ495">
        <v>0</v>
      </c>
      <c r="AR495">
        <v>896</v>
      </c>
      <c r="AZ495">
        <v>1200</v>
      </c>
      <c r="BA495">
        <v>1</v>
      </c>
      <c r="BB495" t="str">
        <f t="shared" si="143"/>
        <v xml:space="preserve">N733KP  </v>
      </c>
      <c r="BC495">
        <v>1</v>
      </c>
      <c r="BE495">
        <v>0</v>
      </c>
      <c r="BF495">
        <v>0</v>
      </c>
      <c r="BG495">
        <v>0</v>
      </c>
      <c r="BH495">
        <v>2750</v>
      </c>
      <c r="BI495">
        <v>1</v>
      </c>
      <c r="BJ495">
        <v>1</v>
      </c>
      <c r="BK495">
        <v>0</v>
      </c>
      <c r="BL495">
        <v>0</v>
      </c>
      <c r="BO495">
        <v>0</v>
      </c>
      <c r="BP495">
        <v>0</v>
      </c>
      <c r="BW495" t="str">
        <f>"22:11:28.687"</f>
        <v>22:11:28.687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364</v>
      </c>
      <c r="CR495">
        <v>0</v>
      </c>
      <c r="CW495">
        <v>1382718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"03/24/2022 22:11:28.898"</f>
        <v>03/24/2022 22:11:28.898</v>
      </c>
      <c r="C496" t="str">
        <f t="shared" si="141"/>
        <v>FFDFD3C0</v>
      </c>
      <c r="D496" t="s">
        <v>126</v>
      </c>
      <c r="E496">
        <v>3</v>
      </c>
      <c r="H496">
        <v>160</v>
      </c>
      <c r="I496" t="s">
        <v>121</v>
      </c>
      <c r="J496" t="s">
        <v>127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 t="shared" si="149"/>
        <v>22:11:28.000</v>
      </c>
      <c r="T496" t="str">
        <f t="shared" si="149"/>
        <v>22:11:28.000</v>
      </c>
      <c r="U496" t="str">
        <f t="shared" si="136"/>
        <v>A9D71F</v>
      </c>
      <c r="V496">
        <v>0</v>
      </c>
      <c r="W496">
        <v>0</v>
      </c>
      <c r="X496">
        <v>2</v>
      </c>
      <c r="Z496">
        <v>1</v>
      </c>
      <c r="AA496">
        <v>8</v>
      </c>
      <c r="AB496">
        <v>3</v>
      </c>
      <c r="AC496">
        <v>0</v>
      </c>
      <c r="AD496">
        <v>9</v>
      </c>
      <c r="AE496">
        <v>0</v>
      </c>
      <c r="AF496">
        <v>3</v>
      </c>
      <c r="AG496">
        <v>1</v>
      </c>
      <c r="AH496">
        <v>0</v>
      </c>
      <c r="AI496" t="s">
        <v>236</v>
      </c>
      <c r="AJ496">
        <v>33.188108999999997</v>
      </c>
      <c r="AK496" t="s">
        <v>308</v>
      </c>
      <c r="AL496">
        <v>-97.767785000000003</v>
      </c>
      <c r="AM496">
        <v>25</v>
      </c>
      <c r="AN496">
        <v>2800</v>
      </c>
      <c r="AO496" t="s">
        <v>118</v>
      </c>
      <c r="AP496">
        <v>91</v>
      </c>
      <c r="AQ496">
        <v>0</v>
      </c>
      <c r="AR496">
        <v>896</v>
      </c>
      <c r="AZ496">
        <v>1200</v>
      </c>
      <c r="BA496">
        <v>1</v>
      </c>
      <c r="BB496" t="str">
        <f t="shared" si="143"/>
        <v xml:space="preserve">N733KP  </v>
      </c>
      <c r="BC496">
        <v>1</v>
      </c>
      <c r="BE496">
        <v>0</v>
      </c>
      <c r="BF496">
        <v>0</v>
      </c>
      <c r="BG496">
        <v>0</v>
      </c>
      <c r="BH496">
        <v>2750</v>
      </c>
      <c r="BI496">
        <v>1</v>
      </c>
      <c r="BJ496">
        <v>1</v>
      </c>
      <c r="BK496">
        <v>0</v>
      </c>
      <c r="BL496">
        <v>0</v>
      </c>
      <c r="BO496">
        <v>0</v>
      </c>
      <c r="BP496">
        <v>0</v>
      </c>
      <c r="BW496" t="str">
        <f>"22:11:28.687"</f>
        <v>22:11:28.687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364</v>
      </c>
      <c r="CR496">
        <v>0</v>
      </c>
      <c r="CW496">
        <v>1382718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"03/24/2022 22:11:28.930"</f>
        <v>03/24/2022 22:11:28.930</v>
      </c>
      <c r="C497" t="str">
        <f t="shared" si="141"/>
        <v>FFDFD3C0</v>
      </c>
      <c r="D497" t="s">
        <v>120</v>
      </c>
      <c r="E497">
        <v>14</v>
      </c>
      <c r="F497">
        <v>1014</v>
      </c>
      <c r="G497" t="s">
        <v>121</v>
      </c>
      <c r="J497" t="s">
        <v>122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 t="shared" si="149"/>
        <v>22:11:28.000</v>
      </c>
      <c r="T497" t="str">
        <f t="shared" si="149"/>
        <v>22:11:28.000</v>
      </c>
      <c r="U497" t="str">
        <f t="shared" si="136"/>
        <v>A9D71F</v>
      </c>
      <c r="V497">
        <v>0</v>
      </c>
      <c r="W497">
        <v>0</v>
      </c>
      <c r="X497">
        <v>2</v>
      </c>
      <c r="Z497">
        <v>1</v>
      </c>
      <c r="AA497">
        <v>8</v>
      </c>
      <c r="AB497">
        <v>3</v>
      </c>
      <c r="AC497">
        <v>0</v>
      </c>
      <c r="AD497">
        <v>9</v>
      </c>
      <c r="AE497">
        <v>0</v>
      </c>
      <c r="AF497">
        <v>3</v>
      </c>
      <c r="AG497">
        <v>1</v>
      </c>
      <c r="AH497">
        <v>0</v>
      </c>
      <c r="AI497" t="s">
        <v>236</v>
      </c>
      <c r="AJ497">
        <v>33.188108999999997</v>
      </c>
      <c r="AK497" t="s">
        <v>308</v>
      </c>
      <c r="AL497">
        <v>-97.767785000000003</v>
      </c>
      <c r="AM497">
        <v>25</v>
      </c>
      <c r="AN497">
        <v>2800</v>
      </c>
      <c r="AO497" t="s">
        <v>118</v>
      </c>
      <c r="AP497">
        <v>91</v>
      </c>
      <c r="AQ497">
        <v>0</v>
      </c>
      <c r="AR497">
        <v>896</v>
      </c>
      <c r="AZ497">
        <v>1200</v>
      </c>
      <c r="BA497">
        <v>1</v>
      </c>
      <c r="BB497" t="str">
        <f t="shared" si="143"/>
        <v xml:space="preserve">N733KP  </v>
      </c>
      <c r="BC497">
        <v>1</v>
      </c>
      <c r="BE497">
        <v>0</v>
      </c>
      <c r="BF497">
        <v>0</v>
      </c>
      <c r="BG497">
        <v>0</v>
      </c>
      <c r="BH497">
        <v>2750</v>
      </c>
      <c r="BI497">
        <v>1</v>
      </c>
      <c r="BJ497">
        <v>1</v>
      </c>
      <c r="BK497">
        <v>0</v>
      </c>
      <c r="BL497">
        <v>0</v>
      </c>
      <c r="BO497">
        <v>0</v>
      </c>
      <c r="BP497">
        <v>0</v>
      </c>
      <c r="BW497" t="str">
        <f>"22:11:28.687"</f>
        <v>22:11:28.687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364</v>
      </c>
      <c r="CR497">
        <v>0</v>
      </c>
      <c r="CW497">
        <v>1382718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"03/24/2022 22:11:29.883"</f>
        <v>03/24/2022 22:11:29.883</v>
      </c>
      <c r="C498" t="str">
        <f t="shared" si="141"/>
        <v>FFDFD3C0</v>
      </c>
      <c r="D498" t="s">
        <v>123</v>
      </c>
      <c r="E498">
        <v>8</v>
      </c>
      <c r="H498">
        <v>31</v>
      </c>
      <c r="I498" t="s">
        <v>124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 t="shared" ref="S498:T501" si="150">"22:11:29.000"</f>
        <v>22:11:29.000</v>
      </c>
      <c r="T498" t="str">
        <f t="shared" si="150"/>
        <v>22:11:29.000</v>
      </c>
      <c r="U498" t="str">
        <f t="shared" si="136"/>
        <v>A9D71F</v>
      </c>
      <c r="V498">
        <v>0</v>
      </c>
      <c r="W498">
        <v>0</v>
      </c>
      <c r="X498">
        <v>2</v>
      </c>
      <c r="Z498">
        <v>1</v>
      </c>
      <c r="AA498">
        <v>8</v>
      </c>
      <c r="AB498">
        <v>3</v>
      </c>
      <c r="AC498">
        <v>0</v>
      </c>
      <c r="AD498">
        <v>9</v>
      </c>
      <c r="AE498">
        <v>0</v>
      </c>
      <c r="AF498">
        <v>3</v>
      </c>
      <c r="AG498">
        <v>1</v>
      </c>
      <c r="AH498">
        <v>0</v>
      </c>
      <c r="AI498" t="s">
        <v>239</v>
      </c>
      <c r="AJ498">
        <v>33.188088</v>
      </c>
      <c r="AK498" t="s">
        <v>309</v>
      </c>
      <c r="AL498">
        <v>-97.767269999999996</v>
      </c>
      <c r="AM498">
        <v>25</v>
      </c>
      <c r="AN498">
        <v>2800</v>
      </c>
      <c r="AO498" t="s">
        <v>118</v>
      </c>
      <c r="AP498">
        <v>92</v>
      </c>
      <c r="AQ498">
        <v>-2</v>
      </c>
      <c r="AR498">
        <v>832</v>
      </c>
      <c r="AZ498">
        <v>1200</v>
      </c>
      <c r="BA498">
        <v>1</v>
      </c>
      <c r="BB498" t="str">
        <f t="shared" si="143"/>
        <v xml:space="preserve">N733KP  </v>
      </c>
      <c r="BC498">
        <v>1</v>
      </c>
      <c r="BE498">
        <v>0</v>
      </c>
      <c r="BF498">
        <v>0</v>
      </c>
      <c r="BG498">
        <v>0</v>
      </c>
      <c r="BH498">
        <v>2750</v>
      </c>
      <c r="BI498">
        <v>1</v>
      </c>
      <c r="BJ498">
        <v>1</v>
      </c>
      <c r="BK498">
        <v>0</v>
      </c>
      <c r="BL498">
        <v>0</v>
      </c>
      <c r="BO498">
        <v>0</v>
      </c>
      <c r="BP498">
        <v>0</v>
      </c>
      <c r="BW498" t="str">
        <f>"22:11:29.728"</f>
        <v>22:11:29.728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364</v>
      </c>
      <c r="CR498">
        <v>0</v>
      </c>
      <c r="CW498">
        <v>1382855</v>
      </c>
      <c r="CY498">
        <v>1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"03/24/2022 22:11:29.930"</f>
        <v>03/24/2022 22:11:29.930</v>
      </c>
      <c r="C499" t="str">
        <f t="shared" si="141"/>
        <v>FFDFD3C0</v>
      </c>
      <c r="D499" t="s">
        <v>113</v>
      </c>
      <c r="E499">
        <v>24</v>
      </c>
      <c r="F499">
        <v>2024</v>
      </c>
      <c r="G499" t="s">
        <v>114</v>
      </c>
      <c r="J499" t="s">
        <v>115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 t="shared" si="150"/>
        <v>22:11:29.000</v>
      </c>
      <c r="T499" t="str">
        <f t="shared" si="150"/>
        <v>22:11:29.000</v>
      </c>
      <c r="U499" t="str">
        <f t="shared" si="136"/>
        <v>A9D71F</v>
      </c>
      <c r="V499">
        <v>0</v>
      </c>
      <c r="W499">
        <v>0</v>
      </c>
      <c r="X499">
        <v>2</v>
      </c>
      <c r="Z499">
        <v>1</v>
      </c>
      <c r="AA499">
        <v>8</v>
      </c>
      <c r="AB499">
        <v>3</v>
      </c>
      <c r="AC499">
        <v>0</v>
      </c>
      <c r="AD499">
        <v>9</v>
      </c>
      <c r="AE499">
        <v>0</v>
      </c>
      <c r="AF499">
        <v>3</v>
      </c>
      <c r="AG499">
        <v>1</v>
      </c>
      <c r="AH499">
        <v>0</v>
      </c>
      <c r="AI499" t="s">
        <v>239</v>
      </c>
      <c r="AJ499">
        <v>33.188088</v>
      </c>
      <c r="AK499" t="s">
        <v>309</v>
      </c>
      <c r="AL499">
        <v>-97.767269999999996</v>
      </c>
      <c r="AM499">
        <v>25</v>
      </c>
      <c r="AN499">
        <v>2800</v>
      </c>
      <c r="AO499" t="s">
        <v>118</v>
      </c>
      <c r="AP499">
        <v>92</v>
      </c>
      <c r="AQ499">
        <v>-2</v>
      </c>
      <c r="AR499">
        <v>832</v>
      </c>
      <c r="AZ499">
        <v>1200</v>
      </c>
      <c r="BA499">
        <v>1</v>
      </c>
      <c r="BB499" t="str">
        <f t="shared" si="143"/>
        <v xml:space="preserve">N733KP  </v>
      </c>
      <c r="BC499">
        <v>1</v>
      </c>
      <c r="BE499">
        <v>0</v>
      </c>
      <c r="BF499">
        <v>0</v>
      </c>
      <c r="BG499">
        <v>0</v>
      </c>
      <c r="BH499">
        <v>2750</v>
      </c>
      <c r="BI499">
        <v>1</v>
      </c>
      <c r="BJ499">
        <v>1</v>
      </c>
      <c r="BK499">
        <v>0</v>
      </c>
      <c r="BL499">
        <v>0</v>
      </c>
      <c r="BO499">
        <v>0</v>
      </c>
      <c r="BP499">
        <v>0</v>
      </c>
      <c r="BW499" t="str">
        <f>"22:11:29.728"</f>
        <v>22:11:29.728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364</v>
      </c>
      <c r="CR499">
        <v>0</v>
      </c>
      <c r="CW499">
        <v>1382855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"03/24/2022 22:11:29.930"</f>
        <v>03/24/2022 22:11:29.930</v>
      </c>
      <c r="C500" t="str">
        <f t="shared" si="141"/>
        <v>FFDFD3C0</v>
      </c>
      <c r="D500" t="s">
        <v>126</v>
      </c>
      <c r="E500">
        <v>3</v>
      </c>
      <c r="H500">
        <v>160</v>
      </c>
      <c r="I500" t="s">
        <v>121</v>
      </c>
      <c r="J500" t="s">
        <v>127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 t="shared" si="150"/>
        <v>22:11:29.000</v>
      </c>
      <c r="T500" t="str">
        <f t="shared" si="150"/>
        <v>22:11:29.000</v>
      </c>
      <c r="U500" t="str">
        <f t="shared" si="136"/>
        <v>A9D71F</v>
      </c>
      <c r="V500">
        <v>0</v>
      </c>
      <c r="W500">
        <v>0</v>
      </c>
      <c r="X500">
        <v>2</v>
      </c>
      <c r="Z500">
        <v>1</v>
      </c>
      <c r="AA500">
        <v>8</v>
      </c>
      <c r="AB500">
        <v>3</v>
      </c>
      <c r="AC500">
        <v>0</v>
      </c>
      <c r="AD500">
        <v>9</v>
      </c>
      <c r="AE500">
        <v>0</v>
      </c>
      <c r="AF500">
        <v>3</v>
      </c>
      <c r="AG500">
        <v>1</v>
      </c>
      <c r="AH500">
        <v>0</v>
      </c>
      <c r="AI500" t="s">
        <v>239</v>
      </c>
      <c r="AJ500">
        <v>33.188088</v>
      </c>
      <c r="AK500" t="s">
        <v>309</v>
      </c>
      <c r="AL500">
        <v>-97.767269999999996</v>
      </c>
      <c r="AM500">
        <v>25</v>
      </c>
      <c r="AN500">
        <v>2800</v>
      </c>
      <c r="AO500" t="s">
        <v>118</v>
      </c>
      <c r="AP500">
        <v>92</v>
      </c>
      <c r="AQ500">
        <v>-2</v>
      </c>
      <c r="AR500">
        <v>832</v>
      </c>
      <c r="AZ500">
        <v>1200</v>
      </c>
      <c r="BA500">
        <v>1</v>
      </c>
      <c r="BB500" t="str">
        <f t="shared" si="143"/>
        <v xml:space="preserve">N733KP  </v>
      </c>
      <c r="BC500">
        <v>1</v>
      </c>
      <c r="BE500">
        <v>0</v>
      </c>
      <c r="BF500">
        <v>0</v>
      </c>
      <c r="BG500">
        <v>0</v>
      </c>
      <c r="BH500">
        <v>2750</v>
      </c>
      <c r="BI500">
        <v>1</v>
      </c>
      <c r="BJ500">
        <v>1</v>
      </c>
      <c r="BK500">
        <v>0</v>
      </c>
      <c r="BL500">
        <v>0</v>
      </c>
      <c r="BO500">
        <v>0</v>
      </c>
      <c r="BP500">
        <v>0</v>
      </c>
      <c r="BW500" t="str">
        <f>"22:11:29.728"</f>
        <v>22:11:29.728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364</v>
      </c>
      <c r="CR500">
        <v>0</v>
      </c>
      <c r="CW500">
        <v>1382855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"03/24/2022 22:11:29.930"</f>
        <v>03/24/2022 22:11:29.930</v>
      </c>
      <c r="C501" t="str">
        <f t="shared" si="141"/>
        <v>FFDFD3C0</v>
      </c>
      <c r="D501" t="s">
        <v>120</v>
      </c>
      <c r="E501">
        <v>14</v>
      </c>
      <c r="F501">
        <v>1014</v>
      </c>
      <c r="G501" t="s">
        <v>121</v>
      </c>
      <c r="J501" t="s">
        <v>122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 t="shared" si="150"/>
        <v>22:11:29.000</v>
      </c>
      <c r="T501" t="str">
        <f t="shared" si="150"/>
        <v>22:11:29.000</v>
      </c>
      <c r="U501" t="str">
        <f t="shared" si="136"/>
        <v>A9D71F</v>
      </c>
      <c r="V501">
        <v>0</v>
      </c>
      <c r="W501">
        <v>0</v>
      </c>
      <c r="X501">
        <v>2</v>
      </c>
      <c r="Z501">
        <v>1</v>
      </c>
      <c r="AA501">
        <v>8</v>
      </c>
      <c r="AB501">
        <v>3</v>
      </c>
      <c r="AC501">
        <v>0</v>
      </c>
      <c r="AD501">
        <v>9</v>
      </c>
      <c r="AE501">
        <v>0</v>
      </c>
      <c r="AF501">
        <v>3</v>
      </c>
      <c r="AG501">
        <v>1</v>
      </c>
      <c r="AH501">
        <v>0</v>
      </c>
      <c r="AI501" t="s">
        <v>239</v>
      </c>
      <c r="AJ501">
        <v>33.188088</v>
      </c>
      <c r="AK501" t="s">
        <v>309</v>
      </c>
      <c r="AL501">
        <v>-97.767269999999996</v>
      </c>
      <c r="AM501">
        <v>25</v>
      </c>
      <c r="AN501">
        <v>2800</v>
      </c>
      <c r="AO501" t="s">
        <v>118</v>
      </c>
      <c r="AP501">
        <v>92</v>
      </c>
      <c r="AQ501">
        <v>-2</v>
      </c>
      <c r="AR501">
        <v>832</v>
      </c>
      <c r="AZ501">
        <v>1200</v>
      </c>
      <c r="BA501">
        <v>1</v>
      </c>
      <c r="BB501" t="str">
        <f t="shared" si="143"/>
        <v xml:space="preserve">N733KP  </v>
      </c>
      <c r="BC501">
        <v>1</v>
      </c>
      <c r="BE501">
        <v>0</v>
      </c>
      <c r="BF501">
        <v>0</v>
      </c>
      <c r="BG501">
        <v>0</v>
      </c>
      <c r="BH501">
        <v>2750</v>
      </c>
      <c r="BI501">
        <v>1</v>
      </c>
      <c r="BJ501">
        <v>1</v>
      </c>
      <c r="BK501">
        <v>0</v>
      </c>
      <c r="BL501">
        <v>0</v>
      </c>
      <c r="BO501">
        <v>0</v>
      </c>
      <c r="BP501">
        <v>0</v>
      </c>
      <c r="BW501" t="str">
        <f>"22:11:29.728"</f>
        <v>22:11:29.728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364</v>
      </c>
      <c r="CR501">
        <v>0</v>
      </c>
      <c r="CW501">
        <v>1382855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"03/24/2022 22:11:30.773"</f>
        <v>03/24/2022 22:11:30.773</v>
      </c>
      <c r="C502" t="str">
        <f t="shared" si="141"/>
        <v>FFDFD3C0</v>
      </c>
      <c r="D502" t="s">
        <v>120</v>
      </c>
      <c r="E502">
        <v>14</v>
      </c>
      <c r="F502">
        <v>1014</v>
      </c>
      <c r="G502" t="s">
        <v>121</v>
      </c>
      <c r="J502" t="s">
        <v>122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 t="shared" ref="S502:T505" si="151">"22:11:30.000"</f>
        <v>22:11:30.000</v>
      </c>
      <c r="T502" t="str">
        <f t="shared" si="151"/>
        <v>22:11:30.000</v>
      </c>
      <c r="U502" t="str">
        <f t="shared" si="136"/>
        <v>A9D71F</v>
      </c>
      <c r="V502">
        <v>0</v>
      </c>
      <c r="W502">
        <v>0</v>
      </c>
      <c r="X502">
        <v>2</v>
      </c>
      <c r="Z502">
        <v>1</v>
      </c>
      <c r="AA502">
        <v>8</v>
      </c>
      <c r="AB502">
        <v>3</v>
      </c>
      <c r="AC502">
        <v>0</v>
      </c>
      <c r="AD502">
        <v>9</v>
      </c>
      <c r="AE502">
        <v>0</v>
      </c>
      <c r="AF502">
        <v>3</v>
      </c>
      <c r="AG502">
        <v>1</v>
      </c>
      <c r="AH502">
        <v>0</v>
      </c>
      <c r="AI502" t="s">
        <v>243</v>
      </c>
      <c r="AJ502">
        <v>33.188045000000002</v>
      </c>
      <c r="AK502" t="s">
        <v>310</v>
      </c>
      <c r="AL502">
        <v>-97.766755000000003</v>
      </c>
      <c r="AM502">
        <v>25</v>
      </c>
      <c r="AN502">
        <v>2800</v>
      </c>
      <c r="AO502" t="s">
        <v>118</v>
      </c>
      <c r="AP502">
        <v>92</v>
      </c>
      <c r="AQ502">
        <v>-4</v>
      </c>
      <c r="AR502">
        <v>768</v>
      </c>
      <c r="AZ502">
        <v>1200</v>
      </c>
      <c r="BA502">
        <v>1</v>
      </c>
      <c r="BB502" t="str">
        <f t="shared" si="143"/>
        <v xml:space="preserve">N733KP  </v>
      </c>
      <c r="BC502">
        <v>1</v>
      </c>
      <c r="BE502">
        <v>0</v>
      </c>
      <c r="BF502">
        <v>0</v>
      </c>
      <c r="BG502">
        <v>0</v>
      </c>
      <c r="BH502">
        <v>2750</v>
      </c>
      <c r="BI502">
        <v>1</v>
      </c>
      <c r="BJ502">
        <v>1</v>
      </c>
      <c r="BK502">
        <v>0</v>
      </c>
      <c r="BL502">
        <v>0</v>
      </c>
      <c r="BO502">
        <v>0</v>
      </c>
      <c r="BP502">
        <v>0</v>
      </c>
      <c r="BW502" t="str">
        <f>"22:11:30.549"</f>
        <v>22:11:30.549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364</v>
      </c>
      <c r="CR502">
        <v>0</v>
      </c>
      <c r="CW502">
        <v>1382976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"03/24/2022 22:11:30.773"</f>
        <v>03/24/2022 22:11:30.773</v>
      </c>
      <c r="C503" t="str">
        <f t="shared" si="141"/>
        <v>FFDFD3C0</v>
      </c>
      <c r="D503" t="s">
        <v>123</v>
      </c>
      <c r="E503">
        <v>8</v>
      </c>
      <c r="H503">
        <v>31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 t="shared" si="151"/>
        <v>22:11:30.000</v>
      </c>
      <c r="T503" t="str">
        <f t="shared" si="151"/>
        <v>22:11:30.000</v>
      </c>
      <c r="U503" t="str">
        <f t="shared" si="136"/>
        <v>A9D71F</v>
      </c>
      <c r="V503">
        <v>0</v>
      </c>
      <c r="W503">
        <v>0</v>
      </c>
      <c r="X503">
        <v>2</v>
      </c>
      <c r="Z503">
        <v>1</v>
      </c>
      <c r="AA503">
        <v>8</v>
      </c>
      <c r="AB503">
        <v>3</v>
      </c>
      <c r="AC503">
        <v>0</v>
      </c>
      <c r="AD503">
        <v>9</v>
      </c>
      <c r="AE503">
        <v>0</v>
      </c>
      <c r="AF503">
        <v>3</v>
      </c>
      <c r="AG503">
        <v>1</v>
      </c>
      <c r="AH503">
        <v>0</v>
      </c>
      <c r="AI503" t="s">
        <v>243</v>
      </c>
      <c r="AJ503">
        <v>33.188045000000002</v>
      </c>
      <c r="AK503" t="s">
        <v>310</v>
      </c>
      <c r="AL503">
        <v>-97.766755000000003</v>
      </c>
      <c r="AM503">
        <v>25</v>
      </c>
      <c r="AN503">
        <v>2800</v>
      </c>
      <c r="AO503" t="s">
        <v>118</v>
      </c>
      <c r="AP503">
        <v>92</v>
      </c>
      <c r="AQ503">
        <v>-4</v>
      </c>
      <c r="AR503">
        <v>768</v>
      </c>
      <c r="AZ503">
        <v>1200</v>
      </c>
      <c r="BA503">
        <v>1</v>
      </c>
      <c r="BB503" t="str">
        <f t="shared" si="143"/>
        <v xml:space="preserve">N733KP  </v>
      </c>
      <c r="BC503">
        <v>1</v>
      </c>
      <c r="BE503">
        <v>0</v>
      </c>
      <c r="BF503">
        <v>0</v>
      </c>
      <c r="BG503">
        <v>0</v>
      </c>
      <c r="BH503">
        <v>2750</v>
      </c>
      <c r="BI503">
        <v>1</v>
      </c>
      <c r="BJ503">
        <v>1</v>
      </c>
      <c r="BK503">
        <v>0</v>
      </c>
      <c r="BL503">
        <v>0</v>
      </c>
      <c r="BO503">
        <v>0</v>
      </c>
      <c r="BP503">
        <v>0</v>
      </c>
      <c r="BW503" t="str">
        <f>"22:11:30.549"</f>
        <v>22:11:30.549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364</v>
      </c>
      <c r="CR503">
        <v>0</v>
      </c>
      <c r="CW503">
        <v>1382976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"03/24/2022 22:11:30.773"</f>
        <v>03/24/2022 22:11:30.773</v>
      </c>
      <c r="C504" t="str">
        <f t="shared" si="141"/>
        <v>FFDFD3C0</v>
      </c>
      <c r="D504" t="s">
        <v>113</v>
      </c>
      <c r="E504">
        <v>24</v>
      </c>
      <c r="F504">
        <v>2024</v>
      </c>
      <c r="G504" t="s">
        <v>114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 t="shared" si="151"/>
        <v>22:11:30.000</v>
      </c>
      <c r="T504" t="str">
        <f t="shared" si="151"/>
        <v>22:11:30.000</v>
      </c>
      <c r="U504" t="str">
        <f t="shared" si="136"/>
        <v>A9D71F</v>
      </c>
      <c r="V504">
        <v>0</v>
      </c>
      <c r="W504">
        <v>0</v>
      </c>
      <c r="X504">
        <v>2</v>
      </c>
      <c r="Z504">
        <v>1</v>
      </c>
      <c r="AA504">
        <v>8</v>
      </c>
      <c r="AB504">
        <v>3</v>
      </c>
      <c r="AC504">
        <v>0</v>
      </c>
      <c r="AD504">
        <v>9</v>
      </c>
      <c r="AE504">
        <v>0</v>
      </c>
      <c r="AF504">
        <v>3</v>
      </c>
      <c r="AG504">
        <v>1</v>
      </c>
      <c r="AH504">
        <v>0</v>
      </c>
      <c r="AI504" t="s">
        <v>243</v>
      </c>
      <c r="AJ504">
        <v>33.188045000000002</v>
      </c>
      <c r="AK504" t="s">
        <v>310</v>
      </c>
      <c r="AL504">
        <v>-97.766755000000003</v>
      </c>
      <c r="AM504">
        <v>25</v>
      </c>
      <c r="AN504">
        <v>2800</v>
      </c>
      <c r="AO504" t="s">
        <v>118</v>
      </c>
      <c r="AP504">
        <v>92</v>
      </c>
      <c r="AQ504">
        <v>-4</v>
      </c>
      <c r="AR504">
        <v>768</v>
      </c>
      <c r="AZ504">
        <v>1200</v>
      </c>
      <c r="BA504">
        <v>1</v>
      </c>
      <c r="BB504" t="str">
        <f t="shared" si="143"/>
        <v xml:space="preserve">N733KP  </v>
      </c>
      <c r="BC504">
        <v>1</v>
      </c>
      <c r="BE504">
        <v>0</v>
      </c>
      <c r="BF504">
        <v>0</v>
      </c>
      <c r="BG504">
        <v>0</v>
      </c>
      <c r="BH504">
        <v>2750</v>
      </c>
      <c r="BI504">
        <v>1</v>
      </c>
      <c r="BJ504">
        <v>1</v>
      </c>
      <c r="BK504">
        <v>0</v>
      </c>
      <c r="BL504">
        <v>0</v>
      </c>
      <c r="BO504">
        <v>0</v>
      </c>
      <c r="BP504">
        <v>0</v>
      </c>
      <c r="BW504" t="str">
        <f>"22:11:30.549"</f>
        <v>22:11:30.549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364</v>
      </c>
      <c r="CR504">
        <v>0</v>
      </c>
      <c r="CW504">
        <v>1382976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"03/24/2022 22:11:30.773"</f>
        <v>03/24/2022 22:11:30.773</v>
      </c>
      <c r="C505" t="str">
        <f t="shared" si="141"/>
        <v>FFDFD3C0</v>
      </c>
      <c r="D505" t="s">
        <v>126</v>
      </c>
      <c r="E505">
        <v>3</v>
      </c>
      <c r="H505">
        <v>160</v>
      </c>
      <c r="I505" t="s">
        <v>121</v>
      </c>
      <c r="J505" t="s">
        <v>127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 t="shared" si="151"/>
        <v>22:11:30.000</v>
      </c>
      <c r="T505" t="str">
        <f t="shared" si="151"/>
        <v>22:11:30.000</v>
      </c>
      <c r="U505" t="str">
        <f t="shared" si="136"/>
        <v>A9D71F</v>
      </c>
      <c r="V505">
        <v>0</v>
      </c>
      <c r="W505">
        <v>0</v>
      </c>
      <c r="X505">
        <v>2</v>
      </c>
      <c r="Z505">
        <v>1</v>
      </c>
      <c r="AA505">
        <v>8</v>
      </c>
      <c r="AB505">
        <v>3</v>
      </c>
      <c r="AC505">
        <v>0</v>
      </c>
      <c r="AD505">
        <v>9</v>
      </c>
      <c r="AE505">
        <v>0</v>
      </c>
      <c r="AF505">
        <v>3</v>
      </c>
      <c r="AG505">
        <v>1</v>
      </c>
      <c r="AH505">
        <v>0</v>
      </c>
      <c r="AI505" t="s">
        <v>243</v>
      </c>
      <c r="AJ505">
        <v>33.188045000000002</v>
      </c>
      <c r="AK505" t="s">
        <v>310</v>
      </c>
      <c r="AL505">
        <v>-97.766755000000003</v>
      </c>
      <c r="AM505">
        <v>25</v>
      </c>
      <c r="AN505">
        <v>2800</v>
      </c>
      <c r="AO505" t="s">
        <v>118</v>
      </c>
      <c r="AP505">
        <v>92</v>
      </c>
      <c r="AQ505">
        <v>-4</v>
      </c>
      <c r="AR505">
        <v>768</v>
      </c>
      <c r="AZ505">
        <v>1200</v>
      </c>
      <c r="BA505">
        <v>1</v>
      </c>
      <c r="BB505" t="str">
        <f t="shared" si="143"/>
        <v xml:space="preserve">N733KP  </v>
      </c>
      <c r="BC505">
        <v>1</v>
      </c>
      <c r="BE505">
        <v>0</v>
      </c>
      <c r="BF505">
        <v>0</v>
      </c>
      <c r="BG505">
        <v>0</v>
      </c>
      <c r="BH505">
        <v>2750</v>
      </c>
      <c r="BI505">
        <v>1</v>
      </c>
      <c r="BJ505">
        <v>1</v>
      </c>
      <c r="BK505">
        <v>0</v>
      </c>
      <c r="BL505">
        <v>0</v>
      </c>
      <c r="BO505">
        <v>0</v>
      </c>
      <c r="BP505">
        <v>0</v>
      </c>
      <c r="BW505" t="str">
        <f>"22:11:30.549"</f>
        <v>22:11:30.549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364</v>
      </c>
      <c r="CR505">
        <v>0</v>
      </c>
      <c r="CW505">
        <v>1382976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"03/24/2022 22:11:31.978"</f>
        <v>03/24/2022 22:11:31.978</v>
      </c>
      <c r="C506" t="str">
        <f t="shared" si="141"/>
        <v>FFDFD3C0</v>
      </c>
      <c r="D506" t="s">
        <v>126</v>
      </c>
      <c r="E506">
        <v>3</v>
      </c>
      <c r="H506">
        <v>160</v>
      </c>
      <c r="I506" t="s">
        <v>121</v>
      </c>
      <c r="J506" t="s">
        <v>127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 t="shared" ref="S506:T509" si="152">"22:11:31.000"</f>
        <v>22:11:31.000</v>
      </c>
      <c r="T506" t="str">
        <f t="shared" si="152"/>
        <v>22:11:31.000</v>
      </c>
      <c r="U506" t="str">
        <f t="shared" si="136"/>
        <v>A9D71F</v>
      </c>
      <c r="V506">
        <v>0</v>
      </c>
      <c r="W506">
        <v>0</v>
      </c>
      <c r="X506">
        <v>2</v>
      </c>
      <c r="Z506">
        <v>1</v>
      </c>
      <c r="AA506">
        <v>8</v>
      </c>
      <c r="AB506">
        <v>3</v>
      </c>
      <c r="AC506">
        <v>0</v>
      </c>
      <c r="AD506">
        <v>9</v>
      </c>
      <c r="AE506">
        <v>0</v>
      </c>
      <c r="AF506">
        <v>3</v>
      </c>
      <c r="AG506">
        <v>1</v>
      </c>
      <c r="AH506">
        <v>0</v>
      </c>
      <c r="AI506" t="s">
        <v>241</v>
      </c>
      <c r="AJ506">
        <v>33.188065999999999</v>
      </c>
      <c r="AK506" t="s">
        <v>311</v>
      </c>
      <c r="AL506">
        <v>-97.766261</v>
      </c>
      <c r="AM506">
        <v>25</v>
      </c>
      <c r="AN506">
        <v>2800</v>
      </c>
      <c r="AO506" t="s">
        <v>118</v>
      </c>
      <c r="AP506">
        <v>91</v>
      </c>
      <c r="AQ506">
        <v>-4</v>
      </c>
      <c r="AR506">
        <v>704</v>
      </c>
      <c r="AZ506">
        <v>1200</v>
      </c>
      <c r="BA506">
        <v>1</v>
      </c>
      <c r="BB506" t="str">
        <f t="shared" si="143"/>
        <v xml:space="preserve">N733KP  </v>
      </c>
      <c r="BC506">
        <v>1</v>
      </c>
      <c r="BE506">
        <v>0</v>
      </c>
      <c r="BF506">
        <v>0</v>
      </c>
      <c r="BG506">
        <v>0</v>
      </c>
      <c r="BH506">
        <v>2775</v>
      </c>
      <c r="BI506">
        <v>1</v>
      </c>
      <c r="BJ506">
        <v>1</v>
      </c>
      <c r="BK506">
        <v>0</v>
      </c>
      <c r="BL506">
        <v>0</v>
      </c>
      <c r="BO506">
        <v>0</v>
      </c>
      <c r="BP506">
        <v>0</v>
      </c>
      <c r="BW506" t="str">
        <f>"22:11:31.801"</f>
        <v>22:11:31.801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364</v>
      </c>
      <c r="CR506">
        <v>0</v>
      </c>
      <c r="CW506">
        <v>1383142</v>
      </c>
      <c r="CY506">
        <v>1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"03/24/2022 22:11:31.978"</f>
        <v>03/24/2022 22:11:31.978</v>
      </c>
      <c r="C507" t="str">
        <f t="shared" si="141"/>
        <v>FFDFD3C0</v>
      </c>
      <c r="D507" t="s">
        <v>113</v>
      </c>
      <c r="E507">
        <v>24</v>
      </c>
      <c r="F507">
        <v>2024</v>
      </c>
      <c r="G507" t="s">
        <v>114</v>
      </c>
      <c r="J507" t="s">
        <v>115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 t="shared" si="152"/>
        <v>22:11:31.000</v>
      </c>
      <c r="T507" t="str">
        <f t="shared" si="152"/>
        <v>22:11:31.000</v>
      </c>
      <c r="U507" t="str">
        <f t="shared" si="136"/>
        <v>A9D71F</v>
      </c>
      <c r="V507">
        <v>0</v>
      </c>
      <c r="W507">
        <v>0</v>
      </c>
      <c r="X507">
        <v>2</v>
      </c>
      <c r="Z507">
        <v>1</v>
      </c>
      <c r="AA507">
        <v>8</v>
      </c>
      <c r="AB507">
        <v>3</v>
      </c>
      <c r="AC507">
        <v>0</v>
      </c>
      <c r="AD507">
        <v>9</v>
      </c>
      <c r="AE507">
        <v>0</v>
      </c>
      <c r="AF507">
        <v>3</v>
      </c>
      <c r="AG507">
        <v>1</v>
      </c>
      <c r="AH507">
        <v>0</v>
      </c>
      <c r="AI507" t="s">
        <v>241</v>
      </c>
      <c r="AJ507">
        <v>33.188065999999999</v>
      </c>
      <c r="AK507" t="s">
        <v>311</v>
      </c>
      <c r="AL507">
        <v>-97.766261</v>
      </c>
      <c r="AM507">
        <v>25</v>
      </c>
      <c r="AN507">
        <v>2800</v>
      </c>
      <c r="AO507" t="s">
        <v>118</v>
      </c>
      <c r="AP507">
        <v>91</v>
      </c>
      <c r="AQ507">
        <v>-4</v>
      </c>
      <c r="AR507">
        <v>704</v>
      </c>
      <c r="AZ507">
        <v>1200</v>
      </c>
      <c r="BA507">
        <v>1</v>
      </c>
      <c r="BB507" t="str">
        <f t="shared" si="143"/>
        <v xml:space="preserve">N733KP  </v>
      </c>
      <c r="BC507">
        <v>1</v>
      </c>
      <c r="BE507">
        <v>0</v>
      </c>
      <c r="BF507">
        <v>0</v>
      </c>
      <c r="BG507">
        <v>0</v>
      </c>
      <c r="BH507">
        <v>2775</v>
      </c>
      <c r="BI507">
        <v>1</v>
      </c>
      <c r="BJ507">
        <v>1</v>
      </c>
      <c r="BK507">
        <v>0</v>
      </c>
      <c r="BL507">
        <v>0</v>
      </c>
      <c r="BO507">
        <v>0</v>
      </c>
      <c r="BP507">
        <v>0</v>
      </c>
      <c r="BW507" t="str">
        <f>"22:11:31.801"</f>
        <v>22:11:31.801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364</v>
      </c>
      <c r="CR507">
        <v>0</v>
      </c>
      <c r="CW507">
        <v>1383142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"03/24/2022 22:11:32.040"</f>
        <v>03/24/2022 22:11:32.040</v>
      </c>
      <c r="C508" t="str">
        <f t="shared" si="141"/>
        <v>FFDFD3C0</v>
      </c>
      <c r="D508" t="s">
        <v>120</v>
      </c>
      <c r="E508">
        <v>14</v>
      </c>
      <c r="F508">
        <v>1014</v>
      </c>
      <c r="G508" t="s">
        <v>121</v>
      </c>
      <c r="J508" t="s">
        <v>122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 t="shared" si="152"/>
        <v>22:11:31.000</v>
      </c>
      <c r="T508" t="str">
        <f t="shared" si="152"/>
        <v>22:11:31.000</v>
      </c>
      <c r="U508" t="str">
        <f t="shared" si="136"/>
        <v>A9D71F</v>
      </c>
      <c r="V508">
        <v>0</v>
      </c>
      <c r="W508">
        <v>0</v>
      </c>
      <c r="X508">
        <v>2</v>
      </c>
      <c r="Z508">
        <v>1</v>
      </c>
      <c r="AA508">
        <v>8</v>
      </c>
      <c r="AB508">
        <v>3</v>
      </c>
      <c r="AC508">
        <v>0</v>
      </c>
      <c r="AD508">
        <v>9</v>
      </c>
      <c r="AE508">
        <v>0</v>
      </c>
      <c r="AF508">
        <v>3</v>
      </c>
      <c r="AG508">
        <v>1</v>
      </c>
      <c r="AH508">
        <v>0</v>
      </c>
      <c r="AI508" t="s">
        <v>241</v>
      </c>
      <c r="AJ508">
        <v>33.188065999999999</v>
      </c>
      <c r="AK508" t="s">
        <v>311</v>
      </c>
      <c r="AL508">
        <v>-97.766261</v>
      </c>
      <c r="AM508">
        <v>25</v>
      </c>
      <c r="AN508">
        <v>2800</v>
      </c>
      <c r="AO508" t="s">
        <v>118</v>
      </c>
      <c r="AP508">
        <v>91</v>
      </c>
      <c r="AQ508">
        <v>-4</v>
      </c>
      <c r="AR508">
        <v>704</v>
      </c>
      <c r="AZ508">
        <v>1200</v>
      </c>
      <c r="BA508">
        <v>1</v>
      </c>
      <c r="BB508" t="str">
        <f t="shared" si="143"/>
        <v xml:space="preserve">N733KP  </v>
      </c>
      <c r="BC508">
        <v>1</v>
      </c>
      <c r="BE508">
        <v>0</v>
      </c>
      <c r="BF508">
        <v>0</v>
      </c>
      <c r="BG508">
        <v>0</v>
      </c>
      <c r="BH508">
        <v>2775</v>
      </c>
      <c r="BI508">
        <v>1</v>
      </c>
      <c r="BJ508">
        <v>1</v>
      </c>
      <c r="BK508">
        <v>0</v>
      </c>
      <c r="BL508">
        <v>0</v>
      </c>
      <c r="BO508">
        <v>0</v>
      </c>
      <c r="BP508">
        <v>0</v>
      </c>
      <c r="BW508" t="str">
        <f>"22:11:31.801"</f>
        <v>22:11:31.801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364</v>
      </c>
      <c r="CR508">
        <v>0</v>
      </c>
      <c r="CW508">
        <v>1383142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"03/24/2022 22:11:32.072"</f>
        <v>03/24/2022 22:11:32.072</v>
      </c>
      <c r="C509" t="str">
        <f t="shared" si="141"/>
        <v>FFDFD3C0</v>
      </c>
      <c r="D509" t="s">
        <v>123</v>
      </c>
      <c r="E509">
        <v>8</v>
      </c>
      <c r="H509">
        <v>31</v>
      </c>
      <c r="I509" t="s">
        <v>124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 t="shared" si="152"/>
        <v>22:11:31.000</v>
      </c>
      <c r="T509" t="str">
        <f t="shared" si="152"/>
        <v>22:11:31.000</v>
      </c>
      <c r="U509" t="str">
        <f t="shared" si="136"/>
        <v>A9D71F</v>
      </c>
      <c r="V509">
        <v>0</v>
      </c>
      <c r="W509">
        <v>0</v>
      </c>
      <c r="X509">
        <v>2</v>
      </c>
      <c r="Z509">
        <v>1</v>
      </c>
      <c r="AA509">
        <v>8</v>
      </c>
      <c r="AB509">
        <v>3</v>
      </c>
      <c r="AC509">
        <v>0</v>
      </c>
      <c r="AD509">
        <v>9</v>
      </c>
      <c r="AE509">
        <v>0</v>
      </c>
      <c r="AF509">
        <v>3</v>
      </c>
      <c r="AG509">
        <v>1</v>
      </c>
      <c r="AH509">
        <v>0</v>
      </c>
      <c r="AI509" t="s">
        <v>241</v>
      </c>
      <c r="AJ509">
        <v>33.188065999999999</v>
      </c>
      <c r="AK509" t="s">
        <v>311</v>
      </c>
      <c r="AL509">
        <v>-97.766261</v>
      </c>
      <c r="AM509">
        <v>25</v>
      </c>
      <c r="AN509">
        <v>2800</v>
      </c>
      <c r="AO509" t="s">
        <v>118</v>
      </c>
      <c r="AP509">
        <v>91</v>
      </c>
      <c r="AQ509">
        <v>-4</v>
      </c>
      <c r="AR509">
        <v>704</v>
      </c>
      <c r="AZ509">
        <v>1200</v>
      </c>
      <c r="BA509">
        <v>1</v>
      </c>
      <c r="BB509" t="str">
        <f t="shared" si="143"/>
        <v xml:space="preserve">N733KP  </v>
      </c>
      <c r="BC509">
        <v>1</v>
      </c>
      <c r="BE509">
        <v>0</v>
      </c>
      <c r="BF509">
        <v>0</v>
      </c>
      <c r="BG509">
        <v>0</v>
      </c>
      <c r="BH509">
        <v>2775</v>
      </c>
      <c r="BI509">
        <v>1</v>
      </c>
      <c r="BJ509">
        <v>1</v>
      </c>
      <c r="BK509">
        <v>0</v>
      </c>
      <c r="BL509">
        <v>0</v>
      </c>
      <c r="BO509">
        <v>0</v>
      </c>
      <c r="BP509">
        <v>0</v>
      </c>
      <c r="BW509" t="str">
        <f>"22:11:31.801"</f>
        <v>22:11:31.801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364</v>
      </c>
      <c r="CR509">
        <v>0</v>
      </c>
      <c r="CW509">
        <v>1383142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"03/24/2022 22:11:33.449"</f>
        <v>03/24/2022 22:11:33.449</v>
      </c>
      <c r="C510" t="str">
        <f t="shared" si="141"/>
        <v>FFDFD3C0</v>
      </c>
      <c r="D510" t="s">
        <v>126</v>
      </c>
      <c r="E510">
        <v>3</v>
      </c>
      <c r="H510">
        <v>160</v>
      </c>
      <c r="I510" t="s">
        <v>121</v>
      </c>
      <c r="J510" t="s">
        <v>127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 t="shared" ref="S510:T513" si="153">"22:11:33.000"</f>
        <v>22:11:33.000</v>
      </c>
      <c r="T510" t="str">
        <f t="shared" si="153"/>
        <v>22:11:33.000</v>
      </c>
      <c r="U510" t="str">
        <f t="shared" si="136"/>
        <v>A9D71F</v>
      </c>
      <c r="V510">
        <v>0</v>
      </c>
      <c r="W510">
        <v>0</v>
      </c>
      <c r="X510">
        <v>2</v>
      </c>
      <c r="Z510">
        <v>1</v>
      </c>
      <c r="AA510">
        <v>8</v>
      </c>
      <c r="AB510">
        <v>3</v>
      </c>
      <c r="AC510">
        <v>0</v>
      </c>
      <c r="AD510">
        <v>9</v>
      </c>
      <c r="AE510">
        <v>0</v>
      </c>
      <c r="AF510">
        <v>3</v>
      </c>
      <c r="AG510">
        <v>1</v>
      </c>
      <c r="AH510">
        <v>0</v>
      </c>
      <c r="AI510" t="s">
        <v>245</v>
      </c>
      <c r="AJ510">
        <v>33.188023999999999</v>
      </c>
      <c r="AK510" t="s">
        <v>312</v>
      </c>
      <c r="AL510">
        <v>-97.765253000000001</v>
      </c>
      <c r="AM510">
        <v>25</v>
      </c>
      <c r="AN510">
        <v>2800</v>
      </c>
      <c r="AO510" t="s">
        <v>118</v>
      </c>
      <c r="AP510">
        <v>89</v>
      </c>
      <c r="AQ510">
        <v>-2</v>
      </c>
      <c r="AR510">
        <v>640</v>
      </c>
      <c r="AZ510">
        <v>1200</v>
      </c>
      <c r="BA510">
        <v>1</v>
      </c>
      <c r="BB510" t="str">
        <f t="shared" si="143"/>
        <v xml:space="preserve">N733KP  </v>
      </c>
      <c r="BC510">
        <v>1</v>
      </c>
      <c r="BE510">
        <v>0</v>
      </c>
      <c r="BF510">
        <v>0</v>
      </c>
      <c r="BG510">
        <v>0</v>
      </c>
      <c r="BH510">
        <v>2775</v>
      </c>
      <c r="BI510">
        <v>1</v>
      </c>
      <c r="BJ510">
        <v>1</v>
      </c>
      <c r="BK510">
        <v>0</v>
      </c>
      <c r="BL510">
        <v>0</v>
      </c>
      <c r="BO510">
        <v>0</v>
      </c>
      <c r="BP510">
        <v>0</v>
      </c>
      <c r="BW510" t="str">
        <f>"22:11:33.286"</f>
        <v>22:11:33.286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364</v>
      </c>
      <c r="CR510">
        <v>0</v>
      </c>
      <c r="CW510">
        <v>1383362</v>
      </c>
      <c r="CY510">
        <v>1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"03/24/2022 22:11:33.449"</f>
        <v>03/24/2022 22:11:33.449</v>
      </c>
      <c r="C511" t="str">
        <f t="shared" si="141"/>
        <v>FFDFD3C0</v>
      </c>
      <c r="D511" t="s">
        <v>113</v>
      </c>
      <c r="E511">
        <v>24</v>
      </c>
      <c r="F511">
        <v>2024</v>
      </c>
      <c r="G511" t="s">
        <v>114</v>
      </c>
      <c r="J511" t="s">
        <v>115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 t="shared" si="153"/>
        <v>22:11:33.000</v>
      </c>
      <c r="T511" t="str">
        <f t="shared" si="153"/>
        <v>22:11:33.000</v>
      </c>
      <c r="U511" t="str">
        <f t="shared" si="136"/>
        <v>A9D71F</v>
      </c>
      <c r="V511">
        <v>0</v>
      </c>
      <c r="W511">
        <v>0</v>
      </c>
      <c r="X511">
        <v>2</v>
      </c>
      <c r="Z511">
        <v>1</v>
      </c>
      <c r="AA511">
        <v>8</v>
      </c>
      <c r="AB511">
        <v>3</v>
      </c>
      <c r="AC511">
        <v>0</v>
      </c>
      <c r="AD511">
        <v>9</v>
      </c>
      <c r="AE511">
        <v>0</v>
      </c>
      <c r="AF511">
        <v>3</v>
      </c>
      <c r="AG511">
        <v>1</v>
      </c>
      <c r="AH511">
        <v>0</v>
      </c>
      <c r="AI511" t="s">
        <v>245</v>
      </c>
      <c r="AJ511">
        <v>33.188023999999999</v>
      </c>
      <c r="AK511" t="s">
        <v>312</v>
      </c>
      <c r="AL511">
        <v>-97.765253000000001</v>
      </c>
      <c r="AM511">
        <v>25</v>
      </c>
      <c r="AN511">
        <v>2800</v>
      </c>
      <c r="AO511" t="s">
        <v>118</v>
      </c>
      <c r="AP511">
        <v>89</v>
      </c>
      <c r="AQ511">
        <v>-2</v>
      </c>
      <c r="AR511">
        <v>640</v>
      </c>
      <c r="AZ511">
        <v>1200</v>
      </c>
      <c r="BA511">
        <v>1</v>
      </c>
      <c r="BB511" t="str">
        <f t="shared" si="143"/>
        <v xml:space="preserve">N733KP  </v>
      </c>
      <c r="BC511">
        <v>1</v>
      </c>
      <c r="BE511">
        <v>0</v>
      </c>
      <c r="BF511">
        <v>0</v>
      </c>
      <c r="BG511">
        <v>0</v>
      </c>
      <c r="BH511">
        <v>2775</v>
      </c>
      <c r="BI511">
        <v>1</v>
      </c>
      <c r="BJ511">
        <v>1</v>
      </c>
      <c r="BK511">
        <v>0</v>
      </c>
      <c r="BL511">
        <v>0</v>
      </c>
      <c r="BO511">
        <v>0</v>
      </c>
      <c r="BP511">
        <v>0</v>
      </c>
      <c r="BW511" t="str">
        <f>"22:11:33.286"</f>
        <v>22:11:33.286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364</v>
      </c>
      <c r="CR511">
        <v>0</v>
      </c>
      <c r="CW511">
        <v>1383362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"03/24/2022 22:11:33.480"</f>
        <v>03/24/2022 22:11:33.480</v>
      </c>
      <c r="C512" t="str">
        <f t="shared" si="141"/>
        <v>FFDFD3C0</v>
      </c>
      <c r="D512" t="s">
        <v>120</v>
      </c>
      <c r="E512">
        <v>14</v>
      </c>
      <c r="F512">
        <v>1014</v>
      </c>
      <c r="G512" t="s">
        <v>121</v>
      </c>
      <c r="J512" t="s">
        <v>122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 t="shared" si="153"/>
        <v>22:11:33.000</v>
      </c>
      <c r="T512" t="str">
        <f t="shared" si="153"/>
        <v>22:11:33.000</v>
      </c>
      <c r="U512" t="str">
        <f t="shared" si="136"/>
        <v>A9D71F</v>
      </c>
      <c r="V512">
        <v>0</v>
      </c>
      <c r="W512">
        <v>0</v>
      </c>
      <c r="X512">
        <v>2</v>
      </c>
      <c r="Z512">
        <v>1</v>
      </c>
      <c r="AA512">
        <v>8</v>
      </c>
      <c r="AB512">
        <v>3</v>
      </c>
      <c r="AC512">
        <v>0</v>
      </c>
      <c r="AD512">
        <v>9</v>
      </c>
      <c r="AE512">
        <v>0</v>
      </c>
      <c r="AF512">
        <v>3</v>
      </c>
      <c r="AG512">
        <v>1</v>
      </c>
      <c r="AH512">
        <v>0</v>
      </c>
      <c r="AI512" t="s">
        <v>245</v>
      </c>
      <c r="AJ512">
        <v>33.188023999999999</v>
      </c>
      <c r="AK512" t="s">
        <v>312</v>
      </c>
      <c r="AL512">
        <v>-97.765253000000001</v>
      </c>
      <c r="AM512">
        <v>25</v>
      </c>
      <c r="AN512">
        <v>2800</v>
      </c>
      <c r="AO512" t="s">
        <v>118</v>
      </c>
      <c r="AP512">
        <v>89</v>
      </c>
      <c r="AQ512">
        <v>-2</v>
      </c>
      <c r="AR512">
        <v>640</v>
      </c>
      <c r="AZ512">
        <v>1200</v>
      </c>
      <c r="BA512">
        <v>1</v>
      </c>
      <c r="BB512" t="str">
        <f t="shared" si="143"/>
        <v xml:space="preserve">N733KP  </v>
      </c>
      <c r="BC512">
        <v>1</v>
      </c>
      <c r="BE512">
        <v>0</v>
      </c>
      <c r="BF512">
        <v>0</v>
      </c>
      <c r="BG512">
        <v>0</v>
      </c>
      <c r="BH512">
        <v>2775</v>
      </c>
      <c r="BI512">
        <v>1</v>
      </c>
      <c r="BJ512">
        <v>1</v>
      </c>
      <c r="BK512">
        <v>0</v>
      </c>
      <c r="BL512">
        <v>0</v>
      </c>
      <c r="BO512">
        <v>0</v>
      </c>
      <c r="BP512">
        <v>0</v>
      </c>
      <c r="BW512" t="str">
        <f>"22:11:33.286"</f>
        <v>22:11:33.286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364</v>
      </c>
      <c r="CR512">
        <v>0</v>
      </c>
      <c r="CW512">
        <v>1383362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"03/24/2022 22:11:33.480"</f>
        <v>03/24/2022 22:11:33.480</v>
      </c>
      <c r="C513" t="str">
        <f t="shared" si="141"/>
        <v>FFDFD3C0</v>
      </c>
      <c r="D513" t="s">
        <v>123</v>
      </c>
      <c r="E513">
        <v>8</v>
      </c>
      <c r="H513">
        <v>31</v>
      </c>
      <c r="I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 t="shared" si="153"/>
        <v>22:11:33.000</v>
      </c>
      <c r="T513" t="str">
        <f t="shared" si="153"/>
        <v>22:11:33.000</v>
      </c>
      <c r="U513" t="str">
        <f t="shared" si="136"/>
        <v>A9D71F</v>
      </c>
      <c r="V513">
        <v>0</v>
      </c>
      <c r="W513">
        <v>0</v>
      </c>
      <c r="X513">
        <v>2</v>
      </c>
      <c r="Z513">
        <v>1</v>
      </c>
      <c r="AA513">
        <v>8</v>
      </c>
      <c r="AB513">
        <v>3</v>
      </c>
      <c r="AC513">
        <v>0</v>
      </c>
      <c r="AD513">
        <v>9</v>
      </c>
      <c r="AE513">
        <v>0</v>
      </c>
      <c r="AF513">
        <v>3</v>
      </c>
      <c r="AG513">
        <v>1</v>
      </c>
      <c r="AH513">
        <v>0</v>
      </c>
      <c r="AI513" t="s">
        <v>245</v>
      </c>
      <c r="AJ513">
        <v>33.188023999999999</v>
      </c>
      <c r="AK513" t="s">
        <v>312</v>
      </c>
      <c r="AL513">
        <v>-97.765253000000001</v>
      </c>
      <c r="AM513">
        <v>25</v>
      </c>
      <c r="AN513">
        <v>2800</v>
      </c>
      <c r="AO513" t="s">
        <v>118</v>
      </c>
      <c r="AP513">
        <v>89</v>
      </c>
      <c r="AQ513">
        <v>-2</v>
      </c>
      <c r="AR513">
        <v>640</v>
      </c>
      <c r="AZ513">
        <v>1200</v>
      </c>
      <c r="BA513">
        <v>1</v>
      </c>
      <c r="BB513" t="str">
        <f t="shared" si="143"/>
        <v xml:space="preserve">N733KP  </v>
      </c>
      <c r="BC513">
        <v>1</v>
      </c>
      <c r="BE513">
        <v>0</v>
      </c>
      <c r="BF513">
        <v>0</v>
      </c>
      <c r="BG513">
        <v>0</v>
      </c>
      <c r="BH513">
        <v>2775</v>
      </c>
      <c r="BI513">
        <v>1</v>
      </c>
      <c r="BJ513">
        <v>1</v>
      </c>
      <c r="BK513">
        <v>0</v>
      </c>
      <c r="BL513">
        <v>0</v>
      </c>
      <c r="BO513">
        <v>0</v>
      </c>
      <c r="BP513">
        <v>0</v>
      </c>
      <c r="BW513" t="str">
        <f>"22:11:33.286"</f>
        <v>22:11:33.286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364</v>
      </c>
      <c r="CR513">
        <v>0</v>
      </c>
      <c r="CW513">
        <v>1383362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"03/24/2022 22:11:35.090"</f>
        <v>03/24/2022 22:11:35.090</v>
      </c>
      <c r="C514" t="str">
        <f t="shared" si="141"/>
        <v>FFDFD3C0</v>
      </c>
      <c r="D514" t="s">
        <v>126</v>
      </c>
      <c r="E514">
        <v>3</v>
      </c>
      <c r="H514">
        <v>160</v>
      </c>
      <c r="I514" t="s">
        <v>121</v>
      </c>
      <c r="J514" t="s">
        <v>127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 t="shared" ref="S514:T517" si="154">"22:11:34.000"</f>
        <v>22:11:34.000</v>
      </c>
      <c r="T514" t="str">
        <f t="shared" si="154"/>
        <v>22:11:34.000</v>
      </c>
      <c r="U514" t="str">
        <f t="shared" ref="U514:U577" si="155">"A9D71F"</f>
        <v>A9D71F</v>
      </c>
      <c r="V514">
        <v>0</v>
      </c>
      <c r="W514">
        <v>0</v>
      </c>
      <c r="X514">
        <v>2</v>
      </c>
      <c r="Z514">
        <v>1</v>
      </c>
      <c r="AA514">
        <v>8</v>
      </c>
      <c r="AB514">
        <v>3</v>
      </c>
      <c r="AC514">
        <v>0</v>
      </c>
      <c r="AD514">
        <v>9</v>
      </c>
      <c r="AE514">
        <v>0</v>
      </c>
      <c r="AF514">
        <v>3</v>
      </c>
      <c r="AG514">
        <v>1</v>
      </c>
      <c r="AH514">
        <v>0</v>
      </c>
      <c r="AI514" t="s">
        <v>245</v>
      </c>
      <c r="AJ514">
        <v>33.188023999999999</v>
      </c>
      <c r="AK514" t="s">
        <v>313</v>
      </c>
      <c r="AL514">
        <v>-97.764737999999994</v>
      </c>
      <c r="AM514">
        <v>25</v>
      </c>
      <c r="AN514">
        <v>2900</v>
      </c>
      <c r="AO514" t="s">
        <v>118</v>
      </c>
      <c r="AP514">
        <v>91</v>
      </c>
      <c r="AQ514">
        <v>-7</v>
      </c>
      <c r="AR514">
        <v>704</v>
      </c>
      <c r="AZ514">
        <v>1200</v>
      </c>
      <c r="BA514">
        <v>1</v>
      </c>
      <c r="BB514" t="str">
        <f t="shared" si="143"/>
        <v xml:space="preserve">N733KP  </v>
      </c>
      <c r="BC514">
        <v>1</v>
      </c>
      <c r="BE514">
        <v>0</v>
      </c>
      <c r="BF514">
        <v>0</v>
      </c>
      <c r="BG514">
        <v>0</v>
      </c>
      <c r="BH514">
        <v>2825</v>
      </c>
      <c r="BI514">
        <v>1</v>
      </c>
      <c r="BJ514">
        <v>1</v>
      </c>
      <c r="BK514">
        <v>0</v>
      </c>
      <c r="BL514">
        <v>0</v>
      </c>
      <c r="BO514">
        <v>0</v>
      </c>
      <c r="BP514">
        <v>0</v>
      </c>
      <c r="BW514" t="str">
        <f>"22:11:34.907"</f>
        <v>22:11:34.907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364</v>
      </c>
      <c r="CR514">
        <v>0</v>
      </c>
      <c r="CW514">
        <v>1383593</v>
      </c>
      <c r="CY514">
        <v>1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"03/24/2022 22:11:35.090"</f>
        <v>03/24/2022 22:11:35.090</v>
      </c>
      <c r="C515" t="str">
        <f t="shared" si="141"/>
        <v>FFDFD3C0</v>
      </c>
      <c r="D515" t="s">
        <v>113</v>
      </c>
      <c r="E515">
        <v>24</v>
      </c>
      <c r="F515">
        <v>2024</v>
      </c>
      <c r="G515" t="s">
        <v>114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 t="shared" si="154"/>
        <v>22:11:34.000</v>
      </c>
      <c r="T515" t="str">
        <f t="shared" si="154"/>
        <v>22:11:34.000</v>
      </c>
      <c r="U515" t="str">
        <f t="shared" si="155"/>
        <v>A9D71F</v>
      </c>
      <c r="V515">
        <v>0</v>
      </c>
      <c r="W515">
        <v>0</v>
      </c>
      <c r="X515">
        <v>2</v>
      </c>
      <c r="Z515">
        <v>1</v>
      </c>
      <c r="AA515">
        <v>8</v>
      </c>
      <c r="AB515">
        <v>3</v>
      </c>
      <c r="AC515">
        <v>0</v>
      </c>
      <c r="AD515">
        <v>9</v>
      </c>
      <c r="AE515">
        <v>0</v>
      </c>
      <c r="AF515">
        <v>3</v>
      </c>
      <c r="AG515">
        <v>1</v>
      </c>
      <c r="AH515">
        <v>0</v>
      </c>
      <c r="AI515" t="s">
        <v>245</v>
      </c>
      <c r="AJ515">
        <v>33.188023999999999</v>
      </c>
      <c r="AK515" t="s">
        <v>313</v>
      </c>
      <c r="AL515">
        <v>-97.764737999999994</v>
      </c>
      <c r="AM515">
        <v>25</v>
      </c>
      <c r="AN515">
        <v>2900</v>
      </c>
      <c r="AO515" t="s">
        <v>118</v>
      </c>
      <c r="AP515">
        <v>91</v>
      </c>
      <c r="AQ515">
        <v>-7</v>
      </c>
      <c r="AR515">
        <v>704</v>
      </c>
      <c r="AZ515">
        <v>1200</v>
      </c>
      <c r="BA515">
        <v>1</v>
      </c>
      <c r="BB515" t="str">
        <f t="shared" si="143"/>
        <v xml:space="preserve">N733KP  </v>
      </c>
      <c r="BC515">
        <v>1</v>
      </c>
      <c r="BE515">
        <v>0</v>
      </c>
      <c r="BF515">
        <v>0</v>
      </c>
      <c r="BG515">
        <v>0</v>
      </c>
      <c r="BH515">
        <v>2825</v>
      </c>
      <c r="BI515">
        <v>1</v>
      </c>
      <c r="BJ515">
        <v>1</v>
      </c>
      <c r="BK515">
        <v>0</v>
      </c>
      <c r="BL515">
        <v>0</v>
      </c>
      <c r="BO515">
        <v>0</v>
      </c>
      <c r="BP515">
        <v>0</v>
      </c>
      <c r="BW515" t="str">
        <f>"22:11:34.907"</f>
        <v>22:11:34.907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364</v>
      </c>
      <c r="CR515">
        <v>0</v>
      </c>
      <c r="CW515">
        <v>1383593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"03/24/2022 22:11:35.090"</f>
        <v>03/24/2022 22:11:35.090</v>
      </c>
      <c r="C516" t="str">
        <f t="shared" si="141"/>
        <v>FFDFD3C0</v>
      </c>
      <c r="D516" t="s">
        <v>120</v>
      </c>
      <c r="E516">
        <v>14</v>
      </c>
      <c r="F516">
        <v>1014</v>
      </c>
      <c r="G516" t="s">
        <v>121</v>
      </c>
      <c r="J516" t="s">
        <v>122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 t="shared" si="154"/>
        <v>22:11:34.000</v>
      </c>
      <c r="T516" t="str">
        <f t="shared" si="154"/>
        <v>22:11:34.000</v>
      </c>
      <c r="U516" t="str">
        <f t="shared" si="155"/>
        <v>A9D71F</v>
      </c>
      <c r="V516">
        <v>0</v>
      </c>
      <c r="W516">
        <v>0</v>
      </c>
      <c r="X516">
        <v>2</v>
      </c>
      <c r="Z516">
        <v>1</v>
      </c>
      <c r="AA516">
        <v>8</v>
      </c>
      <c r="AB516">
        <v>3</v>
      </c>
      <c r="AC516">
        <v>0</v>
      </c>
      <c r="AD516">
        <v>9</v>
      </c>
      <c r="AE516">
        <v>0</v>
      </c>
      <c r="AF516">
        <v>3</v>
      </c>
      <c r="AG516">
        <v>1</v>
      </c>
      <c r="AH516">
        <v>0</v>
      </c>
      <c r="AI516" t="s">
        <v>245</v>
      </c>
      <c r="AJ516">
        <v>33.188023999999999</v>
      </c>
      <c r="AK516" t="s">
        <v>313</v>
      </c>
      <c r="AL516">
        <v>-97.764737999999994</v>
      </c>
      <c r="AM516">
        <v>25</v>
      </c>
      <c r="AN516">
        <v>2900</v>
      </c>
      <c r="AO516" t="s">
        <v>118</v>
      </c>
      <c r="AP516">
        <v>91</v>
      </c>
      <c r="AQ516">
        <v>-7</v>
      </c>
      <c r="AR516">
        <v>704</v>
      </c>
      <c r="AZ516">
        <v>1200</v>
      </c>
      <c r="BA516">
        <v>1</v>
      </c>
      <c r="BB516" t="str">
        <f t="shared" si="143"/>
        <v xml:space="preserve">N733KP  </v>
      </c>
      <c r="BC516">
        <v>1</v>
      </c>
      <c r="BE516">
        <v>0</v>
      </c>
      <c r="BF516">
        <v>0</v>
      </c>
      <c r="BG516">
        <v>0</v>
      </c>
      <c r="BH516">
        <v>2825</v>
      </c>
      <c r="BI516">
        <v>1</v>
      </c>
      <c r="BJ516">
        <v>1</v>
      </c>
      <c r="BK516">
        <v>0</v>
      </c>
      <c r="BL516">
        <v>0</v>
      </c>
      <c r="BO516">
        <v>0</v>
      </c>
      <c r="BP516">
        <v>0</v>
      </c>
      <c r="BW516" t="str">
        <f>"22:11:34.907"</f>
        <v>22:11:34.907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119</v>
      </c>
      <c r="CQ516">
        <v>364</v>
      </c>
      <c r="CR516">
        <v>0</v>
      </c>
      <c r="CW516">
        <v>1383593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"03/24/2022 22:11:35.090"</f>
        <v>03/24/2022 22:11:35.090</v>
      </c>
      <c r="C517" t="str">
        <f t="shared" si="141"/>
        <v>FFDFD3C0</v>
      </c>
      <c r="D517" t="s">
        <v>123</v>
      </c>
      <c r="E517">
        <v>8</v>
      </c>
      <c r="H517">
        <v>31</v>
      </c>
      <c r="I517" t="s">
        <v>124</v>
      </c>
      <c r="J517" t="s">
        <v>125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 t="shared" si="154"/>
        <v>22:11:34.000</v>
      </c>
      <c r="T517" t="str">
        <f t="shared" si="154"/>
        <v>22:11:34.000</v>
      </c>
      <c r="U517" t="str">
        <f t="shared" si="155"/>
        <v>A9D71F</v>
      </c>
      <c r="V517">
        <v>0</v>
      </c>
      <c r="W517">
        <v>0</v>
      </c>
      <c r="X517">
        <v>2</v>
      </c>
      <c r="Z517">
        <v>1</v>
      </c>
      <c r="AA517">
        <v>8</v>
      </c>
      <c r="AB517">
        <v>3</v>
      </c>
      <c r="AC517">
        <v>0</v>
      </c>
      <c r="AD517">
        <v>9</v>
      </c>
      <c r="AE517">
        <v>0</v>
      </c>
      <c r="AF517">
        <v>3</v>
      </c>
      <c r="AG517">
        <v>1</v>
      </c>
      <c r="AH517">
        <v>0</v>
      </c>
      <c r="AI517" t="s">
        <v>245</v>
      </c>
      <c r="AJ517">
        <v>33.188023999999999</v>
      </c>
      <c r="AK517" t="s">
        <v>313</v>
      </c>
      <c r="AL517">
        <v>-97.764737999999994</v>
      </c>
      <c r="AM517">
        <v>25</v>
      </c>
      <c r="AN517">
        <v>2900</v>
      </c>
      <c r="AO517" t="s">
        <v>118</v>
      </c>
      <c r="AP517">
        <v>91</v>
      </c>
      <c r="AQ517">
        <v>-7</v>
      </c>
      <c r="AR517">
        <v>704</v>
      </c>
      <c r="AZ517">
        <v>1200</v>
      </c>
      <c r="BA517">
        <v>1</v>
      </c>
      <c r="BB517" t="str">
        <f t="shared" si="143"/>
        <v xml:space="preserve">N733KP  </v>
      </c>
      <c r="BC517">
        <v>1</v>
      </c>
      <c r="BE517">
        <v>0</v>
      </c>
      <c r="BF517">
        <v>0</v>
      </c>
      <c r="BG517">
        <v>0</v>
      </c>
      <c r="BH517">
        <v>2825</v>
      </c>
      <c r="BI517">
        <v>1</v>
      </c>
      <c r="BJ517">
        <v>1</v>
      </c>
      <c r="BK517">
        <v>0</v>
      </c>
      <c r="BL517">
        <v>0</v>
      </c>
      <c r="BO517">
        <v>0</v>
      </c>
      <c r="BP517">
        <v>0</v>
      </c>
      <c r="BW517" t="str">
        <f>"22:11:34.907"</f>
        <v>22:11:34.907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364</v>
      </c>
      <c r="CR517">
        <v>0</v>
      </c>
      <c r="CW517">
        <v>1383593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"03/24/2022 22:11:35.558"</f>
        <v>03/24/2022 22:11:35.558</v>
      </c>
      <c r="C518" t="str">
        <f t="shared" si="141"/>
        <v>FFDFD3C0</v>
      </c>
      <c r="D518" t="s">
        <v>123</v>
      </c>
      <c r="E518">
        <v>8</v>
      </c>
      <c r="H518">
        <v>31</v>
      </c>
      <c r="I518" t="s">
        <v>124</v>
      </c>
      <c r="J518" t="s">
        <v>125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 t="shared" ref="S518:T521" si="156">"22:11:35.000"</f>
        <v>22:11:35.000</v>
      </c>
      <c r="T518" t="str">
        <f t="shared" si="156"/>
        <v>22:11:35.000</v>
      </c>
      <c r="U518" t="str">
        <f t="shared" si="155"/>
        <v>A9D71F</v>
      </c>
      <c r="V518">
        <v>0</v>
      </c>
      <c r="W518">
        <v>0</v>
      </c>
      <c r="X518">
        <v>2</v>
      </c>
      <c r="Z518">
        <v>1</v>
      </c>
      <c r="AA518">
        <v>8</v>
      </c>
      <c r="AB518">
        <v>3</v>
      </c>
      <c r="AC518">
        <v>0</v>
      </c>
      <c r="AD518">
        <v>9</v>
      </c>
      <c r="AE518">
        <v>0</v>
      </c>
      <c r="AF518">
        <v>3</v>
      </c>
      <c r="AG518">
        <v>1</v>
      </c>
      <c r="AH518">
        <v>0</v>
      </c>
      <c r="AI518" t="s">
        <v>283</v>
      </c>
      <c r="AJ518">
        <v>33.187981000000001</v>
      </c>
      <c r="AK518" t="s">
        <v>314</v>
      </c>
      <c r="AL518">
        <v>-97.764244000000005</v>
      </c>
      <c r="AM518">
        <v>25</v>
      </c>
      <c r="AN518">
        <v>2900</v>
      </c>
      <c r="AO518" t="s">
        <v>118</v>
      </c>
      <c r="AP518">
        <v>90</v>
      </c>
      <c r="AQ518">
        <v>-5</v>
      </c>
      <c r="AR518">
        <v>640</v>
      </c>
      <c r="AZ518">
        <v>1200</v>
      </c>
      <c r="BA518">
        <v>1</v>
      </c>
      <c r="BB518" t="str">
        <f t="shared" si="143"/>
        <v xml:space="preserve">N733KP  </v>
      </c>
      <c r="BC518">
        <v>1</v>
      </c>
      <c r="BE518">
        <v>0</v>
      </c>
      <c r="BF518">
        <v>0</v>
      </c>
      <c r="BG518">
        <v>0</v>
      </c>
      <c r="BH518">
        <v>2825</v>
      </c>
      <c r="BI518">
        <v>1</v>
      </c>
      <c r="BJ518">
        <v>1</v>
      </c>
      <c r="BK518">
        <v>0</v>
      </c>
      <c r="BL518">
        <v>0</v>
      </c>
      <c r="BO518">
        <v>0</v>
      </c>
      <c r="BP518">
        <v>0</v>
      </c>
      <c r="BW518" t="str">
        <f>"22:11:35.383"</f>
        <v>22:11:35.383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364</v>
      </c>
      <c r="CR518">
        <v>0</v>
      </c>
      <c r="CW518">
        <v>1383658</v>
      </c>
      <c r="CY518">
        <v>1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"03/24/2022 22:11:35.558"</f>
        <v>03/24/2022 22:11:35.558</v>
      </c>
      <c r="C519" t="str">
        <f t="shared" si="141"/>
        <v>FFDFD3C0</v>
      </c>
      <c r="D519" t="s">
        <v>126</v>
      </c>
      <c r="E519">
        <v>3</v>
      </c>
      <c r="H519">
        <v>160</v>
      </c>
      <c r="I519" t="s">
        <v>121</v>
      </c>
      <c r="J519" t="s">
        <v>127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 t="shared" si="156"/>
        <v>22:11:35.000</v>
      </c>
      <c r="T519" t="str">
        <f t="shared" si="156"/>
        <v>22:11:35.000</v>
      </c>
      <c r="U519" t="str">
        <f t="shared" si="155"/>
        <v>A9D71F</v>
      </c>
      <c r="V519">
        <v>0</v>
      </c>
      <c r="W519">
        <v>0</v>
      </c>
      <c r="X519">
        <v>2</v>
      </c>
      <c r="Z519">
        <v>1</v>
      </c>
      <c r="AA519">
        <v>8</v>
      </c>
      <c r="AB519">
        <v>3</v>
      </c>
      <c r="AC519">
        <v>0</v>
      </c>
      <c r="AD519">
        <v>9</v>
      </c>
      <c r="AE519">
        <v>0</v>
      </c>
      <c r="AF519">
        <v>3</v>
      </c>
      <c r="AG519">
        <v>1</v>
      </c>
      <c r="AH519">
        <v>0</v>
      </c>
      <c r="AI519" t="s">
        <v>283</v>
      </c>
      <c r="AJ519">
        <v>33.187981000000001</v>
      </c>
      <c r="AK519" t="s">
        <v>314</v>
      </c>
      <c r="AL519">
        <v>-97.764244000000005</v>
      </c>
      <c r="AM519">
        <v>25</v>
      </c>
      <c r="AN519">
        <v>2900</v>
      </c>
      <c r="AO519" t="s">
        <v>118</v>
      </c>
      <c r="AP519">
        <v>90</v>
      </c>
      <c r="AQ519">
        <v>-5</v>
      </c>
      <c r="AR519">
        <v>640</v>
      </c>
      <c r="AZ519">
        <v>1200</v>
      </c>
      <c r="BA519">
        <v>1</v>
      </c>
      <c r="BB519" t="str">
        <f t="shared" si="143"/>
        <v xml:space="preserve">N733KP  </v>
      </c>
      <c r="BC519">
        <v>1</v>
      </c>
      <c r="BE519">
        <v>0</v>
      </c>
      <c r="BF519">
        <v>0</v>
      </c>
      <c r="BG519">
        <v>0</v>
      </c>
      <c r="BH519">
        <v>2825</v>
      </c>
      <c r="BI519">
        <v>1</v>
      </c>
      <c r="BJ519">
        <v>1</v>
      </c>
      <c r="BK519">
        <v>0</v>
      </c>
      <c r="BL519">
        <v>0</v>
      </c>
      <c r="BO519">
        <v>0</v>
      </c>
      <c r="BP519">
        <v>0</v>
      </c>
      <c r="BW519" t="str">
        <f>"22:11:35.383"</f>
        <v>22:11:35.383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364</v>
      </c>
      <c r="CR519">
        <v>0</v>
      </c>
      <c r="CW519">
        <v>1383658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"03/24/2022 22:11:35.574"</f>
        <v>03/24/2022 22:11:35.574</v>
      </c>
      <c r="C520" t="str">
        <f t="shared" si="141"/>
        <v>FFDFD3C0</v>
      </c>
      <c r="D520" t="s">
        <v>113</v>
      </c>
      <c r="E520">
        <v>24</v>
      </c>
      <c r="F520">
        <v>2024</v>
      </c>
      <c r="G520" t="s">
        <v>114</v>
      </c>
      <c r="J520" t="s">
        <v>115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 t="shared" si="156"/>
        <v>22:11:35.000</v>
      </c>
      <c r="T520" t="str">
        <f t="shared" si="156"/>
        <v>22:11:35.000</v>
      </c>
      <c r="U520" t="str">
        <f t="shared" si="155"/>
        <v>A9D71F</v>
      </c>
      <c r="V520">
        <v>0</v>
      </c>
      <c r="W520">
        <v>0</v>
      </c>
      <c r="X520">
        <v>2</v>
      </c>
      <c r="Z520">
        <v>1</v>
      </c>
      <c r="AA520">
        <v>8</v>
      </c>
      <c r="AB520">
        <v>3</v>
      </c>
      <c r="AC520">
        <v>0</v>
      </c>
      <c r="AD520">
        <v>9</v>
      </c>
      <c r="AE520">
        <v>0</v>
      </c>
      <c r="AF520">
        <v>3</v>
      </c>
      <c r="AG520">
        <v>1</v>
      </c>
      <c r="AH520">
        <v>0</v>
      </c>
      <c r="AI520" t="s">
        <v>283</v>
      </c>
      <c r="AJ520">
        <v>33.187981000000001</v>
      </c>
      <c r="AK520" t="s">
        <v>314</v>
      </c>
      <c r="AL520">
        <v>-97.764244000000005</v>
      </c>
      <c r="AM520">
        <v>25</v>
      </c>
      <c r="AN520">
        <v>2900</v>
      </c>
      <c r="AO520" t="s">
        <v>118</v>
      </c>
      <c r="AP520">
        <v>90</v>
      </c>
      <c r="AQ520">
        <v>-5</v>
      </c>
      <c r="AR520">
        <v>640</v>
      </c>
      <c r="AZ520">
        <v>1200</v>
      </c>
      <c r="BA520">
        <v>1</v>
      </c>
      <c r="BB520" t="str">
        <f t="shared" si="143"/>
        <v xml:space="preserve">N733KP  </v>
      </c>
      <c r="BC520">
        <v>1</v>
      </c>
      <c r="BE520">
        <v>0</v>
      </c>
      <c r="BF520">
        <v>0</v>
      </c>
      <c r="BG520">
        <v>0</v>
      </c>
      <c r="BH520">
        <v>2825</v>
      </c>
      <c r="BI520">
        <v>1</v>
      </c>
      <c r="BJ520">
        <v>1</v>
      </c>
      <c r="BK520">
        <v>0</v>
      </c>
      <c r="BL520">
        <v>0</v>
      </c>
      <c r="BO520">
        <v>0</v>
      </c>
      <c r="BP520">
        <v>0</v>
      </c>
      <c r="BW520" t="str">
        <f>"22:11:35.383"</f>
        <v>22:11:35.383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364</v>
      </c>
      <c r="CR520">
        <v>0</v>
      </c>
      <c r="CW520">
        <v>1383658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"03/24/2022 22:11:35.590"</f>
        <v>03/24/2022 22:11:35.590</v>
      </c>
      <c r="C521" t="str">
        <f t="shared" si="141"/>
        <v>FFDFD3C0</v>
      </c>
      <c r="D521" t="s">
        <v>120</v>
      </c>
      <c r="E521">
        <v>14</v>
      </c>
      <c r="F521">
        <v>1014</v>
      </c>
      <c r="G521" t="s">
        <v>121</v>
      </c>
      <c r="J521" t="s">
        <v>122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 t="shared" si="156"/>
        <v>22:11:35.000</v>
      </c>
      <c r="T521" t="str">
        <f t="shared" si="156"/>
        <v>22:11:35.000</v>
      </c>
      <c r="U521" t="str">
        <f t="shared" si="155"/>
        <v>A9D71F</v>
      </c>
      <c r="V521">
        <v>0</v>
      </c>
      <c r="W521">
        <v>0</v>
      </c>
      <c r="X521">
        <v>2</v>
      </c>
      <c r="Z521">
        <v>1</v>
      </c>
      <c r="AA521">
        <v>8</v>
      </c>
      <c r="AB521">
        <v>3</v>
      </c>
      <c r="AC521">
        <v>0</v>
      </c>
      <c r="AD521">
        <v>9</v>
      </c>
      <c r="AE521">
        <v>0</v>
      </c>
      <c r="AF521">
        <v>3</v>
      </c>
      <c r="AG521">
        <v>1</v>
      </c>
      <c r="AH521">
        <v>0</v>
      </c>
      <c r="AI521" t="s">
        <v>283</v>
      </c>
      <c r="AJ521">
        <v>33.187981000000001</v>
      </c>
      <c r="AK521" t="s">
        <v>314</v>
      </c>
      <c r="AL521">
        <v>-97.764244000000005</v>
      </c>
      <c r="AM521">
        <v>25</v>
      </c>
      <c r="AN521">
        <v>2900</v>
      </c>
      <c r="AO521" t="s">
        <v>118</v>
      </c>
      <c r="AP521">
        <v>90</v>
      </c>
      <c r="AQ521">
        <v>-5</v>
      </c>
      <c r="AR521">
        <v>640</v>
      </c>
      <c r="AZ521">
        <v>1200</v>
      </c>
      <c r="BA521">
        <v>1</v>
      </c>
      <c r="BB521" t="str">
        <f t="shared" si="143"/>
        <v xml:space="preserve">N733KP  </v>
      </c>
      <c r="BC521">
        <v>1</v>
      </c>
      <c r="BE521">
        <v>0</v>
      </c>
      <c r="BF521">
        <v>0</v>
      </c>
      <c r="BG521">
        <v>0</v>
      </c>
      <c r="BH521">
        <v>2825</v>
      </c>
      <c r="BI521">
        <v>1</v>
      </c>
      <c r="BJ521">
        <v>1</v>
      </c>
      <c r="BK521">
        <v>0</v>
      </c>
      <c r="BL521">
        <v>0</v>
      </c>
      <c r="BO521">
        <v>0</v>
      </c>
      <c r="BP521">
        <v>0</v>
      </c>
      <c r="BW521" t="str">
        <f>"22:11:35.383"</f>
        <v>22:11:35.383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364</v>
      </c>
      <c r="CR521">
        <v>0</v>
      </c>
      <c r="CW521">
        <v>1383658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"03/24/2022 22:11:36.778"</f>
        <v>03/24/2022 22:11:36.778</v>
      </c>
      <c r="C522" t="str">
        <f t="shared" si="141"/>
        <v>FFDFD3C0</v>
      </c>
      <c r="D522" t="s">
        <v>126</v>
      </c>
      <c r="E522">
        <v>3</v>
      </c>
      <c r="H522">
        <v>160</v>
      </c>
      <c r="I522" t="s">
        <v>121</v>
      </c>
      <c r="J522" t="s">
        <v>127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 t="shared" ref="S522:T525" si="157">"22:11:36.000"</f>
        <v>22:11:36.000</v>
      </c>
      <c r="T522" t="str">
        <f t="shared" si="157"/>
        <v>22:11:36.000</v>
      </c>
      <c r="U522" t="str">
        <f t="shared" si="155"/>
        <v>A9D71F</v>
      </c>
      <c r="V522">
        <v>0</v>
      </c>
      <c r="W522">
        <v>0</v>
      </c>
      <c r="X522">
        <v>2</v>
      </c>
      <c r="Z522">
        <v>1</v>
      </c>
      <c r="AA522">
        <v>8</v>
      </c>
      <c r="AB522">
        <v>3</v>
      </c>
      <c r="AC522">
        <v>0</v>
      </c>
      <c r="AD522">
        <v>9</v>
      </c>
      <c r="AE522">
        <v>0</v>
      </c>
      <c r="AF522">
        <v>3</v>
      </c>
      <c r="AG522">
        <v>1</v>
      </c>
      <c r="AH522">
        <v>0</v>
      </c>
      <c r="AI522" t="s">
        <v>251</v>
      </c>
      <c r="AJ522">
        <v>33.187938000000003</v>
      </c>
      <c r="AK522" t="s">
        <v>315</v>
      </c>
      <c r="AL522">
        <v>-97.763728999999998</v>
      </c>
      <c r="AM522">
        <v>25</v>
      </c>
      <c r="AN522">
        <v>2900</v>
      </c>
      <c r="AO522" t="s">
        <v>118</v>
      </c>
      <c r="AP522">
        <v>89</v>
      </c>
      <c r="AQ522">
        <v>-4</v>
      </c>
      <c r="AR522">
        <v>640</v>
      </c>
      <c r="AZ522">
        <v>1200</v>
      </c>
      <c r="BA522">
        <v>1</v>
      </c>
      <c r="BB522" t="str">
        <f t="shared" si="143"/>
        <v xml:space="preserve">N733KP  </v>
      </c>
      <c r="BC522">
        <v>1</v>
      </c>
      <c r="BE522">
        <v>0</v>
      </c>
      <c r="BF522">
        <v>0</v>
      </c>
      <c r="BG522">
        <v>0</v>
      </c>
      <c r="BH522">
        <v>2850</v>
      </c>
      <c r="BI522">
        <v>1</v>
      </c>
      <c r="BJ522">
        <v>1</v>
      </c>
      <c r="BK522">
        <v>0</v>
      </c>
      <c r="BL522">
        <v>0</v>
      </c>
      <c r="BO522">
        <v>0</v>
      </c>
      <c r="BP522">
        <v>0</v>
      </c>
      <c r="BW522" t="str">
        <f>"22:11:36.602"</f>
        <v>22:11:36.602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364</v>
      </c>
      <c r="CR522">
        <v>0</v>
      </c>
      <c r="CW522">
        <v>1383841</v>
      </c>
      <c r="CY522">
        <v>1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"03/24/2022 22:11:36.778"</f>
        <v>03/24/2022 22:11:36.778</v>
      </c>
      <c r="C523" t="str">
        <f t="shared" si="141"/>
        <v>FFDFD3C0</v>
      </c>
      <c r="D523" t="s">
        <v>113</v>
      </c>
      <c r="E523">
        <v>24</v>
      </c>
      <c r="F523">
        <v>2024</v>
      </c>
      <c r="G523" t="s">
        <v>114</v>
      </c>
      <c r="J523" t="s">
        <v>115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 t="shared" si="157"/>
        <v>22:11:36.000</v>
      </c>
      <c r="T523" t="str">
        <f t="shared" si="157"/>
        <v>22:11:36.000</v>
      </c>
      <c r="U523" t="str">
        <f t="shared" si="155"/>
        <v>A9D71F</v>
      </c>
      <c r="V523">
        <v>0</v>
      </c>
      <c r="W523">
        <v>0</v>
      </c>
      <c r="X523">
        <v>2</v>
      </c>
      <c r="Z523">
        <v>1</v>
      </c>
      <c r="AA523">
        <v>8</v>
      </c>
      <c r="AB523">
        <v>3</v>
      </c>
      <c r="AC523">
        <v>0</v>
      </c>
      <c r="AD523">
        <v>9</v>
      </c>
      <c r="AE523">
        <v>0</v>
      </c>
      <c r="AF523">
        <v>3</v>
      </c>
      <c r="AG523">
        <v>1</v>
      </c>
      <c r="AH523">
        <v>0</v>
      </c>
      <c r="AI523" t="s">
        <v>251</v>
      </c>
      <c r="AJ523">
        <v>33.187938000000003</v>
      </c>
      <c r="AK523" t="s">
        <v>315</v>
      </c>
      <c r="AL523">
        <v>-97.763728999999998</v>
      </c>
      <c r="AM523">
        <v>25</v>
      </c>
      <c r="AN523">
        <v>2900</v>
      </c>
      <c r="AO523" t="s">
        <v>118</v>
      </c>
      <c r="AP523">
        <v>89</v>
      </c>
      <c r="AQ523">
        <v>-4</v>
      </c>
      <c r="AR523">
        <v>640</v>
      </c>
      <c r="AZ523">
        <v>1200</v>
      </c>
      <c r="BA523">
        <v>1</v>
      </c>
      <c r="BB523" t="str">
        <f t="shared" si="143"/>
        <v xml:space="preserve">N733KP  </v>
      </c>
      <c r="BC523">
        <v>1</v>
      </c>
      <c r="BE523">
        <v>0</v>
      </c>
      <c r="BF523">
        <v>0</v>
      </c>
      <c r="BG523">
        <v>0</v>
      </c>
      <c r="BH523">
        <v>2850</v>
      </c>
      <c r="BI523">
        <v>1</v>
      </c>
      <c r="BJ523">
        <v>1</v>
      </c>
      <c r="BK523">
        <v>0</v>
      </c>
      <c r="BL523">
        <v>0</v>
      </c>
      <c r="BO523">
        <v>0</v>
      </c>
      <c r="BP523">
        <v>0</v>
      </c>
      <c r="BW523" t="str">
        <f>"22:11:36.602"</f>
        <v>22:11:36.602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364</v>
      </c>
      <c r="CR523">
        <v>0</v>
      </c>
      <c r="CW523">
        <v>1383841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"03/24/2022 22:11:36.809"</f>
        <v>03/24/2022 22:11:36.809</v>
      </c>
      <c r="C524" t="str">
        <f t="shared" si="141"/>
        <v>FFDFD3C0</v>
      </c>
      <c r="D524" t="s">
        <v>120</v>
      </c>
      <c r="E524">
        <v>14</v>
      </c>
      <c r="F524">
        <v>1014</v>
      </c>
      <c r="G524" t="s">
        <v>121</v>
      </c>
      <c r="J524" t="s">
        <v>122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 t="shared" si="157"/>
        <v>22:11:36.000</v>
      </c>
      <c r="T524" t="str">
        <f t="shared" si="157"/>
        <v>22:11:36.000</v>
      </c>
      <c r="U524" t="str">
        <f t="shared" si="155"/>
        <v>A9D71F</v>
      </c>
      <c r="V524">
        <v>0</v>
      </c>
      <c r="W524">
        <v>0</v>
      </c>
      <c r="X524">
        <v>2</v>
      </c>
      <c r="Z524">
        <v>1</v>
      </c>
      <c r="AA524">
        <v>8</v>
      </c>
      <c r="AB524">
        <v>3</v>
      </c>
      <c r="AC524">
        <v>0</v>
      </c>
      <c r="AD524">
        <v>9</v>
      </c>
      <c r="AE524">
        <v>0</v>
      </c>
      <c r="AF524">
        <v>3</v>
      </c>
      <c r="AG524">
        <v>1</v>
      </c>
      <c r="AH524">
        <v>0</v>
      </c>
      <c r="AI524" t="s">
        <v>251</v>
      </c>
      <c r="AJ524">
        <v>33.187938000000003</v>
      </c>
      <c r="AK524" t="s">
        <v>315</v>
      </c>
      <c r="AL524">
        <v>-97.763728999999998</v>
      </c>
      <c r="AM524">
        <v>25</v>
      </c>
      <c r="AN524">
        <v>2900</v>
      </c>
      <c r="AO524" t="s">
        <v>118</v>
      </c>
      <c r="AP524">
        <v>89</v>
      </c>
      <c r="AQ524">
        <v>-4</v>
      </c>
      <c r="AR524">
        <v>640</v>
      </c>
      <c r="AZ524">
        <v>1200</v>
      </c>
      <c r="BA524">
        <v>1</v>
      </c>
      <c r="BB524" t="str">
        <f t="shared" si="143"/>
        <v xml:space="preserve">N733KP  </v>
      </c>
      <c r="BC524">
        <v>1</v>
      </c>
      <c r="BE524">
        <v>0</v>
      </c>
      <c r="BF524">
        <v>0</v>
      </c>
      <c r="BG524">
        <v>0</v>
      </c>
      <c r="BH524">
        <v>2850</v>
      </c>
      <c r="BI524">
        <v>1</v>
      </c>
      <c r="BJ524">
        <v>1</v>
      </c>
      <c r="BK524">
        <v>0</v>
      </c>
      <c r="BL524">
        <v>0</v>
      </c>
      <c r="BO524">
        <v>0</v>
      </c>
      <c r="BP524">
        <v>0</v>
      </c>
      <c r="BW524" t="str">
        <f>"22:11:36.602"</f>
        <v>22:11:36.602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364</v>
      </c>
      <c r="CR524">
        <v>0</v>
      </c>
      <c r="CW524">
        <v>1383841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"03/24/2022 22:11:36.809"</f>
        <v>03/24/2022 22:11:36.809</v>
      </c>
      <c r="C525" t="str">
        <f t="shared" si="141"/>
        <v>FFDFD3C0</v>
      </c>
      <c r="D525" t="s">
        <v>123</v>
      </c>
      <c r="E525">
        <v>8</v>
      </c>
      <c r="H525">
        <v>31</v>
      </c>
      <c r="I525" t="s">
        <v>124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 t="shared" si="157"/>
        <v>22:11:36.000</v>
      </c>
      <c r="T525" t="str">
        <f t="shared" si="157"/>
        <v>22:11:36.000</v>
      </c>
      <c r="U525" t="str">
        <f t="shared" si="155"/>
        <v>A9D71F</v>
      </c>
      <c r="V525">
        <v>0</v>
      </c>
      <c r="W525">
        <v>0</v>
      </c>
      <c r="X525">
        <v>2</v>
      </c>
      <c r="Z525">
        <v>1</v>
      </c>
      <c r="AA525">
        <v>8</v>
      </c>
      <c r="AB525">
        <v>3</v>
      </c>
      <c r="AC525">
        <v>0</v>
      </c>
      <c r="AD525">
        <v>9</v>
      </c>
      <c r="AE525">
        <v>0</v>
      </c>
      <c r="AF525">
        <v>3</v>
      </c>
      <c r="AG525">
        <v>1</v>
      </c>
      <c r="AH525">
        <v>0</v>
      </c>
      <c r="AI525" t="s">
        <v>251</v>
      </c>
      <c r="AJ525">
        <v>33.187938000000003</v>
      </c>
      <c r="AK525" t="s">
        <v>315</v>
      </c>
      <c r="AL525">
        <v>-97.763728999999998</v>
      </c>
      <c r="AM525">
        <v>25</v>
      </c>
      <c r="AN525">
        <v>2900</v>
      </c>
      <c r="AO525" t="s">
        <v>118</v>
      </c>
      <c r="AP525">
        <v>89</v>
      </c>
      <c r="AQ525">
        <v>-4</v>
      </c>
      <c r="AR525">
        <v>640</v>
      </c>
      <c r="AZ525">
        <v>1200</v>
      </c>
      <c r="BA525">
        <v>1</v>
      </c>
      <c r="BB525" t="str">
        <f t="shared" si="143"/>
        <v xml:space="preserve">N733KP  </v>
      </c>
      <c r="BC525">
        <v>1</v>
      </c>
      <c r="BE525">
        <v>0</v>
      </c>
      <c r="BF525">
        <v>0</v>
      </c>
      <c r="BG525">
        <v>0</v>
      </c>
      <c r="BH525">
        <v>2850</v>
      </c>
      <c r="BI525">
        <v>1</v>
      </c>
      <c r="BJ525">
        <v>1</v>
      </c>
      <c r="BK525">
        <v>0</v>
      </c>
      <c r="BL525">
        <v>0</v>
      </c>
      <c r="BO525">
        <v>0</v>
      </c>
      <c r="BP525">
        <v>0</v>
      </c>
      <c r="BW525" t="str">
        <f>"22:11:36.602"</f>
        <v>22:11:36.602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364</v>
      </c>
      <c r="CR525">
        <v>0</v>
      </c>
      <c r="CW525">
        <v>1383841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"03/24/2022 22:11:37.685"</f>
        <v>03/24/2022 22:11:37.685</v>
      </c>
      <c r="C526" t="str">
        <f t="shared" si="141"/>
        <v>FFDFD3C0</v>
      </c>
      <c r="D526" t="s">
        <v>123</v>
      </c>
      <c r="E526">
        <v>8</v>
      </c>
      <c r="H526">
        <v>31</v>
      </c>
      <c r="I526" t="s">
        <v>124</v>
      </c>
      <c r="J526" t="s">
        <v>125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 t="shared" ref="S526:T529" si="158">"22:11:37.000"</f>
        <v>22:11:37.000</v>
      </c>
      <c r="T526" t="str">
        <f t="shared" si="158"/>
        <v>22:11:37.000</v>
      </c>
      <c r="U526" t="str">
        <f t="shared" si="155"/>
        <v>A9D71F</v>
      </c>
      <c r="V526">
        <v>0</v>
      </c>
      <c r="W526">
        <v>0</v>
      </c>
      <c r="X526">
        <v>2</v>
      </c>
      <c r="Z526">
        <v>1</v>
      </c>
      <c r="AA526">
        <v>8</v>
      </c>
      <c r="AB526">
        <v>3</v>
      </c>
      <c r="AC526">
        <v>0</v>
      </c>
      <c r="AD526">
        <v>9</v>
      </c>
      <c r="AE526">
        <v>0</v>
      </c>
      <c r="AF526">
        <v>3</v>
      </c>
      <c r="AG526">
        <v>1</v>
      </c>
      <c r="AH526">
        <v>0</v>
      </c>
      <c r="AI526" t="s">
        <v>251</v>
      </c>
      <c r="AJ526">
        <v>33.187938000000003</v>
      </c>
      <c r="AK526" t="s">
        <v>316</v>
      </c>
      <c r="AL526">
        <v>-97.763256999999996</v>
      </c>
      <c r="AM526">
        <v>25</v>
      </c>
      <c r="AN526">
        <v>2900</v>
      </c>
      <c r="AO526" t="s">
        <v>118</v>
      </c>
      <c r="AP526">
        <v>84</v>
      </c>
      <c r="AQ526">
        <v>2</v>
      </c>
      <c r="AR526">
        <v>704</v>
      </c>
      <c r="AZ526">
        <v>1200</v>
      </c>
      <c r="BA526">
        <v>1</v>
      </c>
      <c r="BB526" t="str">
        <f t="shared" si="143"/>
        <v xml:space="preserve">N733KP  </v>
      </c>
      <c r="BC526">
        <v>1</v>
      </c>
      <c r="BE526">
        <v>0</v>
      </c>
      <c r="BF526">
        <v>0</v>
      </c>
      <c r="BG526">
        <v>0</v>
      </c>
      <c r="BH526">
        <v>2850</v>
      </c>
      <c r="BI526">
        <v>1</v>
      </c>
      <c r="BJ526">
        <v>1</v>
      </c>
      <c r="BK526">
        <v>0</v>
      </c>
      <c r="BL526">
        <v>0</v>
      </c>
      <c r="BO526">
        <v>0</v>
      </c>
      <c r="BP526">
        <v>0</v>
      </c>
      <c r="BW526" t="str">
        <f>"22:11:37.490"</f>
        <v>22:11:37.490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364</v>
      </c>
      <c r="CR526">
        <v>0</v>
      </c>
      <c r="CW526">
        <v>1383991</v>
      </c>
      <c r="CY526">
        <v>1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"03/24/2022 22:11:37.685"</f>
        <v>03/24/2022 22:11:37.685</v>
      </c>
      <c r="C527" t="str">
        <f t="shared" si="141"/>
        <v>FFDFD3C0</v>
      </c>
      <c r="D527" t="s">
        <v>120</v>
      </c>
      <c r="E527">
        <v>14</v>
      </c>
      <c r="F527">
        <v>1014</v>
      </c>
      <c r="G527" t="s">
        <v>121</v>
      </c>
      <c r="J527" t="s">
        <v>122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 t="shared" si="158"/>
        <v>22:11:37.000</v>
      </c>
      <c r="T527" t="str">
        <f t="shared" si="158"/>
        <v>22:11:37.000</v>
      </c>
      <c r="U527" t="str">
        <f t="shared" si="155"/>
        <v>A9D71F</v>
      </c>
      <c r="V527">
        <v>0</v>
      </c>
      <c r="W527">
        <v>0</v>
      </c>
      <c r="X527">
        <v>2</v>
      </c>
      <c r="Z527">
        <v>1</v>
      </c>
      <c r="AA527">
        <v>8</v>
      </c>
      <c r="AB527">
        <v>3</v>
      </c>
      <c r="AC527">
        <v>0</v>
      </c>
      <c r="AD527">
        <v>9</v>
      </c>
      <c r="AE527">
        <v>0</v>
      </c>
      <c r="AF527">
        <v>3</v>
      </c>
      <c r="AG527">
        <v>1</v>
      </c>
      <c r="AH527">
        <v>0</v>
      </c>
      <c r="AI527" t="s">
        <v>251</v>
      </c>
      <c r="AJ527">
        <v>33.187938000000003</v>
      </c>
      <c r="AK527" t="s">
        <v>316</v>
      </c>
      <c r="AL527">
        <v>-97.763256999999996</v>
      </c>
      <c r="AM527">
        <v>25</v>
      </c>
      <c r="AN527">
        <v>2900</v>
      </c>
      <c r="AO527" t="s">
        <v>118</v>
      </c>
      <c r="AP527">
        <v>84</v>
      </c>
      <c r="AQ527">
        <v>2</v>
      </c>
      <c r="AR527">
        <v>704</v>
      </c>
      <c r="AZ527">
        <v>1200</v>
      </c>
      <c r="BA527">
        <v>1</v>
      </c>
      <c r="BB527" t="str">
        <f t="shared" si="143"/>
        <v xml:space="preserve">N733KP  </v>
      </c>
      <c r="BC527">
        <v>1</v>
      </c>
      <c r="BE527">
        <v>0</v>
      </c>
      <c r="BF527">
        <v>0</v>
      </c>
      <c r="BG527">
        <v>0</v>
      </c>
      <c r="BH527">
        <v>2850</v>
      </c>
      <c r="BI527">
        <v>1</v>
      </c>
      <c r="BJ527">
        <v>1</v>
      </c>
      <c r="BK527">
        <v>0</v>
      </c>
      <c r="BL527">
        <v>0</v>
      </c>
      <c r="BO527">
        <v>0</v>
      </c>
      <c r="BP527">
        <v>0</v>
      </c>
      <c r="BW527" t="str">
        <f>"22:11:37.490"</f>
        <v>22:11:37.490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364</v>
      </c>
      <c r="CR527">
        <v>0</v>
      </c>
      <c r="CW527">
        <v>1383991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"03/24/2022 22:11:37.685"</f>
        <v>03/24/2022 22:11:37.685</v>
      </c>
      <c r="C528" t="str">
        <f t="shared" si="141"/>
        <v>FFDFD3C0</v>
      </c>
      <c r="D528" t="s">
        <v>126</v>
      </c>
      <c r="E528">
        <v>3</v>
      </c>
      <c r="H528">
        <v>160</v>
      </c>
      <c r="I528" t="s">
        <v>121</v>
      </c>
      <c r="J528" t="s">
        <v>127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 t="shared" si="158"/>
        <v>22:11:37.000</v>
      </c>
      <c r="T528" t="str">
        <f t="shared" si="158"/>
        <v>22:11:37.000</v>
      </c>
      <c r="U528" t="str">
        <f t="shared" si="155"/>
        <v>A9D71F</v>
      </c>
      <c r="V528">
        <v>0</v>
      </c>
      <c r="W528">
        <v>0</v>
      </c>
      <c r="X528">
        <v>2</v>
      </c>
      <c r="Z528">
        <v>1</v>
      </c>
      <c r="AA528">
        <v>8</v>
      </c>
      <c r="AB528">
        <v>3</v>
      </c>
      <c r="AC528">
        <v>0</v>
      </c>
      <c r="AD528">
        <v>9</v>
      </c>
      <c r="AE528">
        <v>0</v>
      </c>
      <c r="AF528">
        <v>3</v>
      </c>
      <c r="AG528">
        <v>1</v>
      </c>
      <c r="AH528">
        <v>0</v>
      </c>
      <c r="AI528" t="s">
        <v>251</v>
      </c>
      <c r="AJ528">
        <v>33.187938000000003</v>
      </c>
      <c r="AK528" t="s">
        <v>316</v>
      </c>
      <c r="AL528">
        <v>-97.763256999999996</v>
      </c>
      <c r="AM528">
        <v>25</v>
      </c>
      <c r="AN528">
        <v>2900</v>
      </c>
      <c r="AO528" t="s">
        <v>118</v>
      </c>
      <c r="AP528">
        <v>84</v>
      </c>
      <c r="AQ528">
        <v>2</v>
      </c>
      <c r="AR528">
        <v>704</v>
      </c>
      <c r="AZ528">
        <v>1200</v>
      </c>
      <c r="BA528">
        <v>1</v>
      </c>
      <c r="BB528" t="str">
        <f t="shared" si="143"/>
        <v xml:space="preserve">N733KP  </v>
      </c>
      <c r="BC528">
        <v>1</v>
      </c>
      <c r="BE528">
        <v>0</v>
      </c>
      <c r="BF528">
        <v>0</v>
      </c>
      <c r="BG528">
        <v>0</v>
      </c>
      <c r="BH528">
        <v>2850</v>
      </c>
      <c r="BI528">
        <v>1</v>
      </c>
      <c r="BJ528">
        <v>1</v>
      </c>
      <c r="BK528">
        <v>0</v>
      </c>
      <c r="BL528">
        <v>0</v>
      </c>
      <c r="BO528">
        <v>0</v>
      </c>
      <c r="BP528">
        <v>0</v>
      </c>
      <c r="BW528" t="str">
        <f>"22:11:37.490"</f>
        <v>22:11:37.490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364</v>
      </c>
      <c r="CR528">
        <v>0</v>
      </c>
      <c r="CW528">
        <v>1383991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"03/24/2022 22:11:37.685"</f>
        <v>03/24/2022 22:11:37.685</v>
      </c>
      <c r="C529" t="str">
        <f t="shared" si="141"/>
        <v>FFDFD3C0</v>
      </c>
      <c r="D529" t="s">
        <v>113</v>
      </c>
      <c r="E529">
        <v>24</v>
      </c>
      <c r="F529">
        <v>2024</v>
      </c>
      <c r="G529" t="s">
        <v>114</v>
      </c>
      <c r="J529" t="s">
        <v>115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 t="shared" si="158"/>
        <v>22:11:37.000</v>
      </c>
      <c r="T529" t="str">
        <f t="shared" si="158"/>
        <v>22:11:37.000</v>
      </c>
      <c r="U529" t="str">
        <f t="shared" si="155"/>
        <v>A9D71F</v>
      </c>
      <c r="V529">
        <v>0</v>
      </c>
      <c r="W529">
        <v>0</v>
      </c>
      <c r="X529">
        <v>2</v>
      </c>
      <c r="Z529">
        <v>1</v>
      </c>
      <c r="AA529">
        <v>8</v>
      </c>
      <c r="AB529">
        <v>3</v>
      </c>
      <c r="AC529">
        <v>0</v>
      </c>
      <c r="AD529">
        <v>9</v>
      </c>
      <c r="AE529">
        <v>0</v>
      </c>
      <c r="AF529">
        <v>3</v>
      </c>
      <c r="AG529">
        <v>1</v>
      </c>
      <c r="AH529">
        <v>0</v>
      </c>
      <c r="AI529" t="s">
        <v>251</v>
      </c>
      <c r="AJ529">
        <v>33.187938000000003</v>
      </c>
      <c r="AK529" t="s">
        <v>316</v>
      </c>
      <c r="AL529">
        <v>-97.763256999999996</v>
      </c>
      <c r="AM529">
        <v>25</v>
      </c>
      <c r="AN529">
        <v>2900</v>
      </c>
      <c r="AO529" t="s">
        <v>118</v>
      </c>
      <c r="AP529">
        <v>84</v>
      </c>
      <c r="AQ529">
        <v>2</v>
      </c>
      <c r="AR529">
        <v>704</v>
      </c>
      <c r="AZ529">
        <v>1200</v>
      </c>
      <c r="BA529">
        <v>1</v>
      </c>
      <c r="BB529" t="str">
        <f t="shared" si="143"/>
        <v xml:space="preserve">N733KP  </v>
      </c>
      <c r="BC529">
        <v>1</v>
      </c>
      <c r="BE529">
        <v>0</v>
      </c>
      <c r="BF529">
        <v>0</v>
      </c>
      <c r="BG529">
        <v>0</v>
      </c>
      <c r="BH529">
        <v>2850</v>
      </c>
      <c r="BI529">
        <v>1</v>
      </c>
      <c r="BJ529">
        <v>1</v>
      </c>
      <c r="BK529">
        <v>0</v>
      </c>
      <c r="BL529">
        <v>0</v>
      </c>
      <c r="BO529">
        <v>0</v>
      </c>
      <c r="BP529">
        <v>0</v>
      </c>
      <c r="BW529" t="str">
        <f>"22:11:37.490"</f>
        <v>22:11:37.490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364</v>
      </c>
      <c r="CR529">
        <v>0</v>
      </c>
      <c r="CW529">
        <v>1383991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"03/24/2022 22:11:38.921"</f>
        <v>03/24/2022 22:11:38.921</v>
      </c>
      <c r="C530" t="str">
        <f t="shared" si="141"/>
        <v>FFDFD3C0</v>
      </c>
      <c r="D530" t="s">
        <v>113</v>
      </c>
      <c r="E530">
        <v>24</v>
      </c>
      <c r="F530">
        <v>2024</v>
      </c>
      <c r="G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 t="shared" ref="S530:T533" si="159">"22:11:38.000"</f>
        <v>22:11:38.000</v>
      </c>
      <c r="T530" t="str">
        <f t="shared" si="159"/>
        <v>22:11:38.000</v>
      </c>
      <c r="U530" t="str">
        <f t="shared" si="155"/>
        <v>A9D71F</v>
      </c>
      <c r="V530">
        <v>0</v>
      </c>
      <c r="W530">
        <v>0</v>
      </c>
      <c r="X530">
        <v>2</v>
      </c>
      <c r="Z530">
        <v>1</v>
      </c>
      <c r="AA530">
        <v>8</v>
      </c>
      <c r="AB530">
        <v>3</v>
      </c>
      <c r="AC530">
        <v>0</v>
      </c>
      <c r="AD530">
        <v>9</v>
      </c>
      <c r="AE530">
        <v>0</v>
      </c>
      <c r="AF530">
        <v>3</v>
      </c>
      <c r="AG530">
        <v>1</v>
      </c>
      <c r="AH530">
        <v>0</v>
      </c>
      <c r="AI530" t="s">
        <v>267</v>
      </c>
      <c r="AJ530">
        <v>33.187894999999997</v>
      </c>
      <c r="AK530" t="s">
        <v>317</v>
      </c>
      <c r="AL530">
        <v>-97.762764000000004</v>
      </c>
      <c r="AM530">
        <v>25</v>
      </c>
      <c r="AN530">
        <v>2900</v>
      </c>
      <c r="AO530" t="s">
        <v>118</v>
      </c>
      <c r="AP530">
        <v>88</v>
      </c>
      <c r="AQ530">
        <v>-3</v>
      </c>
      <c r="AR530">
        <v>640</v>
      </c>
      <c r="AZ530">
        <v>1200</v>
      </c>
      <c r="BA530">
        <v>1</v>
      </c>
      <c r="BB530" t="str">
        <f t="shared" si="143"/>
        <v xml:space="preserve">N733KP  </v>
      </c>
      <c r="BC530">
        <v>1</v>
      </c>
      <c r="BE530">
        <v>0</v>
      </c>
      <c r="BF530">
        <v>0</v>
      </c>
      <c r="BG530">
        <v>0</v>
      </c>
      <c r="BH530">
        <v>2850</v>
      </c>
      <c r="BI530">
        <v>1</v>
      </c>
      <c r="BJ530">
        <v>1</v>
      </c>
      <c r="BK530">
        <v>0</v>
      </c>
      <c r="BL530">
        <v>0</v>
      </c>
      <c r="BO530">
        <v>0</v>
      </c>
      <c r="BP530">
        <v>0</v>
      </c>
      <c r="BW530" t="str">
        <f>"22:11:38.709"</f>
        <v>22:11:38.709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364</v>
      </c>
      <c r="CR530">
        <v>0</v>
      </c>
      <c r="CW530">
        <v>1384180</v>
      </c>
      <c r="CY530">
        <v>1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"03/24/2022 22:11:38.921"</f>
        <v>03/24/2022 22:11:38.921</v>
      </c>
      <c r="C531" t="str">
        <f t="shared" si="141"/>
        <v>FFDFD3C0</v>
      </c>
      <c r="D531" t="s">
        <v>123</v>
      </c>
      <c r="E531">
        <v>8</v>
      </c>
      <c r="H531">
        <v>31</v>
      </c>
      <c r="I531" t="s">
        <v>124</v>
      </c>
      <c r="J531" t="s">
        <v>125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 t="shared" si="159"/>
        <v>22:11:38.000</v>
      </c>
      <c r="T531" t="str">
        <f t="shared" si="159"/>
        <v>22:11:38.000</v>
      </c>
      <c r="U531" t="str">
        <f t="shared" si="155"/>
        <v>A9D71F</v>
      </c>
      <c r="V531">
        <v>0</v>
      </c>
      <c r="W531">
        <v>0</v>
      </c>
      <c r="X531">
        <v>2</v>
      </c>
      <c r="Z531">
        <v>1</v>
      </c>
      <c r="AA531">
        <v>8</v>
      </c>
      <c r="AB531">
        <v>3</v>
      </c>
      <c r="AC531">
        <v>0</v>
      </c>
      <c r="AD531">
        <v>9</v>
      </c>
      <c r="AE531">
        <v>0</v>
      </c>
      <c r="AF531">
        <v>3</v>
      </c>
      <c r="AG531">
        <v>1</v>
      </c>
      <c r="AH531">
        <v>0</v>
      </c>
      <c r="AI531" t="s">
        <v>267</v>
      </c>
      <c r="AJ531">
        <v>33.187894999999997</v>
      </c>
      <c r="AK531" t="s">
        <v>317</v>
      </c>
      <c r="AL531">
        <v>-97.762764000000004</v>
      </c>
      <c r="AM531">
        <v>25</v>
      </c>
      <c r="AN531">
        <v>2900</v>
      </c>
      <c r="AO531" t="s">
        <v>118</v>
      </c>
      <c r="AP531">
        <v>88</v>
      </c>
      <c r="AQ531">
        <v>-3</v>
      </c>
      <c r="AR531">
        <v>640</v>
      </c>
      <c r="AZ531">
        <v>1200</v>
      </c>
      <c r="BA531">
        <v>1</v>
      </c>
      <c r="BB531" t="str">
        <f t="shared" si="143"/>
        <v xml:space="preserve">N733KP  </v>
      </c>
      <c r="BC531">
        <v>1</v>
      </c>
      <c r="BE531">
        <v>0</v>
      </c>
      <c r="BF531">
        <v>0</v>
      </c>
      <c r="BG531">
        <v>0</v>
      </c>
      <c r="BH531">
        <v>2850</v>
      </c>
      <c r="BI531">
        <v>1</v>
      </c>
      <c r="BJ531">
        <v>1</v>
      </c>
      <c r="BK531">
        <v>0</v>
      </c>
      <c r="BL531">
        <v>0</v>
      </c>
      <c r="BO531">
        <v>0</v>
      </c>
      <c r="BP531">
        <v>0</v>
      </c>
      <c r="BW531" t="str">
        <f>"22:11:38.709"</f>
        <v>22:11:38.709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364</v>
      </c>
      <c r="CR531">
        <v>0</v>
      </c>
      <c r="CW531">
        <v>1384180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"03/24/2022 22:11:38.921"</f>
        <v>03/24/2022 22:11:38.921</v>
      </c>
      <c r="C532" t="str">
        <f t="shared" si="141"/>
        <v>FFDFD3C0</v>
      </c>
      <c r="D532" t="s">
        <v>120</v>
      </c>
      <c r="E532">
        <v>14</v>
      </c>
      <c r="F532">
        <v>1014</v>
      </c>
      <c r="G532" t="s">
        <v>121</v>
      </c>
      <c r="J532" t="s">
        <v>122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 t="shared" si="159"/>
        <v>22:11:38.000</v>
      </c>
      <c r="T532" t="str">
        <f t="shared" si="159"/>
        <v>22:11:38.000</v>
      </c>
      <c r="U532" t="str">
        <f t="shared" si="155"/>
        <v>A9D71F</v>
      </c>
      <c r="V532">
        <v>0</v>
      </c>
      <c r="W532">
        <v>0</v>
      </c>
      <c r="X532">
        <v>2</v>
      </c>
      <c r="Z532">
        <v>1</v>
      </c>
      <c r="AA532">
        <v>8</v>
      </c>
      <c r="AB532">
        <v>3</v>
      </c>
      <c r="AC532">
        <v>0</v>
      </c>
      <c r="AD532">
        <v>9</v>
      </c>
      <c r="AE532">
        <v>0</v>
      </c>
      <c r="AF532">
        <v>3</v>
      </c>
      <c r="AG532">
        <v>1</v>
      </c>
      <c r="AH532">
        <v>0</v>
      </c>
      <c r="AI532" t="s">
        <v>267</v>
      </c>
      <c r="AJ532">
        <v>33.187894999999997</v>
      </c>
      <c r="AK532" t="s">
        <v>317</v>
      </c>
      <c r="AL532">
        <v>-97.762764000000004</v>
      </c>
      <c r="AM532">
        <v>25</v>
      </c>
      <c r="AN532">
        <v>2900</v>
      </c>
      <c r="AO532" t="s">
        <v>118</v>
      </c>
      <c r="AP532">
        <v>88</v>
      </c>
      <c r="AQ532">
        <v>-3</v>
      </c>
      <c r="AR532">
        <v>640</v>
      </c>
      <c r="AZ532">
        <v>1200</v>
      </c>
      <c r="BA532">
        <v>1</v>
      </c>
      <c r="BB532" t="str">
        <f t="shared" si="143"/>
        <v xml:space="preserve">N733KP  </v>
      </c>
      <c r="BC532">
        <v>1</v>
      </c>
      <c r="BE532">
        <v>0</v>
      </c>
      <c r="BF532">
        <v>0</v>
      </c>
      <c r="BG532">
        <v>0</v>
      </c>
      <c r="BH532">
        <v>2850</v>
      </c>
      <c r="BI532">
        <v>1</v>
      </c>
      <c r="BJ532">
        <v>1</v>
      </c>
      <c r="BK532">
        <v>0</v>
      </c>
      <c r="BL532">
        <v>0</v>
      </c>
      <c r="BO532">
        <v>0</v>
      </c>
      <c r="BP532">
        <v>0</v>
      </c>
      <c r="BW532" t="str">
        <f>"22:11:38.709"</f>
        <v>22:11:38.709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364</v>
      </c>
      <c r="CR532">
        <v>0</v>
      </c>
      <c r="CW532">
        <v>1384180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"03/24/2022 22:11:38.921"</f>
        <v>03/24/2022 22:11:38.921</v>
      </c>
      <c r="C533" t="str">
        <f t="shared" si="141"/>
        <v>FFDFD3C0</v>
      </c>
      <c r="D533" t="s">
        <v>126</v>
      </c>
      <c r="E533">
        <v>3</v>
      </c>
      <c r="H533">
        <v>160</v>
      </c>
      <c r="I533" t="s">
        <v>121</v>
      </c>
      <c r="J533" t="s">
        <v>127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 t="shared" si="159"/>
        <v>22:11:38.000</v>
      </c>
      <c r="T533" t="str">
        <f t="shared" si="159"/>
        <v>22:11:38.000</v>
      </c>
      <c r="U533" t="str">
        <f t="shared" si="155"/>
        <v>A9D71F</v>
      </c>
      <c r="V533">
        <v>0</v>
      </c>
      <c r="W533">
        <v>0</v>
      </c>
      <c r="X533">
        <v>2</v>
      </c>
      <c r="Z533">
        <v>1</v>
      </c>
      <c r="AA533">
        <v>8</v>
      </c>
      <c r="AB533">
        <v>3</v>
      </c>
      <c r="AC533">
        <v>0</v>
      </c>
      <c r="AD533">
        <v>9</v>
      </c>
      <c r="AE533">
        <v>0</v>
      </c>
      <c r="AF533">
        <v>3</v>
      </c>
      <c r="AG533">
        <v>1</v>
      </c>
      <c r="AH533">
        <v>0</v>
      </c>
      <c r="AI533" t="s">
        <v>267</v>
      </c>
      <c r="AJ533">
        <v>33.187894999999997</v>
      </c>
      <c r="AK533" t="s">
        <v>317</v>
      </c>
      <c r="AL533">
        <v>-97.762764000000004</v>
      </c>
      <c r="AM533">
        <v>25</v>
      </c>
      <c r="AN533">
        <v>2900</v>
      </c>
      <c r="AO533" t="s">
        <v>118</v>
      </c>
      <c r="AP533">
        <v>88</v>
      </c>
      <c r="AQ533">
        <v>-3</v>
      </c>
      <c r="AR533">
        <v>640</v>
      </c>
      <c r="AZ533">
        <v>1200</v>
      </c>
      <c r="BA533">
        <v>1</v>
      </c>
      <c r="BB533" t="str">
        <f t="shared" si="143"/>
        <v xml:space="preserve">N733KP  </v>
      </c>
      <c r="BC533">
        <v>1</v>
      </c>
      <c r="BE533">
        <v>0</v>
      </c>
      <c r="BF533">
        <v>0</v>
      </c>
      <c r="BG533">
        <v>0</v>
      </c>
      <c r="BH533">
        <v>2850</v>
      </c>
      <c r="BI533">
        <v>1</v>
      </c>
      <c r="BJ533">
        <v>1</v>
      </c>
      <c r="BK533">
        <v>0</v>
      </c>
      <c r="BL533">
        <v>0</v>
      </c>
      <c r="BO533">
        <v>0</v>
      </c>
      <c r="BP533">
        <v>0</v>
      </c>
      <c r="BW533" t="str">
        <f>"22:11:38.709"</f>
        <v>22:11:38.709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364</v>
      </c>
      <c r="CR533">
        <v>0</v>
      </c>
      <c r="CW533">
        <v>1384180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"03/24/2022 22:11:40.796"</f>
        <v>03/24/2022 22:11:40.796</v>
      </c>
      <c r="C534" t="str">
        <f t="shared" ref="C534:C597" si="160">"FFDFD3C0"</f>
        <v>FFDFD3C0</v>
      </c>
      <c r="D534" t="s">
        <v>113</v>
      </c>
      <c r="E534">
        <v>24</v>
      </c>
      <c r="F534">
        <v>2024</v>
      </c>
      <c r="G534" t="s">
        <v>114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 t="shared" ref="S534:T537" si="161">"22:11:40.000"</f>
        <v>22:11:40.000</v>
      </c>
      <c r="T534" t="str">
        <f t="shared" si="161"/>
        <v>22:11:40.000</v>
      </c>
      <c r="U534" t="str">
        <f t="shared" si="155"/>
        <v>A9D71F</v>
      </c>
      <c r="V534">
        <v>0</v>
      </c>
      <c r="W534">
        <v>0</v>
      </c>
      <c r="X534">
        <v>2</v>
      </c>
      <c r="Z534">
        <v>1</v>
      </c>
      <c r="AA534">
        <v>8</v>
      </c>
      <c r="AB534">
        <v>3</v>
      </c>
      <c r="AC534">
        <v>0</v>
      </c>
      <c r="AD534">
        <v>9</v>
      </c>
      <c r="AE534">
        <v>0</v>
      </c>
      <c r="AF534">
        <v>3</v>
      </c>
      <c r="AG534">
        <v>1</v>
      </c>
      <c r="AH534">
        <v>0</v>
      </c>
      <c r="AI534" t="s">
        <v>158</v>
      </c>
      <c r="AJ534">
        <v>33.187851999999999</v>
      </c>
      <c r="AK534" t="s">
        <v>318</v>
      </c>
      <c r="AL534">
        <v>-97.761754999999994</v>
      </c>
      <c r="AM534">
        <v>25</v>
      </c>
      <c r="AN534">
        <v>2900</v>
      </c>
      <c r="AO534" t="s">
        <v>118</v>
      </c>
      <c r="AP534">
        <v>88</v>
      </c>
      <c r="AQ534">
        <v>-4</v>
      </c>
      <c r="AR534">
        <v>640</v>
      </c>
      <c r="AZ534">
        <v>1200</v>
      </c>
      <c r="BA534">
        <v>1</v>
      </c>
      <c r="BB534" t="str">
        <f t="shared" ref="BB534:BB597" si="162">"N733KP  "</f>
        <v xml:space="preserve">N733KP  </v>
      </c>
      <c r="BC534">
        <v>1</v>
      </c>
      <c r="BE534">
        <v>0</v>
      </c>
      <c r="BF534">
        <v>0</v>
      </c>
      <c r="BG534">
        <v>0</v>
      </c>
      <c r="BH534">
        <v>2850</v>
      </c>
      <c r="BI534">
        <v>1</v>
      </c>
      <c r="BJ534">
        <v>1</v>
      </c>
      <c r="BK534">
        <v>0</v>
      </c>
      <c r="BL534">
        <v>0</v>
      </c>
      <c r="BO534">
        <v>0</v>
      </c>
      <c r="BP534">
        <v>0</v>
      </c>
      <c r="BW534" t="str">
        <f>"22:11:40.626"</f>
        <v>22:11:40.626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364</v>
      </c>
      <c r="CR534">
        <v>0</v>
      </c>
      <c r="CW534">
        <v>1384488</v>
      </c>
      <c r="CY534">
        <v>1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"03/24/2022 22:11:40.796"</f>
        <v>03/24/2022 22:11:40.796</v>
      </c>
      <c r="C535" t="str">
        <f t="shared" si="160"/>
        <v>FFDFD3C0</v>
      </c>
      <c r="D535" t="s">
        <v>123</v>
      </c>
      <c r="E535">
        <v>8</v>
      </c>
      <c r="H535">
        <v>31</v>
      </c>
      <c r="I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 t="shared" si="161"/>
        <v>22:11:40.000</v>
      </c>
      <c r="T535" t="str">
        <f t="shared" si="161"/>
        <v>22:11:40.000</v>
      </c>
      <c r="U535" t="str">
        <f t="shared" si="155"/>
        <v>A9D71F</v>
      </c>
      <c r="V535">
        <v>0</v>
      </c>
      <c r="W535">
        <v>0</v>
      </c>
      <c r="X535">
        <v>2</v>
      </c>
      <c r="Z535">
        <v>1</v>
      </c>
      <c r="AA535">
        <v>8</v>
      </c>
      <c r="AB535">
        <v>3</v>
      </c>
      <c r="AC535">
        <v>0</v>
      </c>
      <c r="AD535">
        <v>9</v>
      </c>
      <c r="AE535">
        <v>0</v>
      </c>
      <c r="AF535">
        <v>3</v>
      </c>
      <c r="AG535">
        <v>1</v>
      </c>
      <c r="AH535">
        <v>0</v>
      </c>
      <c r="AI535" t="s">
        <v>158</v>
      </c>
      <c r="AJ535">
        <v>33.187851999999999</v>
      </c>
      <c r="AK535" t="s">
        <v>318</v>
      </c>
      <c r="AL535">
        <v>-97.761754999999994</v>
      </c>
      <c r="AM535">
        <v>25</v>
      </c>
      <c r="AN535">
        <v>2900</v>
      </c>
      <c r="AO535" t="s">
        <v>118</v>
      </c>
      <c r="AP535">
        <v>88</v>
      </c>
      <c r="AQ535">
        <v>-4</v>
      </c>
      <c r="AR535">
        <v>640</v>
      </c>
      <c r="AZ535">
        <v>1200</v>
      </c>
      <c r="BA535">
        <v>1</v>
      </c>
      <c r="BB535" t="str">
        <f t="shared" si="162"/>
        <v xml:space="preserve">N733KP  </v>
      </c>
      <c r="BC535">
        <v>1</v>
      </c>
      <c r="BE535">
        <v>0</v>
      </c>
      <c r="BF535">
        <v>0</v>
      </c>
      <c r="BG535">
        <v>0</v>
      </c>
      <c r="BH535">
        <v>2850</v>
      </c>
      <c r="BI535">
        <v>1</v>
      </c>
      <c r="BJ535">
        <v>1</v>
      </c>
      <c r="BK535">
        <v>0</v>
      </c>
      <c r="BL535">
        <v>0</v>
      </c>
      <c r="BO535">
        <v>0</v>
      </c>
      <c r="BP535">
        <v>0</v>
      </c>
      <c r="BW535" t="str">
        <f>"22:11:40.626"</f>
        <v>22:11:40.626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364</v>
      </c>
      <c r="CR535">
        <v>0</v>
      </c>
      <c r="CW535">
        <v>1384488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"03/24/2022 22:11:40.796"</f>
        <v>03/24/2022 22:11:40.796</v>
      </c>
      <c r="C536" t="str">
        <f t="shared" si="160"/>
        <v>FFDFD3C0</v>
      </c>
      <c r="D536" t="s">
        <v>120</v>
      </c>
      <c r="E536">
        <v>14</v>
      </c>
      <c r="F536">
        <v>1014</v>
      </c>
      <c r="G536" t="s">
        <v>121</v>
      </c>
      <c r="J536" t="s">
        <v>122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 t="shared" si="161"/>
        <v>22:11:40.000</v>
      </c>
      <c r="T536" t="str">
        <f t="shared" si="161"/>
        <v>22:11:40.000</v>
      </c>
      <c r="U536" t="str">
        <f t="shared" si="155"/>
        <v>A9D71F</v>
      </c>
      <c r="V536">
        <v>0</v>
      </c>
      <c r="W536">
        <v>0</v>
      </c>
      <c r="X536">
        <v>2</v>
      </c>
      <c r="Z536">
        <v>1</v>
      </c>
      <c r="AA536">
        <v>8</v>
      </c>
      <c r="AB536">
        <v>3</v>
      </c>
      <c r="AC536">
        <v>0</v>
      </c>
      <c r="AD536">
        <v>9</v>
      </c>
      <c r="AE536">
        <v>0</v>
      </c>
      <c r="AF536">
        <v>3</v>
      </c>
      <c r="AG536">
        <v>1</v>
      </c>
      <c r="AH536">
        <v>0</v>
      </c>
      <c r="AI536" t="s">
        <v>158</v>
      </c>
      <c r="AJ536">
        <v>33.187851999999999</v>
      </c>
      <c r="AK536" t="s">
        <v>318</v>
      </c>
      <c r="AL536">
        <v>-97.761754999999994</v>
      </c>
      <c r="AM536">
        <v>25</v>
      </c>
      <c r="AN536">
        <v>2900</v>
      </c>
      <c r="AO536" t="s">
        <v>118</v>
      </c>
      <c r="AP536">
        <v>88</v>
      </c>
      <c r="AQ536">
        <v>-4</v>
      </c>
      <c r="AR536">
        <v>640</v>
      </c>
      <c r="AZ536">
        <v>1200</v>
      </c>
      <c r="BA536">
        <v>1</v>
      </c>
      <c r="BB536" t="str">
        <f t="shared" si="162"/>
        <v xml:space="preserve">N733KP  </v>
      </c>
      <c r="BC536">
        <v>1</v>
      </c>
      <c r="BE536">
        <v>0</v>
      </c>
      <c r="BF536">
        <v>0</v>
      </c>
      <c r="BG536">
        <v>0</v>
      </c>
      <c r="BH536">
        <v>2850</v>
      </c>
      <c r="BI536">
        <v>1</v>
      </c>
      <c r="BJ536">
        <v>1</v>
      </c>
      <c r="BK536">
        <v>0</v>
      </c>
      <c r="BL536">
        <v>0</v>
      </c>
      <c r="BO536">
        <v>0</v>
      </c>
      <c r="BP536">
        <v>0</v>
      </c>
      <c r="BW536" t="str">
        <f>"22:11:40.626"</f>
        <v>22:11:40.626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364</v>
      </c>
      <c r="CR536">
        <v>0</v>
      </c>
      <c r="CW536">
        <v>1384488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"03/24/2022 22:11:40.859"</f>
        <v>03/24/2022 22:11:40.859</v>
      </c>
      <c r="C537" t="str">
        <f t="shared" si="160"/>
        <v>FFDFD3C0</v>
      </c>
      <c r="D537" t="s">
        <v>126</v>
      </c>
      <c r="E537">
        <v>3</v>
      </c>
      <c r="H537">
        <v>160</v>
      </c>
      <c r="I537" t="s">
        <v>121</v>
      </c>
      <c r="J537" t="s">
        <v>127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 t="shared" si="161"/>
        <v>22:11:40.000</v>
      </c>
      <c r="T537" t="str">
        <f t="shared" si="161"/>
        <v>22:11:40.000</v>
      </c>
      <c r="U537" t="str">
        <f t="shared" si="155"/>
        <v>A9D71F</v>
      </c>
      <c r="V537">
        <v>0</v>
      </c>
      <c r="W537">
        <v>0</v>
      </c>
      <c r="X537">
        <v>2</v>
      </c>
      <c r="Z537">
        <v>1</v>
      </c>
      <c r="AA537">
        <v>8</v>
      </c>
      <c r="AB537">
        <v>3</v>
      </c>
      <c r="AC537">
        <v>0</v>
      </c>
      <c r="AD537">
        <v>9</v>
      </c>
      <c r="AE537">
        <v>0</v>
      </c>
      <c r="AF537">
        <v>3</v>
      </c>
      <c r="AG537">
        <v>1</v>
      </c>
      <c r="AH537">
        <v>0</v>
      </c>
      <c r="AI537" t="s">
        <v>158</v>
      </c>
      <c r="AJ537">
        <v>33.187851999999999</v>
      </c>
      <c r="AK537" t="s">
        <v>318</v>
      </c>
      <c r="AL537">
        <v>-97.761754999999994</v>
      </c>
      <c r="AM537">
        <v>25</v>
      </c>
      <c r="AN537">
        <v>2900</v>
      </c>
      <c r="AO537" t="s">
        <v>118</v>
      </c>
      <c r="AP537">
        <v>88</v>
      </c>
      <c r="AQ537">
        <v>-4</v>
      </c>
      <c r="AR537">
        <v>640</v>
      </c>
      <c r="AZ537">
        <v>1200</v>
      </c>
      <c r="BA537">
        <v>1</v>
      </c>
      <c r="BB537" t="str">
        <f t="shared" si="162"/>
        <v xml:space="preserve">N733KP  </v>
      </c>
      <c r="BC537">
        <v>1</v>
      </c>
      <c r="BE537">
        <v>0</v>
      </c>
      <c r="BF537">
        <v>0</v>
      </c>
      <c r="BG537">
        <v>0</v>
      </c>
      <c r="BH537">
        <v>2850</v>
      </c>
      <c r="BI537">
        <v>1</v>
      </c>
      <c r="BJ537">
        <v>1</v>
      </c>
      <c r="BK537">
        <v>0</v>
      </c>
      <c r="BL537">
        <v>0</v>
      </c>
      <c r="BO537">
        <v>0</v>
      </c>
      <c r="BP537">
        <v>0</v>
      </c>
      <c r="BW537" t="str">
        <f>"22:11:40.626"</f>
        <v>22:11:40.626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364</v>
      </c>
      <c r="CR537">
        <v>0</v>
      </c>
      <c r="CW537">
        <v>1384488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"03/24/2022 22:11:41.922"</f>
        <v>03/24/2022 22:11:41.922</v>
      </c>
      <c r="C538" t="str">
        <f t="shared" si="160"/>
        <v>FFDFD3C0</v>
      </c>
      <c r="D538" t="s">
        <v>113</v>
      </c>
      <c r="E538">
        <v>24</v>
      </c>
      <c r="F538">
        <v>2024</v>
      </c>
      <c r="G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 t="shared" ref="S538:T541" si="163">"22:11:41.000"</f>
        <v>22:11:41.000</v>
      </c>
      <c r="T538" t="str">
        <f t="shared" si="163"/>
        <v>22:11:41.000</v>
      </c>
      <c r="U538" t="str">
        <f t="shared" si="155"/>
        <v>A9D71F</v>
      </c>
      <c r="V538">
        <v>0</v>
      </c>
      <c r="W538">
        <v>0</v>
      </c>
      <c r="X538">
        <v>2</v>
      </c>
      <c r="Z538">
        <v>1</v>
      </c>
      <c r="AA538">
        <v>8</v>
      </c>
      <c r="AB538">
        <v>3</v>
      </c>
      <c r="AC538">
        <v>0</v>
      </c>
      <c r="AD538">
        <v>9</v>
      </c>
      <c r="AE538">
        <v>0</v>
      </c>
      <c r="AF538">
        <v>3</v>
      </c>
      <c r="AG538">
        <v>1</v>
      </c>
      <c r="AH538">
        <v>0</v>
      </c>
      <c r="AI538" t="s">
        <v>319</v>
      </c>
      <c r="AJ538">
        <v>33.187809000000001</v>
      </c>
      <c r="AK538" t="s">
        <v>320</v>
      </c>
      <c r="AL538">
        <v>-97.761261000000005</v>
      </c>
      <c r="AM538">
        <v>25</v>
      </c>
      <c r="AN538">
        <v>2900</v>
      </c>
      <c r="AO538" t="s">
        <v>118</v>
      </c>
      <c r="AP538">
        <v>87</v>
      </c>
      <c r="AQ538">
        <v>-3</v>
      </c>
      <c r="AR538">
        <v>576</v>
      </c>
      <c r="AZ538">
        <v>1200</v>
      </c>
      <c r="BA538">
        <v>1</v>
      </c>
      <c r="BB538" t="str">
        <f t="shared" si="162"/>
        <v xml:space="preserve">N733KP  </v>
      </c>
      <c r="BC538">
        <v>1</v>
      </c>
      <c r="BE538">
        <v>0</v>
      </c>
      <c r="BF538">
        <v>0</v>
      </c>
      <c r="BG538">
        <v>0</v>
      </c>
      <c r="BH538">
        <v>2850</v>
      </c>
      <c r="BI538">
        <v>1</v>
      </c>
      <c r="BJ538">
        <v>1</v>
      </c>
      <c r="BK538">
        <v>0</v>
      </c>
      <c r="BL538">
        <v>0</v>
      </c>
      <c r="BO538">
        <v>0</v>
      </c>
      <c r="BP538">
        <v>0</v>
      </c>
      <c r="BW538" t="str">
        <f>"22:11:41.737"</f>
        <v>22:11:41.737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364</v>
      </c>
      <c r="CR538">
        <v>0</v>
      </c>
      <c r="CW538">
        <v>1384669</v>
      </c>
      <c r="CY538">
        <v>1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"03/24/2022 22:11:41.922"</f>
        <v>03/24/2022 22:11:41.922</v>
      </c>
      <c r="C539" t="str">
        <f t="shared" si="160"/>
        <v>FFDFD3C0</v>
      </c>
      <c r="D539" t="s">
        <v>123</v>
      </c>
      <c r="E539">
        <v>8</v>
      </c>
      <c r="H539">
        <v>31</v>
      </c>
      <c r="I539" t="s">
        <v>124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 t="shared" si="163"/>
        <v>22:11:41.000</v>
      </c>
      <c r="T539" t="str">
        <f t="shared" si="163"/>
        <v>22:11:41.000</v>
      </c>
      <c r="U539" t="str">
        <f t="shared" si="155"/>
        <v>A9D71F</v>
      </c>
      <c r="V539">
        <v>0</v>
      </c>
      <c r="W539">
        <v>0</v>
      </c>
      <c r="X539">
        <v>2</v>
      </c>
      <c r="Z539">
        <v>1</v>
      </c>
      <c r="AA539">
        <v>8</v>
      </c>
      <c r="AB539">
        <v>3</v>
      </c>
      <c r="AC539">
        <v>0</v>
      </c>
      <c r="AD539">
        <v>9</v>
      </c>
      <c r="AE539">
        <v>0</v>
      </c>
      <c r="AF539">
        <v>3</v>
      </c>
      <c r="AG539">
        <v>1</v>
      </c>
      <c r="AH539">
        <v>0</v>
      </c>
      <c r="AI539" t="s">
        <v>319</v>
      </c>
      <c r="AJ539">
        <v>33.187809000000001</v>
      </c>
      <c r="AK539" t="s">
        <v>320</v>
      </c>
      <c r="AL539">
        <v>-97.761261000000005</v>
      </c>
      <c r="AM539">
        <v>25</v>
      </c>
      <c r="AN539">
        <v>2900</v>
      </c>
      <c r="AO539" t="s">
        <v>118</v>
      </c>
      <c r="AP539">
        <v>87</v>
      </c>
      <c r="AQ539">
        <v>-3</v>
      </c>
      <c r="AR539">
        <v>576</v>
      </c>
      <c r="AZ539">
        <v>1200</v>
      </c>
      <c r="BA539">
        <v>1</v>
      </c>
      <c r="BB539" t="str">
        <f t="shared" si="162"/>
        <v xml:space="preserve">N733KP  </v>
      </c>
      <c r="BC539">
        <v>1</v>
      </c>
      <c r="BE539">
        <v>0</v>
      </c>
      <c r="BF539">
        <v>0</v>
      </c>
      <c r="BG539">
        <v>0</v>
      </c>
      <c r="BH539">
        <v>2850</v>
      </c>
      <c r="BI539">
        <v>1</v>
      </c>
      <c r="BJ539">
        <v>1</v>
      </c>
      <c r="BK539">
        <v>0</v>
      </c>
      <c r="BL539">
        <v>0</v>
      </c>
      <c r="BO539">
        <v>0</v>
      </c>
      <c r="BP539">
        <v>0</v>
      </c>
      <c r="BW539" t="str">
        <f>"22:11:41.737"</f>
        <v>22:11:41.737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364</v>
      </c>
      <c r="CR539">
        <v>0</v>
      </c>
      <c r="CW539">
        <v>1384669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"03/24/2022 22:11:41.922"</f>
        <v>03/24/2022 22:11:41.922</v>
      </c>
      <c r="C540" t="str">
        <f t="shared" si="160"/>
        <v>FFDFD3C0</v>
      </c>
      <c r="D540" t="s">
        <v>120</v>
      </c>
      <c r="E540">
        <v>14</v>
      </c>
      <c r="F540">
        <v>1014</v>
      </c>
      <c r="G540" t="s">
        <v>121</v>
      </c>
      <c r="J540" t="s">
        <v>122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 t="shared" si="163"/>
        <v>22:11:41.000</v>
      </c>
      <c r="T540" t="str">
        <f t="shared" si="163"/>
        <v>22:11:41.000</v>
      </c>
      <c r="U540" t="str">
        <f t="shared" si="155"/>
        <v>A9D71F</v>
      </c>
      <c r="V540">
        <v>0</v>
      </c>
      <c r="W540">
        <v>0</v>
      </c>
      <c r="X540">
        <v>2</v>
      </c>
      <c r="Z540">
        <v>1</v>
      </c>
      <c r="AA540">
        <v>8</v>
      </c>
      <c r="AB540">
        <v>3</v>
      </c>
      <c r="AC540">
        <v>0</v>
      </c>
      <c r="AD540">
        <v>9</v>
      </c>
      <c r="AE540">
        <v>0</v>
      </c>
      <c r="AF540">
        <v>3</v>
      </c>
      <c r="AG540">
        <v>1</v>
      </c>
      <c r="AH540">
        <v>0</v>
      </c>
      <c r="AI540" t="s">
        <v>319</v>
      </c>
      <c r="AJ540">
        <v>33.187809000000001</v>
      </c>
      <c r="AK540" t="s">
        <v>320</v>
      </c>
      <c r="AL540">
        <v>-97.761261000000005</v>
      </c>
      <c r="AM540">
        <v>25</v>
      </c>
      <c r="AN540">
        <v>2900</v>
      </c>
      <c r="AO540" t="s">
        <v>118</v>
      </c>
      <c r="AP540">
        <v>87</v>
      </c>
      <c r="AQ540">
        <v>-3</v>
      </c>
      <c r="AR540">
        <v>576</v>
      </c>
      <c r="AZ540">
        <v>1200</v>
      </c>
      <c r="BA540">
        <v>1</v>
      </c>
      <c r="BB540" t="str">
        <f t="shared" si="162"/>
        <v xml:space="preserve">N733KP  </v>
      </c>
      <c r="BC540">
        <v>1</v>
      </c>
      <c r="BE540">
        <v>0</v>
      </c>
      <c r="BF540">
        <v>0</v>
      </c>
      <c r="BG540">
        <v>0</v>
      </c>
      <c r="BH540">
        <v>2850</v>
      </c>
      <c r="BI540">
        <v>1</v>
      </c>
      <c r="BJ540">
        <v>1</v>
      </c>
      <c r="BK540">
        <v>0</v>
      </c>
      <c r="BL540">
        <v>0</v>
      </c>
      <c r="BO540">
        <v>0</v>
      </c>
      <c r="BP540">
        <v>0</v>
      </c>
      <c r="BW540" t="str">
        <f>"22:11:41.737"</f>
        <v>22:11:41.737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364</v>
      </c>
      <c r="CR540">
        <v>0</v>
      </c>
      <c r="CW540">
        <v>1384669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"03/24/2022 22:11:41.938"</f>
        <v>03/24/2022 22:11:41.938</v>
      </c>
      <c r="C541" t="str">
        <f t="shared" si="160"/>
        <v>FFDFD3C0</v>
      </c>
      <c r="D541" t="s">
        <v>126</v>
      </c>
      <c r="E541">
        <v>3</v>
      </c>
      <c r="H541">
        <v>160</v>
      </c>
      <c r="I541" t="s">
        <v>121</v>
      </c>
      <c r="J541" t="s">
        <v>127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 t="shared" si="163"/>
        <v>22:11:41.000</v>
      </c>
      <c r="T541" t="str">
        <f t="shared" si="163"/>
        <v>22:11:41.000</v>
      </c>
      <c r="U541" t="str">
        <f t="shared" si="155"/>
        <v>A9D71F</v>
      </c>
      <c r="V541">
        <v>0</v>
      </c>
      <c r="W541">
        <v>0</v>
      </c>
      <c r="X541">
        <v>2</v>
      </c>
      <c r="Z541">
        <v>1</v>
      </c>
      <c r="AA541">
        <v>8</v>
      </c>
      <c r="AB541">
        <v>3</v>
      </c>
      <c r="AC541">
        <v>0</v>
      </c>
      <c r="AD541">
        <v>9</v>
      </c>
      <c r="AE541">
        <v>0</v>
      </c>
      <c r="AF541">
        <v>3</v>
      </c>
      <c r="AG541">
        <v>1</v>
      </c>
      <c r="AH541">
        <v>0</v>
      </c>
      <c r="AI541" t="s">
        <v>319</v>
      </c>
      <c r="AJ541">
        <v>33.187809000000001</v>
      </c>
      <c r="AK541" t="s">
        <v>320</v>
      </c>
      <c r="AL541">
        <v>-97.761261000000005</v>
      </c>
      <c r="AM541">
        <v>25</v>
      </c>
      <c r="AN541">
        <v>2900</v>
      </c>
      <c r="AO541" t="s">
        <v>118</v>
      </c>
      <c r="AP541">
        <v>87</v>
      </c>
      <c r="AQ541">
        <v>-3</v>
      </c>
      <c r="AR541">
        <v>576</v>
      </c>
      <c r="AZ541">
        <v>1200</v>
      </c>
      <c r="BA541">
        <v>1</v>
      </c>
      <c r="BB541" t="str">
        <f t="shared" si="162"/>
        <v xml:space="preserve">N733KP  </v>
      </c>
      <c r="BC541">
        <v>1</v>
      </c>
      <c r="BE541">
        <v>0</v>
      </c>
      <c r="BF541">
        <v>0</v>
      </c>
      <c r="BG541">
        <v>0</v>
      </c>
      <c r="BH541">
        <v>2850</v>
      </c>
      <c r="BI541">
        <v>1</v>
      </c>
      <c r="BJ541">
        <v>1</v>
      </c>
      <c r="BK541">
        <v>0</v>
      </c>
      <c r="BL541">
        <v>0</v>
      </c>
      <c r="BO541">
        <v>0</v>
      </c>
      <c r="BP541">
        <v>0</v>
      </c>
      <c r="BW541" t="str">
        <f>"22:11:41.737"</f>
        <v>22:11:41.737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364</v>
      </c>
      <c r="CR541">
        <v>0</v>
      </c>
      <c r="CW541">
        <v>1384669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"03/24/2022 22:11:42.563"</f>
        <v>03/24/2022 22:11:42.563</v>
      </c>
      <c r="C542" t="str">
        <f t="shared" si="160"/>
        <v>FFDFD3C0</v>
      </c>
      <c r="D542" t="s">
        <v>126</v>
      </c>
      <c r="E542">
        <v>3</v>
      </c>
      <c r="H542">
        <v>160</v>
      </c>
      <c r="I542" t="s">
        <v>121</v>
      </c>
      <c r="J542" t="s">
        <v>127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 t="shared" ref="S542:T545" si="164">"22:11:42.000"</f>
        <v>22:11:42.000</v>
      </c>
      <c r="T542" t="str">
        <f t="shared" si="164"/>
        <v>22:11:42.000</v>
      </c>
      <c r="U542" t="str">
        <f t="shared" si="155"/>
        <v>A9D71F</v>
      </c>
      <c r="V542">
        <v>0</v>
      </c>
      <c r="W542">
        <v>0</v>
      </c>
      <c r="X542">
        <v>2</v>
      </c>
      <c r="Z542">
        <v>1</v>
      </c>
      <c r="AA542">
        <v>8</v>
      </c>
      <c r="AB542">
        <v>3</v>
      </c>
      <c r="AC542">
        <v>0</v>
      </c>
      <c r="AD542">
        <v>9</v>
      </c>
      <c r="AE542">
        <v>0</v>
      </c>
      <c r="AF542">
        <v>3</v>
      </c>
      <c r="AG542">
        <v>1</v>
      </c>
      <c r="AH542">
        <v>0</v>
      </c>
      <c r="AI542" t="s">
        <v>271</v>
      </c>
      <c r="AJ542">
        <v>33.187787999999998</v>
      </c>
      <c r="AK542" t="s">
        <v>321</v>
      </c>
      <c r="AL542">
        <v>-97.760789000000003</v>
      </c>
      <c r="AM542">
        <v>25</v>
      </c>
      <c r="AN542">
        <v>2900</v>
      </c>
      <c r="AO542" t="s">
        <v>118</v>
      </c>
      <c r="AP542">
        <v>87</v>
      </c>
      <c r="AQ542">
        <v>-4</v>
      </c>
      <c r="AR542">
        <v>576</v>
      </c>
      <c r="AZ542">
        <v>1200</v>
      </c>
      <c r="BA542">
        <v>1</v>
      </c>
      <c r="BB542" t="str">
        <f t="shared" si="162"/>
        <v xml:space="preserve">N733KP  </v>
      </c>
      <c r="BC542">
        <v>1</v>
      </c>
      <c r="BE542">
        <v>0</v>
      </c>
      <c r="BF542">
        <v>0</v>
      </c>
      <c r="BG542">
        <v>0</v>
      </c>
      <c r="BH542">
        <v>2900</v>
      </c>
      <c r="BI542">
        <v>1</v>
      </c>
      <c r="BJ542">
        <v>1</v>
      </c>
      <c r="BK542">
        <v>0</v>
      </c>
      <c r="BL542">
        <v>0</v>
      </c>
      <c r="BO542">
        <v>0</v>
      </c>
      <c r="BP542">
        <v>0</v>
      </c>
      <c r="BW542" t="str">
        <f>"22:11:42.355"</f>
        <v>22:11:42.355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6</v>
      </c>
      <c r="CP542" t="s">
        <v>119</v>
      </c>
      <c r="CQ542">
        <v>364</v>
      </c>
      <c r="CR542">
        <v>0</v>
      </c>
      <c r="CW542">
        <v>1384774</v>
      </c>
      <c r="CY542">
        <v>1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"03/24/2022 22:11:42.563"</f>
        <v>03/24/2022 22:11:42.563</v>
      </c>
      <c r="C543" t="str">
        <f t="shared" si="160"/>
        <v>FFDFD3C0</v>
      </c>
      <c r="D543" t="s">
        <v>113</v>
      </c>
      <c r="E543">
        <v>24</v>
      </c>
      <c r="F543">
        <v>2024</v>
      </c>
      <c r="G543" t="s">
        <v>114</v>
      </c>
      <c r="J543" t="s">
        <v>115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 t="shared" si="164"/>
        <v>22:11:42.000</v>
      </c>
      <c r="T543" t="str">
        <f t="shared" si="164"/>
        <v>22:11:42.000</v>
      </c>
      <c r="U543" t="str">
        <f t="shared" si="155"/>
        <v>A9D71F</v>
      </c>
      <c r="V543">
        <v>0</v>
      </c>
      <c r="W543">
        <v>0</v>
      </c>
      <c r="X543">
        <v>2</v>
      </c>
      <c r="Z543">
        <v>1</v>
      </c>
      <c r="AA543">
        <v>8</v>
      </c>
      <c r="AB543">
        <v>3</v>
      </c>
      <c r="AC543">
        <v>0</v>
      </c>
      <c r="AD543">
        <v>9</v>
      </c>
      <c r="AE543">
        <v>0</v>
      </c>
      <c r="AF543">
        <v>3</v>
      </c>
      <c r="AG543">
        <v>1</v>
      </c>
      <c r="AH543">
        <v>0</v>
      </c>
      <c r="AI543" t="s">
        <v>271</v>
      </c>
      <c r="AJ543">
        <v>33.187787999999998</v>
      </c>
      <c r="AK543" t="s">
        <v>321</v>
      </c>
      <c r="AL543">
        <v>-97.760789000000003</v>
      </c>
      <c r="AM543">
        <v>25</v>
      </c>
      <c r="AN543">
        <v>2900</v>
      </c>
      <c r="AO543" t="s">
        <v>118</v>
      </c>
      <c r="AP543">
        <v>87</v>
      </c>
      <c r="AQ543">
        <v>-4</v>
      </c>
      <c r="AR543">
        <v>576</v>
      </c>
      <c r="AZ543">
        <v>1200</v>
      </c>
      <c r="BA543">
        <v>1</v>
      </c>
      <c r="BB543" t="str">
        <f t="shared" si="162"/>
        <v xml:space="preserve">N733KP  </v>
      </c>
      <c r="BC543">
        <v>1</v>
      </c>
      <c r="BE543">
        <v>0</v>
      </c>
      <c r="BF543">
        <v>0</v>
      </c>
      <c r="BG543">
        <v>0</v>
      </c>
      <c r="BH543">
        <v>2900</v>
      </c>
      <c r="BI543">
        <v>1</v>
      </c>
      <c r="BJ543">
        <v>1</v>
      </c>
      <c r="BK543">
        <v>0</v>
      </c>
      <c r="BL543">
        <v>0</v>
      </c>
      <c r="BO543">
        <v>0</v>
      </c>
      <c r="BP543">
        <v>0</v>
      </c>
      <c r="BW543" t="str">
        <f>"22:11:42.355"</f>
        <v>22:11:42.355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6</v>
      </c>
      <c r="CP543" t="s">
        <v>119</v>
      </c>
      <c r="CQ543">
        <v>364</v>
      </c>
      <c r="CR543">
        <v>0</v>
      </c>
      <c r="CW543">
        <v>1384774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"03/24/2022 22:11:42.579"</f>
        <v>03/24/2022 22:11:42.579</v>
      </c>
      <c r="C544" t="str">
        <f t="shared" si="160"/>
        <v>FFDFD3C0</v>
      </c>
      <c r="D544" t="s">
        <v>123</v>
      </c>
      <c r="E544">
        <v>8</v>
      </c>
      <c r="H544">
        <v>31</v>
      </c>
      <c r="I544" t="s">
        <v>124</v>
      </c>
      <c r="J544" t="s">
        <v>125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 t="shared" si="164"/>
        <v>22:11:42.000</v>
      </c>
      <c r="T544" t="str">
        <f t="shared" si="164"/>
        <v>22:11:42.000</v>
      </c>
      <c r="U544" t="str">
        <f t="shared" si="155"/>
        <v>A9D71F</v>
      </c>
      <c r="V544">
        <v>0</v>
      </c>
      <c r="W544">
        <v>0</v>
      </c>
      <c r="X544">
        <v>2</v>
      </c>
      <c r="Z544">
        <v>1</v>
      </c>
      <c r="AA544">
        <v>8</v>
      </c>
      <c r="AB544">
        <v>3</v>
      </c>
      <c r="AC544">
        <v>0</v>
      </c>
      <c r="AD544">
        <v>9</v>
      </c>
      <c r="AE544">
        <v>0</v>
      </c>
      <c r="AF544">
        <v>3</v>
      </c>
      <c r="AG544">
        <v>1</v>
      </c>
      <c r="AH544">
        <v>0</v>
      </c>
      <c r="AI544" t="s">
        <v>271</v>
      </c>
      <c r="AJ544">
        <v>33.187787999999998</v>
      </c>
      <c r="AK544" t="s">
        <v>321</v>
      </c>
      <c r="AL544">
        <v>-97.760789000000003</v>
      </c>
      <c r="AM544">
        <v>25</v>
      </c>
      <c r="AN544">
        <v>2900</v>
      </c>
      <c r="AO544" t="s">
        <v>118</v>
      </c>
      <c r="AP544">
        <v>87</v>
      </c>
      <c r="AQ544">
        <v>-4</v>
      </c>
      <c r="AR544">
        <v>576</v>
      </c>
      <c r="AZ544">
        <v>1200</v>
      </c>
      <c r="BA544">
        <v>1</v>
      </c>
      <c r="BB544" t="str">
        <f t="shared" si="162"/>
        <v xml:space="preserve">N733KP  </v>
      </c>
      <c r="BC544">
        <v>1</v>
      </c>
      <c r="BE544">
        <v>0</v>
      </c>
      <c r="BF544">
        <v>0</v>
      </c>
      <c r="BG544">
        <v>0</v>
      </c>
      <c r="BH544">
        <v>2900</v>
      </c>
      <c r="BI544">
        <v>1</v>
      </c>
      <c r="BJ544">
        <v>1</v>
      </c>
      <c r="BK544">
        <v>0</v>
      </c>
      <c r="BL544">
        <v>0</v>
      </c>
      <c r="BO544">
        <v>0</v>
      </c>
      <c r="BP544">
        <v>0</v>
      </c>
      <c r="BW544" t="str">
        <f>"22:11:42.355"</f>
        <v>22:11:42.355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6</v>
      </c>
      <c r="CP544" t="s">
        <v>119</v>
      </c>
      <c r="CQ544">
        <v>364</v>
      </c>
      <c r="CR544">
        <v>0</v>
      </c>
      <c r="CW544">
        <v>1384774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"03/24/2022 22:11:42.610"</f>
        <v>03/24/2022 22:11:42.610</v>
      </c>
      <c r="C545" t="str">
        <f t="shared" si="160"/>
        <v>FFDFD3C0</v>
      </c>
      <c r="D545" t="s">
        <v>120</v>
      </c>
      <c r="E545">
        <v>14</v>
      </c>
      <c r="F545">
        <v>1014</v>
      </c>
      <c r="G545" t="s">
        <v>121</v>
      </c>
      <c r="J545" t="s">
        <v>122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 t="shared" si="164"/>
        <v>22:11:42.000</v>
      </c>
      <c r="T545" t="str">
        <f t="shared" si="164"/>
        <v>22:11:42.000</v>
      </c>
      <c r="U545" t="str">
        <f t="shared" si="155"/>
        <v>A9D71F</v>
      </c>
      <c r="V545">
        <v>0</v>
      </c>
      <c r="W545">
        <v>0</v>
      </c>
      <c r="X545">
        <v>2</v>
      </c>
      <c r="Z545">
        <v>1</v>
      </c>
      <c r="AA545">
        <v>8</v>
      </c>
      <c r="AB545">
        <v>3</v>
      </c>
      <c r="AC545">
        <v>0</v>
      </c>
      <c r="AD545">
        <v>9</v>
      </c>
      <c r="AE545">
        <v>0</v>
      </c>
      <c r="AF545">
        <v>3</v>
      </c>
      <c r="AG545">
        <v>1</v>
      </c>
      <c r="AH545">
        <v>0</v>
      </c>
      <c r="AI545" t="s">
        <v>271</v>
      </c>
      <c r="AJ545">
        <v>33.187787999999998</v>
      </c>
      <c r="AK545" t="s">
        <v>321</v>
      </c>
      <c r="AL545">
        <v>-97.760789000000003</v>
      </c>
      <c r="AM545">
        <v>25</v>
      </c>
      <c r="AN545">
        <v>2900</v>
      </c>
      <c r="AO545" t="s">
        <v>118</v>
      </c>
      <c r="AP545">
        <v>87</v>
      </c>
      <c r="AQ545">
        <v>-4</v>
      </c>
      <c r="AR545">
        <v>576</v>
      </c>
      <c r="AZ545">
        <v>1200</v>
      </c>
      <c r="BA545">
        <v>1</v>
      </c>
      <c r="BB545" t="str">
        <f t="shared" si="162"/>
        <v xml:space="preserve">N733KP  </v>
      </c>
      <c r="BC545">
        <v>1</v>
      </c>
      <c r="BE545">
        <v>0</v>
      </c>
      <c r="BF545">
        <v>0</v>
      </c>
      <c r="BG545">
        <v>0</v>
      </c>
      <c r="BH545">
        <v>2900</v>
      </c>
      <c r="BI545">
        <v>1</v>
      </c>
      <c r="BJ545">
        <v>1</v>
      </c>
      <c r="BK545">
        <v>0</v>
      </c>
      <c r="BL545">
        <v>0</v>
      </c>
      <c r="BO545">
        <v>0</v>
      </c>
      <c r="BP545">
        <v>0</v>
      </c>
      <c r="BW545" t="str">
        <f>"22:11:42.355"</f>
        <v>22:11:42.355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6</v>
      </c>
      <c r="CP545" t="s">
        <v>119</v>
      </c>
      <c r="CQ545">
        <v>364</v>
      </c>
      <c r="CR545">
        <v>0</v>
      </c>
      <c r="CW545">
        <v>1384774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"03/24/2022 22:11:43.847"</f>
        <v>03/24/2022 22:11:43.847</v>
      </c>
      <c r="C546" t="str">
        <f t="shared" si="160"/>
        <v>FFDFD3C0</v>
      </c>
      <c r="D546" t="s">
        <v>123</v>
      </c>
      <c r="E546">
        <v>8</v>
      </c>
      <c r="H546">
        <v>31</v>
      </c>
      <c r="I546" t="s">
        <v>124</v>
      </c>
      <c r="J546" t="s">
        <v>125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 t="shared" ref="S546:T549" si="165">"22:11:43.000"</f>
        <v>22:11:43.000</v>
      </c>
      <c r="T546" t="str">
        <f t="shared" si="165"/>
        <v>22:11:43.000</v>
      </c>
      <c r="U546" t="str">
        <f t="shared" si="155"/>
        <v>A9D71F</v>
      </c>
      <c r="V546">
        <v>0</v>
      </c>
      <c r="W546">
        <v>0</v>
      </c>
      <c r="X546">
        <v>2</v>
      </c>
      <c r="Z546">
        <v>1</v>
      </c>
      <c r="AA546">
        <v>8</v>
      </c>
      <c r="AB546">
        <v>3</v>
      </c>
      <c r="AC546">
        <v>0</v>
      </c>
      <c r="AD546">
        <v>9</v>
      </c>
      <c r="AE546">
        <v>0</v>
      </c>
      <c r="AF546">
        <v>3</v>
      </c>
      <c r="AG546">
        <v>1</v>
      </c>
      <c r="AH546">
        <v>0</v>
      </c>
      <c r="AI546" t="s">
        <v>271</v>
      </c>
      <c r="AJ546">
        <v>33.187787999999998</v>
      </c>
      <c r="AK546" t="s">
        <v>322</v>
      </c>
      <c r="AL546">
        <v>-97.760295999999997</v>
      </c>
      <c r="AM546">
        <v>25</v>
      </c>
      <c r="AN546">
        <v>3000</v>
      </c>
      <c r="AO546" t="s">
        <v>118</v>
      </c>
      <c r="AP546">
        <v>89</v>
      </c>
      <c r="AQ546">
        <v>-4</v>
      </c>
      <c r="AR546">
        <v>576</v>
      </c>
      <c r="AZ546">
        <v>1200</v>
      </c>
      <c r="BA546">
        <v>1</v>
      </c>
      <c r="BB546" t="str">
        <f t="shared" si="162"/>
        <v xml:space="preserve">N733KP  </v>
      </c>
      <c r="BC546">
        <v>1</v>
      </c>
      <c r="BE546">
        <v>0</v>
      </c>
      <c r="BF546">
        <v>0</v>
      </c>
      <c r="BG546">
        <v>0</v>
      </c>
      <c r="BH546">
        <v>2900</v>
      </c>
      <c r="BI546">
        <v>1</v>
      </c>
      <c r="BJ546">
        <v>1</v>
      </c>
      <c r="BK546">
        <v>0</v>
      </c>
      <c r="BL546">
        <v>0</v>
      </c>
      <c r="BO546">
        <v>0</v>
      </c>
      <c r="BP546">
        <v>0</v>
      </c>
      <c r="BW546" t="str">
        <f>"22:11:43.677"</f>
        <v>22:11:43.677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364</v>
      </c>
      <c r="CR546">
        <v>0</v>
      </c>
      <c r="CW546">
        <v>1384998</v>
      </c>
      <c r="CY546">
        <v>1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"03/24/2022 22:11:43.847"</f>
        <v>03/24/2022 22:11:43.847</v>
      </c>
      <c r="C547" t="str">
        <f t="shared" si="160"/>
        <v>FFDFD3C0</v>
      </c>
      <c r="D547" t="s">
        <v>120</v>
      </c>
      <c r="E547">
        <v>14</v>
      </c>
      <c r="F547">
        <v>1014</v>
      </c>
      <c r="G547" t="s">
        <v>121</v>
      </c>
      <c r="J547" t="s">
        <v>122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 t="shared" si="165"/>
        <v>22:11:43.000</v>
      </c>
      <c r="T547" t="str">
        <f t="shared" si="165"/>
        <v>22:11:43.000</v>
      </c>
      <c r="U547" t="str">
        <f t="shared" si="155"/>
        <v>A9D71F</v>
      </c>
      <c r="V547">
        <v>0</v>
      </c>
      <c r="W547">
        <v>0</v>
      </c>
      <c r="X547">
        <v>2</v>
      </c>
      <c r="Z547">
        <v>1</v>
      </c>
      <c r="AA547">
        <v>8</v>
      </c>
      <c r="AB547">
        <v>3</v>
      </c>
      <c r="AC547">
        <v>0</v>
      </c>
      <c r="AD547">
        <v>9</v>
      </c>
      <c r="AE547">
        <v>0</v>
      </c>
      <c r="AF547">
        <v>3</v>
      </c>
      <c r="AG547">
        <v>1</v>
      </c>
      <c r="AH547">
        <v>0</v>
      </c>
      <c r="AI547" t="s">
        <v>271</v>
      </c>
      <c r="AJ547">
        <v>33.187787999999998</v>
      </c>
      <c r="AK547" t="s">
        <v>322</v>
      </c>
      <c r="AL547">
        <v>-97.760295999999997</v>
      </c>
      <c r="AM547">
        <v>25</v>
      </c>
      <c r="AN547">
        <v>3000</v>
      </c>
      <c r="AO547" t="s">
        <v>118</v>
      </c>
      <c r="AP547">
        <v>89</v>
      </c>
      <c r="AQ547">
        <v>-4</v>
      </c>
      <c r="AR547">
        <v>576</v>
      </c>
      <c r="AZ547">
        <v>1200</v>
      </c>
      <c r="BA547">
        <v>1</v>
      </c>
      <c r="BB547" t="str">
        <f t="shared" si="162"/>
        <v xml:space="preserve">N733KP  </v>
      </c>
      <c r="BC547">
        <v>1</v>
      </c>
      <c r="BE547">
        <v>0</v>
      </c>
      <c r="BF547">
        <v>0</v>
      </c>
      <c r="BG547">
        <v>0</v>
      </c>
      <c r="BH547">
        <v>2900</v>
      </c>
      <c r="BI547">
        <v>1</v>
      </c>
      <c r="BJ547">
        <v>1</v>
      </c>
      <c r="BK547">
        <v>0</v>
      </c>
      <c r="BL547">
        <v>0</v>
      </c>
      <c r="BO547">
        <v>0</v>
      </c>
      <c r="BP547">
        <v>0</v>
      </c>
      <c r="BW547" t="str">
        <f>"22:11:43.677"</f>
        <v>22:11:43.677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364</v>
      </c>
      <c r="CR547">
        <v>0</v>
      </c>
      <c r="CW547">
        <v>1384998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"03/24/2022 22:11:43.847"</f>
        <v>03/24/2022 22:11:43.847</v>
      </c>
      <c r="C548" t="str">
        <f t="shared" si="160"/>
        <v>FFDFD3C0</v>
      </c>
      <c r="D548" t="s">
        <v>126</v>
      </c>
      <c r="E548">
        <v>3</v>
      </c>
      <c r="H548">
        <v>160</v>
      </c>
      <c r="I548" t="s">
        <v>121</v>
      </c>
      <c r="J548" t="s">
        <v>127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 t="shared" si="165"/>
        <v>22:11:43.000</v>
      </c>
      <c r="T548" t="str">
        <f t="shared" si="165"/>
        <v>22:11:43.000</v>
      </c>
      <c r="U548" t="str">
        <f t="shared" si="155"/>
        <v>A9D71F</v>
      </c>
      <c r="V548">
        <v>0</v>
      </c>
      <c r="W548">
        <v>0</v>
      </c>
      <c r="X548">
        <v>2</v>
      </c>
      <c r="Z548">
        <v>1</v>
      </c>
      <c r="AA548">
        <v>8</v>
      </c>
      <c r="AB548">
        <v>3</v>
      </c>
      <c r="AC548">
        <v>0</v>
      </c>
      <c r="AD548">
        <v>9</v>
      </c>
      <c r="AE548">
        <v>0</v>
      </c>
      <c r="AF548">
        <v>3</v>
      </c>
      <c r="AG548">
        <v>1</v>
      </c>
      <c r="AH548">
        <v>0</v>
      </c>
      <c r="AI548" t="s">
        <v>271</v>
      </c>
      <c r="AJ548">
        <v>33.187787999999998</v>
      </c>
      <c r="AK548" t="s">
        <v>322</v>
      </c>
      <c r="AL548">
        <v>-97.760295999999997</v>
      </c>
      <c r="AM548">
        <v>25</v>
      </c>
      <c r="AN548">
        <v>3000</v>
      </c>
      <c r="AO548" t="s">
        <v>118</v>
      </c>
      <c r="AP548">
        <v>89</v>
      </c>
      <c r="AQ548">
        <v>-4</v>
      </c>
      <c r="AR548">
        <v>576</v>
      </c>
      <c r="AZ548">
        <v>1200</v>
      </c>
      <c r="BA548">
        <v>1</v>
      </c>
      <c r="BB548" t="str">
        <f t="shared" si="162"/>
        <v xml:space="preserve">N733KP  </v>
      </c>
      <c r="BC548">
        <v>1</v>
      </c>
      <c r="BE548">
        <v>0</v>
      </c>
      <c r="BF548">
        <v>0</v>
      </c>
      <c r="BG548">
        <v>0</v>
      </c>
      <c r="BH548">
        <v>2900</v>
      </c>
      <c r="BI548">
        <v>1</v>
      </c>
      <c r="BJ548">
        <v>1</v>
      </c>
      <c r="BK548">
        <v>0</v>
      </c>
      <c r="BL548">
        <v>0</v>
      </c>
      <c r="BO548">
        <v>0</v>
      </c>
      <c r="BP548">
        <v>0</v>
      </c>
      <c r="BW548" t="str">
        <f>"22:11:43.677"</f>
        <v>22:11:43.677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364</v>
      </c>
      <c r="CR548">
        <v>0</v>
      </c>
      <c r="CW548">
        <v>1384998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"03/24/2022 22:11:43.940"</f>
        <v>03/24/2022 22:11:43.940</v>
      </c>
      <c r="C549" t="str">
        <f t="shared" si="160"/>
        <v>FFDFD3C0</v>
      </c>
      <c r="D549" t="s">
        <v>113</v>
      </c>
      <c r="E549">
        <v>24</v>
      </c>
      <c r="F549">
        <v>2024</v>
      </c>
      <c r="G549" t="s">
        <v>114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 t="shared" si="165"/>
        <v>22:11:43.000</v>
      </c>
      <c r="T549" t="str">
        <f t="shared" si="165"/>
        <v>22:11:43.000</v>
      </c>
      <c r="U549" t="str">
        <f t="shared" si="155"/>
        <v>A9D71F</v>
      </c>
      <c r="V549">
        <v>0</v>
      </c>
      <c r="W549">
        <v>0</v>
      </c>
      <c r="X549">
        <v>2</v>
      </c>
      <c r="Z549">
        <v>1</v>
      </c>
      <c r="AA549">
        <v>8</v>
      </c>
      <c r="AB549">
        <v>3</v>
      </c>
      <c r="AC549">
        <v>0</v>
      </c>
      <c r="AD549">
        <v>9</v>
      </c>
      <c r="AE549">
        <v>0</v>
      </c>
      <c r="AF549">
        <v>3</v>
      </c>
      <c r="AG549">
        <v>1</v>
      </c>
      <c r="AH549">
        <v>0</v>
      </c>
      <c r="AI549" t="s">
        <v>271</v>
      </c>
      <c r="AJ549">
        <v>33.187787999999998</v>
      </c>
      <c r="AK549" t="s">
        <v>322</v>
      </c>
      <c r="AL549">
        <v>-97.760295999999997</v>
      </c>
      <c r="AM549">
        <v>25</v>
      </c>
      <c r="AN549">
        <v>3000</v>
      </c>
      <c r="AO549" t="s">
        <v>118</v>
      </c>
      <c r="AP549">
        <v>89</v>
      </c>
      <c r="AQ549">
        <v>-4</v>
      </c>
      <c r="AR549">
        <v>576</v>
      </c>
      <c r="AZ549">
        <v>1200</v>
      </c>
      <c r="BA549">
        <v>1</v>
      </c>
      <c r="BB549" t="str">
        <f t="shared" si="162"/>
        <v xml:space="preserve">N733KP  </v>
      </c>
      <c r="BC549">
        <v>1</v>
      </c>
      <c r="BE549">
        <v>0</v>
      </c>
      <c r="BF549">
        <v>0</v>
      </c>
      <c r="BG549">
        <v>0</v>
      </c>
      <c r="BH549">
        <v>2900</v>
      </c>
      <c r="BI549">
        <v>1</v>
      </c>
      <c r="BJ549">
        <v>1</v>
      </c>
      <c r="BK549">
        <v>0</v>
      </c>
      <c r="BL549">
        <v>0</v>
      </c>
      <c r="BO549">
        <v>0</v>
      </c>
      <c r="BP549">
        <v>0</v>
      </c>
      <c r="BW549" t="str">
        <f>"22:11:43.677"</f>
        <v>22:11:43.677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364</v>
      </c>
      <c r="CR549">
        <v>0</v>
      </c>
      <c r="CW549">
        <v>1384998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"03/24/2022 22:11:45.086"</f>
        <v>03/24/2022 22:11:45.086</v>
      </c>
      <c r="C550" t="str">
        <f t="shared" si="160"/>
        <v>FFDFD3C0</v>
      </c>
      <c r="D550" t="s">
        <v>120</v>
      </c>
      <c r="E550">
        <v>14</v>
      </c>
      <c r="F550">
        <v>1014</v>
      </c>
      <c r="G550" t="s">
        <v>121</v>
      </c>
      <c r="J550" t="s">
        <v>122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 t="shared" ref="S550:T553" si="166">"22:11:44.000"</f>
        <v>22:11:44.000</v>
      </c>
      <c r="T550" t="str">
        <f t="shared" si="166"/>
        <v>22:11:44.000</v>
      </c>
      <c r="U550" t="str">
        <f t="shared" si="155"/>
        <v>A9D71F</v>
      </c>
      <c r="V550">
        <v>0</v>
      </c>
      <c r="W550">
        <v>0</v>
      </c>
      <c r="X550">
        <v>2</v>
      </c>
      <c r="Z550">
        <v>1</v>
      </c>
      <c r="AA550">
        <v>8</v>
      </c>
      <c r="AB550">
        <v>3</v>
      </c>
      <c r="AC550">
        <v>0</v>
      </c>
      <c r="AD550">
        <v>9</v>
      </c>
      <c r="AE550">
        <v>0</v>
      </c>
      <c r="AF550">
        <v>3</v>
      </c>
      <c r="AG550">
        <v>1</v>
      </c>
      <c r="AH550">
        <v>0</v>
      </c>
      <c r="AI550" t="s">
        <v>271</v>
      </c>
      <c r="AJ550">
        <v>33.187787999999998</v>
      </c>
      <c r="AK550" t="s">
        <v>323</v>
      </c>
      <c r="AL550">
        <v>-97.759823999999995</v>
      </c>
      <c r="AM550">
        <v>25</v>
      </c>
      <c r="AN550">
        <v>3000</v>
      </c>
      <c r="AO550" t="s">
        <v>118</v>
      </c>
      <c r="AP550">
        <v>88</v>
      </c>
      <c r="AQ550">
        <v>-5</v>
      </c>
      <c r="AR550">
        <v>512</v>
      </c>
      <c r="AZ550">
        <v>1200</v>
      </c>
      <c r="BA550">
        <v>1</v>
      </c>
      <c r="BB550" t="str">
        <f t="shared" si="162"/>
        <v xml:space="preserve">N733KP  </v>
      </c>
      <c r="BC550">
        <v>1</v>
      </c>
      <c r="BE550">
        <v>0</v>
      </c>
      <c r="BF550">
        <v>0</v>
      </c>
      <c r="BG550">
        <v>0</v>
      </c>
      <c r="BH550">
        <v>2925</v>
      </c>
      <c r="BI550">
        <v>1</v>
      </c>
      <c r="BJ550">
        <v>1</v>
      </c>
      <c r="BK550">
        <v>0</v>
      </c>
      <c r="BL550">
        <v>0</v>
      </c>
      <c r="BO550">
        <v>0</v>
      </c>
      <c r="BP550">
        <v>0</v>
      </c>
      <c r="BW550" t="str">
        <f>"22:11:44.894"</f>
        <v>22:11:44.894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6</v>
      </c>
      <c r="CP550" t="s">
        <v>119</v>
      </c>
      <c r="CQ550">
        <v>364</v>
      </c>
      <c r="CR550">
        <v>0</v>
      </c>
      <c r="CW550">
        <v>1385195</v>
      </c>
      <c r="CY550">
        <v>1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"03/24/2022 22:11:45.086"</f>
        <v>03/24/2022 22:11:45.086</v>
      </c>
      <c r="C551" t="str">
        <f t="shared" si="160"/>
        <v>FFDFD3C0</v>
      </c>
      <c r="D551" t="s">
        <v>126</v>
      </c>
      <c r="E551">
        <v>3</v>
      </c>
      <c r="H551">
        <v>160</v>
      </c>
      <c r="I551" t="s">
        <v>121</v>
      </c>
      <c r="J551" t="s">
        <v>127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 t="shared" si="166"/>
        <v>22:11:44.000</v>
      </c>
      <c r="T551" t="str">
        <f t="shared" si="166"/>
        <v>22:11:44.000</v>
      </c>
      <c r="U551" t="str">
        <f t="shared" si="155"/>
        <v>A9D71F</v>
      </c>
      <c r="V551">
        <v>0</v>
      </c>
      <c r="W551">
        <v>0</v>
      </c>
      <c r="X551">
        <v>2</v>
      </c>
      <c r="Z551">
        <v>1</v>
      </c>
      <c r="AA551">
        <v>8</v>
      </c>
      <c r="AB551">
        <v>3</v>
      </c>
      <c r="AC551">
        <v>0</v>
      </c>
      <c r="AD551">
        <v>9</v>
      </c>
      <c r="AE551">
        <v>0</v>
      </c>
      <c r="AF551">
        <v>3</v>
      </c>
      <c r="AG551">
        <v>1</v>
      </c>
      <c r="AH551">
        <v>0</v>
      </c>
      <c r="AI551" t="s">
        <v>271</v>
      </c>
      <c r="AJ551">
        <v>33.187787999999998</v>
      </c>
      <c r="AK551" t="s">
        <v>323</v>
      </c>
      <c r="AL551">
        <v>-97.759823999999995</v>
      </c>
      <c r="AM551">
        <v>25</v>
      </c>
      <c r="AN551">
        <v>3000</v>
      </c>
      <c r="AO551" t="s">
        <v>118</v>
      </c>
      <c r="AP551">
        <v>88</v>
      </c>
      <c r="AQ551">
        <v>-5</v>
      </c>
      <c r="AR551">
        <v>512</v>
      </c>
      <c r="AZ551">
        <v>1200</v>
      </c>
      <c r="BA551">
        <v>1</v>
      </c>
      <c r="BB551" t="str">
        <f t="shared" si="162"/>
        <v xml:space="preserve">N733KP  </v>
      </c>
      <c r="BC551">
        <v>1</v>
      </c>
      <c r="BE551">
        <v>0</v>
      </c>
      <c r="BF551">
        <v>0</v>
      </c>
      <c r="BG551">
        <v>0</v>
      </c>
      <c r="BH551">
        <v>2925</v>
      </c>
      <c r="BI551">
        <v>1</v>
      </c>
      <c r="BJ551">
        <v>1</v>
      </c>
      <c r="BK551">
        <v>0</v>
      </c>
      <c r="BL551">
        <v>0</v>
      </c>
      <c r="BO551">
        <v>0</v>
      </c>
      <c r="BP551">
        <v>0</v>
      </c>
      <c r="BW551" t="str">
        <f>"22:11:44.894"</f>
        <v>22:11:44.894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6</v>
      </c>
      <c r="CP551" t="s">
        <v>119</v>
      </c>
      <c r="CQ551">
        <v>364</v>
      </c>
      <c r="CR551">
        <v>0</v>
      </c>
      <c r="CW551">
        <v>1385195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"03/24/2022 22:11:45.086"</f>
        <v>03/24/2022 22:11:45.086</v>
      </c>
      <c r="C552" t="str">
        <f t="shared" si="160"/>
        <v>FFDFD3C0</v>
      </c>
      <c r="D552" t="s">
        <v>113</v>
      </c>
      <c r="E552">
        <v>24</v>
      </c>
      <c r="F552">
        <v>2024</v>
      </c>
      <c r="G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 t="shared" si="166"/>
        <v>22:11:44.000</v>
      </c>
      <c r="T552" t="str">
        <f t="shared" si="166"/>
        <v>22:11:44.000</v>
      </c>
      <c r="U552" t="str">
        <f t="shared" si="155"/>
        <v>A9D71F</v>
      </c>
      <c r="V552">
        <v>0</v>
      </c>
      <c r="W552">
        <v>0</v>
      </c>
      <c r="X552">
        <v>2</v>
      </c>
      <c r="Z552">
        <v>1</v>
      </c>
      <c r="AA552">
        <v>8</v>
      </c>
      <c r="AB552">
        <v>3</v>
      </c>
      <c r="AC552">
        <v>0</v>
      </c>
      <c r="AD552">
        <v>9</v>
      </c>
      <c r="AE552">
        <v>0</v>
      </c>
      <c r="AF552">
        <v>3</v>
      </c>
      <c r="AG552">
        <v>1</v>
      </c>
      <c r="AH552">
        <v>0</v>
      </c>
      <c r="AI552" t="s">
        <v>271</v>
      </c>
      <c r="AJ552">
        <v>33.187787999999998</v>
      </c>
      <c r="AK552" t="s">
        <v>323</v>
      </c>
      <c r="AL552">
        <v>-97.759823999999995</v>
      </c>
      <c r="AM552">
        <v>25</v>
      </c>
      <c r="AN552">
        <v>3000</v>
      </c>
      <c r="AO552" t="s">
        <v>118</v>
      </c>
      <c r="AP552">
        <v>88</v>
      </c>
      <c r="AQ552">
        <v>-5</v>
      </c>
      <c r="AR552">
        <v>512</v>
      </c>
      <c r="AZ552">
        <v>1200</v>
      </c>
      <c r="BA552">
        <v>1</v>
      </c>
      <c r="BB552" t="str">
        <f t="shared" si="162"/>
        <v xml:space="preserve">N733KP  </v>
      </c>
      <c r="BC552">
        <v>1</v>
      </c>
      <c r="BE552">
        <v>0</v>
      </c>
      <c r="BF552">
        <v>0</v>
      </c>
      <c r="BG552">
        <v>0</v>
      </c>
      <c r="BH552">
        <v>2925</v>
      </c>
      <c r="BI552">
        <v>1</v>
      </c>
      <c r="BJ552">
        <v>1</v>
      </c>
      <c r="BK552">
        <v>0</v>
      </c>
      <c r="BL552">
        <v>0</v>
      </c>
      <c r="BO552">
        <v>0</v>
      </c>
      <c r="BP552">
        <v>0</v>
      </c>
      <c r="BW552" t="str">
        <f>"22:11:44.894"</f>
        <v>22:11:44.894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6</v>
      </c>
      <c r="CP552" t="s">
        <v>119</v>
      </c>
      <c r="CQ552">
        <v>364</v>
      </c>
      <c r="CR552">
        <v>0</v>
      </c>
      <c r="CW552">
        <v>1385195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"03/24/2022 22:11:45.086"</f>
        <v>03/24/2022 22:11:45.086</v>
      </c>
      <c r="C553" t="str">
        <f t="shared" si="160"/>
        <v>FFDFD3C0</v>
      </c>
      <c r="D553" t="s">
        <v>123</v>
      </c>
      <c r="E553">
        <v>8</v>
      </c>
      <c r="H553">
        <v>31</v>
      </c>
      <c r="I553" t="s">
        <v>124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 t="shared" si="166"/>
        <v>22:11:44.000</v>
      </c>
      <c r="T553" t="str">
        <f t="shared" si="166"/>
        <v>22:11:44.000</v>
      </c>
      <c r="U553" t="str">
        <f t="shared" si="155"/>
        <v>A9D71F</v>
      </c>
      <c r="V553">
        <v>0</v>
      </c>
      <c r="W553">
        <v>0</v>
      </c>
      <c r="X553">
        <v>2</v>
      </c>
      <c r="Z553">
        <v>1</v>
      </c>
      <c r="AA553">
        <v>8</v>
      </c>
      <c r="AB553">
        <v>3</v>
      </c>
      <c r="AC553">
        <v>0</v>
      </c>
      <c r="AD553">
        <v>9</v>
      </c>
      <c r="AE553">
        <v>0</v>
      </c>
      <c r="AF553">
        <v>3</v>
      </c>
      <c r="AG553">
        <v>1</v>
      </c>
      <c r="AH553">
        <v>0</v>
      </c>
      <c r="AI553" t="s">
        <v>271</v>
      </c>
      <c r="AJ553">
        <v>33.187787999999998</v>
      </c>
      <c r="AK553" t="s">
        <v>323</v>
      </c>
      <c r="AL553">
        <v>-97.759823999999995</v>
      </c>
      <c r="AM553">
        <v>25</v>
      </c>
      <c r="AN553">
        <v>3000</v>
      </c>
      <c r="AO553" t="s">
        <v>118</v>
      </c>
      <c r="AP553">
        <v>88</v>
      </c>
      <c r="AQ553">
        <v>-5</v>
      </c>
      <c r="AR553">
        <v>512</v>
      </c>
      <c r="AZ553">
        <v>1200</v>
      </c>
      <c r="BA553">
        <v>1</v>
      </c>
      <c r="BB553" t="str">
        <f t="shared" si="162"/>
        <v xml:space="preserve">N733KP  </v>
      </c>
      <c r="BC553">
        <v>1</v>
      </c>
      <c r="BE553">
        <v>0</v>
      </c>
      <c r="BF553">
        <v>0</v>
      </c>
      <c r="BG553">
        <v>0</v>
      </c>
      <c r="BH553">
        <v>2925</v>
      </c>
      <c r="BI553">
        <v>1</v>
      </c>
      <c r="BJ553">
        <v>1</v>
      </c>
      <c r="BK553">
        <v>0</v>
      </c>
      <c r="BL553">
        <v>0</v>
      </c>
      <c r="BO553">
        <v>0</v>
      </c>
      <c r="BP553">
        <v>0</v>
      </c>
      <c r="BW553" t="str">
        <f>"22:11:44.894"</f>
        <v>22:11:44.894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6</v>
      </c>
      <c r="CP553" t="s">
        <v>119</v>
      </c>
      <c r="CQ553">
        <v>364</v>
      </c>
      <c r="CR553">
        <v>0</v>
      </c>
      <c r="CW553">
        <v>1385195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"03/24/2022 22:11:48.150"</f>
        <v>03/24/2022 22:11:48.150</v>
      </c>
      <c r="C554" t="str">
        <f t="shared" si="160"/>
        <v>FFDFD3C0</v>
      </c>
      <c r="D554" t="s">
        <v>126</v>
      </c>
      <c r="E554">
        <v>3</v>
      </c>
      <c r="H554">
        <v>160</v>
      </c>
      <c r="I554" t="s">
        <v>121</v>
      </c>
      <c r="J554" t="s">
        <v>127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 t="shared" ref="S554:T557" si="167">"22:11:47.000"</f>
        <v>22:11:47.000</v>
      </c>
      <c r="T554" t="str">
        <f t="shared" si="167"/>
        <v>22:11:47.000</v>
      </c>
      <c r="U554" t="str">
        <f t="shared" si="155"/>
        <v>A9D71F</v>
      </c>
      <c r="V554">
        <v>0</v>
      </c>
      <c r="W554">
        <v>0</v>
      </c>
      <c r="X554">
        <v>2</v>
      </c>
      <c r="Z554">
        <v>1</v>
      </c>
      <c r="AA554">
        <v>8</v>
      </c>
      <c r="AB554">
        <v>3</v>
      </c>
      <c r="AC554">
        <v>0</v>
      </c>
      <c r="AD554">
        <v>9</v>
      </c>
      <c r="AE554">
        <v>0</v>
      </c>
      <c r="AF554">
        <v>3</v>
      </c>
      <c r="AG554">
        <v>1</v>
      </c>
      <c r="AH554">
        <v>0</v>
      </c>
      <c r="AI554" t="s">
        <v>324</v>
      </c>
      <c r="AJ554">
        <v>33.187702000000002</v>
      </c>
      <c r="AK554" t="s">
        <v>325</v>
      </c>
      <c r="AL554">
        <v>-97.758322000000007</v>
      </c>
      <c r="AM554">
        <v>25</v>
      </c>
      <c r="AN554">
        <v>3000</v>
      </c>
      <c r="AO554" t="s">
        <v>118</v>
      </c>
      <c r="AP554">
        <v>89</v>
      </c>
      <c r="AQ554">
        <v>-5</v>
      </c>
      <c r="AR554">
        <v>448</v>
      </c>
      <c r="AZ554">
        <v>1200</v>
      </c>
      <c r="BA554">
        <v>1</v>
      </c>
      <c r="BB554" t="str">
        <f t="shared" si="162"/>
        <v xml:space="preserve">N733KP  </v>
      </c>
      <c r="BC554">
        <v>1</v>
      </c>
      <c r="BE554">
        <v>0</v>
      </c>
      <c r="BF554">
        <v>0</v>
      </c>
      <c r="BG554">
        <v>0</v>
      </c>
      <c r="BH554">
        <v>2950</v>
      </c>
      <c r="BI554">
        <v>1</v>
      </c>
      <c r="BJ554">
        <v>1</v>
      </c>
      <c r="BK554">
        <v>0</v>
      </c>
      <c r="BL554">
        <v>0</v>
      </c>
      <c r="BO554">
        <v>0</v>
      </c>
      <c r="BP554">
        <v>0</v>
      </c>
      <c r="BW554" t="str">
        <f>"22:11:47.990"</f>
        <v>22:11:47.990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6</v>
      </c>
      <c r="CP554" t="s">
        <v>119</v>
      </c>
      <c r="CQ554">
        <v>364</v>
      </c>
      <c r="CR554">
        <v>0</v>
      </c>
      <c r="CW554">
        <v>1385697</v>
      </c>
      <c r="CY554">
        <v>1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"03/24/2022 22:11:48.150"</f>
        <v>03/24/2022 22:11:48.150</v>
      </c>
      <c r="C555" t="str">
        <f t="shared" si="160"/>
        <v>FFDFD3C0</v>
      </c>
      <c r="D555" t="s">
        <v>120</v>
      </c>
      <c r="E555">
        <v>14</v>
      </c>
      <c r="F555">
        <v>1014</v>
      </c>
      <c r="G555" t="s">
        <v>121</v>
      </c>
      <c r="J555" t="s">
        <v>122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 t="shared" si="167"/>
        <v>22:11:47.000</v>
      </c>
      <c r="T555" t="str">
        <f t="shared" si="167"/>
        <v>22:11:47.000</v>
      </c>
      <c r="U555" t="str">
        <f t="shared" si="155"/>
        <v>A9D71F</v>
      </c>
      <c r="V555">
        <v>0</v>
      </c>
      <c r="W555">
        <v>0</v>
      </c>
      <c r="X555">
        <v>2</v>
      </c>
      <c r="Z555">
        <v>1</v>
      </c>
      <c r="AA555">
        <v>8</v>
      </c>
      <c r="AB555">
        <v>3</v>
      </c>
      <c r="AC555">
        <v>0</v>
      </c>
      <c r="AD555">
        <v>9</v>
      </c>
      <c r="AE555">
        <v>0</v>
      </c>
      <c r="AF555">
        <v>3</v>
      </c>
      <c r="AG555">
        <v>1</v>
      </c>
      <c r="AH555">
        <v>0</v>
      </c>
      <c r="AI555" t="s">
        <v>324</v>
      </c>
      <c r="AJ555">
        <v>33.187702000000002</v>
      </c>
      <c r="AK555" t="s">
        <v>325</v>
      </c>
      <c r="AL555">
        <v>-97.758322000000007</v>
      </c>
      <c r="AM555">
        <v>25</v>
      </c>
      <c r="AN555">
        <v>3000</v>
      </c>
      <c r="AO555" t="s">
        <v>118</v>
      </c>
      <c r="AP555">
        <v>89</v>
      </c>
      <c r="AQ555">
        <v>-5</v>
      </c>
      <c r="AR555">
        <v>448</v>
      </c>
      <c r="AZ555">
        <v>1200</v>
      </c>
      <c r="BA555">
        <v>1</v>
      </c>
      <c r="BB555" t="str">
        <f t="shared" si="162"/>
        <v xml:space="preserve">N733KP  </v>
      </c>
      <c r="BC555">
        <v>1</v>
      </c>
      <c r="BE555">
        <v>0</v>
      </c>
      <c r="BF555">
        <v>0</v>
      </c>
      <c r="BG555">
        <v>0</v>
      </c>
      <c r="BH555">
        <v>2950</v>
      </c>
      <c r="BI555">
        <v>1</v>
      </c>
      <c r="BJ555">
        <v>1</v>
      </c>
      <c r="BK555">
        <v>0</v>
      </c>
      <c r="BL555">
        <v>0</v>
      </c>
      <c r="BO555">
        <v>0</v>
      </c>
      <c r="BP555">
        <v>0</v>
      </c>
      <c r="BW555" t="str">
        <f>"22:11:47.990"</f>
        <v>22:11:47.990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6</v>
      </c>
      <c r="CP555" t="s">
        <v>119</v>
      </c>
      <c r="CQ555">
        <v>364</v>
      </c>
      <c r="CR555">
        <v>0</v>
      </c>
      <c r="CW555">
        <v>1385697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"03/24/2022 22:11:48.166"</f>
        <v>03/24/2022 22:11:48.166</v>
      </c>
      <c r="C556" t="str">
        <f t="shared" si="160"/>
        <v>FFDFD3C0</v>
      </c>
      <c r="D556" t="s">
        <v>113</v>
      </c>
      <c r="E556">
        <v>24</v>
      </c>
      <c r="F556">
        <v>2024</v>
      </c>
      <c r="G556" t="s">
        <v>114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 t="shared" si="167"/>
        <v>22:11:47.000</v>
      </c>
      <c r="T556" t="str">
        <f t="shared" si="167"/>
        <v>22:11:47.000</v>
      </c>
      <c r="U556" t="str">
        <f t="shared" si="155"/>
        <v>A9D71F</v>
      </c>
      <c r="V556">
        <v>0</v>
      </c>
      <c r="W556">
        <v>0</v>
      </c>
      <c r="X556">
        <v>2</v>
      </c>
      <c r="Z556">
        <v>1</v>
      </c>
      <c r="AA556">
        <v>8</v>
      </c>
      <c r="AB556">
        <v>3</v>
      </c>
      <c r="AC556">
        <v>0</v>
      </c>
      <c r="AD556">
        <v>9</v>
      </c>
      <c r="AE556">
        <v>0</v>
      </c>
      <c r="AF556">
        <v>3</v>
      </c>
      <c r="AG556">
        <v>1</v>
      </c>
      <c r="AH556">
        <v>0</v>
      </c>
      <c r="AI556" t="s">
        <v>324</v>
      </c>
      <c r="AJ556">
        <v>33.187702000000002</v>
      </c>
      <c r="AK556" t="s">
        <v>325</v>
      </c>
      <c r="AL556">
        <v>-97.758322000000007</v>
      </c>
      <c r="AM556">
        <v>25</v>
      </c>
      <c r="AN556">
        <v>3000</v>
      </c>
      <c r="AO556" t="s">
        <v>118</v>
      </c>
      <c r="AP556">
        <v>89</v>
      </c>
      <c r="AQ556">
        <v>-5</v>
      </c>
      <c r="AR556">
        <v>448</v>
      </c>
      <c r="AZ556">
        <v>1200</v>
      </c>
      <c r="BA556">
        <v>1</v>
      </c>
      <c r="BB556" t="str">
        <f t="shared" si="162"/>
        <v xml:space="preserve">N733KP  </v>
      </c>
      <c r="BC556">
        <v>1</v>
      </c>
      <c r="BE556">
        <v>0</v>
      </c>
      <c r="BF556">
        <v>0</v>
      </c>
      <c r="BG556">
        <v>0</v>
      </c>
      <c r="BH556">
        <v>2950</v>
      </c>
      <c r="BI556">
        <v>1</v>
      </c>
      <c r="BJ556">
        <v>1</v>
      </c>
      <c r="BK556">
        <v>0</v>
      </c>
      <c r="BL556">
        <v>0</v>
      </c>
      <c r="BO556">
        <v>0</v>
      </c>
      <c r="BP556">
        <v>0</v>
      </c>
      <c r="BW556" t="str">
        <f>"22:11:47.990"</f>
        <v>22:11:47.990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6</v>
      </c>
      <c r="CP556" t="s">
        <v>119</v>
      </c>
      <c r="CQ556">
        <v>364</v>
      </c>
      <c r="CR556">
        <v>0</v>
      </c>
      <c r="CW556">
        <v>1385697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"03/24/2022 22:11:48.181"</f>
        <v>03/24/2022 22:11:48.181</v>
      </c>
      <c r="C557" t="str">
        <f t="shared" si="160"/>
        <v>FFDFD3C0</v>
      </c>
      <c r="D557" t="s">
        <v>123</v>
      </c>
      <c r="E557">
        <v>8</v>
      </c>
      <c r="H557">
        <v>31</v>
      </c>
      <c r="I557" t="s">
        <v>124</v>
      </c>
      <c r="J557" t="s">
        <v>125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 t="shared" si="167"/>
        <v>22:11:47.000</v>
      </c>
      <c r="T557" t="str">
        <f t="shared" si="167"/>
        <v>22:11:47.000</v>
      </c>
      <c r="U557" t="str">
        <f t="shared" si="155"/>
        <v>A9D71F</v>
      </c>
      <c r="V557">
        <v>0</v>
      </c>
      <c r="W557">
        <v>0</v>
      </c>
      <c r="X557">
        <v>2</v>
      </c>
      <c r="Z557">
        <v>1</v>
      </c>
      <c r="AA557">
        <v>8</v>
      </c>
      <c r="AB557">
        <v>3</v>
      </c>
      <c r="AC557">
        <v>0</v>
      </c>
      <c r="AD557">
        <v>9</v>
      </c>
      <c r="AE557">
        <v>0</v>
      </c>
      <c r="AF557">
        <v>3</v>
      </c>
      <c r="AG557">
        <v>1</v>
      </c>
      <c r="AH557">
        <v>0</v>
      </c>
      <c r="AI557" t="s">
        <v>324</v>
      </c>
      <c r="AJ557">
        <v>33.187702000000002</v>
      </c>
      <c r="AK557" t="s">
        <v>325</v>
      </c>
      <c r="AL557">
        <v>-97.758322000000007</v>
      </c>
      <c r="AM557">
        <v>25</v>
      </c>
      <c r="AN557">
        <v>3000</v>
      </c>
      <c r="AO557" t="s">
        <v>118</v>
      </c>
      <c r="AP557">
        <v>89</v>
      </c>
      <c r="AQ557">
        <v>-5</v>
      </c>
      <c r="AR557">
        <v>448</v>
      </c>
      <c r="AZ557">
        <v>1200</v>
      </c>
      <c r="BA557">
        <v>1</v>
      </c>
      <c r="BB557" t="str">
        <f t="shared" si="162"/>
        <v xml:space="preserve">N733KP  </v>
      </c>
      <c r="BC557">
        <v>1</v>
      </c>
      <c r="BE557">
        <v>0</v>
      </c>
      <c r="BF557">
        <v>0</v>
      </c>
      <c r="BG557">
        <v>0</v>
      </c>
      <c r="BH557">
        <v>2950</v>
      </c>
      <c r="BI557">
        <v>1</v>
      </c>
      <c r="BJ557">
        <v>1</v>
      </c>
      <c r="BK557">
        <v>0</v>
      </c>
      <c r="BL557">
        <v>0</v>
      </c>
      <c r="BO557">
        <v>0</v>
      </c>
      <c r="BP557">
        <v>0</v>
      </c>
      <c r="BW557" t="str">
        <f>"22:11:47.990"</f>
        <v>22:11:47.990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6</v>
      </c>
      <c r="CP557" t="s">
        <v>119</v>
      </c>
      <c r="CQ557">
        <v>364</v>
      </c>
      <c r="CR557">
        <v>0</v>
      </c>
      <c r="CW557">
        <v>1385697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"03/24/2022 22:11:48.746"</f>
        <v>03/24/2022 22:11:48.746</v>
      </c>
      <c r="C558" t="str">
        <f t="shared" si="160"/>
        <v>FFDFD3C0</v>
      </c>
      <c r="D558" t="s">
        <v>126</v>
      </c>
      <c r="E558">
        <v>3</v>
      </c>
      <c r="H558">
        <v>160</v>
      </c>
      <c r="I558" t="s">
        <v>121</v>
      </c>
      <c r="J558" t="s">
        <v>127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 t="shared" ref="S558:T561" si="168">"22:11:48.000"</f>
        <v>22:11:48.000</v>
      </c>
      <c r="T558" t="str">
        <f t="shared" si="168"/>
        <v>22:11:48.000</v>
      </c>
      <c r="U558" t="str">
        <f t="shared" si="155"/>
        <v>A9D71F</v>
      </c>
      <c r="V558">
        <v>0</v>
      </c>
      <c r="W558">
        <v>0</v>
      </c>
      <c r="X558">
        <v>2</v>
      </c>
      <c r="Z558">
        <v>1</v>
      </c>
      <c r="AA558">
        <v>8</v>
      </c>
      <c r="AB558">
        <v>3</v>
      </c>
      <c r="AC558">
        <v>0</v>
      </c>
      <c r="AD558">
        <v>9</v>
      </c>
      <c r="AE558">
        <v>0</v>
      </c>
      <c r="AF558">
        <v>3</v>
      </c>
      <c r="AG558">
        <v>1</v>
      </c>
      <c r="AH558">
        <v>0</v>
      </c>
      <c r="AI558" t="s">
        <v>326</v>
      </c>
      <c r="AJ558">
        <v>33.187658999999996</v>
      </c>
      <c r="AK558" t="s">
        <v>327</v>
      </c>
      <c r="AL558">
        <v>-97.757828000000003</v>
      </c>
      <c r="AM558">
        <v>25</v>
      </c>
      <c r="AN558">
        <v>3000</v>
      </c>
      <c r="AO558" t="s">
        <v>118</v>
      </c>
      <c r="AP558">
        <v>89</v>
      </c>
      <c r="AQ558">
        <v>-4</v>
      </c>
      <c r="AR558">
        <v>512</v>
      </c>
      <c r="AZ558">
        <v>1200</v>
      </c>
      <c r="BA558">
        <v>1</v>
      </c>
      <c r="BB558" t="str">
        <f t="shared" si="162"/>
        <v xml:space="preserve">N733KP  </v>
      </c>
      <c r="BC558">
        <v>1</v>
      </c>
      <c r="BE558">
        <v>0</v>
      </c>
      <c r="BF558">
        <v>0</v>
      </c>
      <c r="BG558">
        <v>0</v>
      </c>
      <c r="BH558">
        <v>2950</v>
      </c>
      <c r="BI558">
        <v>1</v>
      </c>
      <c r="BJ558">
        <v>1</v>
      </c>
      <c r="BK558">
        <v>0</v>
      </c>
      <c r="BL558">
        <v>0</v>
      </c>
      <c r="BO558">
        <v>0</v>
      </c>
      <c r="BP558">
        <v>0</v>
      </c>
      <c r="BW558" t="str">
        <f>"22:11:48.606"</f>
        <v>22:11:48.606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6</v>
      </c>
      <c r="CP558" t="s">
        <v>119</v>
      </c>
      <c r="CQ558">
        <v>364</v>
      </c>
      <c r="CR558">
        <v>0</v>
      </c>
      <c r="CW558">
        <v>1385790</v>
      </c>
      <c r="CY558">
        <v>1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"03/24/2022 22:11:48.793"</f>
        <v>03/24/2022 22:11:48.793</v>
      </c>
      <c r="C559" t="str">
        <f t="shared" si="160"/>
        <v>FFDFD3C0</v>
      </c>
      <c r="D559" t="s">
        <v>120</v>
      </c>
      <c r="E559">
        <v>14</v>
      </c>
      <c r="F559">
        <v>1014</v>
      </c>
      <c r="G559" t="s">
        <v>121</v>
      </c>
      <c r="J559" t="s">
        <v>122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 t="shared" si="168"/>
        <v>22:11:48.000</v>
      </c>
      <c r="T559" t="str">
        <f t="shared" si="168"/>
        <v>22:11:48.000</v>
      </c>
      <c r="U559" t="str">
        <f t="shared" si="155"/>
        <v>A9D71F</v>
      </c>
      <c r="V559">
        <v>0</v>
      </c>
      <c r="W559">
        <v>0</v>
      </c>
      <c r="X559">
        <v>2</v>
      </c>
      <c r="Z559">
        <v>1</v>
      </c>
      <c r="AA559">
        <v>8</v>
      </c>
      <c r="AB559">
        <v>3</v>
      </c>
      <c r="AC559">
        <v>0</v>
      </c>
      <c r="AD559">
        <v>9</v>
      </c>
      <c r="AE559">
        <v>0</v>
      </c>
      <c r="AF559">
        <v>3</v>
      </c>
      <c r="AG559">
        <v>1</v>
      </c>
      <c r="AH559">
        <v>0</v>
      </c>
      <c r="AI559" t="s">
        <v>326</v>
      </c>
      <c r="AJ559">
        <v>33.187658999999996</v>
      </c>
      <c r="AK559" t="s">
        <v>327</v>
      </c>
      <c r="AL559">
        <v>-97.757828000000003</v>
      </c>
      <c r="AM559">
        <v>25</v>
      </c>
      <c r="AN559">
        <v>3000</v>
      </c>
      <c r="AO559" t="s">
        <v>118</v>
      </c>
      <c r="AP559">
        <v>89</v>
      </c>
      <c r="AQ559">
        <v>-4</v>
      </c>
      <c r="AR559">
        <v>512</v>
      </c>
      <c r="AZ559">
        <v>1200</v>
      </c>
      <c r="BA559">
        <v>1</v>
      </c>
      <c r="BB559" t="str">
        <f t="shared" si="162"/>
        <v xml:space="preserve">N733KP  </v>
      </c>
      <c r="BC559">
        <v>1</v>
      </c>
      <c r="BE559">
        <v>0</v>
      </c>
      <c r="BF559">
        <v>0</v>
      </c>
      <c r="BG559">
        <v>0</v>
      </c>
      <c r="BH559">
        <v>2950</v>
      </c>
      <c r="BI559">
        <v>1</v>
      </c>
      <c r="BJ559">
        <v>1</v>
      </c>
      <c r="BK559">
        <v>0</v>
      </c>
      <c r="BL559">
        <v>0</v>
      </c>
      <c r="BO559">
        <v>0</v>
      </c>
      <c r="BP559">
        <v>0</v>
      </c>
      <c r="BW559" t="str">
        <f>"22:11:48.606"</f>
        <v>22:11:48.606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6</v>
      </c>
      <c r="CP559" t="s">
        <v>119</v>
      </c>
      <c r="CQ559">
        <v>364</v>
      </c>
      <c r="CR559">
        <v>0</v>
      </c>
      <c r="CW559">
        <v>1385790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"03/24/2022 22:11:48.808"</f>
        <v>03/24/2022 22:11:48.808</v>
      </c>
      <c r="C560" t="str">
        <f t="shared" si="160"/>
        <v>FFDFD3C0</v>
      </c>
      <c r="D560" t="s">
        <v>113</v>
      </c>
      <c r="E560">
        <v>24</v>
      </c>
      <c r="F560">
        <v>2024</v>
      </c>
      <c r="G560" t="s">
        <v>114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 t="shared" si="168"/>
        <v>22:11:48.000</v>
      </c>
      <c r="T560" t="str">
        <f t="shared" si="168"/>
        <v>22:11:48.000</v>
      </c>
      <c r="U560" t="str">
        <f t="shared" si="155"/>
        <v>A9D71F</v>
      </c>
      <c r="V560">
        <v>0</v>
      </c>
      <c r="W560">
        <v>0</v>
      </c>
      <c r="X560">
        <v>2</v>
      </c>
      <c r="Z560">
        <v>1</v>
      </c>
      <c r="AA560">
        <v>8</v>
      </c>
      <c r="AB560">
        <v>3</v>
      </c>
      <c r="AC560">
        <v>0</v>
      </c>
      <c r="AD560">
        <v>9</v>
      </c>
      <c r="AE560">
        <v>0</v>
      </c>
      <c r="AF560">
        <v>3</v>
      </c>
      <c r="AG560">
        <v>1</v>
      </c>
      <c r="AH560">
        <v>0</v>
      </c>
      <c r="AI560" t="s">
        <v>326</v>
      </c>
      <c r="AJ560">
        <v>33.187658999999996</v>
      </c>
      <c r="AK560" t="s">
        <v>327</v>
      </c>
      <c r="AL560">
        <v>-97.757828000000003</v>
      </c>
      <c r="AM560">
        <v>25</v>
      </c>
      <c r="AN560">
        <v>3000</v>
      </c>
      <c r="AO560" t="s">
        <v>118</v>
      </c>
      <c r="AP560">
        <v>89</v>
      </c>
      <c r="AQ560">
        <v>-4</v>
      </c>
      <c r="AR560">
        <v>512</v>
      </c>
      <c r="AZ560">
        <v>1200</v>
      </c>
      <c r="BA560">
        <v>1</v>
      </c>
      <c r="BB560" t="str">
        <f t="shared" si="162"/>
        <v xml:space="preserve">N733KP  </v>
      </c>
      <c r="BC560">
        <v>1</v>
      </c>
      <c r="BE560">
        <v>0</v>
      </c>
      <c r="BF560">
        <v>0</v>
      </c>
      <c r="BG560">
        <v>0</v>
      </c>
      <c r="BH560">
        <v>2950</v>
      </c>
      <c r="BI560">
        <v>1</v>
      </c>
      <c r="BJ560">
        <v>1</v>
      </c>
      <c r="BK560">
        <v>0</v>
      </c>
      <c r="BL560">
        <v>0</v>
      </c>
      <c r="BO560">
        <v>0</v>
      </c>
      <c r="BP560">
        <v>0</v>
      </c>
      <c r="BW560" t="str">
        <f>"22:11:48.606"</f>
        <v>22:11:48.606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119</v>
      </c>
      <c r="CQ560">
        <v>364</v>
      </c>
      <c r="CR560">
        <v>0</v>
      </c>
      <c r="CW560">
        <v>1385790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"03/24/2022 22:11:48.808"</f>
        <v>03/24/2022 22:11:48.808</v>
      </c>
      <c r="C561" t="str">
        <f t="shared" si="160"/>
        <v>FFDFD3C0</v>
      </c>
      <c r="D561" t="s">
        <v>123</v>
      </c>
      <c r="E561">
        <v>8</v>
      </c>
      <c r="H561">
        <v>31</v>
      </c>
      <c r="I561" t="s">
        <v>124</v>
      </c>
      <c r="J561" t="s">
        <v>125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 t="shared" si="168"/>
        <v>22:11:48.000</v>
      </c>
      <c r="T561" t="str">
        <f t="shared" si="168"/>
        <v>22:11:48.000</v>
      </c>
      <c r="U561" t="str">
        <f t="shared" si="155"/>
        <v>A9D71F</v>
      </c>
      <c r="V561">
        <v>0</v>
      </c>
      <c r="W561">
        <v>0</v>
      </c>
      <c r="X561">
        <v>2</v>
      </c>
      <c r="Z561">
        <v>1</v>
      </c>
      <c r="AA561">
        <v>8</v>
      </c>
      <c r="AB561">
        <v>3</v>
      </c>
      <c r="AC561">
        <v>0</v>
      </c>
      <c r="AD561">
        <v>9</v>
      </c>
      <c r="AE561">
        <v>0</v>
      </c>
      <c r="AF561">
        <v>3</v>
      </c>
      <c r="AG561">
        <v>1</v>
      </c>
      <c r="AH561">
        <v>0</v>
      </c>
      <c r="AI561" t="s">
        <v>326</v>
      </c>
      <c r="AJ561">
        <v>33.187658999999996</v>
      </c>
      <c r="AK561" t="s">
        <v>327</v>
      </c>
      <c r="AL561">
        <v>-97.757828000000003</v>
      </c>
      <c r="AM561">
        <v>25</v>
      </c>
      <c r="AN561">
        <v>3000</v>
      </c>
      <c r="AO561" t="s">
        <v>118</v>
      </c>
      <c r="AP561">
        <v>89</v>
      </c>
      <c r="AQ561">
        <v>-4</v>
      </c>
      <c r="AR561">
        <v>512</v>
      </c>
      <c r="AZ561">
        <v>1200</v>
      </c>
      <c r="BA561">
        <v>1</v>
      </c>
      <c r="BB561" t="str">
        <f t="shared" si="162"/>
        <v xml:space="preserve">N733KP  </v>
      </c>
      <c r="BC561">
        <v>1</v>
      </c>
      <c r="BE561">
        <v>0</v>
      </c>
      <c r="BF561">
        <v>0</v>
      </c>
      <c r="BG561">
        <v>0</v>
      </c>
      <c r="BH561">
        <v>2950</v>
      </c>
      <c r="BI561">
        <v>1</v>
      </c>
      <c r="BJ561">
        <v>1</v>
      </c>
      <c r="BK561">
        <v>0</v>
      </c>
      <c r="BL561">
        <v>0</v>
      </c>
      <c r="BO561">
        <v>0</v>
      </c>
      <c r="BP561">
        <v>0</v>
      </c>
      <c r="BW561" t="str">
        <f>"22:11:48.606"</f>
        <v>22:11:48.606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6</v>
      </c>
      <c r="CP561" t="s">
        <v>119</v>
      </c>
      <c r="CQ561">
        <v>364</v>
      </c>
      <c r="CR561">
        <v>0</v>
      </c>
      <c r="CW561">
        <v>1385790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"03/24/2022 22:11:49.746"</f>
        <v>03/24/2022 22:11:49.746</v>
      </c>
      <c r="C562" t="str">
        <f t="shared" si="160"/>
        <v>FFDFD3C0</v>
      </c>
      <c r="D562" t="s">
        <v>123</v>
      </c>
      <c r="E562">
        <v>8</v>
      </c>
      <c r="H562">
        <v>31</v>
      </c>
      <c r="I562" t="s">
        <v>124</v>
      </c>
      <c r="J562" t="s">
        <v>125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 t="shared" ref="S562:T565" si="169">"22:11:49.000"</f>
        <v>22:11:49.000</v>
      </c>
      <c r="T562" t="str">
        <f t="shared" si="169"/>
        <v>22:11:49.000</v>
      </c>
      <c r="U562" t="str">
        <f t="shared" si="155"/>
        <v>A9D71F</v>
      </c>
      <c r="V562">
        <v>0</v>
      </c>
      <c r="W562">
        <v>0</v>
      </c>
      <c r="X562">
        <v>2</v>
      </c>
      <c r="Z562">
        <v>1</v>
      </c>
      <c r="AA562">
        <v>8</v>
      </c>
      <c r="AB562">
        <v>3</v>
      </c>
      <c r="AC562">
        <v>0</v>
      </c>
      <c r="AD562">
        <v>9</v>
      </c>
      <c r="AE562">
        <v>0</v>
      </c>
      <c r="AF562">
        <v>3</v>
      </c>
      <c r="AG562">
        <v>1</v>
      </c>
      <c r="AH562">
        <v>0</v>
      </c>
      <c r="AI562" t="s">
        <v>328</v>
      </c>
      <c r="AJ562">
        <v>33.187637000000002</v>
      </c>
      <c r="AK562" t="s">
        <v>329</v>
      </c>
      <c r="AL562">
        <v>-97.757334999999998</v>
      </c>
      <c r="AM562">
        <v>25</v>
      </c>
      <c r="AN562">
        <v>3000</v>
      </c>
      <c r="AO562" t="s">
        <v>118</v>
      </c>
      <c r="AP562">
        <v>90</v>
      </c>
      <c r="AQ562">
        <v>-6</v>
      </c>
      <c r="AR562">
        <v>512</v>
      </c>
      <c r="AZ562">
        <v>1200</v>
      </c>
      <c r="BA562">
        <v>1</v>
      </c>
      <c r="BB562" t="str">
        <f t="shared" si="162"/>
        <v xml:space="preserve">N733KP  </v>
      </c>
      <c r="BC562">
        <v>1</v>
      </c>
      <c r="BE562">
        <v>0</v>
      </c>
      <c r="BF562">
        <v>0</v>
      </c>
      <c r="BG562">
        <v>0</v>
      </c>
      <c r="BH562">
        <v>2950</v>
      </c>
      <c r="BI562">
        <v>1</v>
      </c>
      <c r="BJ562">
        <v>1</v>
      </c>
      <c r="BK562">
        <v>0</v>
      </c>
      <c r="BL562">
        <v>0</v>
      </c>
      <c r="BO562">
        <v>0</v>
      </c>
      <c r="BP562">
        <v>0</v>
      </c>
      <c r="BW562" t="str">
        <f>"22:11:49.563"</f>
        <v>22:11:49.563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6</v>
      </c>
      <c r="CP562" t="s">
        <v>119</v>
      </c>
      <c r="CQ562">
        <v>364</v>
      </c>
      <c r="CR562">
        <v>0</v>
      </c>
      <c r="CW562">
        <v>1385938</v>
      </c>
      <c r="CY562">
        <v>1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"03/24/2022 22:11:49.746"</f>
        <v>03/24/2022 22:11:49.746</v>
      </c>
      <c r="C563" t="str">
        <f t="shared" si="160"/>
        <v>FFDFD3C0</v>
      </c>
      <c r="D563" t="s">
        <v>113</v>
      </c>
      <c r="E563">
        <v>24</v>
      </c>
      <c r="F563">
        <v>2024</v>
      </c>
      <c r="G563" t="s">
        <v>114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 t="shared" si="169"/>
        <v>22:11:49.000</v>
      </c>
      <c r="T563" t="str">
        <f t="shared" si="169"/>
        <v>22:11:49.000</v>
      </c>
      <c r="U563" t="str">
        <f t="shared" si="155"/>
        <v>A9D71F</v>
      </c>
      <c r="V563">
        <v>0</v>
      </c>
      <c r="W563">
        <v>0</v>
      </c>
      <c r="X563">
        <v>2</v>
      </c>
      <c r="Z563">
        <v>1</v>
      </c>
      <c r="AA563">
        <v>8</v>
      </c>
      <c r="AB563">
        <v>3</v>
      </c>
      <c r="AC563">
        <v>0</v>
      </c>
      <c r="AD563">
        <v>9</v>
      </c>
      <c r="AE563">
        <v>0</v>
      </c>
      <c r="AF563">
        <v>3</v>
      </c>
      <c r="AG563">
        <v>1</v>
      </c>
      <c r="AH563">
        <v>0</v>
      </c>
      <c r="AI563" t="s">
        <v>328</v>
      </c>
      <c r="AJ563">
        <v>33.187637000000002</v>
      </c>
      <c r="AK563" t="s">
        <v>329</v>
      </c>
      <c r="AL563">
        <v>-97.757334999999998</v>
      </c>
      <c r="AM563">
        <v>25</v>
      </c>
      <c r="AN563">
        <v>3000</v>
      </c>
      <c r="AO563" t="s">
        <v>118</v>
      </c>
      <c r="AP563">
        <v>90</v>
      </c>
      <c r="AQ563">
        <v>-6</v>
      </c>
      <c r="AR563">
        <v>512</v>
      </c>
      <c r="AZ563">
        <v>1200</v>
      </c>
      <c r="BA563">
        <v>1</v>
      </c>
      <c r="BB563" t="str">
        <f t="shared" si="162"/>
        <v xml:space="preserve">N733KP  </v>
      </c>
      <c r="BC563">
        <v>1</v>
      </c>
      <c r="BE563">
        <v>0</v>
      </c>
      <c r="BF563">
        <v>0</v>
      </c>
      <c r="BG563">
        <v>0</v>
      </c>
      <c r="BH563">
        <v>2950</v>
      </c>
      <c r="BI563">
        <v>1</v>
      </c>
      <c r="BJ563">
        <v>1</v>
      </c>
      <c r="BK563">
        <v>0</v>
      </c>
      <c r="BL563">
        <v>0</v>
      </c>
      <c r="BO563">
        <v>0</v>
      </c>
      <c r="BP563">
        <v>0</v>
      </c>
      <c r="BW563" t="str">
        <f>"22:11:49.563"</f>
        <v>22:11:49.563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6</v>
      </c>
      <c r="CP563" t="s">
        <v>119</v>
      </c>
      <c r="CQ563">
        <v>364</v>
      </c>
      <c r="CR563">
        <v>0</v>
      </c>
      <c r="CW563">
        <v>1385938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"03/24/2022 22:11:49.824"</f>
        <v>03/24/2022 22:11:49.824</v>
      </c>
      <c r="C564" t="str">
        <f t="shared" si="160"/>
        <v>FFDFD3C0</v>
      </c>
      <c r="D564" t="s">
        <v>126</v>
      </c>
      <c r="E564">
        <v>3</v>
      </c>
      <c r="H564">
        <v>160</v>
      </c>
      <c r="I564" t="s">
        <v>121</v>
      </c>
      <c r="J564" t="s">
        <v>127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 t="shared" si="169"/>
        <v>22:11:49.000</v>
      </c>
      <c r="T564" t="str">
        <f t="shared" si="169"/>
        <v>22:11:49.000</v>
      </c>
      <c r="U564" t="str">
        <f t="shared" si="155"/>
        <v>A9D71F</v>
      </c>
      <c r="V564">
        <v>0</v>
      </c>
      <c r="W564">
        <v>0</v>
      </c>
      <c r="X564">
        <v>2</v>
      </c>
      <c r="Z564">
        <v>1</v>
      </c>
      <c r="AA564">
        <v>8</v>
      </c>
      <c r="AB564">
        <v>3</v>
      </c>
      <c r="AC564">
        <v>0</v>
      </c>
      <c r="AD564">
        <v>9</v>
      </c>
      <c r="AE564">
        <v>0</v>
      </c>
      <c r="AF564">
        <v>3</v>
      </c>
      <c r="AG564">
        <v>1</v>
      </c>
      <c r="AH564">
        <v>0</v>
      </c>
      <c r="AI564" t="s">
        <v>328</v>
      </c>
      <c r="AJ564">
        <v>33.187637000000002</v>
      </c>
      <c r="AK564" t="s">
        <v>329</v>
      </c>
      <c r="AL564">
        <v>-97.757334999999998</v>
      </c>
      <c r="AM564">
        <v>25</v>
      </c>
      <c r="AN564">
        <v>3000</v>
      </c>
      <c r="AO564" t="s">
        <v>118</v>
      </c>
      <c r="AP564">
        <v>90</v>
      </c>
      <c r="AQ564">
        <v>-6</v>
      </c>
      <c r="AR564">
        <v>512</v>
      </c>
      <c r="AZ564">
        <v>1200</v>
      </c>
      <c r="BA564">
        <v>1</v>
      </c>
      <c r="BB564" t="str">
        <f t="shared" si="162"/>
        <v xml:space="preserve">N733KP  </v>
      </c>
      <c r="BC564">
        <v>1</v>
      </c>
      <c r="BE564">
        <v>0</v>
      </c>
      <c r="BF564">
        <v>0</v>
      </c>
      <c r="BG564">
        <v>0</v>
      </c>
      <c r="BH564">
        <v>2950</v>
      </c>
      <c r="BI564">
        <v>1</v>
      </c>
      <c r="BJ564">
        <v>1</v>
      </c>
      <c r="BK564">
        <v>0</v>
      </c>
      <c r="BL564">
        <v>0</v>
      </c>
      <c r="BO564">
        <v>0</v>
      </c>
      <c r="BP564">
        <v>0</v>
      </c>
      <c r="BW564" t="str">
        <f>"22:11:49.563"</f>
        <v>22:11:49.563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6</v>
      </c>
      <c r="CP564" t="s">
        <v>119</v>
      </c>
      <c r="CQ564">
        <v>364</v>
      </c>
      <c r="CR564">
        <v>0</v>
      </c>
      <c r="CW564">
        <v>1385938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"03/24/2022 22:11:49.824"</f>
        <v>03/24/2022 22:11:49.824</v>
      </c>
      <c r="C565" t="str">
        <f t="shared" si="160"/>
        <v>FFDFD3C0</v>
      </c>
      <c r="D565" t="s">
        <v>120</v>
      </c>
      <c r="E565">
        <v>14</v>
      </c>
      <c r="F565">
        <v>1014</v>
      </c>
      <c r="G565" t="s">
        <v>121</v>
      </c>
      <c r="J565" t="s">
        <v>122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 t="shared" si="169"/>
        <v>22:11:49.000</v>
      </c>
      <c r="T565" t="str">
        <f t="shared" si="169"/>
        <v>22:11:49.000</v>
      </c>
      <c r="U565" t="str">
        <f t="shared" si="155"/>
        <v>A9D71F</v>
      </c>
      <c r="V565">
        <v>0</v>
      </c>
      <c r="W565">
        <v>0</v>
      </c>
      <c r="X565">
        <v>2</v>
      </c>
      <c r="Z565">
        <v>1</v>
      </c>
      <c r="AA565">
        <v>8</v>
      </c>
      <c r="AB565">
        <v>3</v>
      </c>
      <c r="AC565">
        <v>0</v>
      </c>
      <c r="AD565">
        <v>9</v>
      </c>
      <c r="AE565">
        <v>0</v>
      </c>
      <c r="AF565">
        <v>3</v>
      </c>
      <c r="AG565">
        <v>1</v>
      </c>
      <c r="AH565">
        <v>0</v>
      </c>
      <c r="AI565" t="s">
        <v>328</v>
      </c>
      <c r="AJ565">
        <v>33.187637000000002</v>
      </c>
      <c r="AK565" t="s">
        <v>329</v>
      </c>
      <c r="AL565">
        <v>-97.757334999999998</v>
      </c>
      <c r="AM565">
        <v>25</v>
      </c>
      <c r="AN565">
        <v>3000</v>
      </c>
      <c r="AO565" t="s">
        <v>118</v>
      </c>
      <c r="AP565">
        <v>90</v>
      </c>
      <c r="AQ565">
        <v>-6</v>
      </c>
      <c r="AR565">
        <v>512</v>
      </c>
      <c r="AZ565">
        <v>1200</v>
      </c>
      <c r="BA565">
        <v>1</v>
      </c>
      <c r="BB565" t="str">
        <f t="shared" si="162"/>
        <v xml:space="preserve">N733KP  </v>
      </c>
      <c r="BC565">
        <v>1</v>
      </c>
      <c r="BE565">
        <v>0</v>
      </c>
      <c r="BF565">
        <v>0</v>
      </c>
      <c r="BG565">
        <v>0</v>
      </c>
      <c r="BH565">
        <v>2950</v>
      </c>
      <c r="BI565">
        <v>1</v>
      </c>
      <c r="BJ565">
        <v>1</v>
      </c>
      <c r="BK565">
        <v>0</v>
      </c>
      <c r="BL565">
        <v>0</v>
      </c>
      <c r="BO565">
        <v>0</v>
      </c>
      <c r="BP565">
        <v>0</v>
      </c>
      <c r="BW565" t="str">
        <f>"22:11:49.563"</f>
        <v>22:11:49.563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6</v>
      </c>
      <c r="CP565" t="s">
        <v>119</v>
      </c>
      <c r="CQ565">
        <v>364</v>
      </c>
      <c r="CR565">
        <v>0</v>
      </c>
      <c r="CW565">
        <v>1385938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"03/24/2022 22:11:51.152"</f>
        <v>03/24/2022 22:11:51.152</v>
      </c>
      <c r="C566" t="str">
        <f t="shared" si="160"/>
        <v>FFDFD3C0</v>
      </c>
      <c r="D566" t="s">
        <v>126</v>
      </c>
      <c r="E566">
        <v>3</v>
      </c>
      <c r="H566">
        <v>160</v>
      </c>
      <c r="I566" t="s">
        <v>121</v>
      </c>
      <c r="J566" t="s">
        <v>127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 t="shared" ref="S566:T569" si="170">"22:11:50.000"</f>
        <v>22:11:50.000</v>
      </c>
      <c r="T566" t="str">
        <f t="shared" si="170"/>
        <v>22:11:50.000</v>
      </c>
      <c r="U566" t="str">
        <f t="shared" si="155"/>
        <v>A9D71F</v>
      </c>
      <c r="V566">
        <v>0</v>
      </c>
      <c r="W566">
        <v>0</v>
      </c>
      <c r="X566">
        <v>2</v>
      </c>
      <c r="Z566">
        <v>1</v>
      </c>
      <c r="AA566">
        <v>8</v>
      </c>
      <c r="AB566">
        <v>3</v>
      </c>
      <c r="AC566">
        <v>0</v>
      </c>
      <c r="AD566">
        <v>9</v>
      </c>
      <c r="AE566">
        <v>0</v>
      </c>
      <c r="AF566">
        <v>3</v>
      </c>
      <c r="AG566">
        <v>1</v>
      </c>
      <c r="AH566">
        <v>0</v>
      </c>
      <c r="AI566" t="s">
        <v>156</v>
      </c>
      <c r="AJ566">
        <v>33.187593999999997</v>
      </c>
      <c r="AK566" t="s">
        <v>330</v>
      </c>
      <c r="AL566">
        <v>-97.756840999999994</v>
      </c>
      <c r="AM566">
        <v>25</v>
      </c>
      <c r="AN566">
        <v>3000</v>
      </c>
      <c r="AO566" t="s">
        <v>118</v>
      </c>
      <c r="AP566">
        <v>90</v>
      </c>
      <c r="AQ566">
        <v>-4</v>
      </c>
      <c r="AR566">
        <v>640</v>
      </c>
      <c r="AZ566">
        <v>1200</v>
      </c>
      <c r="BA566">
        <v>1</v>
      </c>
      <c r="BB566" t="str">
        <f t="shared" si="162"/>
        <v xml:space="preserve">N733KP  </v>
      </c>
      <c r="BC566">
        <v>1</v>
      </c>
      <c r="BE566">
        <v>0</v>
      </c>
      <c r="BF566">
        <v>0</v>
      </c>
      <c r="BG566">
        <v>0</v>
      </c>
      <c r="BH566">
        <v>2975</v>
      </c>
      <c r="BI566">
        <v>1</v>
      </c>
      <c r="BJ566">
        <v>1</v>
      </c>
      <c r="BK566">
        <v>0</v>
      </c>
      <c r="BL566">
        <v>0</v>
      </c>
      <c r="BO566">
        <v>0</v>
      </c>
      <c r="BP566">
        <v>0</v>
      </c>
      <c r="BW566" t="str">
        <f>"22:11:50.778"</f>
        <v>22:11:50.778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6</v>
      </c>
      <c r="CP566" t="s">
        <v>119</v>
      </c>
      <c r="CQ566">
        <v>364</v>
      </c>
      <c r="CR566">
        <v>0</v>
      </c>
      <c r="CW566">
        <v>1386145</v>
      </c>
      <c r="CY566">
        <v>1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"03/24/2022 22:11:51.152"</f>
        <v>03/24/2022 22:11:51.152</v>
      </c>
      <c r="C567" t="str">
        <f t="shared" si="160"/>
        <v>FFDFD3C0</v>
      </c>
      <c r="D567" t="s">
        <v>120</v>
      </c>
      <c r="E567">
        <v>14</v>
      </c>
      <c r="F567">
        <v>1014</v>
      </c>
      <c r="G567" t="s">
        <v>121</v>
      </c>
      <c r="J567" t="s">
        <v>122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 t="shared" si="170"/>
        <v>22:11:50.000</v>
      </c>
      <c r="T567" t="str">
        <f t="shared" si="170"/>
        <v>22:11:50.000</v>
      </c>
      <c r="U567" t="str">
        <f t="shared" si="155"/>
        <v>A9D71F</v>
      </c>
      <c r="V567">
        <v>0</v>
      </c>
      <c r="W567">
        <v>0</v>
      </c>
      <c r="X567">
        <v>2</v>
      </c>
      <c r="Z567">
        <v>1</v>
      </c>
      <c r="AA567">
        <v>8</v>
      </c>
      <c r="AB567">
        <v>3</v>
      </c>
      <c r="AC567">
        <v>0</v>
      </c>
      <c r="AD567">
        <v>9</v>
      </c>
      <c r="AE567">
        <v>0</v>
      </c>
      <c r="AF567">
        <v>3</v>
      </c>
      <c r="AG567">
        <v>1</v>
      </c>
      <c r="AH567">
        <v>0</v>
      </c>
      <c r="AI567" t="s">
        <v>156</v>
      </c>
      <c r="AJ567">
        <v>33.187593999999997</v>
      </c>
      <c r="AK567" t="s">
        <v>330</v>
      </c>
      <c r="AL567">
        <v>-97.756840999999994</v>
      </c>
      <c r="AM567">
        <v>25</v>
      </c>
      <c r="AN567">
        <v>3000</v>
      </c>
      <c r="AO567" t="s">
        <v>118</v>
      </c>
      <c r="AP567">
        <v>90</v>
      </c>
      <c r="AQ567">
        <v>-4</v>
      </c>
      <c r="AR567">
        <v>640</v>
      </c>
      <c r="AZ567">
        <v>1200</v>
      </c>
      <c r="BA567">
        <v>1</v>
      </c>
      <c r="BB567" t="str">
        <f t="shared" si="162"/>
        <v xml:space="preserve">N733KP  </v>
      </c>
      <c r="BC567">
        <v>1</v>
      </c>
      <c r="BE567">
        <v>0</v>
      </c>
      <c r="BF567">
        <v>0</v>
      </c>
      <c r="BG567">
        <v>0</v>
      </c>
      <c r="BH567">
        <v>2975</v>
      </c>
      <c r="BI567">
        <v>1</v>
      </c>
      <c r="BJ567">
        <v>1</v>
      </c>
      <c r="BK567">
        <v>0</v>
      </c>
      <c r="BL567">
        <v>0</v>
      </c>
      <c r="BO567">
        <v>0</v>
      </c>
      <c r="BP567">
        <v>0</v>
      </c>
      <c r="BW567" t="str">
        <f>"22:11:50.778"</f>
        <v>22:11:50.778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6</v>
      </c>
      <c r="CP567" t="s">
        <v>119</v>
      </c>
      <c r="CQ567">
        <v>364</v>
      </c>
      <c r="CR567">
        <v>0</v>
      </c>
      <c r="CW567">
        <v>1386145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"03/24/2022 22:11:51.168"</f>
        <v>03/24/2022 22:11:51.168</v>
      </c>
      <c r="C568" t="str">
        <f t="shared" si="160"/>
        <v>FFDFD3C0</v>
      </c>
      <c r="D568" t="s">
        <v>123</v>
      </c>
      <c r="E568">
        <v>8</v>
      </c>
      <c r="H568">
        <v>31</v>
      </c>
      <c r="I568" t="s">
        <v>124</v>
      </c>
      <c r="J568" t="s">
        <v>125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 t="shared" si="170"/>
        <v>22:11:50.000</v>
      </c>
      <c r="T568" t="str">
        <f t="shared" si="170"/>
        <v>22:11:50.000</v>
      </c>
      <c r="U568" t="str">
        <f t="shared" si="155"/>
        <v>A9D71F</v>
      </c>
      <c r="V568">
        <v>0</v>
      </c>
      <c r="W568">
        <v>0</v>
      </c>
      <c r="X568">
        <v>2</v>
      </c>
      <c r="Z568">
        <v>1</v>
      </c>
      <c r="AA568">
        <v>8</v>
      </c>
      <c r="AB568">
        <v>3</v>
      </c>
      <c r="AC568">
        <v>0</v>
      </c>
      <c r="AD568">
        <v>9</v>
      </c>
      <c r="AE568">
        <v>0</v>
      </c>
      <c r="AF568">
        <v>3</v>
      </c>
      <c r="AG568">
        <v>1</v>
      </c>
      <c r="AH568">
        <v>0</v>
      </c>
      <c r="AI568" t="s">
        <v>156</v>
      </c>
      <c r="AJ568">
        <v>33.187593999999997</v>
      </c>
      <c r="AK568" t="s">
        <v>330</v>
      </c>
      <c r="AL568">
        <v>-97.756840999999994</v>
      </c>
      <c r="AM568">
        <v>25</v>
      </c>
      <c r="AN568">
        <v>3000</v>
      </c>
      <c r="AO568" t="s">
        <v>118</v>
      </c>
      <c r="AP568">
        <v>90</v>
      </c>
      <c r="AQ568">
        <v>-4</v>
      </c>
      <c r="AR568">
        <v>640</v>
      </c>
      <c r="AZ568">
        <v>1200</v>
      </c>
      <c r="BA568">
        <v>1</v>
      </c>
      <c r="BB568" t="str">
        <f t="shared" si="162"/>
        <v xml:space="preserve">N733KP  </v>
      </c>
      <c r="BC568">
        <v>1</v>
      </c>
      <c r="BE568">
        <v>0</v>
      </c>
      <c r="BF568">
        <v>0</v>
      </c>
      <c r="BG568">
        <v>0</v>
      </c>
      <c r="BH568">
        <v>2975</v>
      </c>
      <c r="BI568">
        <v>1</v>
      </c>
      <c r="BJ568">
        <v>1</v>
      </c>
      <c r="BK568">
        <v>0</v>
      </c>
      <c r="BL568">
        <v>0</v>
      </c>
      <c r="BO568">
        <v>0</v>
      </c>
      <c r="BP568">
        <v>0</v>
      </c>
      <c r="BW568" t="str">
        <f>"22:11:50.778"</f>
        <v>22:11:50.778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6</v>
      </c>
      <c r="CP568" t="s">
        <v>119</v>
      </c>
      <c r="CQ568">
        <v>364</v>
      </c>
      <c r="CR568">
        <v>0</v>
      </c>
      <c r="CW568">
        <v>1386145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"03/24/2022 22:11:51.168"</f>
        <v>03/24/2022 22:11:51.168</v>
      </c>
      <c r="C569" t="str">
        <f t="shared" si="160"/>
        <v>FFDFD3C0</v>
      </c>
      <c r="D569" t="s">
        <v>113</v>
      </c>
      <c r="E569">
        <v>24</v>
      </c>
      <c r="F569">
        <v>2024</v>
      </c>
      <c r="G569" t="s">
        <v>114</v>
      </c>
      <c r="J569" t="s">
        <v>115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 t="shared" si="170"/>
        <v>22:11:50.000</v>
      </c>
      <c r="T569" t="str">
        <f t="shared" si="170"/>
        <v>22:11:50.000</v>
      </c>
      <c r="U569" t="str">
        <f t="shared" si="155"/>
        <v>A9D71F</v>
      </c>
      <c r="V569">
        <v>0</v>
      </c>
      <c r="W569">
        <v>0</v>
      </c>
      <c r="X569">
        <v>2</v>
      </c>
      <c r="Z569">
        <v>1</v>
      </c>
      <c r="AA569">
        <v>8</v>
      </c>
      <c r="AB569">
        <v>3</v>
      </c>
      <c r="AC569">
        <v>0</v>
      </c>
      <c r="AD569">
        <v>9</v>
      </c>
      <c r="AE569">
        <v>0</v>
      </c>
      <c r="AF569">
        <v>3</v>
      </c>
      <c r="AG569">
        <v>1</v>
      </c>
      <c r="AH569">
        <v>0</v>
      </c>
      <c r="AI569" t="s">
        <v>156</v>
      </c>
      <c r="AJ569">
        <v>33.187593999999997</v>
      </c>
      <c r="AK569" t="s">
        <v>330</v>
      </c>
      <c r="AL569">
        <v>-97.756840999999994</v>
      </c>
      <c r="AM569">
        <v>25</v>
      </c>
      <c r="AN569">
        <v>3000</v>
      </c>
      <c r="AO569" t="s">
        <v>118</v>
      </c>
      <c r="AP569">
        <v>90</v>
      </c>
      <c r="AQ569">
        <v>-4</v>
      </c>
      <c r="AR569">
        <v>640</v>
      </c>
      <c r="AZ569">
        <v>1200</v>
      </c>
      <c r="BA569">
        <v>1</v>
      </c>
      <c r="BB569" t="str">
        <f t="shared" si="162"/>
        <v xml:space="preserve">N733KP  </v>
      </c>
      <c r="BC569">
        <v>1</v>
      </c>
      <c r="BE569">
        <v>0</v>
      </c>
      <c r="BF569">
        <v>0</v>
      </c>
      <c r="BG569">
        <v>0</v>
      </c>
      <c r="BH569">
        <v>2975</v>
      </c>
      <c r="BI569">
        <v>1</v>
      </c>
      <c r="BJ569">
        <v>1</v>
      </c>
      <c r="BK569">
        <v>0</v>
      </c>
      <c r="BL569">
        <v>0</v>
      </c>
      <c r="BO569">
        <v>0</v>
      </c>
      <c r="BP569">
        <v>0</v>
      </c>
      <c r="BW569" t="str">
        <f>"22:11:50.778"</f>
        <v>22:11:50.778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6</v>
      </c>
      <c r="CP569" t="s">
        <v>119</v>
      </c>
      <c r="CQ569">
        <v>364</v>
      </c>
      <c r="CR569">
        <v>0</v>
      </c>
      <c r="CW569">
        <v>1386145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"03/24/2022 22:11:51.997"</f>
        <v>03/24/2022 22:11:51.997</v>
      </c>
      <c r="C570" t="str">
        <f t="shared" si="160"/>
        <v>FFDFD3C0</v>
      </c>
      <c r="D570" t="s">
        <v>120</v>
      </c>
      <c r="E570">
        <v>14</v>
      </c>
      <c r="F570">
        <v>1014</v>
      </c>
      <c r="G570" t="s">
        <v>121</v>
      </c>
      <c r="J570" t="s">
        <v>122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 t="shared" ref="S570:T573" si="171">"22:11:51.000"</f>
        <v>22:11:51.000</v>
      </c>
      <c r="T570" t="str">
        <f t="shared" si="171"/>
        <v>22:11:51.000</v>
      </c>
      <c r="U570" t="str">
        <f t="shared" si="155"/>
        <v>A9D71F</v>
      </c>
      <c r="V570">
        <v>0</v>
      </c>
      <c r="W570">
        <v>0</v>
      </c>
      <c r="X570">
        <v>2</v>
      </c>
      <c r="Z570">
        <v>1</v>
      </c>
      <c r="AA570">
        <v>8</v>
      </c>
      <c r="AB570">
        <v>3</v>
      </c>
      <c r="AC570">
        <v>0</v>
      </c>
      <c r="AD570">
        <v>9</v>
      </c>
      <c r="AE570">
        <v>0</v>
      </c>
      <c r="AF570">
        <v>3</v>
      </c>
      <c r="AG570">
        <v>1</v>
      </c>
      <c r="AH570">
        <v>0</v>
      </c>
      <c r="AI570" t="s">
        <v>331</v>
      </c>
      <c r="AJ570">
        <v>33.187550999999999</v>
      </c>
      <c r="AK570" t="s">
        <v>332</v>
      </c>
      <c r="AL570">
        <v>-97.756326000000001</v>
      </c>
      <c r="AM570">
        <v>25</v>
      </c>
      <c r="AN570">
        <v>3000</v>
      </c>
      <c r="AO570" t="s">
        <v>118</v>
      </c>
      <c r="AP570">
        <v>91</v>
      </c>
      <c r="AQ570">
        <v>-7</v>
      </c>
      <c r="AR570">
        <v>704</v>
      </c>
      <c r="AZ570">
        <v>1200</v>
      </c>
      <c r="BA570">
        <v>1</v>
      </c>
      <c r="BB570" t="str">
        <f t="shared" si="162"/>
        <v xml:space="preserve">N733KP  </v>
      </c>
      <c r="BC570">
        <v>1</v>
      </c>
      <c r="BE570">
        <v>0</v>
      </c>
      <c r="BF570">
        <v>0</v>
      </c>
      <c r="BG570">
        <v>0</v>
      </c>
      <c r="BH570">
        <v>2975</v>
      </c>
      <c r="BI570">
        <v>1</v>
      </c>
      <c r="BJ570">
        <v>1</v>
      </c>
      <c r="BK570">
        <v>0</v>
      </c>
      <c r="BL570">
        <v>0</v>
      </c>
      <c r="BO570">
        <v>0</v>
      </c>
      <c r="BP570">
        <v>0</v>
      </c>
      <c r="BW570" t="str">
        <f>"22:11:51.746"</f>
        <v>22:11:51.746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364</v>
      </c>
      <c r="CR570">
        <v>0</v>
      </c>
      <c r="CW570">
        <v>1386293</v>
      </c>
      <c r="CY570">
        <v>1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"03/24/2022 22:11:51.997"</f>
        <v>03/24/2022 22:11:51.997</v>
      </c>
      <c r="C571" t="str">
        <f t="shared" si="160"/>
        <v>FFDFD3C0</v>
      </c>
      <c r="D571" t="s">
        <v>123</v>
      </c>
      <c r="E571">
        <v>8</v>
      </c>
      <c r="H571">
        <v>31</v>
      </c>
      <c r="I571" t="s">
        <v>124</v>
      </c>
      <c r="J571" t="s">
        <v>125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 t="shared" si="171"/>
        <v>22:11:51.000</v>
      </c>
      <c r="T571" t="str">
        <f t="shared" si="171"/>
        <v>22:11:51.000</v>
      </c>
      <c r="U571" t="str">
        <f t="shared" si="155"/>
        <v>A9D71F</v>
      </c>
      <c r="V571">
        <v>0</v>
      </c>
      <c r="W571">
        <v>0</v>
      </c>
      <c r="X571">
        <v>2</v>
      </c>
      <c r="Z571">
        <v>1</v>
      </c>
      <c r="AA571">
        <v>8</v>
      </c>
      <c r="AB571">
        <v>3</v>
      </c>
      <c r="AC571">
        <v>0</v>
      </c>
      <c r="AD571">
        <v>9</v>
      </c>
      <c r="AE571">
        <v>0</v>
      </c>
      <c r="AF571">
        <v>3</v>
      </c>
      <c r="AG571">
        <v>1</v>
      </c>
      <c r="AH571">
        <v>0</v>
      </c>
      <c r="AI571" t="s">
        <v>331</v>
      </c>
      <c r="AJ571">
        <v>33.187550999999999</v>
      </c>
      <c r="AK571" t="s">
        <v>332</v>
      </c>
      <c r="AL571">
        <v>-97.756326000000001</v>
      </c>
      <c r="AM571">
        <v>25</v>
      </c>
      <c r="AN571">
        <v>3000</v>
      </c>
      <c r="AO571" t="s">
        <v>118</v>
      </c>
      <c r="AP571">
        <v>91</v>
      </c>
      <c r="AQ571">
        <v>-7</v>
      </c>
      <c r="AR571">
        <v>704</v>
      </c>
      <c r="AZ571">
        <v>1200</v>
      </c>
      <c r="BA571">
        <v>1</v>
      </c>
      <c r="BB571" t="str">
        <f t="shared" si="162"/>
        <v xml:space="preserve">N733KP  </v>
      </c>
      <c r="BC571">
        <v>1</v>
      </c>
      <c r="BE571">
        <v>0</v>
      </c>
      <c r="BF571">
        <v>0</v>
      </c>
      <c r="BG571">
        <v>0</v>
      </c>
      <c r="BH571">
        <v>2975</v>
      </c>
      <c r="BI571">
        <v>1</v>
      </c>
      <c r="BJ571">
        <v>1</v>
      </c>
      <c r="BK571">
        <v>0</v>
      </c>
      <c r="BL571">
        <v>0</v>
      </c>
      <c r="BO571">
        <v>0</v>
      </c>
      <c r="BP571">
        <v>0</v>
      </c>
      <c r="BW571" t="str">
        <f>"22:11:51.746"</f>
        <v>22:11:51.746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364</v>
      </c>
      <c r="CR571">
        <v>0</v>
      </c>
      <c r="CW571">
        <v>1386293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"03/24/2022 22:11:51.997"</f>
        <v>03/24/2022 22:11:51.997</v>
      </c>
      <c r="C572" t="str">
        <f t="shared" si="160"/>
        <v>FFDFD3C0</v>
      </c>
      <c r="D572" t="s">
        <v>113</v>
      </c>
      <c r="E572">
        <v>24</v>
      </c>
      <c r="F572">
        <v>2024</v>
      </c>
      <c r="G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 t="shared" si="171"/>
        <v>22:11:51.000</v>
      </c>
      <c r="T572" t="str">
        <f t="shared" si="171"/>
        <v>22:11:51.000</v>
      </c>
      <c r="U572" t="str">
        <f t="shared" si="155"/>
        <v>A9D71F</v>
      </c>
      <c r="V572">
        <v>0</v>
      </c>
      <c r="W572">
        <v>0</v>
      </c>
      <c r="X572">
        <v>2</v>
      </c>
      <c r="Z572">
        <v>1</v>
      </c>
      <c r="AA572">
        <v>8</v>
      </c>
      <c r="AB572">
        <v>3</v>
      </c>
      <c r="AC572">
        <v>0</v>
      </c>
      <c r="AD572">
        <v>9</v>
      </c>
      <c r="AE572">
        <v>0</v>
      </c>
      <c r="AF572">
        <v>3</v>
      </c>
      <c r="AG572">
        <v>1</v>
      </c>
      <c r="AH572">
        <v>0</v>
      </c>
      <c r="AI572" t="s">
        <v>331</v>
      </c>
      <c r="AJ572">
        <v>33.187550999999999</v>
      </c>
      <c r="AK572" t="s">
        <v>332</v>
      </c>
      <c r="AL572">
        <v>-97.756326000000001</v>
      </c>
      <c r="AM572">
        <v>25</v>
      </c>
      <c r="AN572">
        <v>3000</v>
      </c>
      <c r="AO572" t="s">
        <v>118</v>
      </c>
      <c r="AP572">
        <v>91</v>
      </c>
      <c r="AQ572">
        <v>-7</v>
      </c>
      <c r="AR572">
        <v>704</v>
      </c>
      <c r="AZ572">
        <v>1200</v>
      </c>
      <c r="BA572">
        <v>1</v>
      </c>
      <c r="BB572" t="str">
        <f t="shared" si="162"/>
        <v xml:space="preserve">N733KP  </v>
      </c>
      <c r="BC572">
        <v>1</v>
      </c>
      <c r="BE572">
        <v>0</v>
      </c>
      <c r="BF572">
        <v>0</v>
      </c>
      <c r="BG572">
        <v>0</v>
      </c>
      <c r="BH572">
        <v>2975</v>
      </c>
      <c r="BI572">
        <v>1</v>
      </c>
      <c r="BJ572">
        <v>1</v>
      </c>
      <c r="BK572">
        <v>0</v>
      </c>
      <c r="BL572">
        <v>0</v>
      </c>
      <c r="BO572">
        <v>0</v>
      </c>
      <c r="BP572">
        <v>0</v>
      </c>
      <c r="BW572" t="str">
        <f>"22:11:51.746"</f>
        <v>22:11:51.746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364</v>
      </c>
      <c r="CR572">
        <v>0</v>
      </c>
      <c r="CW572">
        <v>1386293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"03/24/2022 22:11:51.997"</f>
        <v>03/24/2022 22:11:51.997</v>
      </c>
      <c r="C573" t="str">
        <f t="shared" si="160"/>
        <v>FFDFD3C0</v>
      </c>
      <c r="D573" t="s">
        <v>126</v>
      </c>
      <c r="E573">
        <v>3</v>
      </c>
      <c r="H573">
        <v>160</v>
      </c>
      <c r="I573" t="s">
        <v>121</v>
      </c>
      <c r="J573" t="s">
        <v>127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 t="shared" si="171"/>
        <v>22:11:51.000</v>
      </c>
      <c r="T573" t="str">
        <f t="shared" si="171"/>
        <v>22:11:51.000</v>
      </c>
      <c r="U573" t="str">
        <f t="shared" si="155"/>
        <v>A9D71F</v>
      </c>
      <c r="V573">
        <v>0</v>
      </c>
      <c r="W573">
        <v>0</v>
      </c>
      <c r="X573">
        <v>2</v>
      </c>
      <c r="Z573">
        <v>1</v>
      </c>
      <c r="AA573">
        <v>8</v>
      </c>
      <c r="AB573">
        <v>3</v>
      </c>
      <c r="AC573">
        <v>0</v>
      </c>
      <c r="AD573">
        <v>9</v>
      </c>
      <c r="AE573">
        <v>0</v>
      </c>
      <c r="AF573">
        <v>3</v>
      </c>
      <c r="AG573">
        <v>1</v>
      </c>
      <c r="AH573">
        <v>0</v>
      </c>
      <c r="AI573" t="s">
        <v>331</v>
      </c>
      <c r="AJ573">
        <v>33.187550999999999</v>
      </c>
      <c r="AK573" t="s">
        <v>332</v>
      </c>
      <c r="AL573">
        <v>-97.756326000000001</v>
      </c>
      <c r="AM573">
        <v>25</v>
      </c>
      <c r="AN573">
        <v>3000</v>
      </c>
      <c r="AO573" t="s">
        <v>118</v>
      </c>
      <c r="AP573">
        <v>91</v>
      </c>
      <c r="AQ573">
        <v>-7</v>
      </c>
      <c r="AR573">
        <v>704</v>
      </c>
      <c r="AZ573">
        <v>1200</v>
      </c>
      <c r="BA573">
        <v>1</v>
      </c>
      <c r="BB573" t="str">
        <f t="shared" si="162"/>
        <v xml:space="preserve">N733KP  </v>
      </c>
      <c r="BC573">
        <v>1</v>
      </c>
      <c r="BE573">
        <v>0</v>
      </c>
      <c r="BF573">
        <v>0</v>
      </c>
      <c r="BG573">
        <v>0</v>
      </c>
      <c r="BH573">
        <v>2975</v>
      </c>
      <c r="BI573">
        <v>1</v>
      </c>
      <c r="BJ573">
        <v>1</v>
      </c>
      <c r="BK573">
        <v>0</v>
      </c>
      <c r="BL573">
        <v>0</v>
      </c>
      <c r="BO573">
        <v>0</v>
      </c>
      <c r="BP573">
        <v>0</v>
      </c>
      <c r="BW573" t="str">
        <f>"22:11:51.746"</f>
        <v>22:11:51.746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364</v>
      </c>
      <c r="CR573">
        <v>0</v>
      </c>
      <c r="CW573">
        <v>1386293</v>
      </c>
      <c r="CY573">
        <v>1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"03/24/2022 22:11:53.075"</f>
        <v>03/24/2022 22:11:53.075</v>
      </c>
      <c r="C574" t="str">
        <f t="shared" si="160"/>
        <v>FFDFD3C0</v>
      </c>
      <c r="D574" t="s">
        <v>120</v>
      </c>
      <c r="E574">
        <v>14</v>
      </c>
      <c r="F574">
        <v>1014</v>
      </c>
      <c r="G574" t="s">
        <v>121</v>
      </c>
      <c r="J574" t="s">
        <v>122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 t="shared" ref="S574:T577" si="172">"22:11:52.000"</f>
        <v>22:11:52.000</v>
      </c>
      <c r="T574" t="str">
        <f t="shared" si="172"/>
        <v>22:11:52.000</v>
      </c>
      <c r="U574" t="str">
        <f t="shared" si="155"/>
        <v>A9D71F</v>
      </c>
      <c r="V574">
        <v>0</v>
      </c>
      <c r="W574">
        <v>0</v>
      </c>
      <c r="X574">
        <v>2</v>
      </c>
      <c r="Z574">
        <v>1</v>
      </c>
      <c r="AA574">
        <v>8</v>
      </c>
      <c r="AB574">
        <v>3</v>
      </c>
      <c r="AC574">
        <v>0</v>
      </c>
      <c r="AD574">
        <v>9</v>
      </c>
      <c r="AE574">
        <v>0</v>
      </c>
      <c r="AF574">
        <v>3</v>
      </c>
      <c r="AG574">
        <v>1</v>
      </c>
      <c r="AH574">
        <v>0</v>
      </c>
      <c r="AI574" t="s">
        <v>333</v>
      </c>
      <c r="AJ574">
        <v>33.187508999999999</v>
      </c>
      <c r="AK574" t="s">
        <v>334</v>
      </c>
      <c r="AL574">
        <v>-97.755832999999996</v>
      </c>
      <c r="AM574">
        <v>25</v>
      </c>
      <c r="AN574">
        <v>3000</v>
      </c>
      <c r="AO574" t="s">
        <v>118</v>
      </c>
      <c r="AP574">
        <v>90</v>
      </c>
      <c r="AQ574">
        <v>-6</v>
      </c>
      <c r="AR574">
        <v>768</v>
      </c>
      <c r="AZ574">
        <v>1200</v>
      </c>
      <c r="BA574">
        <v>1</v>
      </c>
      <c r="BB574" t="str">
        <f t="shared" si="162"/>
        <v xml:space="preserve">N733KP  </v>
      </c>
      <c r="BC574">
        <v>1</v>
      </c>
      <c r="BE574">
        <v>0</v>
      </c>
      <c r="BF574">
        <v>0</v>
      </c>
      <c r="BG574">
        <v>0</v>
      </c>
      <c r="BH574">
        <v>3000</v>
      </c>
      <c r="BI574">
        <v>1</v>
      </c>
      <c r="BJ574">
        <v>1</v>
      </c>
      <c r="BK574">
        <v>0</v>
      </c>
      <c r="BL574">
        <v>0</v>
      </c>
      <c r="BO574">
        <v>0</v>
      </c>
      <c r="BP574">
        <v>0</v>
      </c>
      <c r="BW574" t="str">
        <f>"22:11:52.761"</f>
        <v>22:11:52.761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364</v>
      </c>
      <c r="CR574">
        <v>0</v>
      </c>
      <c r="CW574">
        <v>1386449</v>
      </c>
      <c r="CY574">
        <v>1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"03/24/2022 22:11:53.075"</f>
        <v>03/24/2022 22:11:53.075</v>
      </c>
      <c r="C575" t="str">
        <f t="shared" si="160"/>
        <v>FFDFD3C0</v>
      </c>
      <c r="D575" t="s">
        <v>123</v>
      </c>
      <c r="E575">
        <v>8</v>
      </c>
      <c r="H575">
        <v>31</v>
      </c>
      <c r="I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 t="shared" si="172"/>
        <v>22:11:52.000</v>
      </c>
      <c r="T575" t="str">
        <f t="shared" si="172"/>
        <v>22:11:52.000</v>
      </c>
      <c r="U575" t="str">
        <f t="shared" si="155"/>
        <v>A9D71F</v>
      </c>
      <c r="V575">
        <v>0</v>
      </c>
      <c r="W575">
        <v>0</v>
      </c>
      <c r="X575">
        <v>2</v>
      </c>
      <c r="Z575">
        <v>1</v>
      </c>
      <c r="AA575">
        <v>8</v>
      </c>
      <c r="AB575">
        <v>3</v>
      </c>
      <c r="AC575">
        <v>0</v>
      </c>
      <c r="AD575">
        <v>9</v>
      </c>
      <c r="AE575">
        <v>0</v>
      </c>
      <c r="AF575">
        <v>3</v>
      </c>
      <c r="AG575">
        <v>1</v>
      </c>
      <c r="AH575">
        <v>0</v>
      </c>
      <c r="AI575" t="s">
        <v>333</v>
      </c>
      <c r="AJ575">
        <v>33.187508999999999</v>
      </c>
      <c r="AK575" t="s">
        <v>334</v>
      </c>
      <c r="AL575">
        <v>-97.755832999999996</v>
      </c>
      <c r="AM575">
        <v>25</v>
      </c>
      <c r="AN575">
        <v>3000</v>
      </c>
      <c r="AO575" t="s">
        <v>118</v>
      </c>
      <c r="AP575">
        <v>90</v>
      </c>
      <c r="AQ575">
        <v>-6</v>
      </c>
      <c r="AR575">
        <v>768</v>
      </c>
      <c r="AZ575">
        <v>1200</v>
      </c>
      <c r="BA575">
        <v>1</v>
      </c>
      <c r="BB575" t="str">
        <f t="shared" si="162"/>
        <v xml:space="preserve">N733KP  </v>
      </c>
      <c r="BC575">
        <v>1</v>
      </c>
      <c r="BE575">
        <v>0</v>
      </c>
      <c r="BF575">
        <v>0</v>
      </c>
      <c r="BG575">
        <v>0</v>
      </c>
      <c r="BH575">
        <v>3000</v>
      </c>
      <c r="BI575">
        <v>1</v>
      </c>
      <c r="BJ575">
        <v>1</v>
      </c>
      <c r="BK575">
        <v>0</v>
      </c>
      <c r="BL575">
        <v>0</v>
      </c>
      <c r="BO575">
        <v>0</v>
      </c>
      <c r="BP575">
        <v>0</v>
      </c>
      <c r="BW575" t="str">
        <f>"22:11:52.761"</f>
        <v>22:11:52.761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364</v>
      </c>
      <c r="CR575">
        <v>0</v>
      </c>
      <c r="CW575">
        <v>1386449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"03/24/2022 22:11:53.075"</f>
        <v>03/24/2022 22:11:53.075</v>
      </c>
      <c r="C576" t="str">
        <f t="shared" si="160"/>
        <v>FFDFD3C0</v>
      </c>
      <c r="D576" t="s">
        <v>113</v>
      </c>
      <c r="E576">
        <v>24</v>
      </c>
      <c r="F576">
        <v>2024</v>
      </c>
      <c r="G576" t="s">
        <v>114</v>
      </c>
      <c r="J576" t="s">
        <v>115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 t="shared" si="172"/>
        <v>22:11:52.000</v>
      </c>
      <c r="T576" t="str">
        <f t="shared" si="172"/>
        <v>22:11:52.000</v>
      </c>
      <c r="U576" t="str">
        <f t="shared" si="155"/>
        <v>A9D71F</v>
      </c>
      <c r="V576">
        <v>0</v>
      </c>
      <c r="W576">
        <v>0</v>
      </c>
      <c r="X576">
        <v>2</v>
      </c>
      <c r="Z576">
        <v>1</v>
      </c>
      <c r="AA576">
        <v>8</v>
      </c>
      <c r="AB576">
        <v>3</v>
      </c>
      <c r="AC576">
        <v>0</v>
      </c>
      <c r="AD576">
        <v>9</v>
      </c>
      <c r="AE576">
        <v>0</v>
      </c>
      <c r="AF576">
        <v>3</v>
      </c>
      <c r="AG576">
        <v>1</v>
      </c>
      <c r="AH576">
        <v>0</v>
      </c>
      <c r="AI576" t="s">
        <v>333</v>
      </c>
      <c r="AJ576">
        <v>33.187508999999999</v>
      </c>
      <c r="AK576" t="s">
        <v>334</v>
      </c>
      <c r="AL576">
        <v>-97.755832999999996</v>
      </c>
      <c r="AM576">
        <v>25</v>
      </c>
      <c r="AN576">
        <v>3000</v>
      </c>
      <c r="AO576" t="s">
        <v>118</v>
      </c>
      <c r="AP576">
        <v>90</v>
      </c>
      <c r="AQ576">
        <v>-6</v>
      </c>
      <c r="AR576">
        <v>768</v>
      </c>
      <c r="AZ576">
        <v>1200</v>
      </c>
      <c r="BA576">
        <v>1</v>
      </c>
      <c r="BB576" t="str">
        <f t="shared" si="162"/>
        <v xml:space="preserve">N733KP  </v>
      </c>
      <c r="BC576">
        <v>1</v>
      </c>
      <c r="BE576">
        <v>0</v>
      </c>
      <c r="BF576">
        <v>0</v>
      </c>
      <c r="BG576">
        <v>0</v>
      </c>
      <c r="BH576">
        <v>3000</v>
      </c>
      <c r="BI576">
        <v>1</v>
      </c>
      <c r="BJ576">
        <v>1</v>
      </c>
      <c r="BK576">
        <v>0</v>
      </c>
      <c r="BL576">
        <v>0</v>
      </c>
      <c r="BO576">
        <v>0</v>
      </c>
      <c r="BP576">
        <v>0</v>
      </c>
      <c r="BW576" t="str">
        <f>"22:11:52.761"</f>
        <v>22:11:52.761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364</v>
      </c>
      <c r="CR576">
        <v>0</v>
      </c>
      <c r="CW576">
        <v>1386449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"03/24/2022 22:11:53.091"</f>
        <v>03/24/2022 22:11:53.091</v>
      </c>
      <c r="C577" t="str">
        <f t="shared" si="160"/>
        <v>FFDFD3C0</v>
      </c>
      <c r="D577" t="s">
        <v>126</v>
      </c>
      <c r="E577">
        <v>3</v>
      </c>
      <c r="H577">
        <v>160</v>
      </c>
      <c r="I577" t="s">
        <v>121</v>
      </c>
      <c r="J577" t="s">
        <v>127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 t="shared" si="172"/>
        <v>22:11:52.000</v>
      </c>
      <c r="T577" t="str">
        <f t="shared" si="172"/>
        <v>22:11:52.000</v>
      </c>
      <c r="U577" t="str">
        <f t="shared" si="155"/>
        <v>A9D71F</v>
      </c>
      <c r="V577">
        <v>0</v>
      </c>
      <c r="W577">
        <v>0</v>
      </c>
      <c r="X577">
        <v>2</v>
      </c>
      <c r="Z577">
        <v>1</v>
      </c>
      <c r="AA577">
        <v>8</v>
      </c>
      <c r="AB577">
        <v>3</v>
      </c>
      <c r="AC577">
        <v>0</v>
      </c>
      <c r="AD577">
        <v>9</v>
      </c>
      <c r="AE577">
        <v>0</v>
      </c>
      <c r="AF577">
        <v>3</v>
      </c>
      <c r="AG577">
        <v>1</v>
      </c>
      <c r="AH577">
        <v>0</v>
      </c>
      <c r="AI577" t="s">
        <v>333</v>
      </c>
      <c r="AJ577">
        <v>33.187508999999999</v>
      </c>
      <c r="AK577" t="s">
        <v>334</v>
      </c>
      <c r="AL577">
        <v>-97.755832999999996</v>
      </c>
      <c r="AM577">
        <v>25</v>
      </c>
      <c r="AN577">
        <v>3000</v>
      </c>
      <c r="AO577" t="s">
        <v>118</v>
      </c>
      <c r="AP577">
        <v>90</v>
      </c>
      <c r="AQ577">
        <v>-6</v>
      </c>
      <c r="AR577">
        <v>768</v>
      </c>
      <c r="AZ577">
        <v>1200</v>
      </c>
      <c r="BA577">
        <v>1</v>
      </c>
      <c r="BB577" t="str">
        <f t="shared" si="162"/>
        <v xml:space="preserve">N733KP  </v>
      </c>
      <c r="BC577">
        <v>1</v>
      </c>
      <c r="BE577">
        <v>0</v>
      </c>
      <c r="BF577">
        <v>0</v>
      </c>
      <c r="BG577">
        <v>0</v>
      </c>
      <c r="BH577">
        <v>3000</v>
      </c>
      <c r="BI577">
        <v>1</v>
      </c>
      <c r="BJ577">
        <v>1</v>
      </c>
      <c r="BK577">
        <v>0</v>
      </c>
      <c r="BL577">
        <v>0</v>
      </c>
      <c r="BO577">
        <v>0</v>
      </c>
      <c r="BP577">
        <v>0</v>
      </c>
      <c r="BW577" t="str">
        <f>"22:11:52.761"</f>
        <v>22:11:52.761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364</v>
      </c>
      <c r="CR577">
        <v>0</v>
      </c>
      <c r="CW577">
        <v>1386449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"03/24/2022 22:11:53.812"</f>
        <v>03/24/2022 22:11:53.812</v>
      </c>
      <c r="C578" t="str">
        <f t="shared" si="160"/>
        <v>FFDFD3C0</v>
      </c>
      <c r="D578" t="s">
        <v>126</v>
      </c>
      <c r="E578">
        <v>3</v>
      </c>
      <c r="H578">
        <v>160</v>
      </c>
      <c r="I578" t="s">
        <v>121</v>
      </c>
      <c r="J578" t="s">
        <v>127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 t="shared" ref="S578:T581" si="173">"22:11:53.000"</f>
        <v>22:11:53.000</v>
      </c>
      <c r="T578" t="str">
        <f t="shared" si="173"/>
        <v>22:11:53.000</v>
      </c>
      <c r="U578" t="str">
        <f t="shared" ref="U578:U641" si="174">"A9D71F"</f>
        <v>A9D71F</v>
      </c>
      <c r="V578">
        <v>0</v>
      </c>
      <c r="W578">
        <v>0</v>
      </c>
      <c r="X578">
        <v>2</v>
      </c>
      <c r="Z578">
        <v>1</v>
      </c>
      <c r="AA578">
        <v>8</v>
      </c>
      <c r="AB578">
        <v>3</v>
      </c>
      <c r="AC578">
        <v>0</v>
      </c>
      <c r="AD578">
        <v>9</v>
      </c>
      <c r="AE578">
        <v>0</v>
      </c>
      <c r="AF578">
        <v>3</v>
      </c>
      <c r="AG578">
        <v>1</v>
      </c>
      <c r="AH578">
        <v>0</v>
      </c>
      <c r="AI578" t="s">
        <v>335</v>
      </c>
      <c r="AJ578">
        <v>33.187486999999997</v>
      </c>
      <c r="AK578" t="s">
        <v>336</v>
      </c>
      <c r="AL578">
        <v>-97.755318000000003</v>
      </c>
      <c r="AM578">
        <v>25</v>
      </c>
      <c r="AN578">
        <v>3100</v>
      </c>
      <c r="AO578" t="s">
        <v>118</v>
      </c>
      <c r="AP578">
        <v>89</v>
      </c>
      <c r="AQ578">
        <v>-5</v>
      </c>
      <c r="AR578">
        <v>832</v>
      </c>
      <c r="AZ578">
        <v>1200</v>
      </c>
      <c r="BA578">
        <v>1</v>
      </c>
      <c r="BB578" t="str">
        <f t="shared" si="162"/>
        <v xml:space="preserve">N733KP  </v>
      </c>
      <c r="BC578">
        <v>1</v>
      </c>
      <c r="BE578">
        <v>0</v>
      </c>
      <c r="BF578">
        <v>0</v>
      </c>
      <c r="BG578">
        <v>0</v>
      </c>
      <c r="BH578">
        <v>3000</v>
      </c>
      <c r="BI578">
        <v>1</v>
      </c>
      <c r="BJ578">
        <v>1</v>
      </c>
      <c r="BK578">
        <v>0</v>
      </c>
      <c r="BL578">
        <v>0</v>
      </c>
      <c r="BO578">
        <v>0</v>
      </c>
      <c r="BP578">
        <v>0</v>
      </c>
      <c r="BW578" t="str">
        <f>"22:11:53.541"</f>
        <v>22:11:53.541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364</v>
      </c>
      <c r="CR578">
        <v>0</v>
      </c>
      <c r="CW578">
        <v>1386581</v>
      </c>
      <c r="CY578">
        <v>1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"03/24/2022 22:11:53.921"</f>
        <v>03/24/2022 22:11:53.921</v>
      </c>
      <c r="C579" t="str">
        <f t="shared" si="160"/>
        <v>FFDFD3C0</v>
      </c>
      <c r="D579" t="s">
        <v>120</v>
      </c>
      <c r="E579">
        <v>14</v>
      </c>
      <c r="F579">
        <v>1014</v>
      </c>
      <c r="G579" t="s">
        <v>121</v>
      </c>
      <c r="J579" t="s">
        <v>122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 t="shared" si="173"/>
        <v>22:11:53.000</v>
      </c>
      <c r="T579" t="str">
        <f t="shared" si="173"/>
        <v>22:11:53.000</v>
      </c>
      <c r="U579" t="str">
        <f t="shared" si="174"/>
        <v>A9D71F</v>
      </c>
      <c r="V579">
        <v>0</v>
      </c>
      <c r="W579">
        <v>0</v>
      </c>
      <c r="X579">
        <v>2</v>
      </c>
      <c r="Z579">
        <v>1</v>
      </c>
      <c r="AA579">
        <v>8</v>
      </c>
      <c r="AB579">
        <v>3</v>
      </c>
      <c r="AC579">
        <v>0</v>
      </c>
      <c r="AD579">
        <v>9</v>
      </c>
      <c r="AE579">
        <v>0</v>
      </c>
      <c r="AF579">
        <v>3</v>
      </c>
      <c r="AG579">
        <v>1</v>
      </c>
      <c r="AH579">
        <v>0</v>
      </c>
      <c r="AI579" t="s">
        <v>335</v>
      </c>
      <c r="AJ579">
        <v>33.187486999999997</v>
      </c>
      <c r="AK579" t="s">
        <v>336</v>
      </c>
      <c r="AL579">
        <v>-97.755318000000003</v>
      </c>
      <c r="AM579">
        <v>25</v>
      </c>
      <c r="AN579">
        <v>3100</v>
      </c>
      <c r="AO579" t="s">
        <v>118</v>
      </c>
      <c r="AP579">
        <v>89</v>
      </c>
      <c r="AQ579">
        <v>-5</v>
      </c>
      <c r="AR579">
        <v>832</v>
      </c>
      <c r="AZ579">
        <v>1200</v>
      </c>
      <c r="BA579">
        <v>1</v>
      </c>
      <c r="BB579" t="str">
        <f t="shared" si="162"/>
        <v xml:space="preserve">N733KP  </v>
      </c>
      <c r="BC579">
        <v>1</v>
      </c>
      <c r="BE579">
        <v>0</v>
      </c>
      <c r="BF579">
        <v>0</v>
      </c>
      <c r="BG579">
        <v>0</v>
      </c>
      <c r="BH579">
        <v>3000</v>
      </c>
      <c r="BI579">
        <v>1</v>
      </c>
      <c r="BJ579">
        <v>1</v>
      </c>
      <c r="BK579">
        <v>0</v>
      </c>
      <c r="BL579">
        <v>0</v>
      </c>
      <c r="BO579">
        <v>0</v>
      </c>
      <c r="BP579">
        <v>0</v>
      </c>
      <c r="BW579" t="str">
        <f>"22:11:53.541"</f>
        <v>22:11:53.541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364</v>
      </c>
      <c r="CR579">
        <v>0</v>
      </c>
      <c r="CW579">
        <v>1386581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"03/24/2022 22:11:53.921"</f>
        <v>03/24/2022 22:11:53.921</v>
      </c>
      <c r="C580" t="str">
        <f t="shared" si="160"/>
        <v>FFDFD3C0</v>
      </c>
      <c r="D580" t="s">
        <v>123</v>
      </c>
      <c r="E580">
        <v>8</v>
      </c>
      <c r="H580">
        <v>31</v>
      </c>
      <c r="I580" t="s">
        <v>124</v>
      </c>
      <c r="J580" t="s">
        <v>125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 t="shared" si="173"/>
        <v>22:11:53.000</v>
      </c>
      <c r="T580" t="str">
        <f t="shared" si="173"/>
        <v>22:11:53.000</v>
      </c>
      <c r="U580" t="str">
        <f t="shared" si="174"/>
        <v>A9D71F</v>
      </c>
      <c r="V580">
        <v>0</v>
      </c>
      <c r="W580">
        <v>0</v>
      </c>
      <c r="X580">
        <v>2</v>
      </c>
      <c r="Z580">
        <v>1</v>
      </c>
      <c r="AA580">
        <v>8</v>
      </c>
      <c r="AB580">
        <v>3</v>
      </c>
      <c r="AC580">
        <v>0</v>
      </c>
      <c r="AD580">
        <v>9</v>
      </c>
      <c r="AE580">
        <v>0</v>
      </c>
      <c r="AF580">
        <v>3</v>
      </c>
      <c r="AG580">
        <v>1</v>
      </c>
      <c r="AH580">
        <v>0</v>
      </c>
      <c r="AI580" t="s">
        <v>335</v>
      </c>
      <c r="AJ580">
        <v>33.187486999999997</v>
      </c>
      <c r="AK580" t="s">
        <v>336</v>
      </c>
      <c r="AL580">
        <v>-97.755318000000003</v>
      </c>
      <c r="AM580">
        <v>25</v>
      </c>
      <c r="AN580">
        <v>3100</v>
      </c>
      <c r="AO580" t="s">
        <v>118</v>
      </c>
      <c r="AP580">
        <v>89</v>
      </c>
      <c r="AQ580">
        <v>-5</v>
      </c>
      <c r="AR580">
        <v>832</v>
      </c>
      <c r="AZ580">
        <v>1200</v>
      </c>
      <c r="BA580">
        <v>1</v>
      </c>
      <c r="BB580" t="str">
        <f t="shared" si="162"/>
        <v xml:space="preserve">N733KP  </v>
      </c>
      <c r="BC580">
        <v>1</v>
      </c>
      <c r="BE580">
        <v>0</v>
      </c>
      <c r="BF580">
        <v>0</v>
      </c>
      <c r="BG580">
        <v>0</v>
      </c>
      <c r="BH580">
        <v>3000</v>
      </c>
      <c r="BI580">
        <v>1</v>
      </c>
      <c r="BJ580">
        <v>1</v>
      </c>
      <c r="BK580">
        <v>0</v>
      </c>
      <c r="BL580">
        <v>0</v>
      </c>
      <c r="BO580">
        <v>0</v>
      </c>
      <c r="BP580">
        <v>0</v>
      </c>
      <c r="BW580" t="str">
        <f>"22:11:53.541"</f>
        <v>22:11:53.541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364</v>
      </c>
      <c r="CR580">
        <v>0</v>
      </c>
      <c r="CW580">
        <v>1386581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"03/24/2022 22:11:53.968"</f>
        <v>03/24/2022 22:11:53.968</v>
      </c>
      <c r="C581" t="str">
        <f t="shared" si="160"/>
        <v>FFDFD3C0</v>
      </c>
      <c r="D581" t="s">
        <v>113</v>
      </c>
      <c r="E581">
        <v>24</v>
      </c>
      <c r="F581">
        <v>2024</v>
      </c>
      <c r="G581" t="s">
        <v>114</v>
      </c>
      <c r="J581" t="s">
        <v>115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 t="shared" si="173"/>
        <v>22:11:53.000</v>
      </c>
      <c r="T581" t="str">
        <f t="shared" si="173"/>
        <v>22:11:53.000</v>
      </c>
      <c r="U581" t="str">
        <f t="shared" si="174"/>
        <v>A9D71F</v>
      </c>
      <c r="V581">
        <v>0</v>
      </c>
      <c r="W581">
        <v>0</v>
      </c>
      <c r="X581">
        <v>2</v>
      </c>
      <c r="Z581">
        <v>1</v>
      </c>
      <c r="AA581">
        <v>8</v>
      </c>
      <c r="AB581">
        <v>3</v>
      </c>
      <c r="AC581">
        <v>0</v>
      </c>
      <c r="AD581">
        <v>9</v>
      </c>
      <c r="AE581">
        <v>0</v>
      </c>
      <c r="AF581">
        <v>3</v>
      </c>
      <c r="AG581">
        <v>1</v>
      </c>
      <c r="AH581">
        <v>0</v>
      </c>
      <c r="AI581" t="s">
        <v>335</v>
      </c>
      <c r="AJ581">
        <v>33.187486999999997</v>
      </c>
      <c r="AK581" t="s">
        <v>336</v>
      </c>
      <c r="AL581">
        <v>-97.755318000000003</v>
      </c>
      <c r="AM581">
        <v>25</v>
      </c>
      <c r="AN581">
        <v>3100</v>
      </c>
      <c r="AO581" t="s">
        <v>118</v>
      </c>
      <c r="AP581">
        <v>89</v>
      </c>
      <c r="AQ581">
        <v>-5</v>
      </c>
      <c r="AR581">
        <v>832</v>
      </c>
      <c r="AZ581">
        <v>1200</v>
      </c>
      <c r="BA581">
        <v>1</v>
      </c>
      <c r="BB581" t="str">
        <f t="shared" si="162"/>
        <v xml:space="preserve">N733KP  </v>
      </c>
      <c r="BC581">
        <v>1</v>
      </c>
      <c r="BE581">
        <v>0</v>
      </c>
      <c r="BF581">
        <v>0</v>
      </c>
      <c r="BG581">
        <v>0</v>
      </c>
      <c r="BH581">
        <v>3000</v>
      </c>
      <c r="BI581">
        <v>1</v>
      </c>
      <c r="BJ581">
        <v>1</v>
      </c>
      <c r="BK581">
        <v>0</v>
      </c>
      <c r="BL581">
        <v>0</v>
      </c>
      <c r="BO581">
        <v>0</v>
      </c>
      <c r="BP581">
        <v>0</v>
      </c>
      <c r="BW581" t="str">
        <f>"22:11:53.541"</f>
        <v>22:11:53.541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364</v>
      </c>
      <c r="CR581">
        <v>0</v>
      </c>
      <c r="CW581">
        <v>1386581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"03/24/2022 22:11:54.968"</f>
        <v>03/24/2022 22:11:54.968</v>
      </c>
      <c r="C582" t="str">
        <f t="shared" si="160"/>
        <v>FFDFD3C0</v>
      </c>
      <c r="D582" t="s">
        <v>123</v>
      </c>
      <c r="E582">
        <v>8</v>
      </c>
      <c r="H582">
        <v>31</v>
      </c>
      <c r="I582" t="s">
        <v>124</v>
      </c>
      <c r="J582" t="s">
        <v>125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 t="shared" ref="S582:T585" si="175">"22:11:54.000"</f>
        <v>22:11:54.000</v>
      </c>
      <c r="T582" t="str">
        <f t="shared" si="175"/>
        <v>22:11:54.000</v>
      </c>
      <c r="U582" t="str">
        <f t="shared" si="174"/>
        <v>A9D71F</v>
      </c>
      <c r="V582">
        <v>0</v>
      </c>
      <c r="W582">
        <v>0</v>
      </c>
      <c r="X582">
        <v>2</v>
      </c>
      <c r="Z582">
        <v>1</v>
      </c>
      <c r="AA582">
        <v>8</v>
      </c>
      <c r="AB582">
        <v>3</v>
      </c>
      <c r="AC582">
        <v>0</v>
      </c>
      <c r="AD582">
        <v>9</v>
      </c>
      <c r="AE582">
        <v>0</v>
      </c>
      <c r="AF582">
        <v>3</v>
      </c>
      <c r="AG582">
        <v>1</v>
      </c>
      <c r="AH582">
        <v>0</v>
      </c>
      <c r="AI582" t="s">
        <v>337</v>
      </c>
      <c r="AJ582">
        <v>33.187443999999999</v>
      </c>
      <c r="AK582" t="s">
        <v>338</v>
      </c>
      <c r="AL582">
        <v>-97.754823999999999</v>
      </c>
      <c r="AM582">
        <v>25</v>
      </c>
      <c r="AN582">
        <v>3100</v>
      </c>
      <c r="AO582" t="s">
        <v>118</v>
      </c>
      <c r="AP582">
        <v>91</v>
      </c>
      <c r="AQ582">
        <v>-10</v>
      </c>
      <c r="AR582">
        <v>896</v>
      </c>
      <c r="AZ582">
        <v>1200</v>
      </c>
      <c r="BA582">
        <v>1</v>
      </c>
      <c r="BB582" t="str">
        <f t="shared" si="162"/>
        <v xml:space="preserve">N733KP  </v>
      </c>
      <c r="BC582">
        <v>1</v>
      </c>
      <c r="BE582">
        <v>0</v>
      </c>
      <c r="BF582">
        <v>0</v>
      </c>
      <c r="BG582">
        <v>0</v>
      </c>
      <c r="BH582">
        <v>3000</v>
      </c>
      <c r="BI582">
        <v>1</v>
      </c>
      <c r="BJ582">
        <v>1</v>
      </c>
      <c r="BK582">
        <v>0</v>
      </c>
      <c r="BL582">
        <v>0</v>
      </c>
      <c r="BO582">
        <v>0</v>
      </c>
      <c r="BP582">
        <v>0</v>
      </c>
      <c r="BW582" t="str">
        <f>"22:11:54.754"</f>
        <v>22:11:54.754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364</v>
      </c>
      <c r="CR582">
        <v>0</v>
      </c>
      <c r="CW582">
        <v>1386760</v>
      </c>
      <c r="CY582">
        <v>1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"03/24/2022 22:11:54.968"</f>
        <v>03/24/2022 22:11:54.968</v>
      </c>
      <c r="C583" t="str">
        <f t="shared" si="160"/>
        <v>FFDFD3C0</v>
      </c>
      <c r="D583" t="s">
        <v>120</v>
      </c>
      <c r="E583">
        <v>14</v>
      </c>
      <c r="F583">
        <v>1014</v>
      </c>
      <c r="G583" t="s">
        <v>121</v>
      </c>
      <c r="J583" t="s">
        <v>122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 t="shared" si="175"/>
        <v>22:11:54.000</v>
      </c>
      <c r="T583" t="str">
        <f t="shared" si="175"/>
        <v>22:11:54.000</v>
      </c>
      <c r="U583" t="str">
        <f t="shared" si="174"/>
        <v>A9D71F</v>
      </c>
      <c r="V583">
        <v>0</v>
      </c>
      <c r="W583">
        <v>0</v>
      </c>
      <c r="X583">
        <v>2</v>
      </c>
      <c r="Z583">
        <v>1</v>
      </c>
      <c r="AA583">
        <v>8</v>
      </c>
      <c r="AB583">
        <v>3</v>
      </c>
      <c r="AC583">
        <v>0</v>
      </c>
      <c r="AD583">
        <v>9</v>
      </c>
      <c r="AE583">
        <v>0</v>
      </c>
      <c r="AF583">
        <v>3</v>
      </c>
      <c r="AG583">
        <v>1</v>
      </c>
      <c r="AH583">
        <v>0</v>
      </c>
      <c r="AI583" t="s">
        <v>337</v>
      </c>
      <c r="AJ583">
        <v>33.187443999999999</v>
      </c>
      <c r="AK583" t="s">
        <v>338</v>
      </c>
      <c r="AL583">
        <v>-97.754823999999999</v>
      </c>
      <c r="AM583">
        <v>25</v>
      </c>
      <c r="AN583">
        <v>3100</v>
      </c>
      <c r="AO583" t="s">
        <v>118</v>
      </c>
      <c r="AP583">
        <v>91</v>
      </c>
      <c r="AQ583">
        <v>-10</v>
      </c>
      <c r="AR583">
        <v>896</v>
      </c>
      <c r="AZ583">
        <v>1200</v>
      </c>
      <c r="BA583">
        <v>1</v>
      </c>
      <c r="BB583" t="str">
        <f t="shared" si="162"/>
        <v xml:space="preserve">N733KP  </v>
      </c>
      <c r="BC583">
        <v>1</v>
      </c>
      <c r="BE583">
        <v>0</v>
      </c>
      <c r="BF583">
        <v>0</v>
      </c>
      <c r="BG583">
        <v>0</v>
      </c>
      <c r="BH583">
        <v>3000</v>
      </c>
      <c r="BI583">
        <v>1</v>
      </c>
      <c r="BJ583">
        <v>1</v>
      </c>
      <c r="BK583">
        <v>0</v>
      </c>
      <c r="BL583">
        <v>0</v>
      </c>
      <c r="BO583">
        <v>0</v>
      </c>
      <c r="BP583">
        <v>0</v>
      </c>
      <c r="BW583" t="str">
        <f>"22:11:54.754"</f>
        <v>22:11:54.754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364</v>
      </c>
      <c r="CR583">
        <v>0</v>
      </c>
      <c r="CW583">
        <v>1386760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"03/24/2022 22:11:54.968"</f>
        <v>03/24/2022 22:11:54.968</v>
      </c>
      <c r="C584" t="str">
        <f t="shared" si="160"/>
        <v>FFDFD3C0</v>
      </c>
      <c r="D584" t="s">
        <v>113</v>
      </c>
      <c r="E584">
        <v>24</v>
      </c>
      <c r="F584">
        <v>2024</v>
      </c>
      <c r="G584" t="s">
        <v>114</v>
      </c>
      <c r="J584" t="s">
        <v>115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 t="shared" si="175"/>
        <v>22:11:54.000</v>
      </c>
      <c r="T584" t="str">
        <f t="shared" si="175"/>
        <v>22:11:54.000</v>
      </c>
      <c r="U584" t="str">
        <f t="shared" si="174"/>
        <v>A9D71F</v>
      </c>
      <c r="V584">
        <v>0</v>
      </c>
      <c r="W584">
        <v>0</v>
      </c>
      <c r="X584">
        <v>2</v>
      </c>
      <c r="Z584">
        <v>1</v>
      </c>
      <c r="AA584">
        <v>8</v>
      </c>
      <c r="AB584">
        <v>3</v>
      </c>
      <c r="AC584">
        <v>0</v>
      </c>
      <c r="AD584">
        <v>9</v>
      </c>
      <c r="AE584">
        <v>0</v>
      </c>
      <c r="AF584">
        <v>3</v>
      </c>
      <c r="AG584">
        <v>1</v>
      </c>
      <c r="AH584">
        <v>0</v>
      </c>
      <c r="AI584" t="s">
        <v>337</v>
      </c>
      <c r="AJ584">
        <v>33.187443999999999</v>
      </c>
      <c r="AK584" t="s">
        <v>338</v>
      </c>
      <c r="AL584">
        <v>-97.754823999999999</v>
      </c>
      <c r="AM584">
        <v>25</v>
      </c>
      <c r="AN584">
        <v>3100</v>
      </c>
      <c r="AO584" t="s">
        <v>118</v>
      </c>
      <c r="AP584">
        <v>91</v>
      </c>
      <c r="AQ584">
        <v>-10</v>
      </c>
      <c r="AR584">
        <v>896</v>
      </c>
      <c r="AZ584">
        <v>1200</v>
      </c>
      <c r="BA584">
        <v>1</v>
      </c>
      <c r="BB584" t="str">
        <f t="shared" si="162"/>
        <v xml:space="preserve">N733KP  </v>
      </c>
      <c r="BC584">
        <v>1</v>
      </c>
      <c r="BE584">
        <v>0</v>
      </c>
      <c r="BF584">
        <v>0</v>
      </c>
      <c r="BG584">
        <v>0</v>
      </c>
      <c r="BH584">
        <v>3000</v>
      </c>
      <c r="BI584">
        <v>1</v>
      </c>
      <c r="BJ584">
        <v>1</v>
      </c>
      <c r="BK584">
        <v>0</v>
      </c>
      <c r="BL584">
        <v>0</v>
      </c>
      <c r="BO584">
        <v>0</v>
      </c>
      <c r="BP584">
        <v>0</v>
      </c>
      <c r="BW584" t="str">
        <f>"22:11:54.754"</f>
        <v>22:11:54.754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364</v>
      </c>
      <c r="CR584">
        <v>0</v>
      </c>
      <c r="CW584">
        <v>1386760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"03/24/2022 22:11:55.031"</f>
        <v>03/24/2022 22:11:55.031</v>
      </c>
      <c r="C585" t="str">
        <f t="shared" si="160"/>
        <v>FFDFD3C0</v>
      </c>
      <c r="D585" t="s">
        <v>126</v>
      </c>
      <c r="E585">
        <v>3</v>
      </c>
      <c r="H585">
        <v>160</v>
      </c>
      <c r="I585" t="s">
        <v>121</v>
      </c>
      <c r="J585" t="s">
        <v>127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 t="shared" si="175"/>
        <v>22:11:54.000</v>
      </c>
      <c r="T585" t="str">
        <f t="shared" si="175"/>
        <v>22:11:54.000</v>
      </c>
      <c r="U585" t="str">
        <f t="shared" si="174"/>
        <v>A9D71F</v>
      </c>
      <c r="V585">
        <v>0</v>
      </c>
      <c r="W585">
        <v>0</v>
      </c>
      <c r="X585">
        <v>2</v>
      </c>
      <c r="Z585">
        <v>1</v>
      </c>
      <c r="AA585">
        <v>8</v>
      </c>
      <c r="AB585">
        <v>3</v>
      </c>
      <c r="AC585">
        <v>0</v>
      </c>
      <c r="AD585">
        <v>9</v>
      </c>
      <c r="AE585">
        <v>0</v>
      </c>
      <c r="AF585">
        <v>3</v>
      </c>
      <c r="AG585">
        <v>1</v>
      </c>
      <c r="AH585">
        <v>0</v>
      </c>
      <c r="AI585" t="s">
        <v>337</v>
      </c>
      <c r="AJ585">
        <v>33.187443999999999</v>
      </c>
      <c r="AK585" t="s">
        <v>338</v>
      </c>
      <c r="AL585">
        <v>-97.754823999999999</v>
      </c>
      <c r="AM585">
        <v>25</v>
      </c>
      <c r="AN585">
        <v>3100</v>
      </c>
      <c r="AO585" t="s">
        <v>118</v>
      </c>
      <c r="AP585">
        <v>91</v>
      </c>
      <c r="AQ585">
        <v>-10</v>
      </c>
      <c r="AR585">
        <v>896</v>
      </c>
      <c r="AZ585">
        <v>1200</v>
      </c>
      <c r="BA585">
        <v>1</v>
      </c>
      <c r="BB585" t="str">
        <f t="shared" si="162"/>
        <v xml:space="preserve">N733KP  </v>
      </c>
      <c r="BC585">
        <v>1</v>
      </c>
      <c r="BE585">
        <v>0</v>
      </c>
      <c r="BF585">
        <v>0</v>
      </c>
      <c r="BG585">
        <v>0</v>
      </c>
      <c r="BH585">
        <v>3000</v>
      </c>
      <c r="BI585">
        <v>1</v>
      </c>
      <c r="BJ585">
        <v>1</v>
      </c>
      <c r="BK585">
        <v>0</v>
      </c>
      <c r="BL585">
        <v>0</v>
      </c>
      <c r="BO585">
        <v>0</v>
      </c>
      <c r="BP585">
        <v>0</v>
      </c>
      <c r="BW585" t="str">
        <f>"22:11:54.754"</f>
        <v>22:11:54.754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364</v>
      </c>
      <c r="CR585">
        <v>0</v>
      </c>
      <c r="CW585">
        <v>1386760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"03/24/2022 22:11:56.140"</f>
        <v>03/24/2022 22:11:56.140</v>
      </c>
      <c r="C586" t="str">
        <f t="shared" si="160"/>
        <v>FFDFD3C0</v>
      </c>
      <c r="D586" t="s">
        <v>126</v>
      </c>
      <c r="E586">
        <v>3</v>
      </c>
      <c r="H586">
        <v>160</v>
      </c>
      <c r="I586" t="s">
        <v>121</v>
      </c>
      <c r="J586" t="s">
        <v>127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 t="shared" ref="S586:T589" si="176">"22:11:55.000"</f>
        <v>22:11:55.000</v>
      </c>
      <c r="T586" t="str">
        <f t="shared" si="176"/>
        <v>22:11:55.000</v>
      </c>
      <c r="U586" t="str">
        <f t="shared" si="174"/>
        <v>A9D71F</v>
      </c>
      <c r="V586">
        <v>0</v>
      </c>
      <c r="W586">
        <v>0</v>
      </c>
      <c r="X586">
        <v>2</v>
      </c>
      <c r="Z586">
        <v>1</v>
      </c>
      <c r="AA586">
        <v>8</v>
      </c>
      <c r="AB586">
        <v>3</v>
      </c>
      <c r="AC586">
        <v>0</v>
      </c>
      <c r="AD586">
        <v>9</v>
      </c>
      <c r="AE586">
        <v>0</v>
      </c>
      <c r="AF586">
        <v>3</v>
      </c>
      <c r="AG586">
        <v>1</v>
      </c>
      <c r="AH586">
        <v>0</v>
      </c>
      <c r="AI586" t="s">
        <v>339</v>
      </c>
      <c r="AJ586">
        <v>33.187423000000003</v>
      </c>
      <c r="AK586" t="s">
        <v>340</v>
      </c>
      <c r="AL586">
        <v>-97.754330999999993</v>
      </c>
      <c r="AM586">
        <v>25</v>
      </c>
      <c r="AN586">
        <v>3100</v>
      </c>
      <c r="AO586" t="s">
        <v>118</v>
      </c>
      <c r="AP586">
        <v>90</v>
      </c>
      <c r="AQ586">
        <v>-14</v>
      </c>
      <c r="AR586">
        <v>896</v>
      </c>
      <c r="AZ586">
        <v>1200</v>
      </c>
      <c r="BA586">
        <v>1</v>
      </c>
      <c r="BB586" t="str">
        <f t="shared" si="162"/>
        <v xml:space="preserve">N733KP  </v>
      </c>
      <c r="BC586">
        <v>1</v>
      </c>
      <c r="BE586">
        <v>0</v>
      </c>
      <c r="BF586">
        <v>0</v>
      </c>
      <c r="BG586">
        <v>0</v>
      </c>
      <c r="BH586">
        <v>3025</v>
      </c>
      <c r="BI586">
        <v>1</v>
      </c>
      <c r="BJ586">
        <v>1</v>
      </c>
      <c r="BK586">
        <v>0</v>
      </c>
      <c r="BL586">
        <v>0</v>
      </c>
      <c r="BO586">
        <v>0</v>
      </c>
      <c r="BP586">
        <v>0</v>
      </c>
      <c r="BW586" t="str">
        <f>"22:11:55.946"</f>
        <v>22:11:55.946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364</v>
      </c>
      <c r="CR586">
        <v>0</v>
      </c>
      <c r="CW586">
        <v>1386937</v>
      </c>
      <c r="CY586">
        <v>1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"03/24/2022 22:11:56.250"</f>
        <v>03/24/2022 22:11:56.250</v>
      </c>
      <c r="C587" t="str">
        <f t="shared" si="160"/>
        <v>FFDFD3C0</v>
      </c>
      <c r="D587" t="s">
        <v>123</v>
      </c>
      <c r="E587">
        <v>8</v>
      </c>
      <c r="H587">
        <v>31</v>
      </c>
      <c r="I587" t="s">
        <v>124</v>
      </c>
      <c r="J587" t="s">
        <v>125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 t="shared" si="176"/>
        <v>22:11:55.000</v>
      </c>
      <c r="T587" t="str">
        <f t="shared" si="176"/>
        <v>22:11:55.000</v>
      </c>
      <c r="U587" t="str">
        <f t="shared" si="174"/>
        <v>A9D71F</v>
      </c>
      <c r="V587">
        <v>0</v>
      </c>
      <c r="W587">
        <v>0</v>
      </c>
      <c r="X587">
        <v>2</v>
      </c>
      <c r="Z587">
        <v>1</v>
      </c>
      <c r="AA587">
        <v>8</v>
      </c>
      <c r="AB587">
        <v>3</v>
      </c>
      <c r="AC587">
        <v>0</v>
      </c>
      <c r="AD587">
        <v>9</v>
      </c>
      <c r="AE587">
        <v>0</v>
      </c>
      <c r="AF587">
        <v>3</v>
      </c>
      <c r="AG587">
        <v>1</v>
      </c>
      <c r="AH587">
        <v>0</v>
      </c>
      <c r="AI587" t="s">
        <v>339</v>
      </c>
      <c r="AJ587">
        <v>33.187423000000003</v>
      </c>
      <c r="AK587" t="s">
        <v>340</v>
      </c>
      <c r="AL587">
        <v>-97.754330999999993</v>
      </c>
      <c r="AM587">
        <v>25</v>
      </c>
      <c r="AN587">
        <v>3100</v>
      </c>
      <c r="AO587" t="s">
        <v>118</v>
      </c>
      <c r="AP587">
        <v>90</v>
      </c>
      <c r="AQ587">
        <v>-14</v>
      </c>
      <c r="AR587">
        <v>896</v>
      </c>
      <c r="AZ587">
        <v>1200</v>
      </c>
      <c r="BA587">
        <v>1</v>
      </c>
      <c r="BB587" t="str">
        <f t="shared" si="162"/>
        <v xml:space="preserve">N733KP  </v>
      </c>
      <c r="BC587">
        <v>1</v>
      </c>
      <c r="BE587">
        <v>0</v>
      </c>
      <c r="BF587">
        <v>0</v>
      </c>
      <c r="BG587">
        <v>0</v>
      </c>
      <c r="BH587">
        <v>3025</v>
      </c>
      <c r="BI587">
        <v>1</v>
      </c>
      <c r="BJ587">
        <v>1</v>
      </c>
      <c r="BK587">
        <v>0</v>
      </c>
      <c r="BL587">
        <v>0</v>
      </c>
      <c r="BO587">
        <v>0</v>
      </c>
      <c r="BP587">
        <v>0</v>
      </c>
      <c r="BW587" t="str">
        <f>"22:11:55.946"</f>
        <v>22:11:55.946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364</v>
      </c>
      <c r="CR587">
        <v>0</v>
      </c>
      <c r="CW587">
        <v>1386937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"03/24/2022 22:11:56.250"</f>
        <v>03/24/2022 22:11:56.250</v>
      </c>
      <c r="C588" t="str">
        <f t="shared" si="160"/>
        <v>FFDFD3C0</v>
      </c>
      <c r="D588" t="s">
        <v>120</v>
      </c>
      <c r="E588">
        <v>14</v>
      </c>
      <c r="F588">
        <v>1014</v>
      </c>
      <c r="G588" t="s">
        <v>121</v>
      </c>
      <c r="J588" t="s">
        <v>122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 t="shared" si="176"/>
        <v>22:11:55.000</v>
      </c>
      <c r="T588" t="str">
        <f t="shared" si="176"/>
        <v>22:11:55.000</v>
      </c>
      <c r="U588" t="str">
        <f t="shared" si="174"/>
        <v>A9D71F</v>
      </c>
      <c r="V588">
        <v>0</v>
      </c>
      <c r="W588">
        <v>0</v>
      </c>
      <c r="X588">
        <v>2</v>
      </c>
      <c r="Z588">
        <v>1</v>
      </c>
      <c r="AA588">
        <v>8</v>
      </c>
      <c r="AB588">
        <v>3</v>
      </c>
      <c r="AC588">
        <v>0</v>
      </c>
      <c r="AD588">
        <v>9</v>
      </c>
      <c r="AE588">
        <v>0</v>
      </c>
      <c r="AF588">
        <v>3</v>
      </c>
      <c r="AG588">
        <v>1</v>
      </c>
      <c r="AH588">
        <v>0</v>
      </c>
      <c r="AI588" t="s">
        <v>339</v>
      </c>
      <c r="AJ588">
        <v>33.187423000000003</v>
      </c>
      <c r="AK588" t="s">
        <v>340</v>
      </c>
      <c r="AL588">
        <v>-97.754330999999993</v>
      </c>
      <c r="AM588">
        <v>25</v>
      </c>
      <c r="AN588">
        <v>3100</v>
      </c>
      <c r="AO588" t="s">
        <v>118</v>
      </c>
      <c r="AP588">
        <v>90</v>
      </c>
      <c r="AQ588">
        <v>-14</v>
      </c>
      <c r="AR588">
        <v>896</v>
      </c>
      <c r="AZ588">
        <v>1200</v>
      </c>
      <c r="BA588">
        <v>1</v>
      </c>
      <c r="BB588" t="str">
        <f t="shared" si="162"/>
        <v xml:space="preserve">N733KP  </v>
      </c>
      <c r="BC588">
        <v>1</v>
      </c>
      <c r="BE588">
        <v>0</v>
      </c>
      <c r="BF588">
        <v>0</v>
      </c>
      <c r="BG588">
        <v>0</v>
      </c>
      <c r="BH588">
        <v>3025</v>
      </c>
      <c r="BI588">
        <v>1</v>
      </c>
      <c r="BJ588">
        <v>1</v>
      </c>
      <c r="BK588">
        <v>0</v>
      </c>
      <c r="BL588">
        <v>0</v>
      </c>
      <c r="BO588">
        <v>0</v>
      </c>
      <c r="BP588">
        <v>0</v>
      </c>
      <c r="BW588" t="str">
        <f>"22:11:55.946"</f>
        <v>22:11:55.946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364</v>
      </c>
      <c r="CR588">
        <v>0</v>
      </c>
      <c r="CW588">
        <v>1386937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"03/24/2022 22:11:56.250"</f>
        <v>03/24/2022 22:11:56.250</v>
      </c>
      <c r="C589" t="str">
        <f t="shared" si="160"/>
        <v>FFDFD3C0</v>
      </c>
      <c r="D589" t="s">
        <v>113</v>
      </c>
      <c r="E589">
        <v>24</v>
      </c>
      <c r="F589">
        <v>2024</v>
      </c>
      <c r="G589" t="s">
        <v>114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 t="shared" si="176"/>
        <v>22:11:55.000</v>
      </c>
      <c r="T589" t="str">
        <f t="shared" si="176"/>
        <v>22:11:55.000</v>
      </c>
      <c r="U589" t="str">
        <f t="shared" si="174"/>
        <v>A9D71F</v>
      </c>
      <c r="V589">
        <v>0</v>
      </c>
      <c r="W589">
        <v>0</v>
      </c>
      <c r="X589">
        <v>2</v>
      </c>
      <c r="Z589">
        <v>1</v>
      </c>
      <c r="AA589">
        <v>8</v>
      </c>
      <c r="AB589">
        <v>3</v>
      </c>
      <c r="AC589">
        <v>0</v>
      </c>
      <c r="AD589">
        <v>9</v>
      </c>
      <c r="AE589">
        <v>0</v>
      </c>
      <c r="AF589">
        <v>3</v>
      </c>
      <c r="AG589">
        <v>1</v>
      </c>
      <c r="AH589">
        <v>0</v>
      </c>
      <c r="AI589" t="s">
        <v>339</v>
      </c>
      <c r="AJ589">
        <v>33.187423000000003</v>
      </c>
      <c r="AK589" t="s">
        <v>340</v>
      </c>
      <c r="AL589">
        <v>-97.754330999999993</v>
      </c>
      <c r="AM589">
        <v>25</v>
      </c>
      <c r="AN589">
        <v>3100</v>
      </c>
      <c r="AO589" t="s">
        <v>118</v>
      </c>
      <c r="AP589">
        <v>90</v>
      </c>
      <c r="AQ589">
        <v>-14</v>
      </c>
      <c r="AR589">
        <v>896</v>
      </c>
      <c r="AZ589">
        <v>1200</v>
      </c>
      <c r="BA589">
        <v>1</v>
      </c>
      <c r="BB589" t="str">
        <f t="shared" si="162"/>
        <v xml:space="preserve">N733KP  </v>
      </c>
      <c r="BC589">
        <v>1</v>
      </c>
      <c r="BE589">
        <v>0</v>
      </c>
      <c r="BF589">
        <v>0</v>
      </c>
      <c r="BG589">
        <v>0</v>
      </c>
      <c r="BH589">
        <v>3025</v>
      </c>
      <c r="BI589">
        <v>1</v>
      </c>
      <c r="BJ589">
        <v>1</v>
      </c>
      <c r="BK589">
        <v>0</v>
      </c>
      <c r="BL589">
        <v>0</v>
      </c>
      <c r="BO589">
        <v>0</v>
      </c>
      <c r="BP589">
        <v>0</v>
      </c>
      <c r="BW589" t="str">
        <f>"22:11:55.946"</f>
        <v>22:11:55.946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364</v>
      </c>
      <c r="CR589">
        <v>0</v>
      </c>
      <c r="CW589">
        <v>1386937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"03/24/2022 22:11:56.751"</f>
        <v>03/24/2022 22:11:56.751</v>
      </c>
      <c r="C590" t="str">
        <f t="shared" si="160"/>
        <v>FFDFD3C0</v>
      </c>
      <c r="D590" t="s">
        <v>120</v>
      </c>
      <c r="E590">
        <v>14</v>
      </c>
      <c r="F590">
        <v>1014</v>
      </c>
      <c r="G590" t="s">
        <v>121</v>
      </c>
      <c r="J590" t="s">
        <v>122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 t="shared" ref="S590:T593" si="177">"22:11:56.000"</f>
        <v>22:11:56.000</v>
      </c>
      <c r="T590" t="str">
        <f t="shared" si="177"/>
        <v>22:11:56.000</v>
      </c>
      <c r="U590" t="str">
        <f t="shared" si="174"/>
        <v>A9D71F</v>
      </c>
      <c r="V590">
        <v>0</v>
      </c>
      <c r="W590">
        <v>0</v>
      </c>
      <c r="X590">
        <v>2</v>
      </c>
      <c r="Z590">
        <v>1</v>
      </c>
      <c r="AA590">
        <v>8</v>
      </c>
      <c r="AB590">
        <v>3</v>
      </c>
      <c r="AC590">
        <v>0</v>
      </c>
      <c r="AD590">
        <v>9</v>
      </c>
      <c r="AE590">
        <v>0</v>
      </c>
      <c r="AF590">
        <v>3</v>
      </c>
      <c r="AG590">
        <v>1</v>
      </c>
      <c r="AH590">
        <v>0</v>
      </c>
      <c r="AI590" t="s">
        <v>341</v>
      </c>
      <c r="AJ590">
        <v>33.187379999999997</v>
      </c>
      <c r="AK590" t="s">
        <v>342</v>
      </c>
      <c r="AL590">
        <v>-97.753837000000004</v>
      </c>
      <c r="AM590">
        <v>25</v>
      </c>
      <c r="AN590">
        <v>3100</v>
      </c>
      <c r="AO590" t="s">
        <v>118</v>
      </c>
      <c r="AP590">
        <v>89</v>
      </c>
      <c r="AQ590">
        <v>-14</v>
      </c>
      <c r="AR590">
        <v>1088</v>
      </c>
      <c r="AZ590">
        <v>1200</v>
      </c>
      <c r="BA590">
        <v>1</v>
      </c>
      <c r="BB590" t="str">
        <f t="shared" si="162"/>
        <v xml:space="preserve">N733KP  </v>
      </c>
      <c r="BC590">
        <v>1</v>
      </c>
      <c r="BE590">
        <v>0</v>
      </c>
      <c r="BF590">
        <v>0</v>
      </c>
      <c r="BG590">
        <v>0</v>
      </c>
      <c r="BH590">
        <v>3025</v>
      </c>
      <c r="BI590">
        <v>1</v>
      </c>
      <c r="BJ590">
        <v>1</v>
      </c>
      <c r="BK590">
        <v>0</v>
      </c>
      <c r="BL590">
        <v>0</v>
      </c>
      <c r="BO590">
        <v>0</v>
      </c>
      <c r="BP590">
        <v>0</v>
      </c>
      <c r="BW590" t="str">
        <f>"22:11:56.559"</f>
        <v>22:11:56.559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1</v>
      </c>
      <c r="CP590" t="s">
        <v>119</v>
      </c>
      <c r="CQ590">
        <v>439</v>
      </c>
      <c r="CR590">
        <v>0</v>
      </c>
      <c r="CW590">
        <v>11497891</v>
      </c>
      <c r="CY590">
        <v>1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"03/24/2022 22:11:56.751"</f>
        <v>03/24/2022 22:11:56.751</v>
      </c>
      <c r="C591" t="str">
        <f t="shared" si="160"/>
        <v>FFDFD3C0</v>
      </c>
      <c r="D591" t="s">
        <v>123</v>
      </c>
      <c r="E591">
        <v>8</v>
      </c>
      <c r="H591">
        <v>31</v>
      </c>
      <c r="I591" t="s">
        <v>124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 t="shared" si="177"/>
        <v>22:11:56.000</v>
      </c>
      <c r="T591" t="str">
        <f t="shared" si="177"/>
        <v>22:11:56.000</v>
      </c>
      <c r="U591" t="str">
        <f t="shared" si="174"/>
        <v>A9D71F</v>
      </c>
      <c r="V591">
        <v>0</v>
      </c>
      <c r="W591">
        <v>0</v>
      </c>
      <c r="X591">
        <v>2</v>
      </c>
      <c r="Z591">
        <v>1</v>
      </c>
      <c r="AA591">
        <v>8</v>
      </c>
      <c r="AB591">
        <v>3</v>
      </c>
      <c r="AC591">
        <v>0</v>
      </c>
      <c r="AD591">
        <v>9</v>
      </c>
      <c r="AE591">
        <v>0</v>
      </c>
      <c r="AF591">
        <v>3</v>
      </c>
      <c r="AG591">
        <v>1</v>
      </c>
      <c r="AH591">
        <v>0</v>
      </c>
      <c r="AI591" t="s">
        <v>341</v>
      </c>
      <c r="AJ591">
        <v>33.187379999999997</v>
      </c>
      <c r="AK591" t="s">
        <v>342</v>
      </c>
      <c r="AL591">
        <v>-97.753837000000004</v>
      </c>
      <c r="AM591">
        <v>25</v>
      </c>
      <c r="AN591">
        <v>3100</v>
      </c>
      <c r="AO591" t="s">
        <v>118</v>
      </c>
      <c r="AP591">
        <v>89</v>
      </c>
      <c r="AQ591">
        <v>-14</v>
      </c>
      <c r="AR591">
        <v>1088</v>
      </c>
      <c r="AZ591">
        <v>1200</v>
      </c>
      <c r="BA591">
        <v>1</v>
      </c>
      <c r="BB591" t="str">
        <f t="shared" si="162"/>
        <v xml:space="preserve">N733KP  </v>
      </c>
      <c r="BC591">
        <v>1</v>
      </c>
      <c r="BE591">
        <v>0</v>
      </c>
      <c r="BF591">
        <v>0</v>
      </c>
      <c r="BG591">
        <v>0</v>
      </c>
      <c r="BH591">
        <v>3025</v>
      </c>
      <c r="BI591">
        <v>1</v>
      </c>
      <c r="BJ591">
        <v>1</v>
      </c>
      <c r="BK591">
        <v>0</v>
      </c>
      <c r="BL591">
        <v>0</v>
      </c>
      <c r="BO591">
        <v>0</v>
      </c>
      <c r="BP591">
        <v>0</v>
      </c>
      <c r="BW591" t="str">
        <f>"22:11:56.559"</f>
        <v>22:11:56.559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0</v>
      </c>
      <c r="CP591" t="s">
        <v>119</v>
      </c>
      <c r="CQ591">
        <v>365</v>
      </c>
      <c r="CR591">
        <v>0</v>
      </c>
      <c r="CW591">
        <v>11425167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"03/24/2022 22:11:56.766"</f>
        <v>03/24/2022 22:11:56.766</v>
      </c>
      <c r="C592" t="str">
        <f t="shared" si="160"/>
        <v>FFDFD3C0</v>
      </c>
      <c r="D592" t="s">
        <v>113</v>
      </c>
      <c r="E592">
        <v>24</v>
      </c>
      <c r="F592">
        <v>2024</v>
      </c>
      <c r="G592" t="s">
        <v>114</v>
      </c>
      <c r="J592" t="s">
        <v>115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 t="shared" si="177"/>
        <v>22:11:56.000</v>
      </c>
      <c r="T592" t="str">
        <f t="shared" si="177"/>
        <v>22:11:56.000</v>
      </c>
      <c r="U592" t="str">
        <f t="shared" si="174"/>
        <v>A9D71F</v>
      </c>
      <c r="V592">
        <v>0</v>
      </c>
      <c r="W592">
        <v>0</v>
      </c>
      <c r="X592">
        <v>2</v>
      </c>
      <c r="Z592">
        <v>1</v>
      </c>
      <c r="AA592">
        <v>8</v>
      </c>
      <c r="AB592">
        <v>3</v>
      </c>
      <c r="AC592">
        <v>0</v>
      </c>
      <c r="AD592">
        <v>9</v>
      </c>
      <c r="AE592">
        <v>0</v>
      </c>
      <c r="AF592">
        <v>3</v>
      </c>
      <c r="AG592">
        <v>1</v>
      </c>
      <c r="AH592">
        <v>0</v>
      </c>
      <c r="AI592" t="s">
        <v>341</v>
      </c>
      <c r="AJ592">
        <v>33.187379999999997</v>
      </c>
      <c r="AK592" t="s">
        <v>342</v>
      </c>
      <c r="AL592">
        <v>-97.753837000000004</v>
      </c>
      <c r="AM592">
        <v>25</v>
      </c>
      <c r="AN592">
        <v>3100</v>
      </c>
      <c r="AO592" t="s">
        <v>118</v>
      </c>
      <c r="AP592">
        <v>89</v>
      </c>
      <c r="AQ592">
        <v>-14</v>
      </c>
      <c r="AR592">
        <v>1088</v>
      </c>
      <c r="AZ592">
        <v>1200</v>
      </c>
      <c r="BA592">
        <v>1</v>
      </c>
      <c r="BB592" t="str">
        <f t="shared" si="162"/>
        <v xml:space="preserve">N733KP  </v>
      </c>
      <c r="BC592">
        <v>1</v>
      </c>
      <c r="BE592">
        <v>0</v>
      </c>
      <c r="BF592">
        <v>0</v>
      </c>
      <c r="BG592">
        <v>0</v>
      </c>
      <c r="BH592">
        <v>3025</v>
      </c>
      <c r="BI592">
        <v>1</v>
      </c>
      <c r="BJ592">
        <v>1</v>
      </c>
      <c r="BK592">
        <v>0</v>
      </c>
      <c r="BL592">
        <v>0</v>
      </c>
      <c r="BO592">
        <v>0</v>
      </c>
      <c r="BP592">
        <v>0</v>
      </c>
      <c r="BW592" t="str">
        <f>"22:11:56.559"</f>
        <v>22:11:56.559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1</v>
      </c>
      <c r="CP592" t="s">
        <v>119</v>
      </c>
      <c r="CQ592">
        <v>439</v>
      </c>
      <c r="CR592">
        <v>0</v>
      </c>
      <c r="CW592">
        <v>11497891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"03/24/2022 22:11:56.766"</f>
        <v>03/24/2022 22:11:56.766</v>
      </c>
      <c r="C593" t="str">
        <f t="shared" si="160"/>
        <v>FFDFD3C0</v>
      </c>
      <c r="D593" t="s">
        <v>126</v>
      </c>
      <c r="E593">
        <v>3</v>
      </c>
      <c r="H593">
        <v>160</v>
      </c>
      <c r="I593" t="s">
        <v>121</v>
      </c>
      <c r="J593" t="s">
        <v>127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 t="shared" si="177"/>
        <v>22:11:56.000</v>
      </c>
      <c r="T593" t="str">
        <f t="shared" si="177"/>
        <v>22:11:56.000</v>
      </c>
      <c r="U593" t="str">
        <f t="shared" si="174"/>
        <v>A9D71F</v>
      </c>
      <c r="V593">
        <v>0</v>
      </c>
      <c r="W593">
        <v>0</v>
      </c>
      <c r="X593">
        <v>2</v>
      </c>
      <c r="Z593">
        <v>1</v>
      </c>
      <c r="AA593">
        <v>8</v>
      </c>
      <c r="AB593">
        <v>3</v>
      </c>
      <c r="AC593">
        <v>0</v>
      </c>
      <c r="AD593">
        <v>9</v>
      </c>
      <c r="AE593">
        <v>0</v>
      </c>
      <c r="AF593">
        <v>3</v>
      </c>
      <c r="AG593">
        <v>1</v>
      </c>
      <c r="AH593">
        <v>0</v>
      </c>
      <c r="AI593" t="s">
        <v>341</v>
      </c>
      <c r="AJ593">
        <v>33.187379999999997</v>
      </c>
      <c r="AK593" t="s">
        <v>342</v>
      </c>
      <c r="AL593">
        <v>-97.753837000000004</v>
      </c>
      <c r="AM593">
        <v>25</v>
      </c>
      <c r="AN593">
        <v>3100</v>
      </c>
      <c r="AO593" t="s">
        <v>118</v>
      </c>
      <c r="AP593">
        <v>89</v>
      </c>
      <c r="AQ593">
        <v>-14</v>
      </c>
      <c r="AR593">
        <v>1088</v>
      </c>
      <c r="AZ593">
        <v>1200</v>
      </c>
      <c r="BA593">
        <v>1</v>
      </c>
      <c r="BB593" t="str">
        <f t="shared" si="162"/>
        <v xml:space="preserve">N733KP  </v>
      </c>
      <c r="BC593">
        <v>1</v>
      </c>
      <c r="BE593">
        <v>0</v>
      </c>
      <c r="BF593">
        <v>0</v>
      </c>
      <c r="BG593">
        <v>0</v>
      </c>
      <c r="BH593">
        <v>3025</v>
      </c>
      <c r="BI593">
        <v>1</v>
      </c>
      <c r="BJ593">
        <v>1</v>
      </c>
      <c r="BK593">
        <v>0</v>
      </c>
      <c r="BL593">
        <v>0</v>
      </c>
      <c r="BO593">
        <v>0</v>
      </c>
      <c r="BP593">
        <v>0</v>
      </c>
      <c r="BW593" t="str">
        <f>"22:11:56.559"</f>
        <v>22:11:56.559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1</v>
      </c>
      <c r="CP593" t="s">
        <v>119</v>
      </c>
      <c r="CQ593">
        <v>439</v>
      </c>
      <c r="CR593">
        <v>0</v>
      </c>
      <c r="CW593">
        <v>11497891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"03/24/2022 22:11:58.173"</f>
        <v>03/24/2022 22:11:58.173</v>
      </c>
      <c r="C594" t="str">
        <f t="shared" si="160"/>
        <v>FFDFD3C0</v>
      </c>
      <c r="D594" t="s">
        <v>123</v>
      </c>
      <c r="E594">
        <v>8</v>
      </c>
      <c r="H594">
        <v>31</v>
      </c>
      <c r="I594" t="s">
        <v>124</v>
      </c>
      <c r="J594" t="s">
        <v>125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 t="shared" ref="S594:T597" si="178">"22:11:57.000"</f>
        <v>22:11:57.000</v>
      </c>
      <c r="T594" t="str">
        <f t="shared" si="178"/>
        <v>22:11:57.000</v>
      </c>
      <c r="U594" t="str">
        <f t="shared" si="174"/>
        <v>A9D71F</v>
      </c>
      <c r="V594">
        <v>0</v>
      </c>
      <c r="W594">
        <v>0</v>
      </c>
      <c r="X594">
        <v>2</v>
      </c>
      <c r="Z594">
        <v>1</v>
      </c>
      <c r="AA594">
        <v>8</v>
      </c>
      <c r="AB594">
        <v>3</v>
      </c>
      <c r="AC594">
        <v>0</v>
      </c>
      <c r="AD594">
        <v>9</v>
      </c>
      <c r="AE594">
        <v>0</v>
      </c>
      <c r="AF594">
        <v>3</v>
      </c>
      <c r="AG594">
        <v>1</v>
      </c>
      <c r="AH594">
        <v>0</v>
      </c>
      <c r="AI594" t="s">
        <v>343</v>
      </c>
      <c r="AJ594">
        <v>33.187336999999999</v>
      </c>
      <c r="AK594" t="s">
        <v>344</v>
      </c>
      <c r="AL594">
        <v>-97.753365000000002</v>
      </c>
      <c r="AM594">
        <v>25</v>
      </c>
      <c r="AN594">
        <v>3100</v>
      </c>
      <c r="AO594" t="s">
        <v>118</v>
      </c>
      <c r="AP594">
        <v>87</v>
      </c>
      <c r="AQ594">
        <v>-19</v>
      </c>
      <c r="AR594">
        <v>1024</v>
      </c>
      <c r="AZ594">
        <v>1200</v>
      </c>
      <c r="BA594">
        <v>1</v>
      </c>
      <c r="BB594" t="str">
        <f t="shared" si="162"/>
        <v xml:space="preserve">N733KP  </v>
      </c>
      <c r="BC594">
        <v>1</v>
      </c>
      <c r="BE594">
        <v>0</v>
      </c>
      <c r="BF594">
        <v>0</v>
      </c>
      <c r="BG594">
        <v>0</v>
      </c>
      <c r="BH594">
        <v>3025</v>
      </c>
      <c r="BI594">
        <v>1</v>
      </c>
      <c r="BJ594">
        <v>1</v>
      </c>
      <c r="BK594">
        <v>0</v>
      </c>
      <c r="BL594">
        <v>0</v>
      </c>
      <c r="BO594">
        <v>0</v>
      </c>
      <c r="BP594">
        <v>0</v>
      </c>
      <c r="BW594" t="str">
        <f>"22:11:57.961"</f>
        <v>22:11:57.961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6</v>
      </c>
      <c r="CP594" t="s">
        <v>119</v>
      </c>
      <c r="CQ594">
        <v>364</v>
      </c>
      <c r="CR594">
        <v>0</v>
      </c>
      <c r="CW594">
        <v>1387258</v>
      </c>
      <c r="CY594">
        <v>1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"03/24/2022 22:11:58.173"</f>
        <v>03/24/2022 22:11:58.173</v>
      </c>
      <c r="C595" t="str">
        <f t="shared" si="160"/>
        <v>FFDFD3C0</v>
      </c>
      <c r="D595" t="s">
        <v>120</v>
      </c>
      <c r="E595">
        <v>14</v>
      </c>
      <c r="F595">
        <v>1014</v>
      </c>
      <c r="G595" t="s">
        <v>121</v>
      </c>
      <c r="J595" t="s">
        <v>122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 t="shared" si="178"/>
        <v>22:11:57.000</v>
      </c>
      <c r="T595" t="str">
        <f t="shared" si="178"/>
        <v>22:11:57.000</v>
      </c>
      <c r="U595" t="str">
        <f t="shared" si="174"/>
        <v>A9D71F</v>
      </c>
      <c r="V595">
        <v>0</v>
      </c>
      <c r="W595">
        <v>0</v>
      </c>
      <c r="X595">
        <v>2</v>
      </c>
      <c r="Z595">
        <v>1</v>
      </c>
      <c r="AA595">
        <v>8</v>
      </c>
      <c r="AB595">
        <v>3</v>
      </c>
      <c r="AC595">
        <v>0</v>
      </c>
      <c r="AD595">
        <v>9</v>
      </c>
      <c r="AE595">
        <v>0</v>
      </c>
      <c r="AF595">
        <v>3</v>
      </c>
      <c r="AG595">
        <v>1</v>
      </c>
      <c r="AH595">
        <v>0</v>
      </c>
      <c r="AI595" t="s">
        <v>343</v>
      </c>
      <c r="AJ595">
        <v>33.187336999999999</v>
      </c>
      <c r="AK595" t="s">
        <v>344</v>
      </c>
      <c r="AL595">
        <v>-97.753365000000002</v>
      </c>
      <c r="AM595">
        <v>25</v>
      </c>
      <c r="AN595">
        <v>3100</v>
      </c>
      <c r="AO595" t="s">
        <v>118</v>
      </c>
      <c r="AP595">
        <v>87</v>
      </c>
      <c r="AQ595">
        <v>-19</v>
      </c>
      <c r="AR595">
        <v>1024</v>
      </c>
      <c r="AZ595">
        <v>1200</v>
      </c>
      <c r="BA595">
        <v>1</v>
      </c>
      <c r="BB595" t="str">
        <f t="shared" si="162"/>
        <v xml:space="preserve">N733KP  </v>
      </c>
      <c r="BC595">
        <v>1</v>
      </c>
      <c r="BE595">
        <v>0</v>
      </c>
      <c r="BF595">
        <v>0</v>
      </c>
      <c r="BG595">
        <v>0</v>
      </c>
      <c r="BH595">
        <v>3025</v>
      </c>
      <c r="BI595">
        <v>1</v>
      </c>
      <c r="BJ595">
        <v>1</v>
      </c>
      <c r="BK595">
        <v>0</v>
      </c>
      <c r="BL595">
        <v>0</v>
      </c>
      <c r="BO595">
        <v>0</v>
      </c>
      <c r="BP595">
        <v>0</v>
      </c>
      <c r="BW595" t="str">
        <f>"22:11:57.961"</f>
        <v>22:11:57.961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6</v>
      </c>
      <c r="CP595" t="s">
        <v>119</v>
      </c>
      <c r="CQ595">
        <v>364</v>
      </c>
      <c r="CR595">
        <v>0</v>
      </c>
      <c r="CW595">
        <v>1387258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"03/24/2022 22:11:58.173"</f>
        <v>03/24/2022 22:11:58.173</v>
      </c>
      <c r="C596" t="str">
        <f t="shared" si="160"/>
        <v>FFDFD3C0</v>
      </c>
      <c r="D596" t="s">
        <v>113</v>
      </c>
      <c r="E596">
        <v>24</v>
      </c>
      <c r="F596">
        <v>2024</v>
      </c>
      <c r="G596" t="s">
        <v>114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 t="shared" si="178"/>
        <v>22:11:57.000</v>
      </c>
      <c r="T596" t="str">
        <f t="shared" si="178"/>
        <v>22:11:57.000</v>
      </c>
      <c r="U596" t="str">
        <f t="shared" si="174"/>
        <v>A9D71F</v>
      </c>
      <c r="V596">
        <v>0</v>
      </c>
      <c r="W596">
        <v>0</v>
      </c>
      <c r="X596">
        <v>2</v>
      </c>
      <c r="Z596">
        <v>1</v>
      </c>
      <c r="AA596">
        <v>8</v>
      </c>
      <c r="AB596">
        <v>3</v>
      </c>
      <c r="AC596">
        <v>0</v>
      </c>
      <c r="AD596">
        <v>9</v>
      </c>
      <c r="AE596">
        <v>0</v>
      </c>
      <c r="AF596">
        <v>3</v>
      </c>
      <c r="AG596">
        <v>1</v>
      </c>
      <c r="AH596">
        <v>0</v>
      </c>
      <c r="AI596" t="s">
        <v>343</v>
      </c>
      <c r="AJ596">
        <v>33.187336999999999</v>
      </c>
      <c r="AK596" t="s">
        <v>344</v>
      </c>
      <c r="AL596">
        <v>-97.753365000000002</v>
      </c>
      <c r="AM596">
        <v>25</v>
      </c>
      <c r="AN596">
        <v>3100</v>
      </c>
      <c r="AO596" t="s">
        <v>118</v>
      </c>
      <c r="AP596">
        <v>87</v>
      </c>
      <c r="AQ596">
        <v>-19</v>
      </c>
      <c r="AR596">
        <v>1024</v>
      </c>
      <c r="AZ596">
        <v>1200</v>
      </c>
      <c r="BA596">
        <v>1</v>
      </c>
      <c r="BB596" t="str">
        <f t="shared" si="162"/>
        <v xml:space="preserve">N733KP  </v>
      </c>
      <c r="BC596">
        <v>1</v>
      </c>
      <c r="BE596">
        <v>0</v>
      </c>
      <c r="BF596">
        <v>0</v>
      </c>
      <c r="BG596">
        <v>0</v>
      </c>
      <c r="BH596">
        <v>3025</v>
      </c>
      <c r="BI596">
        <v>1</v>
      </c>
      <c r="BJ596">
        <v>1</v>
      </c>
      <c r="BK596">
        <v>0</v>
      </c>
      <c r="BL596">
        <v>0</v>
      </c>
      <c r="BO596">
        <v>0</v>
      </c>
      <c r="BP596">
        <v>0</v>
      </c>
      <c r="BW596" t="str">
        <f>"22:11:57.961"</f>
        <v>22:11:57.961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6</v>
      </c>
      <c r="CP596" t="s">
        <v>119</v>
      </c>
      <c r="CQ596">
        <v>364</v>
      </c>
      <c r="CR596">
        <v>0</v>
      </c>
      <c r="CW596">
        <v>1387258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"03/24/2022 22:11:58.173"</f>
        <v>03/24/2022 22:11:58.173</v>
      </c>
      <c r="C597" t="str">
        <f t="shared" si="160"/>
        <v>FFDFD3C0</v>
      </c>
      <c r="D597" t="s">
        <v>126</v>
      </c>
      <c r="E597">
        <v>3</v>
      </c>
      <c r="H597">
        <v>160</v>
      </c>
      <c r="I597" t="s">
        <v>121</v>
      </c>
      <c r="J597" t="s">
        <v>127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 t="shared" si="178"/>
        <v>22:11:57.000</v>
      </c>
      <c r="T597" t="str">
        <f t="shared" si="178"/>
        <v>22:11:57.000</v>
      </c>
      <c r="U597" t="str">
        <f t="shared" si="174"/>
        <v>A9D71F</v>
      </c>
      <c r="V597">
        <v>0</v>
      </c>
      <c r="W597">
        <v>0</v>
      </c>
      <c r="X597">
        <v>2</v>
      </c>
      <c r="Z597">
        <v>1</v>
      </c>
      <c r="AA597">
        <v>8</v>
      </c>
      <c r="AB597">
        <v>3</v>
      </c>
      <c r="AC597">
        <v>0</v>
      </c>
      <c r="AD597">
        <v>9</v>
      </c>
      <c r="AE597">
        <v>0</v>
      </c>
      <c r="AF597">
        <v>3</v>
      </c>
      <c r="AG597">
        <v>1</v>
      </c>
      <c r="AH597">
        <v>0</v>
      </c>
      <c r="AI597" t="s">
        <v>343</v>
      </c>
      <c r="AJ597">
        <v>33.187336999999999</v>
      </c>
      <c r="AK597" t="s">
        <v>344</v>
      </c>
      <c r="AL597">
        <v>-97.753365000000002</v>
      </c>
      <c r="AM597">
        <v>25</v>
      </c>
      <c r="AN597">
        <v>3100</v>
      </c>
      <c r="AO597" t="s">
        <v>118</v>
      </c>
      <c r="AP597">
        <v>87</v>
      </c>
      <c r="AQ597">
        <v>-19</v>
      </c>
      <c r="AR597">
        <v>1024</v>
      </c>
      <c r="AZ597">
        <v>1200</v>
      </c>
      <c r="BA597">
        <v>1</v>
      </c>
      <c r="BB597" t="str">
        <f t="shared" si="162"/>
        <v xml:space="preserve">N733KP  </v>
      </c>
      <c r="BC597">
        <v>1</v>
      </c>
      <c r="BE597">
        <v>0</v>
      </c>
      <c r="BF597">
        <v>0</v>
      </c>
      <c r="BG597">
        <v>0</v>
      </c>
      <c r="BH597">
        <v>3025</v>
      </c>
      <c r="BI597">
        <v>1</v>
      </c>
      <c r="BJ597">
        <v>1</v>
      </c>
      <c r="BK597">
        <v>0</v>
      </c>
      <c r="BL597">
        <v>0</v>
      </c>
      <c r="BO597">
        <v>0</v>
      </c>
      <c r="BP597">
        <v>0</v>
      </c>
      <c r="BW597" t="str">
        <f>"22:11:57.961"</f>
        <v>22:11:57.961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6</v>
      </c>
      <c r="CP597" t="s">
        <v>119</v>
      </c>
      <c r="CQ597">
        <v>364</v>
      </c>
      <c r="CR597">
        <v>0</v>
      </c>
      <c r="CW597">
        <v>1387258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"03/24/2022 22:11:59.240"</f>
        <v>03/24/2022 22:11:59.240</v>
      </c>
      <c r="C598" t="str">
        <f t="shared" ref="C598:C661" si="179">"FFDFD3C0"</f>
        <v>FFDFD3C0</v>
      </c>
      <c r="D598" t="s">
        <v>123</v>
      </c>
      <c r="E598">
        <v>8</v>
      </c>
      <c r="H598">
        <v>31</v>
      </c>
      <c r="I598" t="s">
        <v>124</v>
      </c>
      <c r="J598" t="s">
        <v>125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 t="shared" ref="S598:T601" si="180">"22:11:58.000"</f>
        <v>22:11:58.000</v>
      </c>
      <c r="T598" t="str">
        <f t="shared" si="180"/>
        <v>22:11:58.000</v>
      </c>
      <c r="U598" t="str">
        <f t="shared" si="174"/>
        <v>A9D71F</v>
      </c>
      <c r="V598">
        <v>0</v>
      </c>
      <c r="W598">
        <v>0</v>
      </c>
      <c r="X598">
        <v>2</v>
      </c>
      <c r="Z598">
        <v>1</v>
      </c>
      <c r="AA598">
        <v>8</v>
      </c>
      <c r="AB598">
        <v>3</v>
      </c>
      <c r="AC598">
        <v>0</v>
      </c>
      <c r="AD598">
        <v>9</v>
      </c>
      <c r="AE598">
        <v>0</v>
      </c>
      <c r="AF598">
        <v>3</v>
      </c>
      <c r="AG598">
        <v>1</v>
      </c>
      <c r="AH598">
        <v>0</v>
      </c>
      <c r="AI598" t="s">
        <v>345</v>
      </c>
      <c r="AJ598">
        <v>33.187272999999998</v>
      </c>
      <c r="AK598" t="s">
        <v>346</v>
      </c>
      <c r="AL598">
        <v>-97.752893</v>
      </c>
      <c r="AM598">
        <v>25</v>
      </c>
      <c r="AN598">
        <v>3200</v>
      </c>
      <c r="AO598" t="s">
        <v>118</v>
      </c>
      <c r="AP598">
        <v>88</v>
      </c>
      <c r="AQ598">
        <v>-22</v>
      </c>
      <c r="AR598">
        <v>704</v>
      </c>
      <c r="AZ598">
        <v>1200</v>
      </c>
      <c r="BA598">
        <v>1</v>
      </c>
      <c r="BB598" t="str">
        <f t="shared" ref="BB598:BB661" si="181">"N733KP  "</f>
        <v xml:space="preserve">N733KP  </v>
      </c>
      <c r="BC598">
        <v>1</v>
      </c>
      <c r="BE598">
        <v>0</v>
      </c>
      <c r="BF598">
        <v>0</v>
      </c>
      <c r="BG598">
        <v>0</v>
      </c>
      <c r="BH598">
        <v>3100</v>
      </c>
      <c r="BI598">
        <v>1</v>
      </c>
      <c r="BJ598">
        <v>1</v>
      </c>
      <c r="BK598">
        <v>0</v>
      </c>
      <c r="BL598">
        <v>0</v>
      </c>
      <c r="BO598">
        <v>0</v>
      </c>
      <c r="BP598">
        <v>0</v>
      </c>
      <c r="BW598" t="str">
        <f>"22:11:58.973"</f>
        <v>22:11:58.973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364</v>
      </c>
      <c r="CR598">
        <v>0</v>
      </c>
      <c r="CW598">
        <v>1387423</v>
      </c>
      <c r="CY598">
        <v>1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"03/24/2022 22:11:59.240"</f>
        <v>03/24/2022 22:11:59.240</v>
      </c>
      <c r="C599" t="str">
        <f t="shared" si="179"/>
        <v>FFDFD3C0</v>
      </c>
      <c r="D599" t="s">
        <v>120</v>
      </c>
      <c r="E599">
        <v>14</v>
      </c>
      <c r="F599">
        <v>1014</v>
      </c>
      <c r="G599" t="s">
        <v>121</v>
      </c>
      <c r="J599" t="s">
        <v>122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 t="shared" si="180"/>
        <v>22:11:58.000</v>
      </c>
      <c r="T599" t="str">
        <f t="shared" si="180"/>
        <v>22:11:58.000</v>
      </c>
      <c r="U599" t="str">
        <f t="shared" si="174"/>
        <v>A9D71F</v>
      </c>
      <c r="V599">
        <v>0</v>
      </c>
      <c r="W599">
        <v>0</v>
      </c>
      <c r="X599">
        <v>2</v>
      </c>
      <c r="Z599">
        <v>1</v>
      </c>
      <c r="AA599">
        <v>8</v>
      </c>
      <c r="AB599">
        <v>3</v>
      </c>
      <c r="AC599">
        <v>0</v>
      </c>
      <c r="AD599">
        <v>9</v>
      </c>
      <c r="AE599">
        <v>0</v>
      </c>
      <c r="AF599">
        <v>3</v>
      </c>
      <c r="AG599">
        <v>1</v>
      </c>
      <c r="AH599">
        <v>0</v>
      </c>
      <c r="AI599" t="s">
        <v>345</v>
      </c>
      <c r="AJ599">
        <v>33.187272999999998</v>
      </c>
      <c r="AK599" t="s">
        <v>346</v>
      </c>
      <c r="AL599">
        <v>-97.752893</v>
      </c>
      <c r="AM599">
        <v>25</v>
      </c>
      <c r="AN599">
        <v>3200</v>
      </c>
      <c r="AO599" t="s">
        <v>118</v>
      </c>
      <c r="AP599">
        <v>88</v>
      </c>
      <c r="AQ599">
        <v>-22</v>
      </c>
      <c r="AR599">
        <v>704</v>
      </c>
      <c r="AZ599">
        <v>1200</v>
      </c>
      <c r="BA599">
        <v>1</v>
      </c>
      <c r="BB599" t="str">
        <f t="shared" si="181"/>
        <v xml:space="preserve">N733KP  </v>
      </c>
      <c r="BC599">
        <v>1</v>
      </c>
      <c r="BE599">
        <v>0</v>
      </c>
      <c r="BF599">
        <v>0</v>
      </c>
      <c r="BG599">
        <v>0</v>
      </c>
      <c r="BH599">
        <v>3100</v>
      </c>
      <c r="BI599">
        <v>1</v>
      </c>
      <c r="BJ599">
        <v>1</v>
      </c>
      <c r="BK599">
        <v>0</v>
      </c>
      <c r="BL599">
        <v>0</v>
      </c>
      <c r="BO599">
        <v>0</v>
      </c>
      <c r="BP599">
        <v>0</v>
      </c>
      <c r="BW599" t="str">
        <f>"22:11:58.973"</f>
        <v>22:11:58.973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364</v>
      </c>
      <c r="CR599">
        <v>0</v>
      </c>
      <c r="CW599">
        <v>1387423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"03/24/2022 22:11:59.240"</f>
        <v>03/24/2022 22:11:59.240</v>
      </c>
      <c r="C600" t="str">
        <f t="shared" si="179"/>
        <v>FFDFD3C0</v>
      </c>
      <c r="D600" t="s">
        <v>113</v>
      </c>
      <c r="E600">
        <v>24</v>
      </c>
      <c r="F600">
        <v>2024</v>
      </c>
      <c r="G600" t="s">
        <v>114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 t="shared" si="180"/>
        <v>22:11:58.000</v>
      </c>
      <c r="T600" t="str">
        <f t="shared" si="180"/>
        <v>22:11:58.000</v>
      </c>
      <c r="U600" t="str">
        <f t="shared" si="174"/>
        <v>A9D71F</v>
      </c>
      <c r="V600">
        <v>0</v>
      </c>
      <c r="W600">
        <v>0</v>
      </c>
      <c r="X600">
        <v>2</v>
      </c>
      <c r="Z600">
        <v>1</v>
      </c>
      <c r="AA600">
        <v>8</v>
      </c>
      <c r="AB600">
        <v>3</v>
      </c>
      <c r="AC600">
        <v>0</v>
      </c>
      <c r="AD600">
        <v>9</v>
      </c>
      <c r="AE600">
        <v>0</v>
      </c>
      <c r="AF600">
        <v>3</v>
      </c>
      <c r="AG600">
        <v>1</v>
      </c>
      <c r="AH600">
        <v>0</v>
      </c>
      <c r="AI600" t="s">
        <v>345</v>
      </c>
      <c r="AJ600">
        <v>33.187272999999998</v>
      </c>
      <c r="AK600" t="s">
        <v>346</v>
      </c>
      <c r="AL600">
        <v>-97.752893</v>
      </c>
      <c r="AM600">
        <v>25</v>
      </c>
      <c r="AN600">
        <v>3200</v>
      </c>
      <c r="AO600" t="s">
        <v>118</v>
      </c>
      <c r="AP600">
        <v>88</v>
      </c>
      <c r="AQ600">
        <v>-22</v>
      </c>
      <c r="AR600">
        <v>704</v>
      </c>
      <c r="AZ600">
        <v>1200</v>
      </c>
      <c r="BA600">
        <v>1</v>
      </c>
      <c r="BB600" t="str">
        <f t="shared" si="181"/>
        <v xml:space="preserve">N733KP  </v>
      </c>
      <c r="BC600">
        <v>1</v>
      </c>
      <c r="BE600">
        <v>0</v>
      </c>
      <c r="BF600">
        <v>0</v>
      </c>
      <c r="BG600">
        <v>0</v>
      </c>
      <c r="BH600">
        <v>3100</v>
      </c>
      <c r="BI600">
        <v>1</v>
      </c>
      <c r="BJ600">
        <v>1</v>
      </c>
      <c r="BK600">
        <v>0</v>
      </c>
      <c r="BL600">
        <v>0</v>
      </c>
      <c r="BO600">
        <v>0</v>
      </c>
      <c r="BP600">
        <v>0</v>
      </c>
      <c r="BW600" t="str">
        <f>"22:11:58.973"</f>
        <v>22:11:58.973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364</v>
      </c>
      <c r="CR600">
        <v>0</v>
      </c>
      <c r="CW600">
        <v>1387423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"03/24/2022 22:11:59.271"</f>
        <v>03/24/2022 22:11:59.271</v>
      </c>
      <c r="C601" t="str">
        <f t="shared" si="179"/>
        <v>FFDFD3C0</v>
      </c>
      <c r="D601" t="s">
        <v>126</v>
      </c>
      <c r="E601">
        <v>3</v>
      </c>
      <c r="H601">
        <v>160</v>
      </c>
      <c r="I601" t="s">
        <v>121</v>
      </c>
      <c r="J601" t="s">
        <v>127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 t="shared" si="180"/>
        <v>22:11:58.000</v>
      </c>
      <c r="T601" t="str">
        <f t="shared" si="180"/>
        <v>22:11:58.000</v>
      </c>
      <c r="U601" t="str">
        <f t="shared" si="174"/>
        <v>A9D71F</v>
      </c>
      <c r="V601">
        <v>0</v>
      </c>
      <c r="W601">
        <v>0</v>
      </c>
      <c r="X601">
        <v>2</v>
      </c>
      <c r="Z601">
        <v>1</v>
      </c>
      <c r="AA601">
        <v>8</v>
      </c>
      <c r="AB601">
        <v>3</v>
      </c>
      <c r="AC601">
        <v>0</v>
      </c>
      <c r="AD601">
        <v>9</v>
      </c>
      <c r="AE601">
        <v>0</v>
      </c>
      <c r="AF601">
        <v>3</v>
      </c>
      <c r="AG601">
        <v>1</v>
      </c>
      <c r="AH601">
        <v>0</v>
      </c>
      <c r="AI601" t="s">
        <v>345</v>
      </c>
      <c r="AJ601">
        <v>33.187272999999998</v>
      </c>
      <c r="AK601" t="s">
        <v>346</v>
      </c>
      <c r="AL601">
        <v>-97.752893</v>
      </c>
      <c r="AM601">
        <v>25</v>
      </c>
      <c r="AN601">
        <v>3200</v>
      </c>
      <c r="AO601" t="s">
        <v>118</v>
      </c>
      <c r="AP601">
        <v>88</v>
      </c>
      <c r="AQ601">
        <v>-22</v>
      </c>
      <c r="AR601">
        <v>704</v>
      </c>
      <c r="AZ601">
        <v>1200</v>
      </c>
      <c r="BA601">
        <v>1</v>
      </c>
      <c r="BB601" t="str">
        <f t="shared" si="181"/>
        <v xml:space="preserve">N733KP  </v>
      </c>
      <c r="BC601">
        <v>1</v>
      </c>
      <c r="BE601">
        <v>0</v>
      </c>
      <c r="BF601">
        <v>0</v>
      </c>
      <c r="BG601">
        <v>0</v>
      </c>
      <c r="BH601">
        <v>3100</v>
      </c>
      <c r="BI601">
        <v>1</v>
      </c>
      <c r="BJ601">
        <v>1</v>
      </c>
      <c r="BK601">
        <v>0</v>
      </c>
      <c r="BL601">
        <v>0</v>
      </c>
      <c r="BO601">
        <v>0</v>
      </c>
      <c r="BP601">
        <v>0</v>
      </c>
      <c r="BW601" t="str">
        <f>"22:11:58.973"</f>
        <v>22:11:58.973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364</v>
      </c>
      <c r="CR601">
        <v>0</v>
      </c>
      <c r="CW601">
        <v>1387423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"03/24/2022 22:12:00.162"</f>
        <v>03/24/2022 22:12:00.162</v>
      </c>
      <c r="C602" t="str">
        <f t="shared" si="179"/>
        <v>FFDFD3C0</v>
      </c>
      <c r="D602" t="s">
        <v>123</v>
      </c>
      <c r="E602">
        <v>8</v>
      </c>
      <c r="H602">
        <v>31</v>
      </c>
      <c r="I602" t="s">
        <v>124</v>
      </c>
      <c r="J602" t="s">
        <v>125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 t="shared" ref="S602:T605" si="182">"22:11:59.000"</f>
        <v>22:11:59.000</v>
      </c>
      <c r="T602" t="str">
        <f t="shared" si="182"/>
        <v>22:11:59.000</v>
      </c>
      <c r="U602" t="str">
        <f t="shared" si="174"/>
        <v>A9D71F</v>
      </c>
      <c r="V602">
        <v>0</v>
      </c>
      <c r="W602">
        <v>0</v>
      </c>
      <c r="X602">
        <v>2</v>
      </c>
      <c r="Z602">
        <v>1</v>
      </c>
      <c r="AA602">
        <v>8</v>
      </c>
      <c r="AB602">
        <v>3</v>
      </c>
      <c r="AC602">
        <v>0</v>
      </c>
      <c r="AD602">
        <v>9</v>
      </c>
      <c r="AE602">
        <v>0</v>
      </c>
      <c r="AF602">
        <v>3</v>
      </c>
      <c r="AG602">
        <v>1</v>
      </c>
      <c r="AH602">
        <v>0</v>
      </c>
      <c r="AI602" t="s">
        <v>347</v>
      </c>
      <c r="AJ602">
        <v>33.187144000000004</v>
      </c>
      <c r="AK602" t="s">
        <v>348</v>
      </c>
      <c r="AL602">
        <v>-97.752398999999997</v>
      </c>
      <c r="AM602">
        <v>25</v>
      </c>
      <c r="AN602">
        <v>3200</v>
      </c>
      <c r="AO602" t="s">
        <v>118</v>
      </c>
      <c r="AP602">
        <v>89</v>
      </c>
      <c r="AQ602">
        <v>-27</v>
      </c>
      <c r="AR602">
        <v>320</v>
      </c>
      <c r="AZ602">
        <v>1200</v>
      </c>
      <c r="BA602">
        <v>1</v>
      </c>
      <c r="BB602" t="str">
        <f t="shared" si="181"/>
        <v xml:space="preserve">N733KP  </v>
      </c>
      <c r="BC602">
        <v>1</v>
      </c>
      <c r="BE602">
        <v>0</v>
      </c>
      <c r="BF602">
        <v>0</v>
      </c>
      <c r="BG602">
        <v>0</v>
      </c>
      <c r="BH602">
        <v>3100</v>
      </c>
      <c r="BI602">
        <v>1</v>
      </c>
      <c r="BJ602">
        <v>1</v>
      </c>
      <c r="BK602">
        <v>0</v>
      </c>
      <c r="BL602">
        <v>0</v>
      </c>
      <c r="BO602">
        <v>0</v>
      </c>
      <c r="BP602">
        <v>0</v>
      </c>
      <c r="BW602" t="str">
        <f>"22:11:59.987"</f>
        <v>22:11:59.987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364</v>
      </c>
      <c r="CR602">
        <v>0</v>
      </c>
      <c r="CW602">
        <v>1387577</v>
      </c>
      <c r="CY602">
        <v>1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"03/24/2022 22:12:00.178"</f>
        <v>03/24/2022 22:12:00.178</v>
      </c>
      <c r="C603" t="str">
        <f t="shared" si="179"/>
        <v>FFDFD3C0</v>
      </c>
      <c r="D603" t="s">
        <v>120</v>
      </c>
      <c r="E603">
        <v>14</v>
      </c>
      <c r="F603">
        <v>1014</v>
      </c>
      <c r="G603" t="s">
        <v>121</v>
      </c>
      <c r="J603" t="s">
        <v>122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 t="shared" si="182"/>
        <v>22:11:59.000</v>
      </c>
      <c r="T603" t="str">
        <f t="shared" si="182"/>
        <v>22:11:59.000</v>
      </c>
      <c r="U603" t="str">
        <f t="shared" si="174"/>
        <v>A9D71F</v>
      </c>
      <c r="V603">
        <v>0</v>
      </c>
      <c r="W603">
        <v>0</v>
      </c>
      <c r="X603">
        <v>2</v>
      </c>
      <c r="Z603">
        <v>1</v>
      </c>
      <c r="AA603">
        <v>8</v>
      </c>
      <c r="AB603">
        <v>3</v>
      </c>
      <c r="AC603">
        <v>0</v>
      </c>
      <c r="AD603">
        <v>9</v>
      </c>
      <c r="AE603">
        <v>0</v>
      </c>
      <c r="AF603">
        <v>3</v>
      </c>
      <c r="AG603">
        <v>1</v>
      </c>
      <c r="AH603">
        <v>0</v>
      </c>
      <c r="AI603" t="s">
        <v>347</v>
      </c>
      <c r="AJ603">
        <v>33.187144000000004</v>
      </c>
      <c r="AK603" t="s">
        <v>348</v>
      </c>
      <c r="AL603">
        <v>-97.752398999999997</v>
      </c>
      <c r="AM603">
        <v>25</v>
      </c>
      <c r="AN603">
        <v>3200</v>
      </c>
      <c r="AO603" t="s">
        <v>118</v>
      </c>
      <c r="AP603">
        <v>89</v>
      </c>
      <c r="AQ603">
        <v>-27</v>
      </c>
      <c r="AR603">
        <v>320</v>
      </c>
      <c r="AZ603">
        <v>1200</v>
      </c>
      <c r="BA603">
        <v>1</v>
      </c>
      <c r="BB603" t="str">
        <f t="shared" si="181"/>
        <v xml:space="preserve">N733KP  </v>
      </c>
      <c r="BC603">
        <v>1</v>
      </c>
      <c r="BE603">
        <v>0</v>
      </c>
      <c r="BF603">
        <v>0</v>
      </c>
      <c r="BG603">
        <v>0</v>
      </c>
      <c r="BH603">
        <v>3100</v>
      </c>
      <c r="BI603">
        <v>1</v>
      </c>
      <c r="BJ603">
        <v>1</v>
      </c>
      <c r="BK603">
        <v>0</v>
      </c>
      <c r="BL603">
        <v>0</v>
      </c>
      <c r="BO603">
        <v>0</v>
      </c>
      <c r="BP603">
        <v>0</v>
      </c>
      <c r="BW603" t="str">
        <f>"22:11:59.987"</f>
        <v>22:11:59.987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364</v>
      </c>
      <c r="CR603">
        <v>0</v>
      </c>
      <c r="CW603">
        <v>1387577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"03/24/2022 22:12:00.193"</f>
        <v>03/24/2022 22:12:00.193</v>
      </c>
      <c r="C604" t="str">
        <f t="shared" si="179"/>
        <v>FFDFD3C0</v>
      </c>
      <c r="D604" t="s">
        <v>113</v>
      </c>
      <c r="E604">
        <v>24</v>
      </c>
      <c r="F604">
        <v>2024</v>
      </c>
      <c r="G604" t="s">
        <v>114</v>
      </c>
      <c r="J604" t="s">
        <v>115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 t="shared" si="182"/>
        <v>22:11:59.000</v>
      </c>
      <c r="T604" t="str">
        <f t="shared" si="182"/>
        <v>22:11:59.000</v>
      </c>
      <c r="U604" t="str">
        <f t="shared" si="174"/>
        <v>A9D71F</v>
      </c>
      <c r="V604">
        <v>0</v>
      </c>
      <c r="W604">
        <v>0</v>
      </c>
      <c r="X604">
        <v>2</v>
      </c>
      <c r="Z604">
        <v>1</v>
      </c>
      <c r="AA604">
        <v>8</v>
      </c>
      <c r="AB604">
        <v>3</v>
      </c>
      <c r="AC604">
        <v>0</v>
      </c>
      <c r="AD604">
        <v>9</v>
      </c>
      <c r="AE604">
        <v>0</v>
      </c>
      <c r="AF604">
        <v>3</v>
      </c>
      <c r="AG604">
        <v>1</v>
      </c>
      <c r="AH604">
        <v>0</v>
      </c>
      <c r="AI604" t="s">
        <v>347</v>
      </c>
      <c r="AJ604">
        <v>33.187144000000004</v>
      </c>
      <c r="AK604" t="s">
        <v>348</v>
      </c>
      <c r="AL604">
        <v>-97.752398999999997</v>
      </c>
      <c r="AM604">
        <v>25</v>
      </c>
      <c r="AN604">
        <v>3200</v>
      </c>
      <c r="AO604" t="s">
        <v>118</v>
      </c>
      <c r="AP604">
        <v>89</v>
      </c>
      <c r="AQ604">
        <v>-27</v>
      </c>
      <c r="AR604">
        <v>320</v>
      </c>
      <c r="AZ604">
        <v>1200</v>
      </c>
      <c r="BA604">
        <v>1</v>
      </c>
      <c r="BB604" t="str">
        <f t="shared" si="181"/>
        <v xml:space="preserve">N733KP  </v>
      </c>
      <c r="BC604">
        <v>1</v>
      </c>
      <c r="BE604">
        <v>0</v>
      </c>
      <c r="BF604">
        <v>0</v>
      </c>
      <c r="BG604">
        <v>0</v>
      </c>
      <c r="BH604">
        <v>3100</v>
      </c>
      <c r="BI604">
        <v>1</v>
      </c>
      <c r="BJ604">
        <v>1</v>
      </c>
      <c r="BK604">
        <v>0</v>
      </c>
      <c r="BL604">
        <v>0</v>
      </c>
      <c r="BO604">
        <v>0</v>
      </c>
      <c r="BP604">
        <v>0</v>
      </c>
      <c r="BW604" t="str">
        <f>"22:11:59.987"</f>
        <v>22:11:59.987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364</v>
      </c>
      <c r="CR604">
        <v>0</v>
      </c>
      <c r="CW604">
        <v>1387577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"03/24/2022 22:12:00.303"</f>
        <v>03/24/2022 22:12:00.303</v>
      </c>
      <c r="C605" t="str">
        <f t="shared" si="179"/>
        <v>FFDFD3C0</v>
      </c>
      <c r="D605" t="s">
        <v>126</v>
      </c>
      <c r="E605">
        <v>3</v>
      </c>
      <c r="H605">
        <v>160</v>
      </c>
      <c r="I605" t="s">
        <v>121</v>
      </c>
      <c r="J605" t="s">
        <v>127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 t="shared" si="182"/>
        <v>22:11:59.000</v>
      </c>
      <c r="T605" t="str">
        <f t="shared" si="182"/>
        <v>22:11:59.000</v>
      </c>
      <c r="U605" t="str">
        <f t="shared" si="174"/>
        <v>A9D71F</v>
      </c>
      <c r="V605">
        <v>0</v>
      </c>
      <c r="W605">
        <v>0</v>
      </c>
      <c r="X605">
        <v>2</v>
      </c>
      <c r="Z605">
        <v>1</v>
      </c>
      <c r="AA605">
        <v>8</v>
      </c>
      <c r="AB605">
        <v>3</v>
      </c>
      <c r="AC605">
        <v>0</v>
      </c>
      <c r="AD605">
        <v>9</v>
      </c>
      <c r="AE605">
        <v>0</v>
      </c>
      <c r="AF605">
        <v>3</v>
      </c>
      <c r="AG605">
        <v>1</v>
      </c>
      <c r="AH605">
        <v>0</v>
      </c>
      <c r="AI605" t="s">
        <v>347</v>
      </c>
      <c r="AJ605">
        <v>33.187144000000004</v>
      </c>
      <c r="AK605" t="s">
        <v>348</v>
      </c>
      <c r="AL605">
        <v>-97.752398999999997</v>
      </c>
      <c r="AM605">
        <v>25</v>
      </c>
      <c r="AN605">
        <v>3200</v>
      </c>
      <c r="AO605" t="s">
        <v>118</v>
      </c>
      <c r="AP605">
        <v>89</v>
      </c>
      <c r="AQ605">
        <v>-27</v>
      </c>
      <c r="AR605">
        <v>320</v>
      </c>
      <c r="AZ605">
        <v>1200</v>
      </c>
      <c r="BA605">
        <v>1</v>
      </c>
      <c r="BB605" t="str">
        <f t="shared" si="181"/>
        <v xml:space="preserve">N733KP  </v>
      </c>
      <c r="BC605">
        <v>1</v>
      </c>
      <c r="BE605">
        <v>0</v>
      </c>
      <c r="BF605">
        <v>0</v>
      </c>
      <c r="BG605">
        <v>0</v>
      </c>
      <c r="BH605">
        <v>3100</v>
      </c>
      <c r="BI605">
        <v>1</v>
      </c>
      <c r="BJ605">
        <v>1</v>
      </c>
      <c r="BK605">
        <v>0</v>
      </c>
      <c r="BL605">
        <v>0</v>
      </c>
      <c r="BO605">
        <v>0</v>
      </c>
      <c r="BP605">
        <v>0</v>
      </c>
      <c r="BW605" t="str">
        <f>"22:11:59.987"</f>
        <v>22:11:59.987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364</v>
      </c>
      <c r="CR605">
        <v>0</v>
      </c>
      <c r="CW605">
        <v>1387577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"03/24/2022 22:12:01.006"</f>
        <v>03/24/2022 22:12:01.006</v>
      </c>
      <c r="C606" t="str">
        <f t="shared" si="179"/>
        <v>FFDFD3C0</v>
      </c>
      <c r="D606" t="s">
        <v>126</v>
      </c>
      <c r="E606">
        <v>3</v>
      </c>
      <c r="H606">
        <v>160</v>
      </c>
      <c r="I606" t="s">
        <v>121</v>
      </c>
      <c r="J606" t="s">
        <v>127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 t="shared" ref="S606:T609" si="183">"22:12:00.000"</f>
        <v>22:12:00.000</v>
      </c>
      <c r="T606" t="str">
        <f t="shared" si="183"/>
        <v>22:12:00.000</v>
      </c>
      <c r="U606" t="str">
        <f t="shared" si="174"/>
        <v>A9D71F</v>
      </c>
      <c r="V606">
        <v>0</v>
      </c>
      <c r="W606">
        <v>0</v>
      </c>
      <c r="X606">
        <v>2</v>
      </c>
      <c r="Z606">
        <v>1</v>
      </c>
      <c r="AA606">
        <v>7</v>
      </c>
      <c r="AB606">
        <v>3</v>
      </c>
      <c r="AC606">
        <v>0</v>
      </c>
      <c r="AD606">
        <v>9</v>
      </c>
      <c r="AE606">
        <v>0</v>
      </c>
      <c r="AF606">
        <v>3</v>
      </c>
      <c r="AG606">
        <v>1</v>
      </c>
      <c r="AH606">
        <v>0</v>
      </c>
      <c r="AI606" t="s">
        <v>349</v>
      </c>
      <c r="AJ606">
        <v>33.187058</v>
      </c>
      <c r="AK606" t="s">
        <v>350</v>
      </c>
      <c r="AL606">
        <v>-97.751906000000005</v>
      </c>
      <c r="AM606">
        <v>25</v>
      </c>
      <c r="AN606">
        <v>3200</v>
      </c>
      <c r="AO606" t="s">
        <v>118</v>
      </c>
      <c r="AP606">
        <v>83</v>
      </c>
      <c r="AQ606">
        <v>-25</v>
      </c>
      <c r="AR606">
        <v>192</v>
      </c>
      <c r="AZ606">
        <v>1200</v>
      </c>
      <c r="BA606">
        <v>1</v>
      </c>
      <c r="BB606" t="str">
        <f t="shared" si="181"/>
        <v xml:space="preserve">N733KP  </v>
      </c>
      <c r="BC606">
        <v>1</v>
      </c>
      <c r="BE606">
        <v>0</v>
      </c>
      <c r="BF606">
        <v>0</v>
      </c>
      <c r="BG606">
        <v>0</v>
      </c>
      <c r="BH606">
        <v>3125</v>
      </c>
      <c r="BI606">
        <v>1</v>
      </c>
      <c r="BJ606">
        <v>1</v>
      </c>
      <c r="BK606">
        <v>0</v>
      </c>
      <c r="BL606">
        <v>0</v>
      </c>
      <c r="BO606">
        <v>0</v>
      </c>
      <c r="BP606">
        <v>0</v>
      </c>
      <c r="BW606" t="str">
        <f>"22:12:00.796"</f>
        <v>22:12:00.796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364</v>
      </c>
      <c r="CR606">
        <v>0</v>
      </c>
      <c r="CW606">
        <v>1387701</v>
      </c>
      <c r="CY606">
        <v>1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"03/24/2022 22:12:01.021"</f>
        <v>03/24/2022 22:12:01.021</v>
      </c>
      <c r="C607" t="str">
        <f t="shared" si="179"/>
        <v>FFDFD3C0</v>
      </c>
      <c r="D607" t="s">
        <v>123</v>
      </c>
      <c r="E607">
        <v>8</v>
      </c>
      <c r="H607">
        <v>31</v>
      </c>
      <c r="I607" t="s">
        <v>124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 t="shared" si="183"/>
        <v>22:12:00.000</v>
      </c>
      <c r="T607" t="str">
        <f t="shared" si="183"/>
        <v>22:12:00.000</v>
      </c>
      <c r="U607" t="str">
        <f t="shared" si="174"/>
        <v>A9D71F</v>
      </c>
      <c r="V607">
        <v>0</v>
      </c>
      <c r="W607">
        <v>0</v>
      </c>
      <c r="X607">
        <v>2</v>
      </c>
      <c r="Z607">
        <v>1</v>
      </c>
      <c r="AA607">
        <v>7</v>
      </c>
      <c r="AB607">
        <v>3</v>
      </c>
      <c r="AC607">
        <v>0</v>
      </c>
      <c r="AD607">
        <v>9</v>
      </c>
      <c r="AE607">
        <v>0</v>
      </c>
      <c r="AF607">
        <v>3</v>
      </c>
      <c r="AG607">
        <v>1</v>
      </c>
      <c r="AH607">
        <v>0</v>
      </c>
      <c r="AI607" t="s">
        <v>349</v>
      </c>
      <c r="AJ607">
        <v>33.187058</v>
      </c>
      <c r="AK607" t="s">
        <v>350</v>
      </c>
      <c r="AL607">
        <v>-97.751906000000005</v>
      </c>
      <c r="AM607">
        <v>25</v>
      </c>
      <c r="AN607">
        <v>3200</v>
      </c>
      <c r="AO607" t="s">
        <v>118</v>
      </c>
      <c r="AP607">
        <v>83</v>
      </c>
      <c r="AQ607">
        <v>-25</v>
      </c>
      <c r="AR607">
        <v>192</v>
      </c>
      <c r="AZ607">
        <v>1200</v>
      </c>
      <c r="BA607">
        <v>1</v>
      </c>
      <c r="BB607" t="str">
        <f t="shared" si="181"/>
        <v xml:space="preserve">N733KP  </v>
      </c>
      <c r="BC607">
        <v>1</v>
      </c>
      <c r="BE607">
        <v>0</v>
      </c>
      <c r="BF607">
        <v>0</v>
      </c>
      <c r="BG607">
        <v>0</v>
      </c>
      <c r="BH607">
        <v>3125</v>
      </c>
      <c r="BI607">
        <v>1</v>
      </c>
      <c r="BJ607">
        <v>1</v>
      </c>
      <c r="BK607">
        <v>0</v>
      </c>
      <c r="BL607">
        <v>0</v>
      </c>
      <c r="BO607">
        <v>0</v>
      </c>
      <c r="BP607">
        <v>0</v>
      </c>
      <c r="BW607" t="str">
        <f>"22:12:00.796"</f>
        <v>22:12:00.796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364</v>
      </c>
      <c r="CR607">
        <v>0</v>
      </c>
      <c r="CW607">
        <v>1387701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"03/24/2022 22:12:01.115"</f>
        <v>03/24/2022 22:12:01.115</v>
      </c>
      <c r="C608" t="str">
        <f t="shared" si="179"/>
        <v>FFDFD3C0</v>
      </c>
      <c r="D608" t="s">
        <v>120</v>
      </c>
      <c r="E608">
        <v>14</v>
      </c>
      <c r="F608">
        <v>1014</v>
      </c>
      <c r="G608" t="s">
        <v>121</v>
      </c>
      <c r="J608" t="s">
        <v>122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 t="shared" si="183"/>
        <v>22:12:00.000</v>
      </c>
      <c r="T608" t="str">
        <f t="shared" si="183"/>
        <v>22:12:00.000</v>
      </c>
      <c r="U608" t="str">
        <f t="shared" si="174"/>
        <v>A9D71F</v>
      </c>
      <c r="V608">
        <v>0</v>
      </c>
      <c r="W608">
        <v>0</v>
      </c>
      <c r="X608">
        <v>2</v>
      </c>
      <c r="Z608">
        <v>1</v>
      </c>
      <c r="AA608">
        <v>7</v>
      </c>
      <c r="AB608">
        <v>3</v>
      </c>
      <c r="AC608">
        <v>0</v>
      </c>
      <c r="AD608">
        <v>9</v>
      </c>
      <c r="AE608">
        <v>0</v>
      </c>
      <c r="AF608">
        <v>3</v>
      </c>
      <c r="AG608">
        <v>1</v>
      </c>
      <c r="AH608">
        <v>0</v>
      </c>
      <c r="AI608" t="s">
        <v>349</v>
      </c>
      <c r="AJ608">
        <v>33.187058</v>
      </c>
      <c r="AK608" t="s">
        <v>350</v>
      </c>
      <c r="AL608">
        <v>-97.751906000000005</v>
      </c>
      <c r="AM608">
        <v>25</v>
      </c>
      <c r="AN608">
        <v>3200</v>
      </c>
      <c r="AO608" t="s">
        <v>118</v>
      </c>
      <c r="AP608">
        <v>83</v>
      </c>
      <c r="AQ608">
        <v>-25</v>
      </c>
      <c r="AR608">
        <v>192</v>
      </c>
      <c r="AZ608">
        <v>1200</v>
      </c>
      <c r="BA608">
        <v>1</v>
      </c>
      <c r="BB608" t="str">
        <f t="shared" si="181"/>
        <v xml:space="preserve">N733KP  </v>
      </c>
      <c r="BC608">
        <v>1</v>
      </c>
      <c r="BE608">
        <v>0</v>
      </c>
      <c r="BF608">
        <v>0</v>
      </c>
      <c r="BG608">
        <v>0</v>
      </c>
      <c r="BH608">
        <v>3125</v>
      </c>
      <c r="BI608">
        <v>1</v>
      </c>
      <c r="BJ608">
        <v>1</v>
      </c>
      <c r="BK608">
        <v>0</v>
      </c>
      <c r="BL608">
        <v>0</v>
      </c>
      <c r="BO608">
        <v>0</v>
      </c>
      <c r="BP608">
        <v>0</v>
      </c>
      <c r="BW608" t="str">
        <f>"22:12:00.796"</f>
        <v>22:12:00.796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364</v>
      </c>
      <c r="CR608">
        <v>0</v>
      </c>
      <c r="CW608">
        <v>1387701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"03/24/2022 22:12:01.115"</f>
        <v>03/24/2022 22:12:01.115</v>
      </c>
      <c r="C609" t="str">
        <f t="shared" si="179"/>
        <v>FFDFD3C0</v>
      </c>
      <c r="D609" t="s">
        <v>113</v>
      </c>
      <c r="E609">
        <v>24</v>
      </c>
      <c r="F609">
        <v>2024</v>
      </c>
      <c r="G609" t="s">
        <v>114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 t="shared" si="183"/>
        <v>22:12:00.000</v>
      </c>
      <c r="T609" t="str">
        <f t="shared" si="183"/>
        <v>22:12:00.000</v>
      </c>
      <c r="U609" t="str">
        <f t="shared" si="174"/>
        <v>A9D71F</v>
      </c>
      <c r="V609">
        <v>0</v>
      </c>
      <c r="W609">
        <v>0</v>
      </c>
      <c r="X609">
        <v>2</v>
      </c>
      <c r="Z609">
        <v>1</v>
      </c>
      <c r="AA609">
        <v>7</v>
      </c>
      <c r="AB609">
        <v>3</v>
      </c>
      <c r="AC609">
        <v>0</v>
      </c>
      <c r="AD609">
        <v>9</v>
      </c>
      <c r="AE609">
        <v>0</v>
      </c>
      <c r="AF609">
        <v>3</v>
      </c>
      <c r="AG609">
        <v>1</v>
      </c>
      <c r="AH609">
        <v>0</v>
      </c>
      <c r="AI609" t="s">
        <v>349</v>
      </c>
      <c r="AJ609">
        <v>33.187058</v>
      </c>
      <c r="AK609" t="s">
        <v>350</v>
      </c>
      <c r="AL609">
        <v>-97.751906000000005</v>
      </c>
      <c r="AM609">
        <v>25</v>
      </c>
      <c r="AN609">
        <v>3200</v>
      </c>
      <c r="AO609" t="s">
        <v>118</v>
      </c>
      <c r="AP609">
        <v>83</v>
      </c>
      <c r="AQ609">
        <v>-25</v>
      </c>
      <c r="AR609">
        <v>192</v>
      </c>
      <c r="AZ609">
        <v>1200</v>
      </c>
      <c r="BA609">
        <v>1</v>
      </c>
      <c r="BB609" t="str">
        <f t="shared" si="181"/>
        <v xml:space="preserve">N733KP  </v>
      </c>
      <c r="BC609">
        <v>1</v>
      </c>
      <c r="BE609">
        <v>0</v>
      </c>
      <c r="BF609">
        <v>0</v>
      </c>
      <c r="BG609">
        <v>0</v>
      </c>
      <c r="BH609">
        <v>3125</v>
      </c>
      <c r="BI609">
        <v>1</v>
      </c>
      <c r="BJ609">
        <v>1</v>
      </c>
      <c r="BK609">
        <v>0</v>
      </c>
      <c r="BL609">
        <v>0</v>
      </c>
      <c r="BO609">
        <v>0</v>
      </c>
      <c r="BP609">
        <v>0</v>
      </c>
      <c r="BW609" t="str">
        <f>"22:12:00.796"</f>
        <v>22:12:00.796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364</v>
      </c>
      <c r="CR609">
        <v>0</v>
      </c>
      <c r="CW609">
        <v>1387701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"03/24/2022 22:12:01.506"</f>
        <v>03/24/2022 22:12:01.506</v>
      </c>
      <c r="C610" t="str">
        <f t="shared" si="179"/>
        <v>FFDFD3C0</v>
      </c>
      <c r="D610" t="s">
        <v>120</v>
      </c>
      <c r="E610">
        <v>14</v>
      </c>
      <c r="F610">
        <v>1014</v>
      </c>
      <c r="G610" t="s">
        <v>121</v>
      </c>
      <c r="J610" t="s">
        <v>122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 t="shared" ref="S610:T613" si="184">"22:12:01.000"</f>
        <v>22:12:01.000</v>
      </c>
      <c r="T610" t="str">
        <f t="shared" si="184"/>
        <v>22:12:01.000</v>
      </c>
      <c r="U610" t="str">
        <f t="shared" si="174"/>
        <v>A9D71F</v>
      </c>
      <c r="V610">
        <v>0</v>
      </c>
      <c r="W610">
        <v>0</v>
      </c>
      <c r="X610">
        <v>2</v>
      </c>
      <c r="Z610">
        <v>1</v>
      </c>
      <c r="AA610">
        <v>7</v>
      </c>
      <c r="AB610">
        <v>3</v>
      </c>
      <c r="AC610">
        <v>0</v>
      </c>
      <c r="AD610">
        <v>9</v>
      </c>
      <c r="AE610">
        <v>0</v>
      </c>
      <c r="AF610">
        <v>3</v>
      </c>
      <c r="AG610">
        <v>1</v>
      </c>
      <c r="AH610">
        <v>0</v>
      </c>
      <c r="AI610" t="s">
        <v>351</v>
      </c>
      <c r="AJ610">
        <v>33.186971999999997</v>
      </c>
      <c r="AK610" t="s">
        <v>352</v>
      </c>
      <c r="AL610">
        <v>-97.751497999999998</v>
      </c>
      <c r="AM610">
        <v>25</v>
      </c>
      <c r="AN610">
        <v>3200</v>
      </c>
      <c r="AO610" t="s">
        <v>118</v>
      </c>
      <c r="AP610">
        <v>85</v>
      </c>
      <c r="AQ610">
        <v>-30</v>
      </c>
      <c r="AR610">
        <v>320</v>
      </c>
      <c r="AZ610">
        <v>1200</v>
      </c>
      <c r="BA610">
        <v>1</v>
      </c>
      <c r="BB610" t="str">
        <f t="shared" si="181"/>
        <v xml:space="preserve">N733KP  </v>
      </c>
      <c r="BC610">
        <v>1</v>
      </c>
      <c r="BE610">
        <v>0</v>
      </c>
      <c r="BF610">
        <v>0</v>
      </c>
      <c r="BG610">
        <v>0</v>
      </c>
      <c r="BH610">
        <v>3150</v>
      </c>
      <c r="BI610">
        <v>1</v>
      </c>
      <c r="BJ610">
        <v>1</v>
      </c>
      <c r="BK610">
        <v>0</v>
      </c>
      <c r="BL610">
        <v>0</v>
      </c>
      <c r="BO610">
        <v>0</v>
      </c>
      <c r="BP610">
        <v>0</v>
      </c>
      <c r="BW610" t="str">
        <f>"22:12:01.221"</f>
        <v>22:12:01.221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364</v>
      </c>
      <c r="CR610">
        <v>0</v>
      </c>
      <c r="CW610">
        <v>1387763</v>
      </c>
      <c r="CY610">
        <v>1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"03/24/2022 22:12:01.506"</f>
        <v>03/24/2022 22:12:01.506</v>
      </c>
      <c r="C611" t="str">
        <f t="shared" si="179"/>
        <v>FFDFD3C0</v>
      </c>
      <c r="D611" t="s">
        <v>113</v>
      </c>
      <c r="E611">
        <v>24</v>
      </c>
      <c r="F611">
        <v>2024</v>
      </c>
      <c r="G611" t="s">
        <v>114</v>
      </c>
      <c r="J611" t="s">
        <v>115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 t="shared" si="184"/>
        <v>22:12:01.000</v>
      </c>
      <c r="T611" t="str">
        <f t="shared" si="184"/>
        <v>22:12:01.000</v>
      </c>
      <c r="U611" t="str">
        <f t="shared" si="174"/>
        <v>A9D71F</v>
      </c>
      <c r="V611">
        <v>0</v>
      </c>
      <c r="W611">
        <v>0</v>
      </c>
      <c r="X611">
        <v>2</v>
      </c>
      <c r="Z611">
        <v>1</v>
      </c>
      <c r="AA611">
        <v>7</v>
      </c>
      <c r="AB611">
        <v>3</v>
      </c>
      <c r="AC611">
        <v>0</v>
      </c>
      <c r="AD611">
        <v>9</v>
      </c>
      <c r="AE611">
        <v>0</v>
      </c>
      <c r="AF611">
        <v>3</v>
      </c>
      <c r="AG611">
        <v>1</v>
      </c>
      <c r="AH611">
        <v>0</v>
      </c>
      <c r="AI611" t="s">
        <v>351</v>
      </c>
      <c r="AJ611">
        <v>33.186971999999997</v>
      </c>
      <c r="AK611" t="s">
        <v>352</v>
      </c>
      <c r="AL611">
        <v>-97.751497999999998</v>
      </c>
      <c r="AM611">
        <v>25</v>
      </c>
      <c r="AN611">
        <v>3200</v>
      </c>
      <c r="AO611" t="s">
        <v>118</v>
      </c>
      <c r="AP611">
        <v>85</v>
      </c>
      <c r="AQ611">
        <v>-30</v>
      </c>
      <c r="AR611">
        <v>320</v>
      </c>
      <c r="AZ611">
        <v>1200</v>
      </c>
      <c r="BA611">
        <v>1</v>
      </c>
      <c r="BB611" t="str">
        <f t="shared" si="181"/>
        <v xml:space="preserve">N733KP  </v>
      </c>
      <c r="BC611">
        <v>1</v>
      </c>
      <c r="BE611">
        <v>0</v>
      </c>
      <c r="BF611">
        <v>0</v>
      </c>
      <c r="BG611">
        <v>0</v>
      </c>
      <c r="BH611">
        <v>3150</v>
      </c>
      <c r="BI611">
        <v>1</v>
      </c>
      <c r="BJ611">
        <v>1</v>
      </c>
      <c r="BK611">
        <v>0</v>
      </c>
      <c r="BL611">
        <v>0</v>
      </c>
      <c r="BO611">
        <v>0</v>
      </c>
      <c r="BP611">
        <v>0</v>
      </c>
      <c r="BW611" t="str">
        <f>"22:12:01.221"</f>
        <v>22:12:01.221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364</v>
      </c>
      <c r="CR611">
        <v>0</v>
      </c>
      <c r="CW611">
        <v>1387763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"03/24/2022 22:12:01.506"</f>
        <v>03/24/2022 22:12:01.506</v>
      </c>
      <c r="C612" t="str">
        <f t="shared" si="179"/>
        <v>FFDFD3C0</v>
      </c>
      <c r="D612" t="s">
        <v>126</v>
      </c>
      <c r="E612">
        <v>3</v>
      </c>
      <c r="H612">
        <v>160</v>
      </c>
      <c r="I612" t="s">
        <v>121</v>
      </c>
      <c r="J612" t="s">
        <v>127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 t="shared" si="184"/>
        <v>22:12:01.000</v>
      </c>
      <c r="T612" t="str">
        <f t="shared" si="184"/>
        <v>22:12:01.000</v>
      </c>
      <c r="U612" t="str">
        <f t="shared" si="174"/>
        <v>A9D71F</v>
      </c>
      <c r="V612">
        <v>0</v>
      </c>
      <c r="W612">
        <v>0</v>
      </c>
      <c r="X612">
        <v>2</v>
      </c>
      <c r="Z612">
        <v>1</v>
      </c>
      <c r="AA612">
        <v>7</v>
      </c>
      <c r="AB612">
        <v>3</v>
      </c>
      <c r="AC612">
        <v>0</v>
      </c>
      <c r="AD612">
        <v>9</v>
      </c>
      <c r="AE612">
        <v>0</v>
      </c>
      <c r="AF612">
        <v>3</v>
      </c>
      <c r="AG612">
        <v>1</v>
      </c>
      <c r="AH612">
        <v>0</v>
      </c>
      <c r="AI612" t="s">
        <v>351</v>
      </c>
      <c r="AJ612">
        <v>33.186971999999997</v>
      </c>
      <c r="AK612" t="s">
        <v>352</v>
      </c>
      <c r="AL612">
        <v>-97.751497999999998</v>
      </c>
      <c r="AM612">
        <v>25</v>
      </c>
      <c r="AN612">
        <v>3200</v>
      </c>
      <c r="AO612" t="s">
        <v>118</v>
      </c>
      <c r="AP612">
        <v>85</v>
      </c>
      <c r="AQ612">
        <v>-30</v>
      </c>
      <c r="AR612">
        <v>320</v>
      </c>
      <c r="AZ612">
        <v>1200</v>
      </c>
      <c r="BA612">
        <v>1</v>
      </c>
      <c r="BB612" t="str">
        <f t="shared" si="181"/>
        <v xml:space="preserve">N733KP  </v>
      </c>
      <c r="BC612">
        <v>1</v>
      </c>
      <c r="BE612">
        <v>0</v>
      </c>
      <c r="BF612">
        <v>0</v>
      </c>
      <c r="BG612">
        <v>0</v>
      </c>
      <c r="BH612">
        <v>3150</v>
      </c>
      <c r="BI612">
        <v>1</v>
      </c>
      <c r="BJ612">
        <v>1</v>
      </c>
      <c r="BK612">
        <v>0</v>
      </c>
      <c r="BL612">
        <v>0</v>
      </c>
      <c r="BO612">
        <v>0</v>
      </c>
      <c r="BP612">
        <v>0</v>
      </c>
      <c r="BW612" t="str">
        <f>"22:12:01.221"</f>
        <v>22:12:01.221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364</v>
      </c>
      <c r="CR612">
        <v>0</v>
      </c>
      <c r="CW612">
        <v>1387763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"03/24/2022 22:12:01.506"</f>
        <v>03/24/2022 22:12:01.506</v>
      </c>
      <c r="C613" t="str">
        <f t="shared" si="179"/>
        <v>FFDFD3C0</v>
      </c>
      <c r="D613" t="s">
        <v>123</v>
      </c>
      <c r="E613">
        <v>8</v>
      </c>
      <c r="H613">
        <v>31</v>
      </c>
      <c r="I613" t="s">
        <v>124</v>
      </c>
      <c r="J613" t="s">
        <v>125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 t="shared" si="184"/>
        <v>22:12:01.000</v>
      </c>
      <c r="T613" t="str">
        <f t="shared" si="184"/>
        <v>22:12:01.000</v>
      </c>
      <c r="U613" t="str">
        <f t="shared" si="174"/>
        <v>A9D71F</v>
      </c>
      <c r="V613">
        <v>0</v>
      </c>
      <c r="W613">
        <v>0</v>
      </c>
      <c r="X613">
        <v>2</v>
      </c>
      <c r="Z613">
        <v>1</v>
      </c>
      <c r="AA613">
        <v>7</v>
      </c>
      <c r="AB613">
        <v>3</v>
      </c>
      <c r="AC613">
        <v>0</v>
      </c>
      <c r="AD613">
        <v>9</v>
      </c>
      <c r="AE613">
        <v>0</v>
      </c>
      <c r="AF613">
        <v>3</v>
      </c>
      <c r="AG613">
        <v>1</v>
      </c>
      <c r="AH613">
        <v>0</v>
      </c>
      <c r="AI613" t="s">
        <v>351</v>
      </c>
      <c r="AJ613">
        <v>33.186971999999997</v>
      </c>
      <c r="AK613" t="s">
        <v>352</v>
      </c>
      <c r="AL613">
        <v>-97.751497999999998</v>
      </c>
      <c r="AM613">
        <v>25</v>
      </c>
      <c r="AN613">
        <v>3200</v>
      </c>
      <c r="AO613" t="s">
        <v>118</v>
      </c>
      <c r="AP613">
        <v>85</v>
      </c>
      <c r="AQ613">
        <v>-30</v>
      </c>
      <c r="AR613">
        <v>320</v>
      </c>
      <c r="AZ613">
        <v>1200</v>
      </c>
      <c r="BA613">
        <v>1</v>
      </c>
      <c r="BB613" t="str">
        <f t="shared" si="181"/>
        <v xml:space="preserve">N733KP  </v>
      </c>
      <c r="BC613">
        <v>1</v>
      </c>
      <c r="BE613">
        <v>0</v>
      </c>
      <c r="BF613">
        <v>0</v>
      </c>
      <c r="BG613">
        <v>0</v>
      </c>
      <c r="BH613">
        <v>3150</v>
      </c>
      <c r="BI613">
        <v>1</v>
      </c>
      <c r="BJ613">
        <v>1</v>
      </c>
      <c r="BK613">
        <v>0</v>
      </c>
      <c r="BL613">
        <v>0</v>
      </c>
      <c r="BO613">
        <v>0</v>
      </c>
      <c r="BP613">
        <v>0</v>
      </c>
      <c r="BW613" t="str">
        <f>"22:12:01.221"</f>
        <v>22:12:01.221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364</v>
      </c>
      <c r="CR613">
        <v>0</v>
      </c>
      <c r="CW613">
        <v>1387763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"03/24/2022 22:12:02.883"</f>
        <v>03/24/2022 22:12:02.883</v>
      </c>
      <c r="C614" t="str">
        <f t="shared" si="179"/>
        <v>FFDFD3C0</v>
      </c>
      <c r="D614" t="s">
        <v>123</v>
      </c>
      <c r="E614">
        <v>8</v>
      </c>
      <c r="H614">
        <v>31</v>
      </c>
      <c r="I614" t="s">
        <v>124</v>
      </c>
      <c r="J614" t="s">
        <v>125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 t="shared" ref="S614:T617" si="185">"22:12:02.000"</f>
        <v>22:12:02.000</v>
      </c>
      <c r="T614" t="str">
        <f t="shared" si="185"/>
        <v>22:12:02.000</v>
      </c>
      <c r="U614" t="str">
        <f t="shared" si="174"/>
        <v>A9D71F</v>
      </c>
      <c r="V614">
        <v>0</v>
      </c>
      <c r="W614">
        <v>0</v>
      </c>
      <c r="X614">
        <v>2</v>
      </c>
      <c r="Z614">
        <v>1</v>
      </c>
      <c r="AA614">
        <v>7</v>
      </c>
      <c r="AB614">
        <v>3</v>
      </c>
      <c r="AC614">
        <v>0</v>
      </c>
      <c r="AD614">
        <v>9</v>
      </c>
      <c r="AE614">
        <v>0</v>
      </c>
      <c r="AF614">
        <v>3</v>
      </c>
      <c r="AG614">
        <v>1</v>
      </c>
      <c r="AH614">
        <v>0</v>
      </c>
      <c r="AI614" t="s">
        <v>353</v>
      </c>
      <c r="AJ614">
        <v>33.186799999999998</v>
      </c>
      <c r="AK614" t="s">
        <v>354</v>
      </c>
      <c r="AL614">
        <v>-97.751005000000006</v>
      </c>
      <c r="AM614">
        <v>25</v>
      </c>
      <c r="AN614">
        <v>3200</v>
      </c>
      <c r="AO614" t="s">
        <v>118</v>
      </c>
      <c r="AP614">
        <v>84</v>
      </c>
      <c r="AQ614">
        <v>-35</v>
      </c>
      <c r="AR614">
        <v>384</v>
      </c>
      <c r="AZ614">
        <v>1200</v>
      </c>
      <c r="BA614">
        <v>1</v>
      </c>
      <c r="BB614" t="str">
        <f t="shared" si="181"/>
        <v xml:space="preserve">N733KP  </v>
      </c>
      <c r="BC614">
        <v>1</v>
      </c>
      <c r="BE614">
        <v>0</v>
      </c>
      <c r="BF614">
        <v>0</v>
      </c>
      <c r="BG614">
        <v>0</v>
      </c>
      <c r="BH614">
        <v>3150</v>
      </c>
      <c r="BI614">
        <v>1</v>
      </c>
      <c r="BJ614">
        <v>1</v>
      </c>
      <c r="BK614">
        <v>0</v>
      </c>
      <c r="BL614">
        <v>0</v>
      </c>
      <c r="BO614">
        <v>0</v>
      </c>
      <c r="BP614">
        <v>0</v>
      </c>
      <c r="BW614" t="str">
        <f>"22:12:02.627"</f>
        <v>22:12:02.627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364</v>
      </c>
      <c r="CR614">
        <v>0</v>
      </c>
      <c r="CW614">
        <v>1387996</v>
      </c>
      <c r="CY614">
        <v>1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"03/24/2022 22:12:02.883"</f>
        <v>03/24/2022 22:12:02.883</v>
      </c>
      <c r="C615" t="str">
        <f t="shared" si="179"/>
        <v>FFDFD3C0</v>
      </c>
      <c r="D615" t="s">
        <v>120</v>
      </c>
      <c r="E615">
        <v>14</v>
      </c>
      <c r="F615">
        <v>1014</v>
      </c>
      <c r="G615" t="s">
        <v>121</v>
      </c>
      <c r="J615" t="s">
        <v>122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 t="shared" si="185"/>
        <v>22:12:02.000</v>
      </c>
      <c r="T615" t="str">
        <f t="shared" si="185"/>
        <v>22:12:02.000</v>
      </c>
      <c r="U615" t="str">
        <f t="shared" si="174"/>
        <v>A9D71F</v>
      </c>
      <c r="V615">
        <v>0</v>
      </c>
      <c r="W615">
        <v>0</v>
      </c>
      <c r="X615">
        <v>2</v>
      </c>
      <c r="Z615">
        <v>1</v>
      </c>
      <c r="AA615">
        <v>7</v>
      </c>
      <c r="AB615">
        <v>3</v>
      </c>
      <c r="AC615">
        <v>0</v>
      </c>
      <c r="AD615">
        <v>9</v>
      </c>
      <c r="AE615">
        <v>0</v>
      </c>
      <c r="AF615">
        <v>3</v>
      </c>
      <c r="AG615">
        <v>1</v>
      </c>
      <c r="AH615">
        <v>0</v>
      </c>
      <c r="AI615" t="s">
        <v>353</v>
      </c>
      <c r="AJ615">
        <v>33.186799999999998</v>
      </c>
      <c r="AK615" t="s">
        <v>354</v>
      </c>
      <c r="AL615">
        <v>-97.751005000000006</v>
      </c>
      <c r="AM615">
        <v>25</v>
      </c>
      <c r="AN615">
        <v>3200</v>
      </c>
      <c r="AO615" t="s">
        <v>118</v>
      </c>
      <c r="AP615">
        <v>84</v>
      </c>
      <c r="AQ615">
        <v>-35</v>
      </c>
      <c r="AR615">
        <v>384</v>
      </c>
      <c r="AZ615">
        <v>1200</v>
      </c>
      <c r="BA615">
        <v>1</v>
      </c>
      <c r="BB615" t="str">
        <f t="shared" si="181"/>
        <v xml:space="preserve">N733KP  </v>
      </c>
      <c r="BC615">
        <v>1</v>
      </c>
      <c r="BE615">
        <v>0</v>
      </c>
      <c r="BF615">
        <v>0</v>
      </c>
      <c r="BG615">
        <v>0</v>
      </c>
      <c r="BH615">
        <v>3150</v>
      </c>
      <c r="BI615">
        <v>1</v>
      </c>
      <c r="BJ615">
        <v>1</v>
      </c>
      <c r="BK615">
        <v>0</v>
      </c>
      <c r="BL615">
        <v>0</v>
      </c>
      <c r="BO615">
        <v>0</v>
      </c>
      <c r="BP615">
        <v>0</v>
      </c>
      <c r="BW615" t="str">
        <f>"22:12:02.627"</f>
        <v>22:12:02.627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364</v>
      </c>
      <c r="CR615">
        <v>0</v>
      </c>
      <c r="CW615">
        <v>1387996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"03/24/2022 22:12:02.883"</f>
        <v>03/24/2022 22:12:02.883</v>
      </c>
      <c r="C616" t="str">
        <f t="shared" si="179"/>
        <v>FFDFD3C0</v>
      </c>
      <c r="D616" t="s">
        <v>113</v>
      </c>
      <c r="E616">
        <v>24</v>
      </c>
      <c r="F616">
        <v>2024</v>
      </c>
      <c r="G616" t="s">
        <v>114</v>
      </c>
      <c r="J616" t="s">
        <v>115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 t="shared" si="185"/>
        <v>22:12:02.000</v>
      </c>
      <c r="T616" t="str">
        <f t="shared" si="185"/>
        <v>22:12:02.000</v>
      </c>
      <c r="U616" t="str">
        <f t="shared" si="174"/>
        <v>A9D71F</v>
      </c>
      <c r="V616">
        <v>0</v>
      </c>
      <c r="W616">
        <v>0</v>
      </c>
      <c r="X616">
        <v>2</v>
      </c>
      <c r="Z616">
        <v>1</v>
      </c>
      <c r="AA616">
        <v>7</v>
      </c>
      <c r="AB616">
        <v>3</v>
      </c>
      <c r="AC616">
        <v>0</v>
      </c>
      <c r="AD616">
        <v>9</v>
      </c>
      <c r="AE616">
        <v>0</v>
      </c>
      <c r="AF616">
        <v>3</v>
      </c>
      <c r="AG616">
        <v>1</v>
      </c>
      <c r="AH616">
        <v>0</v>
      </c>
      <c r="AI616" t="s">
        <v>353</v>
      </c>
      <c r="AJ616">
        <v>33.186799999999998</v>
      </c>
      <c r="AK616" t="s">
        <v>354</v>
      </c>
      <c r="AL616">
        <v>-97.751005000000006</v>
      </c>
      <c r="AM616">
        <v>25</v>
      </c>
      <c r="AN616">
        <v>3200</v>
      </c>
      <c r="AO616" t="s">
        <v>118</v>
      </c>
      <c r="AP616">
        <v>84</v>
      </c>
      <c r="AQ616">
        <v>-35</v>
      </c>
      <c r="AR616">
        <v>384</v>
      </c>
      <c r="AZ616">
        <v>1200</v>
      </c>
      <c r="BA616">
        <v>1</v>
      </c>
      <c r="BB616" t="str">
        <f t="shared" si="181"/>
        <v xml:space="preserve">N733KP  </v>
      </c>
      <c r="BC616">
        <v>1</v>
      </c>
      <c r="BE616">
        <v>0</v>
      </c>
      <c r="BF616">
        <v>0</v>
      </c>
      <c r="BG616">
        <v>0</v>
      </c>
      <c r="BH616">
        <v>3150</v>
      </c>
      <c r="BI616">
        <v>1</v>
      </c>
      <c r="BJ616">
        <v>1</v>
      </c>
      <c r="BK616">
        <v>0</v>
      </c>
      <c r="BL616">
        <v>0</v>
      </c>
      <c r="BO616">
        <v>0</v>
      </c>
      <c r="BP616">
        <v>0</v>
      </c>
      <c r="BW616" t="str">
        <f>"22:12:02.627"</f>
        <v>22:12:02.627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364</v>
      </c>
      <c r="CR616">
        <v>0</v>
      </c>
      <c r="CW616">
        <v>1387996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"03/24/2022 22:12:02.883"</f>
        <v>03/24/2022 22:12:02.883</v>
      </c>
      <c r="C617" t="str">
        <f t="shared" si="179"/>
        <v>FFDFD3C0</v>
      </c>
      <c r="D617" t="s">
        <v>126</v>
      </c>
      <c r="E617">
        <v>3</v>
      </c>
      <c r="H617">
        <v>160</v>
      </c>
      <c r="I617" t="s">
        <v>121</v>
      </c>
      <c r="J617" t="s">
        <v>127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 t="shared" si="185"/>
        <v>22:12:02.000</v>
      </c>
      <c r="T617" t="str">
        <f t="shared" si="185"/>
        <v>22:12:02.000</v>
      </c>
      <c r="U617" t="str">
        <f t="shared" si="174"/>
        <v>A9D71F</v>
      </c>
      <c r="V617">
        <v>0</v>
      </c>
      <c r="W617">
        <v>0</v>
      </c>
      <c r="X617">
        <v>2</v>
      </c>
      <c r="Z617">
        <v>1</v>
      </c>
      <c r="AA617">
        <v>7</v>
      </c>
      <c r="AB617">
        <v>3</v>
      </c>
      <c r="AC617">
        <v>0</v>
      </c>
      <c r="AD617">
        <v>9</v>
      </c>
      <c r="AE617">
        <v>0</v>
      </c>
      <c r="AF617">
        <v>3</v>
      </c>
      <c r="AG617">
        <v>1</v>
      </c>
      <c r="AH617">
        <v>0</v>
      </c>
      <c r="AI617" t="s">
        <v>353</v>
      </c>
      <c r="AJ617">
        <v>33.186799999999998</v>
      </c>
      <c r="AK617" t="s">
        <v>354</v>
      </c>
      <c r="AL617">
        <v>-97.751005000000006</v>
      </c>
      <c r="AM617">
        <v>25</v>
      </c>
      <c r="AN617">
        <v>3200</v>
      </c>
      <c r="AO617" t="s">
        <v>118</v>
      </c>
      <c r="AP617">
        <v>84</v>
      </c>
      <c r="AQ617">
        <v>-35</v>
      </c>
      <c r="AR617">
        <v>384</v>
      </c>
      <c r="AZ617">
        <v>1200</v>
      </c>
      <c r="BA617">
        <v>1</v>
      </c>
      <c r="BB617" t="str">
        <f t="shared" si="181"/>
        <v xml:space="preserve">N733KP  </v>
      </c>
      <c r="BC617">
        <v>1</v>
      </c>
      <c r="BE617">
        <v>0</v>
      </c>
      <c r="BF617">
        <v>0</v>
      </c>
      <c r="BG617">
        <v>0</v>
      </c>
      <c r="BH617">
        <v>3150</v>
      </c>
      <c r="BI617">
        <v>1</v>
      </c>
      <c r="BJ617">
        <v>1</v>
      </c>
      <c r="BK617">
        <v>0</v>
      </c>
      <c r="BL617">
        <v>0</v>
      </c>
      <c r="BO617">
        <v>0</v>
      </c>
      <c r="BP617">
        <v>0</v>
      </c>
      <c r="BW617" t="str">
        <f>"22:12:02.627"</f>
        <v>22:12:02.627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364</v>
      </c>
      <c r="CR617">
        <v>0</v>
      </c>
      <c r="CW617">
        <v>1387996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"03/24/2022 22:12:03.838"</f>
        <v>03/24/2022 22:12:03.838</v>
      </c>
      <c r="C618" t="str">
        <f t="shared" si="179"/>
        <v>FFDFD3C0</v>
      </c>
      <c r="D618" t="s">
        <v>113</v>
      </c>
      <c r="E618">
        <v>24</v>
      </c>
      <c r="F618">
        <v>2024</v>
      </c>
      <c r="G618" t="s">
        <v>114</v>
      </c>
      <c r="J618" t="s">
        <v>115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 t="shared" ref="S618:T621" si="186">"22:12:03.000"</f>
        <v>22:12:03.000</v>
      </c>
      <c r="T618" t="str">
        <f t="shared" si="186"/>
        <v>22:12:03.000</v>
      </c>
      <c r="U618" t="str">
        <f t="shared" si="174"/>
        <v>A9D71F</v>
      </c>
      <c r="V618">
        <v>0</v>
      </c>
      <c r="W618">
        <v>0</v>
      </c>
      <c r="X618">
        <v>2</v>
      </c>
      <c r="Z618">
        <v>1</v>
      </c>
      <c r="AA618">
        <v>7</v>
      </c>
      <c r="AB618">
        <v>3</v>
      </c>
      <c r="AC618">
        <v>0</v>
      </c>
      <c r="AD618">
        <v>9</v>
      </c>
      <c r="AE618">
        <v>0</v>
      </c>
      <c r="AF618">
        <v>3</v>
      </c>
      <c r="AG618">
        <v>1</v>
      </c>
      <c r="AH618">
        <v>0</v>
      </c>
      <c r="AI618" t="s">
        <v>355</v>
      </c>
      <c r="AJ618">
        <v>33.18665</v>
      </c>
      <c r="AK618" t="s">
        <v>356</v>
      </c>
      <c r="AL618">
        <v>-97.750533000000004</v>
      </c>
      <c r="AM618">
        <v>25</v>
      </c>
      <c r="AN618">
        <v>3200</v>
      </c>
      <c r="AO618" t="s">
        <v>118</v>
      </c>
      <c r="AP618">
        <v>81</v>
      </c>
      <c r="AQ618">
        <v>-38</v>
      </c>
      <c r="AR618">
        <v>448</v>
      </c>
      <c r="AZ618">
        <v>1200</v>
      </c>
      <c r="BA618">
        <v>1</v>
      </c>
      <c r="BB618" t="str">
        <f t="shared" si="181"/>
        <v xml:space="preserve">N733KP  </v>
      </c>
      <c r="BC618">
        <v>1</v>
      </c>
      <c r="BE618">
        <v>0</v>
      </c>
      <c r="BF618">
        <v>0</v>
      </c>
      <c r="BG618">
        <v>0</v>
      </c>
      <c r="BH618">
        <v>3175</v>
      </c>
      <c r="BI618">
        <v>1</v>
      </c>
      <c r="BJ618">
        <v>1</v>
      </c>
      <c r="BK618">
        <v>0</v>
      </c>
      <c r="BL618">
        <v>0</v>
      </c>
      <c r="BO618">
        <v>0</v>
      </c>
      <c r="BP618">
        <v>0</v>
      </c>
      <c r="BW618" t="str">
        <f>"22:12:03.663"</f>
        <v>22:12:03.663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364</v>
      </c>
      <c r="CR618">
        <v>0</v>
      </c>
      <c r="CW618">
        <v>1388166</v>
      </c>
      <c r="CY618">
        <v>1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"03/24/2022 22:12:03.838"</f>
        <v>03/24/2022 22:12:03.838</v>
      </c>
      <c r="C619" t="str">
        <f t="shared" si="179"/>
        <v>FFDFD3C0</v>
      </c>
      <c r="D619" t="s">
        <v>120</v>
      </c>
      <c r="E619">
        <v>14</v>
      </c>
      <c r="F619">
        <v>1014</v>
      </c>
      <c r="G619" t="s">
        <v>121</v>
      </c>
      <c r="J619" t="s">
        <v>122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 t="shared" si="186"/>
        <v>22:12:03.000</v>
      </c>
      <c r="T619" t="str">
        <f t="shared" si="186"/>
        <v>22:12:03.000</v>
      </c>
      <c r="U619" t="str">
        <f t="shared" si="174"/>
        <v>A9D71F</v>
      </c>
      <c r="V619">
        <v>0</v>
      </c>
      <c r="W619">
        <v>0</v>
      </c>
      <c r="X619">
        <v>2</v>
      </c>
      <c r="Z619">
        <v>1</v>
      </c>
      <c r="AA619">
        <v>7</v>
      </c>
      <c r="AB619">
        <v>3</v>
      </c>
      <c r="AC619">
        <v>0</v>
      </c>
      <c r="AD619">
        <v>9</v>
      </c>
      <c r="AE619">
        <v>0</v>
      </c>
      <c r="AF619">
        <v>3</v>
      </c>
      <c r="AG619">
        <v>1</v>
      </c>
      <c r="AH619">
        <v>0</v>
      </c>
      <c r="AI619" t="s">
        <v>355</v>
      </c>
      <c r="AJ619">
        <v>33.18665</v>
      </c>
      <c r="AK619" t="s">
        <v>356</v>
      </c>
      <c r="AL619">
        <v>-97.750533000000004</v>
      </c>
      <c r="AM619">
        <v>25</v>
      </c>
      <c r="AN619">
        <v>3200</v>
      </c>
      <c r="AO619" t="s">
        <v>118</v>
      </c>
      <c r="AP619">
        <v>81</v>
      </c>
      <c r="AQ619">
        <v>-38</v>
      </c>
      <c r="AR619">
        <v>448</v>
      </c>
      <c r="AZ619">
        <v>1200</v>
      </c>
      <c r="BA619">
        <v>1</v>
      </c>
      <c r="BB619" t="str">
        <f t="shared" si="181"/>
        <v xml:space="preserve">N733KP  </v>
      </c>
      <c r="BC619">
        <v>1</v>
      </c>
      <c r="BE619">
        <v>0</v>
      </c>
      <c r="BF619">
        <v>0</v>
      </c>
      <c r="BG619">
        <v>0</v>
      </c>
      <c r="BH619">
        <v>3175</v>
      </c>
      <c r="BI619">
        <v>1</v>
      </c>
      <c r="BJ619">
        <v>1</v>
      </c>
      <c r="BK619">
        <v>0</v>
      </c>
      <c r="BL619">
        <v>0</v>
      </c>
      <c r="BO619">
        <v>0</v>
      </c>
      <c r="BP619">
        <v>0</v>
      </c>
      <c r="BW619" t="str">
        <f>"22:12:03.663"</f>
        <v>22:12:03.663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364</v>
      </c>
      <c r="CR619">
        <v>0</v>
      </c>
      <c r="CW619">
        <v>1388166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"03/24/2022 22:12:03.838"</f>
        <v>03/24/2022 22:12:03.838</v>
      </c>
      <c r="C620" t="str">
        <f t="shared" si="179"/>
        <v>FFDFD3C0</v>
      </c>
      <c r="D620" t="s">
        <v>126</v>
      </c>
      <c r="E620">
        <v>3</v>
      </c>
      <c r="H620">
        <v>160</v>
      </c>
      <c r="I620" t="s">
        <v>121</v>
      </c>
      <c r="J620" t="s">
        <v>127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 t="shared" si="186"/>
        <v>22:12:03.000</v>
      </c>
      <c r="T620" t="str">
        <f t="shared" si="186"/>
        <v>22:12:03.000</v>
      </c>
      <c r="U620" t="str">
        <f t="shared" si="174"/>
        <v>A9D71F</v>
      </c>
      <c r="V620">
        <v>0</v>
      </c>
      <c r="W620">
        <v>0</v>
      </c>
      <c r="X620">
        <v>2</v>
      </c>
      <c r="Z620">
        <v>1</v>
      </c>
      <c r="AA620">
        <v>7</v>
      </c>
      <c r="AB620">
        <v>3</v>
      </c>
      <c r="AC620">
        <v>0</v>
      </c>
      <c r="AD620">
        <v>9</v>
      </c>
      <c r="AE620">
        <v>0</v>
      </c>
      <c r="AF620">
        <v>3</v>
      </c>
      <c r="AG620">
        <v>1</v>
      </c>
      <c r="AH620">
        <v>0</v>
      </c>
      <c r="AI620" t="s">
        <v>355</v>
      </c>
      <c r="AJ620">
        <v>33.18665</v>
      </c>
      <c r="AK620" t="s">
        <v>356</v>
      </c>
      <c r="AL620">
        <v>-97.750533000000004</v>
      </c>
      <c r="AM620">
        <v>25</v>
      </c>
      <c r="AN620">
        <v>3200</v>
      </c>
      <c r="AO620" t="s">
        <v>118</v>
      </c>
      <c r="AP620">
        <v>81</v>
      </c>
      <c r="AQ620">
        <v>-38</v>
      </c>
      <c r="AR620">
        <v>448</v>
      </c>
      <c r="AZ620">
        <v>1200</v>
      </c>
      <c r="BA620">
        <v>1</v>
      </c>
      <c r="BB620" t="str">
        <f t="shared" si="181"/>
        <v xml:space="preserve">N733KP  </v>
      </c>
      <c r="BC620">
        <v>1</v>
      </c>
      <c r="BE620">
        <v>0</v>
      </c>
      <c r="BF620">
        <v>0</v>
      </c>
      <c r="BG620">
        <v>0</v>
      </c>
      <c r="BH620">
        <v>3175</v>
      </c>
      <c r="BI620">
        <v>1</v>
      </c>
      <c r="BJ620">
        <v>1</v>
      </c>
      <c r="BK620">
        <v>0</v>
      </c>
      <c r="BL620">
        <v>0</v>
      </c>
      <c r="BO620">
        <v>0</v>
      </c>
      <c r="BP620">
        <v>0</v>
      </c>
      <c r="BW620" t="str">
        <f>"22:12:03.663"</f>
        <v>22:12:03.663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7</v>
      </c>
      <c r="CP620" t="s">
        <v>119</v>
      </c>
      <c r="CQ620">
        <v>364</v>
      </c>
      <c r="CR620">
        <v>0</v>
      </c>
      <c r="CW620">
        <v>1388166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"03/24/2022 22:12:03.838"</f>
        <v>03/24/2022 22:12:03.838</v>
      </c>
      <c r="C621" t="str">
        <f t="shared" si="179"/>
        <v>FFDFD3C0</v>
      </c>
      <c r="D621" t="s">
        <v>123</v>
      </c>
      <c r="E621">
        <v>8</v>
      </c>
      <c r="H621">
        <v>31</v>
      </c>
      <c r="I621" t="s">
        <v>124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 t="shared" si="186"/>
        <v>22:12:03.000</v>
      </c>
      <c r="T621" t="str">
        <f t="shared" si="186"/>
        <v>22:12:03.000</v>
      </c>
      <c r="U621" t="str">
        <f t="shared" si="174"/>
        <v>A9D71F</v>
      </c>
      <c r="V621">
        <v>0</v>
      </c>
      <c r="W621">
        <v>0</v>
      </c>
      <c r="X621">
        <v>2</v>
      </c>
      <c r="Z621">
        <v>1</v>
      </c>
      <c r="AA621">
        <v>7</v>
      </c>
      <c r="AB621">
        <v>3</v>
      </c>
      <c r="AC621">
        <v>0</v>
      </c>
      <c r="AD621">
        <v>9</v>
      </c>
      <c r="AE621">
        <v>0</v>
      </c>
      <c r="AF621">
        <v>3</v>
      </c>
      <c r="AG621">
        <v>1</v>
      </c>
      <c r="AH621">
        <v>0</v>
      </c>
      <c r="AI621" t="s">
        <v>355</v>
      </c>
      <c r="AJ621">
        <v>33.18665</v>
      </c>
      <c r="AK621" t="s">
        <v>356</v>
      </c>
      <c r="AL621">
        <v>-97.750533000000004</v>
      </c>
      <c r="AM621">
        <v>25</v>
      </c>
      <c r="AN621">
        <v>3200</v>
      </c>
      <c r="AO621" t="s">
        <v>118</v>
      </c>
      <c r="AP621">
        <v>81</v>
      </c>
      <c r="AQ621">
        <v>-38</v>
      </c>
      <c r="AR621">
        <v>448</v>
      </c>
      <c r="AZ621">
        <v>1200</v>
      </c>
      <c r="BA621">
        <v>1</v>
      </c>
      <c r="BB621" t="str">
        <f t="shared" si="181"/>
        <v xml:space="preserve">N733KP  </v>
      </c>
      <c r="BC621">
        <v>1</v>
      </c>
      <c r="BE621">
        <v>0</v>
      </c>
      <c r="BF621">
        <v>0</v>
      </c>
      <c r="BG621">
        <v>0</v>
      </c>
      <c r="BH621">
        <v>3175</v>
      </c>
      <c r="BI621">
        <v>1</v>
      </c>
      <c r="BJ621">
        <v>1</v>
      </c>
      <c r="BK621">
        <v>0</v>
      </c>
      <c r="BL621">
        <v>0</v>
      </c>
      <c r="BO621">
        <v>0</v>
      </c>
      <c r="BP621">
        <v>0</v>
      </c>
      <c r="BW621" t="str">
        <f>"22:12:03.663"</f>
        <v>22:12:03.663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364</v>
      </c>
      <c r="CR621">
        <v>0</v>
      </c>
      <c r="CW621">
        <v>1388166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"03/24/2022 22:12:04.479"</f>
        <v>03/24/2022 22:12:04.479</v>
      </c>
      <c r="C622" t="str">
        <f t="shared" si="179"/>
        <v>FFDFD3C0</v>
      </c>
      <c r="D622" t="s">
        <v>113</v>
      </c>
      <c r="E622">
        <v>24</v>
      </c>
      <c r="F622">
        <v>2024</v>
      </c>
      <c r="G622" t="s">
        <v>114</v>
      </c>
      <c r="J622" t="s">
        <v>115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 t="shared" ref="S622:T625" si="187">"22:12:04.000"</f>
        <v>22:12:04.000</v>
      </c>
      <c r="T622" t="str">
        <f t="shared" si="187"/>
        <v>22:12:04.000</v>
      </c>
      <c r="U622" t="str">
        <f t="shared" si="174"/>
        <v>A9D71F</v>
      </c>
      <c r="V622">
        <v>0</v>
      </c>
      <c r="W622">
        <v>0</v>
      </c>
      <c r="X622">
        <v>2</v>
      </c>
      <c r="Z622">
        <v>1</v>
      </c>
      <c r="AA622">
        <v>7</v>
      </c>
      <c r="AB622">
        <v>3</v>
      </c>
      <c r="AC622">
        <v>0</v>
      </c>
      <c r="AD622">
        <v>9</v>
      </c>
      <c r="AE622">
        <v>0</v>
      </c>
      <c r="AF622">
        <v>3</v>
      </c>
      <c r="AG622">
        <v>1</v>
      </c>
      <c r="AH622">
        <v>0</v>
      </c>
      <c r="AI622" t="s">
        <v>357</v>
      </c>
      <c r="AJ622">
        <v>33.186500000000002</v>
      </c>
      <c r="AK622" t="s">
        <v>358</v>
      </c>
      <c r="AL622">
        <v>-97.750082000000006</v>
      </c>
      <c r="AM622">
        <v>25</v>
      </c>
      <c r="AN622">
        <v>3200</v>
      </c>
      <c r="AO622" t="s">
        <v>118</v>
      </c>
      <c r="AP622">
        <v>81</v>
      </c>
      <c r="AQ622">
        <v>-42</v>
      </c>
      <c r="AR622">
        <v>512</v>
      </c>
      <c r="AZ622">
        <v>1200</v>
      </c>
      <c r="BA622">
        <v>1</v>
      </c>
      <c r="BB622" t="str">
        <f t="shared" si="181"/>
        <v xml:space="preserve">N733KP  </v>
      </c>
      <c r="BC622">
        <v>1</v>
      </c>
      <c r="BE622">
        <v>0</v>
      </c>
      <c r="BF622">
        <v>0</v>
      </c>
      <c r="BG622">
        <v>0</v>
      </c>
      <c r="BH622">
        <v>3175</v>
      </c>
      <c r="BI622">
        <v>1</v>
      </c>
      <c r="BJ622">
        <v>1</v>
      </c>
      <c r="BK622">
        <v>0</v>
      </c>
      <c r="BL622">
        <v>0</v>
      </c>
      <c r="BO622">
        <v>0</v>
      </c>
      <c r="BP622">
        <v>0</v>
      </c>
      <c r="BW622" t="str">
        <f>"22:12:04.266"</f>
        <v>22:12:04.266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1</v>
      </c>
      <c r="CP622" t="s">
        <v>119</v>
      </c>
      <c r="CQ622">
        <v>439</v>
      </c>
      <c r="CR622">
        <v>0</v>
      </c>
      <c r="CW622">
        <v>11497977</v>
      </c>
      <c r="CY622">
        <v>1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"03/24/2022 22:12:04.479"</f>
        <v>03/24/2022 22:12:04.479</v>
      </c>
      <c r="C623" t="str">
        <f t="shared" si="179"/>
        <v>FFDFD3C0</v>
      </c>
      <c r="D623" t="s">
        <v>126</v>
      </c>
      <c r="E623">
        <v>3</v>
      </c>
      <c r="H623">
        <v>160</v>
      </c>
      <c r="I623" t="s">
        <v>121</v>
      </c>
      <c r="J623" t="s">
        <v>127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 t="shared" si="187"/>
        <v>22:12:04.000</v>
      </c>
      <c r="T623" t="str">
        <f t="shared" si="187"/>
        <v>22:12:04.000</v>
      </c>
      <c r="U623" t="str">
        <f t="shared" si="174"/>
        <v>A9D71F</v>
      </c>
      <c r="V623">
        <v>0</v>
      </c>
      <c r="W623">
        <v>0</v>
      </c>
      <c r="X623">
        <v>2</v>
      </c>
      <c r="Z623">
        <v>1</v>
      </c>
      <c r="AA623">
        <v>7</v>
      </c>
      <c r="AB623">
        <v>3</v>
      </c>
      <c r="AC623">
        <v>0</v>
      </c>
      <c r="AD623">
        <v>9</v>
      </c>
      <c r="AE623">
        <v>0</v>
      </c>
      <c r="AF623">
        <v>3</v>
      </c>
      <c r="AG623">
        <v>1</v>
      </c>
      <c r="AH623">
        <v>0</v>
      </c>
      <c r="AI623" t="s">
        <v>357</v>
      </c>
      <c r="AJ623">
        <v>33.186500000000002</v>
      </c>
      <c r="AK623" t="s">
        <v>358</v>
      </c>
      <c r="AL623">
        <v>-97.750082000000006</v>
      </c>
      <c r="AM623">
        <v>25</v>
      </c>
      <c r="AN623">
        <v>3200</v>
      </c>
      <c r="AO623" t="s">
        <v>118</v>
      </c>
      <c r="AP623">
        <v>81</v>
      </c>
      <c r="AQ623">
        <v>-42</v>
      </c>
      <c r="AR623">
        <v>512</v>
      </c>
      <c r="AZ623">
        <v>1200</v>
      </c>
      <c r="BA623">
        <v>1</v>
      </c>
      <c r="BB623" t="str">
        <f t="shared" si="181"/>
        <v xml:space="preserve">N733KP  </v>
      </c>
      <c r="BC623">
        <v>1</v>
      </c>
      <c r="BE623">
        <v>0</v>
      </c>
      <c r="BF623">
        <v>0</v>
      </c>
      <c r="BG623">
        <v>0</v>
      </c>
      <c r="BH623">
        <v>3175</v>
      </c>
      <c r="BI623">
        <v>1</v>
      </c>
      <c r="BJ623">
        <v>1</v>
      </c>
      <c r="BK623">
        <v>0</v>
      </c>
      <c r="BL623">
        <v>0</v>
      </c>
      <c r="BO623">
        <v>0</v>
      </c>
      <c r="BP623">
        <v>0</v>
      </c>
      <c r="BW623" t="str">
        <f>"22:12:04.266"</f>
        <v>22:12:04.266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1</v>
      </c>
      <c r="CP623" t="s">
        <v>119</v>
      </c>
      <c r="CQ623">
        <v>439</v>
      </c>
      <c r="CR623">
        <v>0</v>
      </c>
      <c r="CW623">
        <v>11497977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"03/24/2022 22:12:04.479"</f>
        <v>03/24/2022 22:12:04.479</v>
      </c>
      <c r="C624" t="str">
        <f t="shared" si="179"/>
        <v>FFDFD3C0</v>
      </c>
      <c r="D624" t="s">
        <v>120</v>
      </c>
      <c r="E624">
        <v>14</v>
      </c>
      <c r="F624">
        <v>1014</v>
      </c>
      <c r="G624" t="s">
        <v>121</v>
      </c>
      <c r="J624" t="s">
        <v>122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 t="shared" si="187"/>
        <v>22:12:04.000</v>
      </c>
      <c r="T624" t="str">
        <f t="shared" si="187"/>
        <v>22:12:04.000</v>
      </c>
      <c r="U624" t="str">
        <f t="shared" si="174"/>
        <v>A9D71F</v>
      </c>
      <c r="V624">
        <v>0</v>
      </c>
      <c r="W624">
        <v>0</v>
      </c>
      <c r="X624">
        <v>2</v>
      </c>
      <c r="Z624">
        <v>1</v>
      </c>
      <c r="AA624">
        <v>7</v>
      </c>
      <c r="AB624">
        <v>3</v>
      </c>
      <c r="AC624">
        <v>0</v>
      </c>
      <c r="AD624">
        <v>9</v>
      </c>
      <c r="AE624">
        <v>0</v>
      </c>
      <c r="AF624">
        <v>3</v>
      </c>
      <c r="AG624">
        <v>1</v>
      </c>
      <c r="AH624">
        <v>0</v>
      </c>
      <c r="AI624" t="s">
        <v>357</v>
      </c>
      <c r="AJ624">
        <v>33.186500000000002</v>
      </c>
      <c r="AK624" t="s">
        <v>358</v>
      </c>
      <c r="AL624">
        <v>-97.750082000000006</v>
      </c>
      <c r="AM624">
        <v>25</v>
      </c>
      <c r="AN624">
        <v>3200</v>
      </c>
      <c r="AO624" t="s">
        <v>118</v>
      </c>
      <c r="AP624">
        <v>81</v>
      </c>
      <c r="AQ624">
        <v>-42</v>
      </c>
      <c r="AR624">
        <v>512</v>
      </c>
      <c r="AZ624">
        <v>1200</v>
      </c>
      <c r="BA624">
        <v>1</v>
      </c>
      <c r="BB624" t="str">
        <f t="shared" si="181"/>
        <v xml:space="preserve">N733KP  </v>
      </c>
      <c r="BC624">
        <v>1</v>
      </c>
      <c r="BE624">
        <v>0</v>
      </c>
      <c r="BF624">
        <v>0</v>
      </c>
      <c r="BG624">
        <v>0</v>
      </c>
      <c r="BH624">
        <v>3175</v>
      </c>
      <c r="BI624">
        <v>1</v>
      </c>
      <c r="BJ624">
        <v>1</v>
      </c>
      <c r="BK624">
        <v>0</v>
      </c>
      <c r="BL624">
        <v>0</v>
      </c>
      <c r="BO624">
        <v>0</v>
      </c>
      <c r="BP624">
        <v>0</v>
      </c>
      <c r="BW624" t="str">
        <f>"22:12:04.266"</f>
        <v>22:12:04.266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1</v>
      </c>
      <c r="CP624" t="s">
        <v>119</v>
      </c>
      <c r="CQ624">
        <v>439</v>
      </c>
      <c r="CR624">
        <v>0</v>
      </c>
      <c r="CW624">
        <v>11497977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"03/24/2022 22:12:04.479"</f>
        <v>03/24/2022 22:12:04.479</v>
      </c>
      <c r="C625" t="str">
        <f t="shared" si="179"/>
        <v>FFDFD3C0</v>
      </c>
      <c r="D625" t="s">
        <v>123</v>
      </c>
      <c r="E625">
        <v>8</v>
      </c>
      <c r="H625">
        <v>31</v>
      </c>
      <c r="I625" t="s">
        <v>124</v>
      </c>
      <c r="J625" t="s">
        <v>125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 t="shared" si="187"/>
        <v>22:12:04.000</v>
      </c>
      <c r="T625" t="str">
        <f t="shared" si="187"/>
        <v>22:12:04.000</v>
      </c>
      <c r="U625" t="str">
        <f t="shared" si="174"/>
        <v>A9D71F</v>
      </c>
      <c r="V625">
        <v>0</v>
      </c>
      <c r="W625">
        <v>0</v>
      </c>
      <c r="X625">
        <v>2</v>
      </c>
      <c r="Z625">
        <v>1</v>
      </c>
      <c r="AA625">
        <v>7</v>
      </c>
      <c r="AB625">
        <v>3</v>
      </c>
      <c r="AC625">
        <v>0</v>
      </c>
      <c r="AD625">
        <v>9</v>
      </c>
      <c r="AE625">
        <v>0</v>
      </c>
      <c r="AF625">
        <v>3</v>
      </c>
      <c r="AG625">
        <v>1</v>
      </c>
      <c r="AH625">
        <v>0</v>
      </c>
      <c r="AI625" t="s">
        <v>357</v>
      </c>
      <c r="AJ625">
        <v>33.186500000000002</v>
      </c>
      <c r="AK625" t="s">
        <v>358</v>
      </c>
      <c r="AL625">
        <v>-97.750082000000006</v>
      </c>
      <c r="AM625">
        <v>25</v>
      </c>
      <c r="AN625">
        <v>3200</v>
      </c>
      <c r="AO625" t="s">
        <v>118</v>
      </c>
      <c r="AP625">
        <v>81</v>
      </c>
      <c r="AQ625">
        <v>-42</v>
      </c>
      <c r="AR625">
        <v>512</v>
      </c>
      <c r="AZ625">
        <v>1200</v>
      </c>
      <c r="BA625">
        <v>1</v>
      </c>
      <c r="BB625" t="str">
        <f t="shared" si="181"/>
        <v xml:space="preserve">N733KP  </v>
      </c>
      <c r="BC625">
        <v>1</v>
      </c>
      <c r="BE625">
        <v>0</v>
      </c>
      <c r="BF625">
        <v>0</v>
      </c>
      <c r="BG625">
        <v>0</v>
      </c>
      <c r="BH625">
        <v>3175</v>
      </c>
      <c r="BI625">
        <v>1</v>
      </c>
      <c r="BJ625">
        <v>1</v>
      </c>
      <c r="BK625">
        <v>0</v>
      </c>
      <c r="BL625">
        <v>0</v>
      </c>
      <c r="BO625">
        <v>0</v>
      </c>
      <c r="BP625">
        <v>0</v>
      </c>
      <c r="BW625" t="str">
        <f>"22:12:04.266"</f>
        <v>22:12:04.266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1</v>
      </c>
      <c r="CP625" t="s">
        <v>119</v>
      </c>
      <c r="CQ625">
        <v>365</v>
      </c>
      <c r="CR625">
        <v>0</v>
      </c>
      <c r="CW625">
        <v>11426955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"03/24/2022 22:12:05.885"</f>
        <v>03/24/2022 22:12:05.885</v>
      </c>
      <c r="C626" t="str">
        <f t="shared" si="179"/>
        <v>FFDFD3C0</v>
      </c>
      <c r="D626" t="s">
        <v>123</v>
      </c>
      <c r="E626">
        <v>8</v>
      </c>
      <c r="H626">
        <v>31</v>
      </c>
      <c r="I626" t="s">
        <v>124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 t="shared" ref="S626:T629" si="188">"22:12:05.000"</f>
        <v>22:12:05.000</v>
      </c>
      <c r="T626" t="str">
        <f t="shared" si="188"/>
        <v>22:12:05.000</v>
      </c>
      <c r="U626" t="str">
        <f t="shared" si="174"/>
        <v>A9D71F</v>
      </c>
      <c r="V626">
        <v>0</v>
      </c>
      <c r="W626">
        <v>0</v>
      </c>
      <c r="X626">
        <v>2</v>
      </c>
      <c r="Z626">
        <v>1</v>
      </c>
      <c r="AA626">
        <v>7</v>
      </c>
      <c r="AB626">
        <v>3</v>
      </c>
      <c r="AC626">
        <v>0</v>
      </c>
      <c r="AD626">
        <v>9</v>
      </c>
      <c r="AE626">
        <v>0</v>
      </c>
      <c r="AF626">
        <v>3</v>
      </c>
      <c r="AG626">
        <v>1</v>
      </c>
      <c r="AH626">
        <v>0</v>
      </c>
      <c r="AI626" t="s">
        <v>359</v>
      </c>
      <c r="AJ626">
        <v>33.186284999999998</v>
      </c>
      <c r="AK626" t="s">
        <v>360</v>
      </c>
      <c r="AL626">
        <v>-97.749630999999994</v>
      </c>
      <c r="AM626">
        <v>25</v>
      </c>
      <c r="AN626">
        <v>3200</v>
      </c>
      <c r="AO626" t="s">
        <v>118</v>
      </c>
      <c r="AP626">
        <v>90</v>
      </c>
      <c r="AQ626">
        <v>-51</v>
      </c>
      <c r="AR626">
        <v>512</v>
      </c>
      <c r="AZ626">
        <v>1200</v>
      </c>
      <c r="BA626">
        <v>1</v>
      </c>
      <c r="BB626" t="str">
        <f t="shared" si="181"/>
        <v xml:space="preserve">N733KP  </v>
      </c>
      <c r="BC626">
        <v>1</v>
      </c>
      <c r="BE626">
        <v>0</v>
      </c>
      <c r="BF626">
        <v>0</v>
      </c>
      <c r="BG626">
        <v>0</v>
      </c>
      <c r="BH626">
        <v>3175</v>
      </c>
      <c r="BI626">
        <v>1</v>
      </c>
      <c r="BJ626">
        <v>1</v>
      </c>
      <c r="BK626">
        <v>0</v>
      </c>
      <c r="BL626">
        <v>0</v>
      </c>
      <c r="BO626">
        <v>0</v>
      </c>
      <c r="BP626">
        <v>0</v>
      </c>
      <c r="BW626" t="str">
        <f>"22:12:05.712"</f>
        <v>22:12:05.712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364</v>
      </c>
      <c r="CR626">
        <v>0</v>
      </c>
      <c r="CW626">
        <v>1388450</v>
      </c>
      <c r="CY626">
        <v>1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"03/24/2022 22:12:05.901"</f>
        <v>03/24/2022 22:12:05.901</v>
      </c>
      <c r="C627" t="str">
        <f t="shared" si="179"/>
        <v>FFDFD3C0</v>
      </c>
      <c r="D627" t="s">
        <v>113</v>
      </c>
      <c r="E627">
        <v>24</v>
      </c>
      <c r="F627">
        <v>2024</v>
      </c>
      <c r="G627" t="s">
        <v>114</v>
      </c>
      <c r="J627" t="s">
        <v>115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 t="shared" si="188"/>
        <v>22:12:05.000</v>
      </c>
      <c r="T627" t="str">
        <f t="shared" si="188"/>
        <v>22:12:05.000</v>
      </c>
      <c r="U627" t="str">
        <f t="shared" si="174"/>
        <v>A9D71F</v>
      </c>
      <c r="V627">
        <v>0</v>
      </c>
      <c r="W627">
        <v>0</v>
      </c>
      <c r="X627">
        <v>2</v>
      </c>
      <c r="Z627">
        <v>1</v>
      </c>
      <c r="AA627">
        <v>7</v>
      </c>
      <c r="AB627">
        <v>3</v>
      </c>
      <c r="AC627">
        <v>0</v>
      </c>
      <c r="AD627">
        <v>9</v>
      </c>
      <c r="AE627">
        <v>0</v>
      </c>
      <c r="AF627">
        <v>3</v>
      </c>
      <c r="AG627">
        <v>1</v>
      </c>
      <c r="AH627">
        <v>0</v>
      </c>
      <c r="AI627" t="s">
        <v>359</v>
      </c>
      <c r="AJ627">
        <v>33.186284999999998</v>
      </c>
      <c r="AK627" t="s">
        <v>360</v>
      </c>
      <c r="AL627">
        <v>-97.749630999999994</v>
      </c>
      <c r="AM627">
        <v>25</v>
      </c>
      <c r="AN627">
        <v>3200</v>
      </c>
      <c r="AO627" t="s">
        <v>118</v>
      </c>
      <c r="AP627">
        <v>90</v>
      </c>
      <c r="AQ627">
        <v>-51</v>
      </c>
      <c r="AR627">
        <v>512</v>
      </c>
      <c r="AZ627">
        <v>1200</v>
      </c>
      <c r="BA627">
        <v>1</v>
      </c>
      <c r="BB627" t="str">
        <f t="shared" si="181"/>
        <v xml:space="preserve">N733KP  </v>
      </c>
      <c r="BC627">
        <v>1</v>
      </c>
      <c r="BE627">
        <v>0</v>
      </c>
      <c r="BF627">
        <v>0</v>
      </c>
      <c r="BG627">
        <v>0</v>
      </c>
      <c r="BH627">
        <v>3175</v>
      </c>
      <c r="BI627">
        <v>1</v>
      </c>
      <c r="BJ627">
        <v>1</v>
      </c>
      <c r="BK627">
        <v>0</v>
      </c>
      <c r="BL627">
        <v>0</v>
      </c>
      <c r="BO627">
        <v>0</v>
      </c>
      <c r="BP627">
        <v>0</v>
      </c>
      <c r="BW627" t="str">
        <f>"22:12:05.712"</f>
        <v>22:12:05.712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364</v>
      </c>
      <c r="CR627">
        <v>0</v>
      </c>
      <c r="CW627">
        <v>1388450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"03/24/2022 22:12:05.932"</f>
        <v>03/24/2022 22:12:05.932</v>
      </c>
      <c r="C628" t="str">
        <f t="shared" si="179"/>
        <v>FFDFD3C0</v>
      </c>
      <c r="D628" t="s">
        <v>126</v>
      </c>
      <c r="E628">
        <v>3</v>
      </c>
      <c r="H628">
        <v>160</v>
      </c>
      <c r="I628" t="s">
        <v>121</v>
      </c>
      <c r="J628" t="s">
        <v>127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 t="shared" si="188"/>
        <v>22:12:05.000</v>
      </c>
      <c r="T628" t="str">
        <f t="shared" si="188"/>
        <v>22:12:05.000</v>
      </c>
      <c r="U628" t="str">
        <f t="shared" si="174"/>
        <v>A9D71F</v>
      </c>
      <c r="V628">
        <v>0</v>
      </c>
      <c r="W628">
        <v>0</v>
      </c>
      <c r="X628">
        <v>2</v>
      </c>
      <c r="Z628">
        <v>1</v>
      </c>
      <c r="AA628">
        <v>7</v>
      </c>
      <c r="AB628">
        <v>3</v>
      </c>
      <c r="AC628">
        <v>0</v>
      </c>
      <c r="AD628">
        <v>9</v>
      </c>
      <c r="AE628">
        <v>0</v>
      </c>
      <c r="AF628">
        <v>3</v>
      </c>
      <c r="AG628">
        <v>1</v>
      </c>
      <c r="AH628">
        <v>0</v>
      </c>
      <c r="AI628" t="s">
        <v>359</v>
      </c>
      <c r="AJ628">
        <v>33.186284999999998</v>
      </c>
      <c r="AK628" t="s">
        <v>360</v>
      </c>
      <c r="AL628">
        <v>-97.749630999999994</v>
      </c>
      <c r="AM628">
        <v>25</v>
      </c>
      <c r="AN628">
        <v>3200</v>
      </c>
      <c r="AO628" t="s">
        <v>118</v>
      </c>
      <c r="AP628">
        <v>90</v>
      </c>
      <c r="AQ628">
        <v>-51</v>
      </c>
      <c r="AR628">
        <v>512</v>
      </c>
      <c r="AZ628">
        <v>1200</v>
      </c>
      <c r="BA628">
        <v>1</v>
      </c>
      <c r="BB628" t="str">
        <f t="shared" si="181"/>
        <v xml:space="preserve">N733KP  </v>
      </c>
      <c r="BC628">
        <v>1</v>
      </c>
      <c r="BE628">
        <v>0</v>
      </c>
      <c r="BF628">
        <v>0</v>
      </c>
      <c r="BG628">
        <v>0</v>
      </c>
      <c r="BH628">
        <v>3175</v>
      </c>
      <c r="BI628">
        <v>1</v>
      </c>
      <c r="BJ628">
        <v>1</v>
      </c>
      <c r="BK628">
        <v>0</v>
      </c>
      <c r="BL628">
        <v>0</v>
      </c>
      <c r="BO628">
        <v>0</v>
      </c>
      <c r="BP628">
        <v>0</v>
      </c>
      <c r="BW628" t="str">
        <f>"22:12:05.712"</f>
        <v>22:12:05.712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364</v>
      </c>
      <c r="CR628">
        <v>0</v>
      </c>
      <c r="CW628">
        <v>1388450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"03/24/2022 22:12:05.932"</f>
        <v>03/24/2022 22:12:05.932</v>
      </c>
      <c r="C629" t="str">
        <f t="shared" si="179"/>
        <v>FFDFD3C0</v>
      </c>
      <c r="D629" t="s">
        <v>120</v>
      </c>
      <c r="E629">
        <v>14</v>
      </c>
      <c r="F629">
        <v>1014</v>
      </c>
      <c r="G629" t="s">
        <v>121</v>
      </c>
      <c r="J629" t="s">
        <v>122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 t="shared" si="188"/>
        <v>22:12:05.000</v>
      </c>
      <c r="T629" t="str">
        <f t="shared" si="188"/>
        <v>22:12:05.000</v>
      </c>
      <c r="U629" t="str">
        <f t="shared" si="174"/>
        <v>A9D71F</v>
      </c>
      <c r="V629">
        <v>0</v>
      </c>
      <c r="W629">
        <v>0</v>
      </c>
      <c r="X629">
        <v>2</v>
      </c>
      <c r="Z629">
        <v>1</v>
      </c>
      <c r="AA629">
        <v>7</v>
      </c>
      <c r="AB629">
        <v>3</v>
      </c>
      <c r="AC629">
        <v>0</v>
      </c>
      <c r="AD629">
        <v>9</v>
      </c>
      <c r="AE629">
        <v>0</v>
      </c>
      <c r="AF629">
        <v>3</v>
      </c>
      <c r="AG629">
        <v>1</v>
      </c>
      <c r="AH629">
        <v>0</v>
      </c>
      <c r="AI629" t="s">
        <v>359</v>
      </c>
      <c r="AJ629">
        <v>33.186284999999998</v>
      </c>
      <c r="AK629" t="s">
        <v>360</v>
      </c>
      <c r="AL629">
        <v>-97.749630999999994</v>
      </c>
      <c r="AM629">
        <v>25</v>
      </c>
      <c r="AN629">
        <v>3200</v>
      </c>
      <c r="AO629" t="s">
        <v>118</v>
      </c>
      <c r="AP629">
        <v>90</v>
      </c>
      <c r="AQ629">
        <v>-51</v>
      </c>
      <c r="AR629">
        <v>512</v>
      </c>
      <c r="AZ629">
        <v>1200</v>
      </c>
      <c r="BA629">
        <v>1</v>
      </c>
      <c r="BB629" t="str">
        <f t="shared" si="181"/>
        <v xml:space="preserve">N733KP  </v>
      </c>
      <c r="BC629">
        <v>1</v>
      </c>
      <c r="BE629">
        <v>0</v>
      </c>
      <c r="BF629">
        <v>0</v>
      </c>
      <c r="BG629">
        <v>0</v>
      </c>
      <c r="BH629">
        <v>3175</v>
      </c>
      <c r="BI629">
        <v>1</v>
      </c>
      <c r="BJ629">
        <v>1</v>
      </c>
      <c r="BK629">
        <v>0</v>
      </c>
      <c r="BL629">
        <v>0</v>
      </c>
      <c r="BO629">
        <v>0</v>
      </c>
      <c r="BP629">
        <v>0</v>
      </c>
      <c r="BW629" t="str">
        <f>"22:12:05.712"</f>
        <v>22:12:05.712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364</v>
      </c>
      <c r="CR629">
        <v>0</v>
      </c>
      <c r="CW629">
        <v>1388450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"03/24/2022 22:12:06.464"</f>
        <v>03/24/2022 22:12:06.464</v>
      </c>
      <c r="C630" t="str">
        <f t="shared" si="179"/>
        <v>FFDFD3C0</v>
      </c>
      <c r="D630" t="s">
        <v>126</v>
      </c>
      <c r="E630">
        <v>3</v>
      </c>
      <c r="H630">
        <v>160</v>
      </c>
      <c r="I630" t="s">
        <v>121</v>
      </c>
      <c r="J630" t="s">
        <v>127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 t="shared" ref="S630:T633" si="189">"22:12:06.000"</f>
        <v>22:12:06.000</v>
      </c>
      <c r="T630" t="str">
        <f t="shared" si="189"/>
        <v>22:12:06.000</v>
      </c>
      <c r="U630" t="str">
        <f t="shared" si="174"/>
        <v>A9D71F</v>
      </c>
      <c r="V630">
        <v>0</v>
      </c>
      <c r="W630">
        <v>0</v>
      </c>
      <c r="X630">
        <v>2</v>
      </c>
      <c r="Z630">
        <v>1</v>
      </c>
      <c r="AA630">
        <v>7</v>
      </c>
      <c r="AB630">
        <v>3</v>
      </c>
      <c r="AC630">
        <v>0</v>
      </c>
      <c r="AD630">
        <v>9</v>
      </c>
      <c r="AE630">
        <v>0</v>
      </c>
      <c r="AF630">
        <v>3</v>
      </c>
      <c r="AG630">
        <v>1</v>
      </c>
      <c r="AH630">
        <v>0</v>
      </c>
      <c r="AI630" t="s">
        <v>361</v>
      </c>
      <c r="AJ630">
        <v>33.186048999999997</v>
      </c>
      <c r="AK630" t="s">
        <v>362</v>
      </c>
      <c r="AL630">
        <v>-97.749180999999993</v>
      </c>
      <c r="AM630">
        <v>25</v>
      </c>
      <c r="AN630">
        <v>3200</v>
      </c>
      <c r="AO630" t="s">
        <v>118</v>
      </c>
      <c r="AP630">
        <v>76</v>
      </c>
      <c r="AQ630">
        <v>-46</v>
      </c>
      <c r="AR630">
        <v>384</v>
      </c>
      <c r="AZ630">
        <v>1200</v>
      </c>
      <c r="BA630">
        <v>1</v>
      </c>
      <c r="BB630" t="str">
        <f t="shared" si="181"/>
        <v xml:space="preserve">N733KP  </v>
      </c>
      <c r="BC630">
        <v>1</v>
      </c>
      <c r="BE630">
        <v>0</v>
      </c>
      <c r="BF630">
        <v>0</v>
      </c>
      <c r="BG630">
        <v>0</v>
      </c>
      <c r="BH630">
        <v>3225</v>
      </c>
      <c r="BI630">
        <v>1</v>
      </c>
      <c r="BJ630">
        <v>1</v>
      </c>
      <c r="BK630">
        <v>0</v>
      </c>
      <c r="BL630">
        <v>0</v>
      </c>
      <c r="BO630">
        <v>0</v>
      </c>
      <c r="BP630">
        <v>0</v>
      </c>
      <c r="BW630" t="str">
        <f>"22:12:06.309"</f>
        <v>22:12:06.309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364</v>
      </c>
      <c r="CR630">
        <v>0</v>
      </c>
      <c r="CW630">
        <v>1388530</v>
      </c>
      <c r="CY630">
        <v>1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"03/24/2022 22:12:06.464"</f>
        <v>03/24/2022 22:12:06.464</v>
      </c>
      <c r="C631" t="str">
        <f t="shared" si="179"/>
        <v>FFDFD3C0</v>
      </c>
      <c r="D631" t="s">
        <v>120</v>
      </c>
      <c r="E631">
        <v>14</v>
      </c>
      <c r="F631">
        <v>1014</v>
      </c>
      <c r="G631" t="s">
        <v>121</v>
      </c>
      <c r="J631" t="s">
        <v>122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 t="shared" si="189"/>
        <v>22:12:06.000</v>
      </c>
      <c r="T631" t="str">
        <f t="shared" si="189"/>
        <v>22:12:06.000</v>
      </c>
      <c r="U631" t="str">
        <f t="shared" si="174"/>
        <v>A9D71F</v>
      </c>
      <c r="V631">
        <v>0</v>
      </c>
      <c r="W631">
        <v>0</v>
      </c>
      <c r="X631">
        <v>2</v>
      </c>
      <c r="Z631">
        <v>1</v>
      </c>
      <c r="AA631">
        <v>7</v>
      </c>
      <c r="AB631">
        <v>3</v>
      </c>
      <c r="AC631">
        <v>0</v>
      </c>
      <c r="AD631">
        <v>9</v>
      </c>
      <c r="AE631">
        <v>0</v>
      </c>
      <c r="AF631">
        <v>3</v>
      </c>
      <c r="AG631">
        <v>1</v>
      </c>
      <c r="AH631">
        <v>0</v>
      </c>
      <c r="AI631" t="s">
        <v>361</v>
      </c>
      <c r="AJ631">
        <v>33.186048999999997</v>
      </c>
      <c r="AK631" t="s">
        <v>362</v>
      </c>
      <c r="AL631">
        <v>-97.749180999999993</v>
      </c>
      <c r="AM631">
        <v>25</v>
      </c>
      <c r="AN631">
        <v>3200</v>
      </c>
      <c r="AO631" t="s">
        <v>118</v>
      </c>
      <c r="AP631">
        <v>76</v>
      </c>
      <c r="AQ631">
        <v>-46</v>
      </c>
      <c r="AR631">
        <v>384</v>
      </c>
      <c r="AZ631">
        <v>1200</v>
      </c>
      <c r="BA631">
        <v>1</v>
      </c>
      <c r="BB631" t="str">
        <f t="shared" si="181"/>
        <v xml:space="preserve">N733KP  </v>
      </c>
      <c r="BC631">
        <v>1</v>
      </c>
      <c r="BE631">
        <v>0</v>
      </c>
      <c r="BF631">
        <v>0</v>
      </c>
      <c r="BG631">
        <v>0</v>
      </c>
      <c r="BH631">
        <v>3225</v>
      </c>
      <c r="BI631">
        <v>1</v>
      </c>
      <c r="BJ631">
        <v>1</v>
      </c>
      <c r="BK631">
        <v>0</v>
      </c>
      <c r="BL631">
        <v>0</v>
      </c>
      <c r="BO631">
        <v>0</v>
      </c>
      <c r="BP631">
        <v>0</v>
      </c>
      <c r="BW631" t="str">
        <f>"22:12:06.309"</f>
        <v>22:12:06.309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364</v>
      </c>
      <c r="CR631">
        <v>0</v>
      </c>
      <c r="CW631">
        <v>1388530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"03/24/2022 22:12:06.495"</f>
        <v>03/24/2022 22:12:06.495</v>
      </c>
      <c r="C632" t="str">
        <f t="shared" si="179"/>
        <v>FFDFD3C0</v>
      </c>
      <c r="D632" t="s">
        <v>123</v>
      </c>
      <c r="E632">
        <v>8</v>
      </c>
      <c r="H632">
        <v>31</v>
      </c>
      <c r="I632" t="s">
        <v>124</v>
      </c>
      <c r="J632" t="s">
        <v>125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 t="shared" si="189"/>
        <v>22:12:06.000</v>
      </c>
      <c r="T632" t="str">
        <f t="shared" si="189"/>
        <v>22:12:06.000</v>
      </c>
      <c r="U632" t="str">
        <f t="shared" si="174"/>
        <v>A9D71F</v>
      </c>
      <c r="V632">
        <v>0</v>
      </c>
      <c r="W632">
        <v>0</v>
      </c>
      <c r="X632">
        <v>2</v>
      </c>
      <c r="Z632">
        <v>1</v>
      </c>
      <c r="AA632">
        <v>7</v>
      </c>
      <c r="AB632">
        <v>3</v>
      </c>
      <c r="AC632">
        <v>0</v>
      </c>
      <c r="AD632">
        <v>9</v>
      </c>
      <c r="AE632">
        <v>0</v>
      </c>
      <c r="AF632">
        <v>3</v>
      </c>
      <c r="AG632">
        <v>1</v>
      </c>
      <c r="AH632">
        <v>0</v>
      </c>
      <c r="AI632" t="s">
        <v>361</v>
      </c>
      <c r="AJ632">
        <v>33.186048999999997</v>
      </c>
      <c r="AK632" t="s">
        <v>362</v>
      </c>
      <c r="AL632">
        <v>-97.749180999999993</v>
      </c>
      <c r="AM632">
        <v>25</v>
      </c>
      <c r="AN632">
        <v>3200</v>
      </c>
      <c r="AO632" t="s">
        <v>118</v>
      </c>
      <c r="AP632">
        <v>76</v>
      </c>
      <c r="AQ632">
        <v>-46</v>
      </c>
      <c r="AR632">
        <v>384</v>
      </c>
      <c r="AZ632">
        <v>1200</v>
      </c>
      <c r="BA632">
        <v>1</v>
      </c>
      <c r="BB632" t="str">
        <f t="shared" si="181"/>
        <v xml:space="preserve">N733KP  </v>
      </c>
      <c r="BC632">
        <v>1</v>
      </c>
      <c r="BE632">
        <v>0</v>
      </c>
      <c r="BF632">
        <v>0</v>
      </c>
      <c r="BG632">
        <v>0</v>
      </c>
      <c r="BH632">
        <v>3225</v>
      </c>
      <c r="BI632">
        <v>1</v>
      </c>
      <c r="BJ632">
        <v>1</v>
      </c>
      <c r="BK632">
        <v>0</v>
      </c>
      <c r="BL632">
        <v>0</v>
      </c>
      <c r="BO632">
        <v>0</v>
      </c>
      <c r="BP632">
        <v>0</v>
      </c>
      <c r="BW632" t="str">
        <f>"22:12:06.309"</f>
        <v>22:12:06.309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364</v>
      </c>
      <c r="CR632">
        <v>0</v>
      </c>
      <c r="CW632">
        <v>1388530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"03/24/2022 22:12:06.526"</f>
        <v>03/24/2022 22:12:06.526</v>
      </c>
      <c r="C633" t="str">
        <f t="shared" si="179"/>
        <v>FFDFD3C0</v>
      </c>
      <c r="D633" t="s">
        <v>113</v>
      </c>
      <c r="E633">
        <v>24</v>
      </c>
      <c r="F633">
        <v>2024</v>
      </c>
      <c r="G633" t="s">
        <v>114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 t="shared" si="189"/>
        <v>22:12:06.000</v>
      </c>
      <c r="T633" t="str">
        <f t="shared" si="189"/>
        <v>22:12:06.000</v>
      </c>
      <c r="U633" t="str">
        <f t="shared" si="174"/>
        <v>A9D71F</v>
      </c>
      <c r="V633">
        <v>0</v>
      </c>
      <c r="W633">
        <v>0</v>
      </c>
      <c r="X633">
        <v>2</v>
      </c>
      <c r="Z633">
        <v>1</v>
      </c>
      <c r="AA633">
        <v>7</v>
      </c>
      <c r="AB633">
        <v>3</v>
      </c>
      <c r="AC633">
        <v>0</v>
      </c>
      <c r="AD633">
        <v>9</v>
      </c>
      <c r="AE633">
        <v>0</v>
      </c>
      <c r="AF633">
        <v>3</v>
      </c>
      <c r="AG633">
        <v>1</v>
      </c>
      <c r="AH633">
        <v>0</v>
      </c>
      <c r="AI633" t="s">
        <v>361</v>
      </c>
      <c r="AJ633">
        <v>33.186048999999997</v>
      </c>
      <c r="AK633" t="s">
        <v>362</v>
      </c>
      <c r="AL633">
        <v>-97.749180999999993</v>
      </c>
      <c r="AM633">
        <v>25</v>
      </c>
      <c r="AN633">
        <v>3200</v>
      </c>
      <c r="AO633" t="s">
        <v>118</v>
      </c>
      <c r="AP633">
        <v>76</v>
      </c>
      <c r="AQ633">
        <v>-46</v>
      </c>
      <c r="AR633">
        <v>384</v>
      </c>
      <c r="AZ633">
        <v>1200</v>
      </c>
      <c r="BA633">
        <v>1</v>
      </c>
      <c r="BB633" t="str">
        <f t="shared" si="181"/>
        <v xml:space="preserve">N733KP  </v>
      </c>
      <c r="BC633">
        <v>1</v>
      </c>
      <c r="BE633">
        <v>0</v>
      </c>
      <c r="BF633">
        <v>0</v>
      </c>
      <c r="BG633">
        <v>0</v>
      </c>
      <c r="BH633">
        <v>3225</v>
      </c>
      <c r="BI633">
        <v>1</v>
      </c>
      <c r="BJ633">
        <v>1</v>
      </c>
      <c r="BK633">
        <v>0</v>
      </c>
      <c r="BL633">
        <v>0</v>
      </c>
      <c r="BO633">
        <v>0</v>
      </c>
      <c r="BP633">
        <v>0</v>
      </c>
      <c r="BW633" t="str">
        <f>"22:12:06.309"</f>
        <v>22:12:06.309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364</v>
      </c>
      <c r="CR633">
        <v>0</v>
      </c>
      <c r="CW633">
        <v>1388530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"03/24/2022 22:12:07.793"</f>
        <v>03/24/2022 22:12:07.793</v>
      </c>
      <c r="C634" t="str">
        <f t="shared" si="179"/>
        <v>FFDFD3C0</v>
      </c>
      <c r="D634" t="s">
        <v>113</v>
      </c>
      <c r="E634">
        <v>24</v>
      </c>
      <c r="F634">
        <v>2024</v>
      </c>
      <c r="G634" t="s">
        <v>114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 t="shared" ref="S634:T637" si="190">"22:12:07.000"</f>
        <v>22:12:07.000</v>
      </c>
      <c r="T634" t="str">
        <f t="shared" si="190"/>
        <v>22:12:07.000</v>
      </c>
      <c r="U634" t="str">
        <f t="shared" si="174"/>
        <v>A9D71F</v>
      </c>
      <c r="V634">
        <v>0</v>
      </c>
      <c r="W634">
        <v>0</v>
      </c>
      <c r="X634">
        <v>2</v>
      </c>
      <c r="Z634">
        <v>1</v>
      </c>
      <c r="AA634">
        <v>7</v>
      </c>
      <c r="AB634">
        <v>3</v>
      </c>
      <c r="AC634">
        <v>0</v>
      </c>
      <c r="AD634">
        <v>9</v>
      </c>
      <c r="AE634">
        <v>0</v>
      </c>
      <c r="AF634">
        <v>3</v>
      </c>
      <c r="AG634">
        <v>1</v>
      </c>
      <c r="AH634">
        <v>0</v>
      </c>
      <c r="AI634" t="s">
        <v>363</v>
      </c>
      <c r="AJ634">
        <v>33.185813000000003</v>
      </c>
      <c r="AK634" t="s">
        <v>364</v>
      </c>
      <c r="AL634">
        <v>-97.748729999999995</v>
      </c>
      <c r="AM634">
        <v>25</v>
      </c>
      <c r="AN634">
        <v>3200</v>
      </c>
      <c r="AO634" t="s">
        <v>118</v>
      </c>
      <c r="AP634">
        <v>75</v>
      </c>
      <c r="AQ634">
        <v>-55</v>
      </c>
      <c r="AR634">
        <v>512</v>
      </c>
      <c r="AZ634">
        <v>1200</v>
      </c>
      <c r="BA634">
        <v>1</v>
      </c>
      <c r="BB634" t="str">
        <f t="shared" si="181"/>
        <v xml:space="preserve">N733KP  </v>
      </c>
      <c r="BC634">
        <v>1</v>
      </c>
      <c r="BE634">
        <v>0</v>
      </c>
      <c r="BF634">
        <v>0</v>
      </c>
      <c r="BG634">
        <v>0</v>
      </c>
      <c r="BH634">
        <v>3225</v>
      </c>
      <c r="BI634">
        <v>1</v>
      </c>
      <c r="BJ634">
        <v>1</v>
      </c>
      <c r="BK634">
        <v>0</v>
      </c>
      <c r="BL634">
        <v>0</v>
      </c>
      <c r="BO634">
        <v>0</v>
      </c>
      <c r="BP634">
        <v>0</v>
      </c>
      <c r="BW634" t="str">
        <f>"22:12:07.566"</f>
        <v>22:12:07.566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364</v>
      </c>
      <c r="CR634">
        <v>0</v>
      </c>
      <c r="CW634">
        <v>1388702</v>
      </c>
      <c r="CY634">
        <v>1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"03/24/2022 22:12:07.793"</f>
        <v>03/24/2022 22:12:07.793</v>
      </c>
      <c r="C635" t="str">
        <f t="shared" si="179"/>
        <v>FFDFD3C0</v>
      </c>
      <c r="D635" t="s">
        <v>126</v>
      </c>
      <c r="E635">
        <v>3</v>
      </c>
      <c r="H635">
        <v>160</v>
      </c>
      <c r="I635" t="s">
        <v>121</v>
      </c>
      <c r="J635" t="s">
        <v>127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 t="shared" si="190"/>
        <v>22:12:07.000</v>
      </c>
      <c r="T635" t="str">
        <f t="shared" si="190"/>
        <v>22:12:07.000</v>
      </c>
      <c r="U635" t="str">
        <f t="shared" si="174"/>
        <v>A9D71F</v>
      </c>
      <c r="V635">
        <v>0</v>
      </c>
      <c r="W635">
        <v>0</v>
      </c>
      <c r="X635">
        <v>2</v>
      </c>
      <c r="Z635">
        <v>1</v>
      </c>
      <c r="AA635">
        <v>7</v>
      </c>
      <c r="AB635">
        <v>3</v>
      </c>
      <c r="AC635">
        <v>0</v>
      </c>
      <c r="AD635">
        <v>9</v>
      </c>
      <c r="AE635">
        <v>0</v>
      </c>
      <c r="AF635">
        <v>3</v>
      </c>
      <c r="AG635">
        <v>1</v>
      </c>
      <c r="AH635">
        <v>0</v>
      </c>
      <c r="AI635" t="s">
        <v>363</v>
      </c>
      <c r="AJ635">
        <v>33.185813000000003</v>
      </c>
      <c r="AK635" t="s">
        <v>364</v>
      </c>
      <c r="AL635">
        <v>-97.748729999999995</v>
      </c>
      <c r="AM635">
        <v>25</v>
      </c>
      <c r="AN635">
        <v>3200</v>
      </c>
      <c r="AO635" t="s">
        <v>118</v>
      </c>
      <c r="AP635">
        <v>75</v>
      </c>
      <c r="AQ635">
        <v>-55</v>
      </c>
      <c r="AR635">
        <v>512</v>
      </c>
      <c r="AZ635">
        <v>1200</v>
      </c>
      <c r="BA635">
        <v>1</v>
      </c>
      <c r="BB635" t="str">
        <f t="shared" si="181"/>
        <v xml:space="preserve">N733KP  </v>
      </c>
      <c r="BC635">
        <v>1</v>
      </c>
      <c r="BE635">
        <v>0</v>
      </c>
      <c r="BF635">
        <v>0</v>
      </c>
      <c r="BG635">
        <v>0</v>
      </c>
      <c r="BH635">
        <v>3225</v>
      </c>
      <c r="BI635">
        <v>1</v>
      </c>
      <c r="BJ635">
        <v>1</v>
      </c>
      <c r="BK635">
        <v>0</v>
      </c>
      <c r="BL635">
        <v>0</v>
      </c>
      <c r="BO635">
        <v>0</v>
      </c>
      <c r="BP635">
        <v>0</v>
      </c>
      <c r="BW635" t="str">
        <f>"22:12:07.566"</f>
        <v>22:12:07.566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364</v>
      </c>
      <c r="CR635">
        <v>0</v>
      </c>
      <c r="CW635">
        <v>1388702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"03/24/2022 22:12:07.793"</f>
        <v>03/24/2022 22:12:07.793</v>
      </c>
      <c r="C636" t="str">
        <f t="shared" si="179"/>
        <v>FFDFD3C0</v>
      </c>
      <c r="D636" t="s">
        <v>120</v>
      </c>
      <c r="E636">
        <v>14</v>
      </c>
      <c r="F636">
        <v>1014</v>
      </c>
      <c r="G636" t="s">
        <v>121</v>
      </c>
      <c r="J636" t="s">
        <v>122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 t="shared" si="190"/>
        <v>22:12:07.000</v>
      </c>
      <c r="T636" t="str">
        <f t="shared" si="190"/>
        <v>22:12:07.000</v>
      </c>
      <c r="U636" t="str">
        <f t="shared" si="174"/>
        <v>A9D71F</v>
      </c>
      <c r="V636">
        <v>0</v>
      </c>
      <c r="W636">
        <v>0</v>
      </c>
      <c r="X636">
        <v>2</v>
      </c>
      <c r="Z636">
        <v>1</v>
      </c>
      <c r="AA636">
        <v>7</v>
      </c>
      <c r="AB636">
        <v>3</v>
      </c>
      <c r="AC636">
        <v>0</v>
      </c>
      <c r="AD636">
        <v>9</v>
      </c>
      <c r="AE636">
        <v>0</v>
      </c>
      <c r="AF636">
        <v>3</v>
      </c>
      <c r="AG636">
        <v>1</v>
      </c>
      <c r="AH636">
        <v>0</v>
      </c>
      <c r="AI636" t="s">
        <v>363</v>
      </c>
      <c r="AJ636">
        <v>33.185813000000003</v>
      </c>
      <c r="AK636" t="s">
        <v>364</v>
      </c>
      <c r="AL636">
        <v>-97.748729999999995</v>
      </c>
      <c r="AM636">
        <v>25</v>
      </c>
      <c r="AN636">
        <v>3200</v>
      </c>
      <c r="AO636" t="s">
        <v>118</v>
      </c>
      <c r="AP636">
        <v>75</v>
      </c>
      <c r="AQ636">
        <v>-55</v>
      </c>
      <c r="AR636">
        <v>512</v>
      </c>
      <c r="AZ636">
        <v>1200</v>
      </c>
      <c r="BA636">
        <v>1</v>
      </c>
      <c r="BB636" t="str">
        <f t="shared" si="181"/>
        <v xml:space="preserve">N733KP  </v>
      </c>
      <c r="BC636">
        <v>1</v>
      </c>
      <c r="BE636">
        <v>0</v>
      </c>
      <c r="BF636">
        <v>0</v>
      </c>
      <c r="BG636">
        <v>0</v>
      </c>
      <c r="BH636">
        <v>3225</v>
      </c>
      <c r="BI636">
        <v>1</v>
      </c>
      <c r="BJ636">
        <v>1</v>
      </c>
      <c r="BK636">
        <v>0</v>
      </c>
      <c r="BL636">
        <v>0</v>
      </c>
      <c r="BO636">
        <v>0</v>
      </c>
      <c r="BP636">
        <v>0</v>
      </c>
      <c r="BW636" t="str">
        <f>"22:12:07.566"</f>
        <v>22:12:07.566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364</v>
      </c>
      <c r="CR636">
        <v>0</v>
      </c>
      <c r="CW636">
        <v>1388702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"03/24/2022 22:12:07.793"</f>
        <v>03/24/2022 22:12:07.793</v>
      </c>
      <c r="C637" t="str">
        <f t="shared" si="179"/>
        <v>FFDFD3C0</v>
      </c>
      <c r="D637" t="s">
        <v>123</v>
      </c>
      <c r="E637">
        <v>8</v>
      </c>
      <c r="H637">
        <v>31</v>
      </c>
      <c r="I637" t="s">
        <v>124</v>
      </c>
      <c r="J637" t="s">
        <v>125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 t="shared" si="190"/>
        <v>22:12:07.000</v>
      </c>
      <c r="T637" t="str">
        <f t="shared" si="190"/>
        <v>22:12:07.000</v>
      </c>
      <c r="U637" t="str">
        <f t="shared" si="174"/>
        <v>A9D71F</v>
      </c>
      <c r="V637">
        <v>0</v>
      </c>
      <c r="W637">
        <v>0</v>
      </c>
      <c r="X637">
        <v>2</v>
      </c>
      <c r="Z637">
        <v>1</v>
      </c>
      <c r="AA637">
        <v>7</v>
      </c>
      <c r="AB637">
        <v>3</v>
      </c>
      <c r="AC637">
        <v>0</v>
      </c>
      <c r="AD637">
        <v>9</v>
      </c>
      <c r="AE637">
        <v>0</v>
      </c>
      <c r="AF637">
        <v>3</v>
      </c>
      <c r="AG637">
        <v>1</v>
      </c>
      <c r="AH637">
        <v>0</v>
      </c>
      <c r="AI637" t="s">
        <v>363</v>
      </c>
      <c r="AJ637">
        <v>33.185813000000003</v>
      </c>
      <c r="AK637" t="s">
        <v>364</v>
      </c>
      <c r="AL637">
        <v>-97.748729999999995</v>
      </c>
      <c r="AM637">
        <v>25</v>
      </c>
      <c r="AN637">
        <v>3200</v>
      </c>
      <c r="AO637" t="s">
        <v>118</v>
      </c>
      <c r="AP637">
        <v>75</v>
      </c>
      <c r="AQ637">
        <v>-55</v>
      </c>
      <c r="AR637">
        <v>512</v>
      </c>
      <c r="AZ637">
        <v>1200</v>
      </c>
      <c r="BA637">
        <v>1</v>
      </c>
      <c r="BB637" t="str">
        <f t="shared" si="181"/>
        <v xml:space="preserve">N733KP  </v>
      </c>
      <c r="BC637">
        <v>1</v>
      </c>
      <c r="BE637">
        <v>0</v>
      </c>
      <c r="BF637">
        <v>0</v>
      </c>
      <c r="BG637">
        <v>0</v>
      </c>
      <c r="BH637">
        <v>3225</v>
      </c>
      <c r="BI637">
        <v>1</v>
      </c>
      <c r="BJ637">
        <v>1</v>
      </c>
      <c r="BK637">
        <v>0</v>
      </c>
      <c r="BL637">
        <v>0</v>
      </c>
      <c r="BO637">
        <v>0</v>
      </c>
      <c r="BP637">
        <v>0</v>
      </c>
      <c r="BW637" t="str">
        <f>"22:12:07.566"</f>
        <v>22:12:07.566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364</v>
      </c>
      <c r="CR637">
        <v>0</v>
      </c>
      <c r="CW637">
        <v>1388702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"03/24/2022 22:12:08.561"</f>
        <v>03/24/2022 22:12:08.561</v>
      </c>
      <c r="C638" t="str">
        <f t="shared" si="179"/>
        <v>FFDFD3C0</v>
      </c>
      <c r="D638" t="s">
        <v>113</v>
      </c>
      <c r="E638">
        <v>24</v>
      </c>
      <c r="F638">
        <v>2024</v>
      </c>
      <c r="G638" t="s">
        <v>114</v>
      </c>
      <c r="J638" t="s">
        <v>115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 t="shared" ref="S638:T641" si="191">"22:12:08.000"</f>
        <v>22:12:08.000</v>
      </c>
      <c r="T638" t="str">
        <f t="shared" si="191"/>
        <v>22:12:08.000</v>
      </c>
      <c r="U638" t="str">
        <f t="shared" si="174"/>
        <v>A9D71F</v>
      </c>
      <c r="V638">
        <v>0</v>
      </c>
      <c r="W638">
        <v>0</v>
      </c>
      <c r="X638">
        <v>2</v>
      </c>
      <c r="Z638">
        <v>1</v>
      </c>
      <c r="AA638">
        <v>8</v>
      </c>
      <c r="AB638">
        <v>3</v>
      </c>
      <c r="AC638">
        <v>0</v>
      </c>
      <c r="AD638">
        <v>9</v>
      </c>
      <c r="AE638">
        <v>0</v>
      </c>
      <c r="AF638">
        <v>3</v>
      </c>
      <c r="AG638">
        <v>1</v>
      </c>
      <c r="AH638">
        <v>0</v>
      </c>
      <c r="AI638" t="s">
        <v>365</v>
      </c>
      <c r="AJ638">
        <v>33.185555999999998</v>
      </c>
      <c r="AK638" t="s">
        <v>366</v>
      </c>
      <c r="AL638">
        <v>-97.748279999999994</v>
      </c>
      <c r="AM638">
        <v>25</v>
      </c>
      <c r="AN638">
        <v>3200</v>
      </c>
      <c r="AO638" t="s">
        <v>118</v>
      </c>
      <c r="AP638">
        <v>76</v>
      </c>
      <c r="AQ638">
        <v>-59</v>
      </c>
      <c r="AR638">
        <v>256</v>
      </c>
      <c r="AZ638">
        <v>1200</v>
      </c>
      <c r="BA638">
        <v>1</v>
      </c>
      <c r="BB638" t="str">
        <f t="shared" si="181"/>
        <v xml:space="preserve">N733KP  </v>
      </c>
      <c r="BC638">
        <v>1</v>
      </c>
      <c r="BE638">
        <v>0</v>
      </c>
      <c r="BF638">
        <v>0</v>
      </c>
      <c r="BG638">
        <v>0</v>
      </c>
      <c r="BH638">
        <v>3225</v>
      </c>
      <c r="BI638">
        <v>1</v>
      </c>
      <c r="BJ638">
        <v>1</v>
      </c>
      <c r="BK638">
        <v>0</v>
      </c>
      <c r="BL638">
        <v>0</v>
      </c>
      <c r="BO638">
        <v>0</v>
      </c>
      <c r="BP638">
        <v>0</v>
      </c>
      <c r="BW638" t="str">
        <f>"22:12:08.358"</f>
        <v>22:12:08.358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364</v>
      </c>
      <c r="CR638">
        <v>0</v>
      </c>
      <c r="CW638">
        <v>1388827</v>
      </c>
      <c r="CY638">
        <v>1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"03/24/2022 22:12:08.561"</f>
        <v>03/24/2022 22:12:08.561</v>
      </c>
      <c r="C639" t="str">
        <f t="shared" si="179"/>
        <v>FFDFD3C0</v>
      </c>
      <c r="D639" t="s">
        <v>126</v>
      </c>
      <c r="E639">
        <v>3</v>
      </c>
      <c r="H639">
        <v>160</v>
      </c>
      <c r="I639" t="s">
        <v>121</v>
      </c>
      <c r="J639" t="s">
        <v>127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 t="shared" si="191"/>
        <v>22:12:08.000</v>
      </c>
      <c r="T639" t="str">
        <f t="shared" si="191"/>
        <v>22:12:08.000</v>
      </c>
      <c r="U639" t="str">
        <f t="shared" si="174"/>
        <v>A9D71F</v>
      </c>
      <c r="V639">
        <v>0</v>
      </c>
      <c r="W639">
        <v>0</v>
      </c>
      <c r="X639">
        <v>2</v>
      </c>
      <c r="Z639">
        <v>1</v>
      </c>
      <c r="AA639">
        <v>8</v>
      </c>
      <c r="AB639">
        <v>3</v>
      </c>
      <c r="AC639">
        <v>0</v>
      </c>
      <c r="AD639">
        <v>9</v>
      </c>
      <c r="AE639">
        <v>0</v>
      </c>
      <c r="AF639">
        <v>3</v>
      </c>
      <c r="AG639">
        <v>1</v>
      </c>
      <c r="AH639">
        <v>0</v>
      </c>
      <c r="AI639" t="s">
        <v>365</v>
      </c>
      <c r="AJ639">
        <v>33.185555999999998</v>
      </c>
      <c r="AK639" t="s">
        <v>366</v>
      </c>
      <c r="AL639">
        <v>-97.748279999999994</v>
      </c>
      <c r="AM639">
        <v>25</v>
      </c>
      <c r="AN639">
        <v>3200</v>
      </c>
      <c r="AO639" t="s">
        <v>118</v>
      </c>
      <c r="AP639">
        <v>76</v>
      </c>
      <c r="AQ639">
        <v>-59</v>
      </c>
      <c r="AR639">
        <v>256</v>
      </c>
      <c r="AZ639">
        <v>1200</v>
      </c>
      <c r="BA639">
        <v>1</v>
      </c>
      <c r="BB639" t="str">
        <f t="shared" si="181"/>
        <v xml:space="preserve">N733KP  </v>
      </c>
      <c r="BC639">
        <v>1</v>
      </c>
      <c r="BE639">
        <v>0</v>
      </c>
      <c r="BF639">
        <v>0</v>
      </c>
      <c r="BG639">
        <v>0</v>
      </c>
      <c r="BH639">
        <v>3225</v>
      </c>
      <c r="BI639">
        <v>1</v>
      </c>
      <c r="BJ639">
        <v>1</v>
      </c>
      <c r="BK639">
        <v>0</v>
      </c>
      <c r="BL639">
        <v>0</v>
      </c>
      <c r="BO639">
        <v>0</v>
      </c>
      <c r="BP639">
        <v>0</v>
      </c>
      <c r="BW639" t="str">
        <f>"22:12:08.358"</f>
        <v>22:12:08.358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364</v>
      </c>
      <c r="CR639">
        <v>0</v>
      </c>
      <c r="CW639">
        <v>1388827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"03/24/2022 22:12:08.561"</f>
        <v>03/24/2022 22:12:08.561</v>
      </c>
      <c r="C640" t="str">
        <f t="shared" si="179"/>
        <v>FFDFD3C0</v>
      </c>
      <c r="D640" t="s">
        <v>120</v>
      </c>
      <c r="E640">
        <v>14</v>
      </c>
      <c r="F640">
        <v>1014</v>
      </c>
      <c r="G640" t="s">
        <v>121</v>
      </c>
      <c r="J640" t="s">
        <v>122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 t="shared" si="191"/>
        <v>22:12:08.000</v>
      </c>
      <c r="T640" t="str">
        <f t="shared" si="191"/>
        <v>22:12:08.000</v>
      </c>
      <c r="U640" t="str">
        <f t="shared" si="174"/>
        <v>A9D71F</v>
      </c>
      <c r="V640">
        <v>0</v>
      </c>
      <c r="W640">
        <v>0</v>
      </c>
      <c r="X640">
        <v>2</v>
      </c>
      <c r="Z640">
        <v>1</v>
      </c>
      <c r="AA640">
        <v>8</v>
      </c>
      <c r="AB640">
        <v>3</v>
      </c>
      <c r="AC640">
        <v>0</v>
      </c>
      <c r="AD640">
        <v>9</v>
      </c>
      <c r="AE640">
        <v>0</v>
      </c>
      <c r="AF640">
        <v>3</v>
      </c>
      <c r="AG640">
        <v>1</v>
      </c>
      <c r="AH640">
        <v>0</v>
      </c>
      <c r="AI640" t="s">
        <v>365</v>
      </c>
      <c r="AJ640">
        <v>33.185555999999998</v>
      </c>
      <c r="AK640" t="s">
        <v>366</v>
      </c>
      <c r="AL640">
        <v>-97.748279999999994</v>
      </c>
      <c r="AM640">
        <v>25</v>
      </c>
      <c r="AN640">
        <v>3200</v>
      </c>
      <c r="AO640" t="s">
        <v>118</v>
      </c>
      <c r="AP640">
        <v>76</v>
      </c>
      <c r="AQ640">
        <v>-59</v>
      </c>
      <c r="AR640">
        <v>256</v>
      </c>
      <c r="AZ640">
        <v>1200</v>
      </c>
      <c r="BA640">
        <v>1</v>
      </c>
      <c r="BB640" t="str">
        <f t="shared" si="181"/>
        <v xml:space="preserve">N733KP  </v>
      </c>
      <c r="BC640">
        <v>1</v>
      </c>
      <c r="BE640">
        <v>0</v>
      </c>
      <c r="BF640">
        <v>0</v>
      </c>
      <c r="BG640">
        <v>0</v>
      </c>
      <c r="BH640">
        <v>3225</v>
      </c>
      <c r="BI640">
        <v>1</v>
      </c>
      <c r="BJ640">
        <v>1</v>
      </c>
      <c r="BK640">
        <v>0</v>
      </c>
      <c r="BL640">
        <v>0</v>
      </c>
      <c r="BO640">
        <v>0</v>
      </c>
      <c r="BP640">
        <v>0</v>
      </c>
      <c r="BW640" t="str">
        <f>"22:12:08.358"</f>
        <v>22:12:08.358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364</v>
      </c>
      <c r="CR640">
        <v>0</v>
      </c>
      <c r="CW640">
        <v>1388827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"03/24/2022 22:12:08.561"</f>
        <v>03/24/2022 22:12:08.561</v>
      </c>
      <c r="C641" t="str">
        <f t="shared" si="179"/>
        <v>FFDFD3C0</v>
      </c>
      <c r="D641" t="s">
        <v>123</v>
      </c>
      <c r="E641">
        <v>8</v>
      </c>
      <c r="H641">
        <v>31</v>
      </c>
      <c r="I641" t="s">
        <v>124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 t="shared" si="191"/>
        <v>22:12:08.000</v>
      </c>
      <c r="T641" t="str">
        <f t="shared" si="191"/>
        <v>22:12:08.000</v>
      </c>
      <c r="U641" t="str">
        <f t="shared" si="174"/>
        <v>A9D71F</v>
      </c>
      <c r="V641">
        <v>0</v>
      </c>
      <c r="W641">
        <v>0</v>
      </c>
      <c r="X641">
        <v>2</v>
      </c>
      <c r="Z641">
        <v>1</v>
      </c>
      <c r="AA641">
        <v>8</v>
      </c>
      <c r="AB641">
        <v>3</v>
      </c>
      <c r="AC641">
        <v>0</v>
      </c>
      <c r="AD641">
        <v>9</v>
      </c>
      <c r="AE641">
        <v>0</v>
      </c>
      <c r="AF641">
        <v>3</v>
      </c>
      <c r="AG641">
        <v>1</v>
      </c>
      <c r="AH641">
        <v>0</v>
      </c>
      <c r="AI641" t="s">
        <v>365</v>
      </c>
      <c r="AJ641">
        <v>33.185555999999998</v>
      </c>
      <c r="AK641" t="s">
        <v>366</v>
      </c>
      <c r="AL641">
        <v>-97.748279999999994</v>
      </c>
      <c r="AM641">
        <v>25</v>
      </c>
      <c r="AN641">
        <v>3200</v>
      </c>
      <c r="AO641" t="s">
        <v>118</v>
      </c>
      <c r="AP641">
        <v>76</v>
      </c>
      <c r="AQ641">
        <v>-59</v>
      </c>
      <c r="AR641">
        <v>256</v>
      </c>
      <c r="AZ641">
        <v>1200</v>
      </c>
      <c r="BA641">
        <v>1</v>
      </c>
      <c r="BB641" t="str">
        <f t="shared" si="181"/>
        <v xml:space="preserve">N733KP  </v>
      </c>
      <c r="BC641">
        <v>1</v>
      </c>
      <c r="BE641">
        <v>0</v>
      </c>
      <c r="BF641">
        <v>0</v>
      </c>
      <c r="BG641">
        <v>0</v>
      </c>
      <c r="BH641">
        <v>3225</v>
      </c>
      <c r="BI641">
        <v>1</v>
      </c>
      <c r="BJ641">
        <v>1</v>
      </c>
      <c r="BK641">
        <v>0</v>
      </c>
      <c r="BL641">
        <v>0</v>
      </c>
      <c r="BO641">
        <v>0</v>
      </c>
      <c r="BP641">
        <v>0</v>
      </c>
      <c r="BW641" t="str">
        <f>"22:12:08.358"</f>
        <v>22:12:08.358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364</v>
      </c>
      <c r="CR641">
        <v>0</v>
      </c>
      <c r="CW641">
        <v>1388827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"03/24/2022 22:12:09.436"</f>
        <v>03/24/2022 22:12:09.436</v>
      </c>
      <c r="C642" t="str">
        <f t="shared" si="179"/>
        <v>FFDFD3C0</v>
      </c>
      <c r="D642" t="s">
        <v>113</v>
      </c>
      <c r="E642">
        <v>24</v>
      </c>
      <c r="F642">
        <v>2024</v>
      </c>
      <c r="G642" t="s">
        <v>114</v>
      </c>
      <c r="J642" t="s">
        <v>115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 t="shared" ref="S642:T645" si="192">"22:12:09.000"</f>
        <v>22:12:09.000</v>
      </c>
      <c r="T642" t="str">
        <f t="shared" si="192"/>
        <v>22:12:09.000</v>
      </c>
      <c r="U642" t="str">
        <f t="shared" ref="U642:U705" si="193">"A9D71F"</f>
        <v>A9D71F</v>
      </c>
      <c r="V642">
        <v>0</v>
      </c>
      <c r="W642">
        <v>0</v>
      </c>
      <c r="X642">
        <v>2</v>
      </c>
      <c r="Z642">
        <v>1</v>
      </c>
      <c r="AA642">
        <v>8</v>
      </c>
      <c r="AB642">
        <v>3</v>
      </c>
      <c r="AC642">
        <v>0</v>
      </c>
      <c r="AD642">
        <v>9</v>
      </c>
      <c r="AE642">
        <v>0</v>
      </c>
      <c r="AF642">
        <v>3</v>
      </c>
      <c r="AG642">
        <v>1</v>
      </c>
      <c r="AH642">
        <v>0</v>
      </c>
      <c r="AI642" t="s">
        <v>367</v>
      </c>
      <c r="AJ642">
        <v>33.185298000000003</v>
      </c>
      <c r="AK642" t="s">
        <v>368</v>
      </c>
      <c r="AL642">
        <v>-97.747893000000005</v>
      </c>
      <c r="AM642">
        <v>25</v>
      </c>
      <c r="AN642">
        <v>3300</v>
      </c>
      <c r="AO642" t="s">
        <v>118</v>
      </c>
      <c r="AP642">
        <v>78</v>
      </c>
      <c r="AQ642">
        <v>-60</v>
      </c>
      <c r="AR642">
        <v>0</v>
      </c>
      <c r="AZ642">
        <v>1200</v>
      </c>
      <c r="BA642">
        <v>1</v>
      </c>
      <c r="BB642" t="str">
        <f t="shared" si="181"/>
        <v xml:space="preserve">N733KP  </v>
      </c>
      <c r="BC642">
        <v>1</v>
      </c>
      <c r="BE642">
        <v>0</v>
      </c>
      <c r="BF642">
        <v>0</v>
      </c>
      <c r="BG642">
        <v>0</v>
      </c>
      <c r="BH642">
        <v>3250</v>
      </c>
      <c r="BI642">
        <v>1</v>
      </c>
      <c r="BJ642">
        <v>1</v>
      </c>
      <c r="BK642">
        <v>0</v>
      </c>
      <c r="BL642">
        <v>0</v>
      </c>
      <c r="BO642">
        <v>0</v>
      </c>
      <c r="BP642">
        <v>0</v>
      </c>
      <c r="BW642" t="str">
        <f>"22:12:09.224"</f>
        <v>22:12:09.224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364</v>
      </c>
      <c r="CR642">
        <v>0</v>
      </c>
      <c r="CW642">
        <v>1388943</v>
      </c>
      <c r="CY642">
        <v>1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"03/24/2022 22:12:09.436"</f>
        <v>03/24/2022 22:12:09.436</v>
      </c>
      <c r="C643" t="str">
        <f t="shared" si="179"/>
        <v>FFDFD3C0</v>
      </c>
      <c r="D643" t="s">
        <v>126</v>
      </c>
      <c r="E643">
        <v>3</v>
      </c>
      <c r="H643">
        <v>160</v>
      </c>
      <c r="I643" t="s">
        <v>121</v>
      </c>
      <c r="J643" t="s">
        <v>127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 t="shared" si="192"/>
        <v>22:12:09.000</v>
      </c>
      <c r="T643" t="str">
        <f t="shared" si="192"/>
        <v>22:12:09.000</v>
      </c>
      <c r="U643" t="str">
        <f t="shared" si="193"/>
        <v>A9D71F</v>
      </c>
      <c r="V643">
        <v>0</v>
      </c>
      <c r="W643">
        <v>0</v>
      </c>
      <c r="X643">
        <v>2</v>
      </c>
      <c r="Z643">
        <v>1</v>
      </c>
      <c r="AA643">
        <v>8</v>
      </c>
      <c r="AB643">
        <v>3</v>
      </c>
      <c r="AC643">
        <v>0</v>
      </c>
      <c r="AD643">
        <v>9</v>
      </c>
      <c r="AE643">
        <v>0</v>
      </c>
      <c r="AF643">
        <v>3</v>
      </c>
      <c r="AG643">
        <v>1</v>
      </c>
      <c r="AH643">
        <v>0</v>
      </c>
      <c r="AI643" t="s">
        <v>367</v>
      </c>
      <c r="AJ643">
        <v>33.185298000000003</v>
      </c>
      <c r="AK643" t="s">
        <v>368</v>
      </c>
      <c r="AL643">
        <v>-97.747893000000005</v>
      </c>
      <c r="AM643">
        <v>25</v>
      </c>
      <c r="AN643">
        <v>3300</v>
      </c>
      <c r="AO643" t="s">
        <v>118</v>
      </c>
      <c r="AP643">
        <v>78</v>
      </c>
      <c r="AQ643">
        <v>-60</v>
      </c>
      <c r="AR643">
        <v>0</v>
      </c>
      <c r="AZ643">
        <v>1200</v>
      </c>
      <c r="BA643">
        <v>1</v>
      </c>
      <c r="BB643" t="str">
        <f t="shared" si="181"/>
        <v xml:space="preserve">N733KP  </v>
      </c>
      <c r="BC643">
        <v>1</v>
      </c>
      <c r="BE643">
        <v>0</v>
      </c>
      <c r="BF643">
        <v>0</v>
      </c>
      <c r="BG643">
        <v>0</v>
      </c>
      <c r="BH643">
        <v>3250</v>
      </c>
      <c r="BI643">
        <v>1</v>
      </c>
      <c r="BJ643">
        <v>1</v>
      </c>
      <c r="BK643">
        <v>0</v>
      </c>
      <c r="BL643">
        <v>0</v>
      </c>
      <c r="BO643">
        <v>0</v>
      </c>
      <c r="BP643">
        <v>0</v>
      </c>
      <c r="BW643" t="str">
        <f>"22:12:09.224"</f>
        <v>22:12:09.224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364</v>
      </c>
      <c r="CR643">
        <v>0</v>
      </c>
      <c r="CW643">
        <v>1388943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"03/24/2022 22:12:09.436"</f>
        <v>03/24/2022 22:12:09.436</v>
      </c>
      <c r="C644" t="str">
        <f t="shared" si="179"/>
        <v>FFDFD3C0</v>
      </c>
      <c r="D644" t="s">
        <v>120</v>
      </c>
      <c r="E644">
        <v>14</v>
      </c>
      <c r="F644">
        <v>1014</v>
      </c>
      <c r="G644" t="s">
        <v>121</v>
      </c>
      <c r="J644" t="s">
        <v>122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 t="shared" si="192"/>
        <v>22:12:09.000</v>
      </c>
      <c r="T644" t="str">
        <f t="shared" si="192"/>
        <v>22:12:09.000</v>
      </c>
      <c r="U644" t="str">
        <f t="shared" si="193"/>
        <v>A9D71F</v>
      </c>
      <c r="V644">
        <v>0</v>
      </c>
      <c r="W644">
        <v>0</v>
      </c>
      <c r="X644">
        <v>2</v>
      </c>
      <c r="Z644">
        <v>1</v>
      </c>
      <c r="AA644">
        <v>8</v>
      </c>
      <c r="AB644">
        <v>3</v>
      </c>
      <c r="AC644">
        <v>0</v>
      </c>
      <c r="AD644">
        <v>9</v>
      </c>
      <c r="AE644">
        <v>0</v>
      </c>
      <c r="AF644">
        <v>3</v>
      </c>
      <c r="AG644">
        <v>1</v>
      </c>
      <c r="AH644">
        <v>0</v>
      </c>
      <c r="AI644" t="s">
        <v>367</v>
      </c>
      <c r="AJ644">
        <v>33.185298000000003</v>
      </c>
      <c r="AK644" t="s">
        <v>368</v>
      </c>
      <c r="AL644">
        <v>-97.747893000000005</v>
      </c>
      <c r="AM644">
        <v>25</v>
      </c>
      <c r="AN644">
        <v>3300</v>
      </c>
      <c r="AO644" t="s">
        <v>118</v>
      </c>
      <c r="AP644">
        <v>78</v>
      </c>
      <c r="AQ644">
        <v>-60</v>
      </c>
      <c r="AR644">
        <v>0</v>
      </c>
      <c r="AZ644">
        <v>1200</v>
      </c>
      <c r="BA644">
        <v>1</v>
      </c>
      <c r="BB644" t="str">
        <f t="shared" si="181"/>
        <v xml:space="preserve">N733KP  </v>
      </c>
      <c r="BC644">
        <v>1</v>
      </c>
      <c r="BE644">
        <v>0</v>
      </c>
      <c r="BF644">
        <v>0</v>
      </c>
      <c r="BG644">
        <v>0</v>
      </c>
      <c r="BH644">
        <v>3250</v>
      </c>
      <c r="BI644">
        <v>1</v>
      </c>
      <c r="BJ644">
        <v>1</v>
      </c>
      <c r="BK644">
        <v>0</v>
      </c>
      <c r="BL644">
        <v>0</v>
      </c>
      <c r="BO644">
        <v>0</v>
      </c>
      <c r="BP644">
        <v>0</v>
      </c>
      <c r="BW644" t="str">
        <f>"22:12:09.224"</f>
        <v>22:12:09.224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364</v>
      </c>
      <c r="CR644">
        <v>0</v>
      </c>
      <c r="CW644">
        <v>1388943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"03/24/2022 22:12:09.436"</f>
        <v>03/24/2022 22:12:09.436</v>
      </c>
      <c r="C645" t="str">
        <f t="shared" si="179"/>
        <v>FFDFD3C0</v>
      </c>
      <c r="D645" t="s">
        <v>123</v>
      </c>
      <c r="E645">
        <v>8</v>
      </c>
      <c r="H645">
        <v>31</v>
      </c>
      <c r="I645" t="s">
        <v>124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 t="shared" si="192"/>
        <v>22:12:09.000</v>
      </c>
      <c r="T645" t="str">
        <f t="shared" si="192"/>
        <v>22:12:09.000</v>
      </c>
      <c r="U645" t="str">
        <f t="shared" si="193"/>
        <v>A9D71F</v>
      </c>
      <c r="V645">
        <v>0</v>
      </c>
      <c r="W645">
        <v>0</v>
      </c>
      <c r="X645">
        <v>2</v>
      </c>
      <c r="Z645">
        <v>1</v>
      </c>
      <c r="AA645">
        <v>8</v>
      </c>
      <c r="AB645">
        <v>3</v>
      </c>
      <c r="AC645">
        <v>0</v>
      </c>
      <c r="AD645">
        <v>9</v>
      </c>
      <c r="AE645">
        <v>0</v>
      </c>
      <c r="AF645">
        <v>3</v>
      </c>
      <c r="AG645">
        <v>1</v>
      </c>
      <c r="AH645">
        <v>0</v>
      </c>
      <c r="AI645" t="s">
        <v>367</v>
      </c>
      <c r="AJ645">
        <v>33.185298000000003</v>
      </c>
      <c r="AK645" t="s">
        <v>368</v>
      </c>
      <c r="AL645">
        <v>-97.747893000000005</v>
      </c>
      <c r="AM645">
        <v>25</v>
      </c>
      <c r="AN645">
        <v>3300</v>
      </c>
      <c r="AO645" t="s">
        <v>118</v>
      </c>
      <c r="AP645">
        <v>78</v>
      </c>
      <c r="AQ645">
        <v>-60</v>
      </c>
      <c r="AR645">
        <v>0</v>
      </c>
      <c r="AZ645">
        <v>1200</v>
      </c>
      <c r="BA645">
        <v>1</v>
      </c>
      <c r="BB645" t="str">
        <f t="shared" si="181"/>
        <v xml:space="preserve">N733KP  </v>
      </c>
      <c r="BC645">
        <v>1</v>
      </c>
      <c r="BE645">
        <v>0</v>
      </c>
      <c r="BF645">
        <v>0</v>
      </c>
      <c r="BG645">
        <v>0</v>
      </c>
      <c r="BH645">
        <v>3250</v>
      </c>
      <c r="BI645">
        <v>1</v>
      </c>
      <c r="BJ645">
        <v>1</v>
      </c>
      <c r="BK645">
        <v>0</v>
      </c>
      <c r="BL645">
        <v>0</v>
      </c>
      <c r="BO645">
        <v>0</v>
      </c>
      <c r="BP645">
        <v>0</v>
      </c>
      <c r="BW645" t="str">
        <f>"22:12:09.224"</f>
        <v>22:12:09.224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364</v>
      </c>
      <c r="CR645">
        <v>0</v>
      </c>
      <c r="CW645">
        <v>1388943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"03/24/2022 22:12:10.420"</f>
        <v>03/24/2022 22:12:10.420</v>
      </c>
      <c r="C646" t="str">
        <f t="shared" si="179"/>
        <v>FFDFD3C0</v>
      </c>
      <c r="D646" t="s">
        <v>126</v>
      </c>
      <c r="E646">
        <v>3</v>
      </c>
      <c r="H646">
        <v>160</v>
      </c>
      <c r="I646" t="s">
        <v>121</v>
      </c>
      <c r="J646" t="s">
        <v>127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 t="shared" ref="S646:T649" si="194">"22:12:10.000"</f>
        <v>22:12:10.000</v>
      </c>
      <c r="T646" t="str">
        <f t="shared" si="194"/>
        <v>22:12:10.000</v>
      </c>
      <c r="U646" t="str">
        <f t="shared" si="193"/>
        <v>A9D71F</v>
      </c>
      <c r="V646">
        <v>0</v>
      </c>
      <c r="W646">
        <v>0</v>
      </c>
      <c r="X646">
        <v>2</v>
      </c>
      <c r="Z646">
        <v>1</v>
      </c>
      <c r="AA646">
        <v>8</v>
      </c>
      <c r="AB646">
        <v>3</v>
      </c>
      <c r="AC646">
        <v>0</v>
      </c>
      <c r="AD646">
        <v>9</v>
      </c>
      <c r="AE646">
        <v>0</v>
      </c>
      <c r="AF646">
        <v>3</v>
      </c>
      <c r="AG646">
        <v>1</v>
      </c>
      <c r="AH646">
        <v>0</v>
      </c>
      <c r="AI646" t="s">
        <v>369</v>
      </c>
      <c r="AJ646">
        <v>33.184998</v>
      </c>
      <c r="AK646" t="s">
        <v>370</v>
      </c>
      <c r="AL646">
        <v>-97.747485999999995</v>
      </c>
      <c r="AM646">
        <v>25</v>
      </c>
      <c r="AN646">
        <v>3300</v>
      </c>
      <c r="AO646" t="s">
        <v>118</v>
      </c>
      <c r="AP646">
        <v>71</v>
      </c>
      <c r="AQ646">
        <v>-62</v>
      </c>
      <c r="AR646">
        <v>64</v>
      </c>
      <c r="AZ646">
        <v>1200</v>
      </c>
      <c r="BA646">
        <v>1</v>
      </c>
      <c r="BB646" t="str">
        <f t="shared" si="181"/>
        <v xml:space="preserve">N733KP  </v>
      </c>
      <c r="BC646">
        <v>1</v>
      </c>
      <c r="BE646">
        <v>0</v>
      </c>
      <c r="BF646">
        <v>0</v>
      </c>
      <c r="BG646">
        <v>0</v>
      </c>
      <c r="BH646">
        <v>3250</v>
      </c>
      <c r="BI646">
        <v>1</v>
      </c>
      <c r="BJ646">
        <v>1</v>
      </c>
      <c r="BK646">
        <v>0</v>
      </c>
      <c r="BL646">
        <v>0</v>
      </c>
      <c r="BO646">
        <v>0</v>
      </c>
      <c r="BP646">
        <v>0</v>
      </c>
      <c r="BW646" t="str">
        <f>"22:12:10.210"</f>
        <v>22:12:10.210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364</v>
      </c>
      <c r="CR646">
        <v>0</v>
      </c>
      <c r="CW646">
        <v>1389079</v>
      </c>
      <c r="CY646">
        <v>1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"03/24/2022 22:12:10.420"</f>
        <v>03/24/2022 22:12:10.420</v>
      </c>
      <c r="C647" t="str">
        <f t="shared" si="179"/>
        <v>FFDFD3C0</v>
      </c>
      <c r="D647" t="s">
        <v>113</v>
      </c>
      <c r="E647">
        <v>24</v>
      </c>
      <c r="F647">
        <v>2024</v>
      </c>
      <c r="G647" t="s">
        <v>114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 t="shared" si="194"/>
        <v>22:12:10.000</v>
      </c>
      <c r="T647" t="str">
        <f t="shared" si="194"/>
        <v>22:12:10.000</v>
      </c>
      <c r="U647" t="str">
        <f t="shared" si="193"/>
        <v>A9D71F</v>
      </c>
      <c r="V647">
        <v>0</v>
      </c>
      <c r="W647">
        <v>0</v>
      </c>
      <c r="X647">
        <v>2</v>
      </c>
      <c r="Z647">
        <v>1</v>
      </c>
      <c r="AA647">
        <v>8</v>
      </c>
      <c r="AB647">
        <v>3</v>
      </c>
      <c r="AC647">
        <v>0</v>
      </c>
      <c r="AD647">
        <v>9</v>
      </c>
      <c r="AE647">
        <v>0</v>
      </c>
      <c r="AF647">
        <v>3</v>
      </c>
      <c r="AG647">
        <v>1</v>
      </c>
      <c r="AH647">
        <v>0</v>
      </c>
      <c r="AI647" t="s">
        <v>369</v>
      </c>
      <c r="AJ647">
        <v>33.184998</v>
      </c>
      <c r="AK647" t="s">
        <v>370</v>
      </c>
      <c r="AL647">
        <v>-97.747485999999995</v>
      </c>
      <c r="AM647">
        <v>25</v>
      </c>
      <c r="AN647">
        <v>3300</v>
      </c>
      <c r="AO647" t="s">
        <v>118</v>
      </c>
      <c r="AP647">
        <v>71</v>
      </c>
      <c r="AQ647">
        <v>-62</v>
      </c>
      <c r="AR647">
        <v>64</v>
      </c>
      <c r="AZ647">
        <v>1200</v>
      </c>
      <c r="BA647">
        <v>1</v>
      </c>
      <c r="BB647" t="str">
        <f t="shared" si="181"/>
        <v xml:space="preserve">N733KP  </v>
      </c>
      <c r="BC647">
        <v>1</v>
      </c>
      <c r="BE647">
        <v>0</v>
      </c>
      <c r="BF647">
        <v>0</v>
      </c>
      <c r="BG647">
        <v>0</v>
      </c>
      <c r="BH647">
        <v>3250</v>
      </c>
      <c r="BI647">
        <v>1</v>
      </c>
      <c r="BJ647">
        <v>1</v>
      </c>
      <c r="BK647">
        <v>0</v>
      </c>
      <c r="BL647">
        <v>0</v>
      </c>
      <c r="BO647">
        <v>0</v>
      </c>
      <c r="BP647">
        <v>0</v>
      </c>
      <c r="BW647" t="str">
        <f>"22:12:10.210"</f>
        <v>22:12:10.210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364</v>
      </c>
      <c r="CR647">
        <v>0</v>
      </c>
      <c r="CW647">
        <v>1389079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"03/24/2022 22:12:10.436"</f>
        <v>03/24/2022 22:12:10.436</v>
      </c>
      <c r="C648" t="str">
        <f t="shared" si="179"/>
        <v>FFDFD3C0</v>
      </c>
      <c r="D648" t="s">
        <v>120</v>
      </c>
      <c r="E648">
        <v>14</v>
      </c>
      <c r="F648">
        <v>1014</v>
      </c>
      <c r="G648" t="s">
        <v>121</v>
      </c>
      <c r="J648" t="s">
        <v>122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 t="shared" si="194"/>
        <v>22:12:10.000</v>
      </c>
      <c r="T648" t="str">
        <f t="shared" si="194"/>
        <v>22:12:10.000</v>
      </c>
      <c r="U648" t="str">
        <f t="shared" si="193"/>
        <v>A9D71F</v>
      </c>
      <c r="V648">
        <v>0</v>
      </c>
      <c r="W648">
        <v>0</v>
      </c>
      <c r="X648">
        <v>2</v>
      </c>
      <c r="Z648">
        <v>1</v>
      </c>
      <c r="AA648">
        <v>8</v>
      </c>
      <c r="AB648">
        <v>3</v>
      </c>
      <c r="AC648">
        <v>0</v>
      </c>
      <c r="AD648">
        <v>9</v>
      </c>
      <c r="AE648">
        <v>0</v>
      </c>
      <c r="AF648">
        <v>3</v>
      </c>
      <c r="AG648">
        <v>1</v>
      </c>
      <c r="AH648">
        <v>0</v>
      </c>
      <c r="AI648" t="s">
        <v>369</v>
      </c>
      <c r="AJ648">
        <v>33.184998</v>
      </c>
      <c r="AK648" t="s">
        <v>370</v>
      </c>
      <c r="AL648">
        <v>-97.747485999999995</v>
      </c>
      <c r="AM648">
        <v>25</v>
      </c>
      <c r="AN648">
        <v>3300</v>
      </c>
      <c r="AO648" t="s">
        <v>118</v>
      </c>
      <c r="AP648">
        <v>71</v>
      </c>
      <c r="AQ648">
        <v>-62</v>
      </c>
      <c r="AR648">
        <v>64</v>
      </c>
      <c r="AZ648">
        <v>1200</v>
      </c>
      <c r="BA648">
        <v>1</v>
      </c>
      <c r="BB648" t="str">
        <f t="shared" si="181"/>
        <v xml:space="preserve">N733KP  </v>
      </c>
      <c r="BC648">
        <v>1</v>
      </c>
      <c r="BE648">
        <v>0</v>
      </c>
      <c r="BF648">
        <v>0</v>
      </c>
      <c r="BG648">
        <v>0</v>
      </c>
      <c r="BH648">
        <v>3250</v>
      </c>
      <c r="BI648">
        <v>1</v>
      </c>
      <c r="BJ648">
        <v>1</v>
      </c>
      <c r="BK648">
        <v>0</v>
      </c>
      <c r="BL648">
        <v>0</v>
      </c>
      <c r="BO648">
        <v>0</v>
      </c>
      <c r="BP648">
        <v>0</v>
      </c>
      <c r="BW648" t="str">
        <f>"22:12:10.210"</f>
        <v>22:12:10.210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364</v>
      </c>
      <c r="CR648">
        <v>0</v>
      </c>
      <c r="CW648">
        <v>1389079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"03/24/2022 22:12:10.452"</f>
        <v>03/24/2022 22:12:10.452</v>
      </c>
      <c r="C649" t="str">
        <f t="shared" si="179"/>
        <v>FFDFD3C0</v>
      </c>
      <c r="D649" t="s">
        <v>123</v>
      </c>
      <c r="E649">
        <v>8</v>
      </c>
      <c r="H649">
        <v>31</v>
      </c>
      <c r="I649" t="s">
        <v>124</v>
      </c>
      <c r="J649" t="s">
        <v>125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 t="shared" si="194"/>
        <v>22:12:10.000</v>
      </c>
      <c r="T649" t="str">
        <f t="shared" si="194"/>
        <v>22:12:10.000</v>
      </c>
      <c r="U649" t="str">
        <f t="shared" si="193"/>
        <v>A9D71F</v>
      </c>
      <c r="V649">
        <v>0</v>
      </c>
      <c r="W649">
        <v>0</v>
      </c>
      <c r="X649">
        <v>2</v>
      </c>
      <c r="Z649">
        <v>1</v>
      </c>
      <c r="AA649">
        <v>8</v>
      </c>
      <c r="AB649">
        <v>3</v>
      </c>
      <c r="AC649">
        <v>0</v>
      </c>
      <c r="AD649">
        <v>9</v>
      </c>
      <c r="AE649">
        <v>0</v>
      </c>
      <c r="AF649">
        <v>3</v>
      </c>
      <c r="AG649">
        <v>1</v>
      </c>
      <c r="AH649">
        <v>0</v>
      </c>
      <c r="AI649" t="s">
        <v>369</v>
      </c>
      <c r="AJ649">
        <v>33.184998</v>
      </c>
      <c r="AK649" t="s">
        <v>370</v>
      </c>
      <c r="AL649">
        <v>-97.747485999999995</v>
      </c>
      <c r="AM649">
        <v>25</v>
      </c>
      <c r="AN649">
        <v>3300</v>
      </c>
      <c r="AO649" t="s">
        <v>118</v>
      </c>
      <c r="AP649">
        <v>71</v>
      </c>
      <c r="AQ649">
        <v>-62</v>
      </c>
      <c r="AR649">
        <v>64</v>
      </c>
      <c r="AZ649">
        <v>1200</v>
      </c>
      <c r="BA649">
        <v>1</v>
      </c>
      <c r="BB649" t="str">
        <f t="shared" si="181"/>
        <v xml:space="preserve">N733KP  </v>
      </c>
      <c r="BC649">
        <v>1</v>
      </c>
      <c r="BE649">
        <v>0</v>
      </c>
      <c r="BF649">
        <v>0</v>
      </c>
      <c r="BG649">
        <v>0</v>
      </c>
      <c r="BH649">
        <v>3250</v>
      </c>
      <c r="BI649">
        <v>1</v>
      </c>
      <c r="BJ649">
        <v>1</v>
      </c>
      <c r="BK649">
        <v>0</v>
      </c>
      <c r="BL649">
        <v>0</v>
      </c>
      <c r="BO649">
        <v>0</v>
      </c>
      <c r="BP649">
        <v>0</v>
      </c>
      <c r="BW649" t="str">
        <f>"22:12:10.210"</f>
        <v>22:12:10.210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364</v>
      </c>
      <c r="CR649">
        <v>0</v>
      </c>
      <c r="CW649">
        <v>1389079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"03/24/2022 22:12:11.971"</f>
        <v>03/24/2022 22:12:11.971</v>
      </c>
      <c r="C650" t="str">
        <f t="shared" si="179"/>
        <v>FFDFD3C0</v>
      </c>
      <c r="D650" t="s">
        <v>123</v>
      </c>
      <c r="E650">
        <v>8</v>
      </c>
      <c r="H650">
        <v>31</v>
      </c>
      <c r="I650" t="s">
        <v>124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 t="shared" ref="S650:T653" si="195">"22:12:11.000"</f>
        <v>22:12:11.000</v>
      </c>
      <c r="T650" t="str">
        <f t="shared" si="195"/>
        <v>22:12:11.000</v>
      </c>
      <c r="U650" t="str">
        <f t="shared" si="193"/>
        <v>A9D71F</v>
      </c>
      <c r="V650">
        <v>0</v>
      </c>
      <c r="W650">
        <v>0</v>
      </c>
      <c r="X650">
        <v>2</v>
      </c>
      <c r="Z650">
        <v>1</v>
      </c>
      <c r="AA650">
        <v>8</v>
      </c>
      <c r="AB650">
        <v>3</v>
      </c>
      <c r="AC650">
        <v>0</v>
      </c>
      <c r="AD650">
        <v>9</v>
      </c>
      <c r="AE650">
        <v>0</v>
      </c>
      <c r="AF650">
        <v>3</v>
      </c>
      <c r="AG650">
        <v>1</v>
      </c>
      <c r="AH650">
        <v>0</v>
      </c>
      <c r="AI650" t="s">
        <v>371</v>
      </c>
      <c r="AJ650">
        <v>33.184697999999997</v>
      </c>
      <c r="AK650" t="s">
        <v>372</v>
      </c>
      <c r="AL650">
        <v>-97.747078000000002</v>
      </c>
      <c r="AM650">
        <v>25</v>
      </c>
      <c r="AN650">
        <v>3300</v>
      </c>
      <c r="AO650" t="s">
        <v>118</v>
      </c>
      <c r="AP650">
        <v>70</v>
      </c>
      <c r="AQ650">
        <v>-69</v>
      </c>
      <c r="AR650">
        <v>0</v>
      </c>
      <c r="AZ650">
        <v>1200</v>
      </c>
      <c r="BA650">
        <v>1</v>
      </c>
      <c r="BB650" t="str">
        <f t="shared" si="181"/>
        <v xml:space="preserve">N733KP  </v>
      </c>
      <c r="BC650">
        <v>1</v>
      </c>
      <c r="BE650">
        <v>0</v>
      </c>
      <c r="BF650">
        <v>0</v>
      </c>
      <c r="BG650">
        <v>0</v>
      </c>
      <c r="BH650">
        <v>3250</v>
      </c>
      <c r="BI650">
        <v>1</v>
      </c>
      <c r="BJ650">
        <v>1</v>
      </c>
      <c r="BK650">
        <v>0</v>
      </c>
      <c r="BL650">
        <v>0</v>
      </c>
      <c r="BO650">
        <v>0</v>
      </c>
      <c r="BP650">
        <v>0</v>
      </c>
      <c r="BW650" t="str">
        <f>"22:12:11.686"</f>
        <v>22:12:11.686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364</v>
      </c>
      <c r="CR650">
        <v>0</v>
      </c>
      <c r="CW650">
        <v>1389301</v>
      </c>
      <c r="CY650">
        <v>1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"03/24/2022 22:12:11.987"</f>
        <v>03/24/2022 22:12:11.987</v>
      </c>
      <c r="C651" t="str">
        <f t="shared" si="179"/>
        <v>FFDFD3C0</v>
      </c>
      <c r="D651" t="s">
        <v>126</v>
      </c>
      <c r="E651">
        <v>3</v>
      </c>
      <c r="H651">
        <v>160</v>
      </c>
      <c r="I651" t="s">
        <v>121</v>
      </c>
      <c r="J651" t="s">
        <v>127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 t="shared" si="195"/>
        <v>22:12:11.000</v>
      </c>
      <c r="T651" t="str">
        <f t="shared" si="195"/>
        <v>22:12:11.000</v>
      </c>
      <c r="U651" t="str">
        <f t="shared" si="193"/>
        <v>A9D71F</v>
      </c>
      <c r="V651">
        <v>0</v>
      </c>
      <c r="W651">
        <v>0</v>
      </c>
      <c r="X651">
        <v>2</v>
      </c>
      <c r="Z651">
        <v>1</v>
      </c>
      <c r="AA651">
        <v>8</v>
      </c>
      <c r="AB651">
        <v>3</v>
      </c>
      <c r="AC651">
        <v>0</v>
      </c>
      <c r="AD651">
        <v>9</v>
      </c>
      <c r="AE651">
        <v>0</v>
      </c>
      <c r="AF651">
        <v>3</v>
      </c>
      <c r="AG651">
        <v>1</v>
      </c>
      <c r="AH651">
        <v>0</v>
      </c>
      <c r="AI651" t="s">
        <v>371</v>
      </c>
      <c r="AJ651">
        <v>33.184697999999997</v>
      </c>
      <c r="AK651" t="s">
        <v>372</v>
      </c>
      <c r="AL651">
        <v>-97.747078000000002</v>
      </c>
      <c r="AM651">
        <v>25</v>
      </c>
      <c r="AN651">
        <v>3300</v>
      </c>
      <c r="AO651" t="s">
        <v>118</v>
      </c>
      <c r="AP651">
        <v>70</v>
      </c>
      <c r="AQ651">
        <v>-69</v>
      </c>
      <c r="AR651">
        <v>0</v>
      </c>
      <c r="AZ651">
        <v>1200</v>
      </c>
      <c r="BA651">
        <v>1</v>
      </c>
      <c r="BB651" t="str">
        <f t="shared" si="181"/>
        <v xml:space="preserve">N733KP  </v>
      </c>
      <c r="BC651">
        <v>1</v>
      </c>
      <c r="BE651">
        <v>0</v>
      </c>
      <c r="BF651">
        <v>0</v>
      </c>
      <c r="BG651">
        <v>0</v>
      </c>
      <c r="BH651">
        <v>3250</v>
      </c>
      <c r="BI651">
        <v>1</v>
      </c>
      <c r="BJ651">
        <v>1</v>
      </c>
      <c r="BK651">
        <v>0</v>
      </c>
      <c r="BL651">
        <v>0</v>
      </c>
      <c r="BO651">
        <v>0</v>
      </c>
      <c r="BP651">
        <v>0</v>
      </c>
      <c r="BW651" t="str">
        <f>"22:12:11.686"</f>
        <v>22:12:11.686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364</v>
      </c>
      <c r="CR651">
        <v>0</v>
      </c>
      <c r="CW651">
        <v>1389301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"03/24/2022 22:12:11.987"</f>
        <v>03/24/2022 22:12:11.987</v>
      </c>
      <c r="C652" t="str">
        <f t="shared" si="179"/>
        <v>FFDFD3C0</v>
      </c>
      <c r="D652" t="s">
        <v>113</v>
      </c>
      <c r="E652">
        <v>24</v>
      </c>
      <c r="F652">
        <v>2024</v>
      </c>
      <c r="G652" t="s">
        <v>114</v>
      </c>
      <c r="J652" t="s">
        <v>115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 t="shared" si="195"/>
        <v>22:12:11.000</v>
      </c>
      <c r="T652" t="str">
        <f t="shared" si="195"/>
        <v>22:12:11.000</v>
      </c>
      <c r="U652" t="str">
        <f t="shared" si="193"/>
        <v>A9D71F</v>
      </c>
      <c r="V652">
        <v>0</v>
      </c>
      <c r="W652">
        <v>0</v>
      </c>
      <c r="X652">
        <v>2</v>
      </c>
      <c r="Z652">
        <v>1</v>
      </c>
      <c r="AA652">
        <v>8</v>
      </c>
      <c r="AB652">
        <v>3</v>
      </c>
      <c r="AC652">
        <v>0</v>
      </c>
      <c r="AD652">
        <v>9</v>
      </c>
      <c r="AE652">
        <v>0</v>
      </c>
      <c r="AF652">
        <v>3</v>
      </c>
      <c r="AG652">
        <v>1</v>
      </c>
      <c r="AH652">
        <v>0</v>
      </c>
      <c r="AI652" t="s">
        <v>371</v>
      </c>
      <c r="AJ652">
        <v>33.184697999999997</v>
      </c>
      <c r="AK652" t="s">
        <v>372</v>
      </c>
      <c r="AL652">
        <v>-97.747078000000002</v>
      </c>
      <c r="AM652">
        <v>25</v>
      </c>
      <c r="AN652">
        <v>3300</v>
      </c>
      <c r="AO652" t="s">
        <v>118</v>
      </c>
      <c r="AP652">
        <v>70</v>
      </c>
      <c r="AQ652">
        <v>-69</v>
      </c>
      <c r="AR652">
        <v>0</v>
      </c>
      <c r="AZ652">
        <v>1200</v>
      </c>
      <c r="BA652">
        <v>1</v>
      </c>
      <c r="BB652" t="str">
        <f t="shared" si="181"/>
        <v xml:space="preserve">N733KP  </v>
      </c>
      <c r="BC652">
        <v>1</v>
      </c>
      <c r="BE652">
        <v>0</v>
      </c>
      <c r="BF652">
        <v>0</v>
      </c>
      <c r="BG652">
        <v>0</v>
      </c>
      <c r="BH652">
        <v>3250</v>
      </c>
      <c r="BI652">
        <v>1</v>
      </c>
      <c r="BJ652">
        <v>1</v>
      </c>
      <c r="BK652">
        <v>0</v>
      </c>
      <c r="BL652">
        <v>0</v>
      </c>
      <c r="BO652">
        <v>0</v>
      </c>
      <c r="BP652">
        <v>0</v>
      </c>
      <c r="BW652" t="str">
        <f>"22:12:11.686"</f>
        <v>22:12:11.686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364</v>
      </c>
      <c r="CR652">
        <v>0</v>
      </c>
      <c r="CW652">
        <v>1389301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"03/24/2022 22:12:11.987"</f>
        <v>03/24/2022 22:12:11.987</v>
      </c>
      <c r="C653" t="str">
        <f t="shared" si="179"/>
        <v>FFDFD3C0</v>
      </c>
      <c r="D653" t="s">
        <v>120</v>
      </c>
      <c r="E653">
        <v>14</v>
      </c>
      <c r="F653">
        <v>1014</v>
      </c>
      <c r="G653" t="s">
        <v>121</v>
      </c>
      <c r="J653" t="s">
        <v>122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 t="shared" si="195"/>
        <v>22:12:11.000</v>
      </c>
      <c r="T653" t="str">
        <f t="shared" si="195"/>
        <v>22:12:11.000</v>
      </c>
      <c r="U653" t="str">
        <f t="shared" si="193"/>
        <v>A9D71F</v>
      </c>
      <c r="V653">
        <v>0</v>
      </c>
      <c r="W653">
        <v>0</v>
      </c>
      <c r="X653">
        <v>2</v>
      </c>
      <c r="Z653">
        <v>1</v>
      </c>
      <c r="AA653">
        <v>8</v>
      </c>
      <c r="AB653">
        <v>3</v>
      </c>
      <c r="AC653">
        <v>0</v>
      </c>
      <c r="AD653">
        <v>9</v>
      </c>
      <c r="AE653">
        <v>0</v>
      </c>
      <c r="AF653">
        <v>3</v>
      </c>
      <c r="AG653">
        <v>1</v>
      </c>
      <c r="AH653">
        <v>0</v>
      </c>
      <c r="AI653" t="s">
        <v>371</v>
      </c>
      <c r="AJ653">
        <v>33.184697999999997</v>
      </c>
      <c r="AK653" t="s">
        <v>372</v>
      </c>
      <c r="AL653">
        <v>-97.747078000000002</v>
      </c>
      <c r="AM653">
        <v>25</v>
      </c>
      <c r="AN653">
        <v>3300</v>
      </c>
      <c r="AO653" t="s">
        <v>118</v>
      </c>
      <c r="AP653">
        <v>70</v>
      </c>
      <c r="AQ653">
        <v>-69</v>
      </c>
      <c r="AR653">
        <v>0</v>
      </c>
      <c r="AZ653">
        <v>1200</v>
      </c>
      <c r="BA653">
        <v>1</v>
      </c>
      <c r="BB653" t="str">
        <f t="shared" si="181"/>
        <v xml:space="preserve">N733KP  </v>
      </c>
      <c r="BC653">
        <v>1</v>
      </c>
      <c r="BE653">
        <v>0</v>
      </c>
      <c r="BF653">
        <v>0</v>
      </c>
      <c r="BG653">
        <v>0</v>
      </c>
      <c r="BH653">
        <v>3250</v>
      </c>
      <c r="BI653">
        <v>1</v>
      </c>
      <c r="BJ653">
        <v>1</v>
      </c>
      <c r="BK653">
        <v>0</v>
      </c>
      <c r="BL653">
        <v>0</v>
      </c>
      <c r="BO653">
        <v>0</v>
      </c>
      <c r="BP653">
        <v>0</v>
      </c>
      <c r="BW653" t="str">
        <f>"22:12:11.686"</f>
        <v>22:12:11.686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364</v>
      </c>
      <c r="CR653">
        <v>0</v>
      </c>
      <c r="CW653">
        <v>1389301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"03/24/2022 22:12:13.034"</f>
        <v>03/24/2022 22:12:13.034</v>
      </c>
      <c r="C654" t="str">
        <f t="shared" si="179"/>
        <v>FFDFD3C0</v>
      </c>
      <c r="D654" t="s">
        <v>113</v>
      </c>
      <c r="E654">
        <v>24</v>
      </c>
      <c r="F654">
        <v>2024</v>
      </c>
      <c r="G654" t="s">
        <v>114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 t="shared" ref="S654:T657" si="196">"22:12:12.000"</f>
        <v>22:12:12.000</v>
      </c>
      <c r="T654" t="str">
        <f t="shared" si="196"/>
        <v>22:12:12.000</v>
      </c>
      <c r="U654" t="str">
        <f t="shared" si="193"/>
        <v>A9D71F</v>
      </c>
      <c r="V654">
        <v>0</v>
      </c>
      <c r="W654">
        <v>0</v>
      </c>
      <c r="X654">
        <v>2</v>
      </c>
      <c r="Z654">
        <v>1</v>
      </c>
      <c r="AA654">
        <v>8</v>
      </c>
      <c r="AB654">
        <v>3</v>
      </c>
      <c r="AC654">
        <v>0</v>
      </c>
      <c r="AD654">
        <v>9</v>
      </c>
      <c r="AE654">
        <v>0</v>
      </c>
      <c r="AF654">
        <v>3</v>
      </c>
      <c r="AG654">
        <v>1</v>
      </c>
      <c r="AH654">
        <v>0</v>
      </c>
      <c r="AI654" t="s">
        <v>373</v>
      </c>
      <c r="AJ654">
        <v>33.184376</v>
      </c>
      <c r="AK654" t="s">
        <v>374</v>
      </c>
      <c r="AL654">
        <v>-97.746691999999996</v>
      </c>
      <c r="AM654">
        <v>25</v>
      </c>
      <c r="AN654">
        <v>3300</v>
      </c>
      <c r="AO654" t="s">
        <v>118</v>
      </c>
      <c r="AP654">
        <v>63</v>
      </c>
      <c r="AQ654">
        <v>-73</v>
      </c>
      <c r="AR654">
        <v>0</v>
      </c>
      <c r="AZ654">
        <v>1200</v>
      </c>
      <c r="BA654">
        <v>1</v>
      </c>
      <c r="BB654" t="str">
        <f t="shared" si="181"/>
        <v xml:space="preserve">N733KP  </v>
      </c>
      <c r="BC654">
        <v>1</v>
      </c>
      <c r="BE654">
        <v>0</v>
      </c>
      <c r="BF654">
        <v>0</v>
      </c>
      <c r="BG654">
        <v>0</v>
      </c>
      <c r="BH654">
        <v>3250</v>
      </c>
      <c r="BI654">
        <v>1</v>
      </c>
      <c r="BJ654">
        <v>1</v>
      </c>
      <c r="BK654">
        <v>0</v>
      </c>
      <c r="BL654">
        <v>0</v>
      </c>
      <c r="BO654">
        <v>0</v>
      </c>
      <c r="BP654">
        <v>0</v>
      </c>
      <c r="BW654" t="str">
        <f>"22:12:12.864"</f>
        <v>22:12:12.864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364</v>
      </c>
      <c r="CR654">
        <v>0</v>
      </c>
      <c r="CW654">
        <v>1389465</v>
      </c>
      <c r="CY654">
        <v>1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"03/24/2022 22:12:13.034"</f>
        <v>03/24/2022 22:12:13.034</v>
      </c>
      <c r="C655" t="str">
        <f t="shared" si="179"/>
        <v>FFDFD3C0</v>
      </c>
      <c r="D655" t="s">
        <v>126</v>
      </c>
      <c r="E655">
        <v>3</v>
      </c>
      <c r="H655">
        <v>160</v>
      </c>
      <c r="I655" t="s">
        <v>121</v>
      </c>
      <c r="J655" t="s">
        <v>127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 t="shared" si="196"/>
        <v>22:12:12.000</v>
      </c>
      <c r="T655" t="str">
        <f t="shared" si="196"/>
        <v>22:12:12.000</v>
      </c>
      <c r="U655" t="str">
        <f t="shared" si="193"/>
        <v>A9D71F</v>
      </c>
      <c r="V655">
        <v>0</v>
      </c>
      <c r="W655">
        <v>0</v>
      </c>
      <c r="X655">
        <v>2</v>
      </c>
      <c r="Z655">
        <v>1</v>
      </c>
      <c r="AA655">
        <v>8</v>
      </c>
      <c r="AB655">
        <v>3</v>
      </c>
      <c r="AC655">
        <v>0</v>
      </c>
      <c r="AD655">
        <v>9</v>
      </c>
      <c r="AE655">
        <v>0</v>
      </c>
      <c r="AF655">
        <v>3</v>
      </c>
      <c r="AG655">
        <v>1</v>
      </c>
      <c r="AH655">
        <v>0</v>
      </c>
      <c r="AI655" t="s">
        <v>373</v>
      </c>
      <c r="AJ655">
        <v>33.184376</v>
      </c>
      <c r="AK655" t="s">
        <v>374</v>
      </c>
      <c r="AL655">
        <v>-97.746691999999996</v>
      </c>
      <c r="AM655">
        <v>25</v>
      </c>
      <c r="AN655">
        <v>3300</v>
      </c>
      <c r="AO655" t="s">
        <v>118</v>
      </c>
      <c r="AP655">
        <v>63</v>
      </c>
      <c r="AQ655">
        <v>-73</v>
      </c>
      <c r="AR655">
        <v>0</v>
      </c>
      <c r="AZ655">
        <v>1200</v>
      </c>
      <c r="BA655">
        <v>1</v>
      </c>
      <c r="BB655" t="str">
        <f t="shared" si="181"/>
        <v xml:space="preserve">N733KP  </v>
      </c>
      <c r="BC655">
        <v>1</v>
      </c>
      <c r="BE655">
        <v>0</v>
      </c>
      <c r="BF655">
        <v>0</v>
      </c>
      <c r="BG655">
        <v>0</v>
      </c>
      <c r="BH655">
        <v>3250</v>
      </c>
      <c r="BI655">
        <v>1</v>
      </c>
      <c r="BJ655">
        <v>1</v>
      </c>
      <c r="BK655">
        <v>0</v>
      </c>
      <c r="BL655">
        <v>0</v>
      </c>
      <c r="BO655">
        <v>0</v>
      </c>
      <c r="BP655">
        <v>0</v>
      </c>
      <c r="BW655" t="str">
        <f>"22:12:12.864"</f>
        <v>22:12:12.864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364</v>
      </c>
      <c r="CR655">
        <v>0</v>
      </c>
      <c r="CW655">
        <v>1389465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"03/24/2022 22:12:13.050"</f>
        <v>03/24/2022 22:12:13.050</v>
      </c>
      <c r="C656" t="str">
        <f t="shared" si="179"/>
        <v>FFDFD3C0</v>
      </c>
      <c r="D656" t="s">
        <v>123</v>
      </c>
      <c r="E656">
        <v>8</v>
      </c>
      <c r="H656">
        <v>31</v>
      </c>
      <c r="I656" t="s">
        <v>124</v>
      </c>
      <c r="J656" t="s">
        <v>125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 t="shared" si="196"/>
        <v>22:12:12.000</v>
      </c>
      <c r="T656" t="str">
        <f t="shared" si="196"/>
        <v>22:12:12.000</v>
      </c>
      <c r="U656" t="str">
        <f t="shared" si="193"/>
        <v>A9D71F</v>
      </c>
      <c r="V656">
        <v>0</v>
      </c>
      <c r="W656">
        <v>0</v>
      </c>
      <c r="X656">
        <v>2</v>
      </c>
      <c r="Z656">
        <v>1</v>
      </c>
      <c r="AA656">
        <v>8</v>
      </c>
      <c r="AB656">
        <v>3</v>
      </c>
      <c r="AC656">
        <v>0</v>
      </c>
      <c r="AD656">
        <v>9</v>
      </c>
      <c r="AE656">
        <v>0</v>
      </c>
      <c r="AF656">
        <v>3</v>
      </c>
      <c r="AG656">
        <v>1</v>
      </c>
      <c r="AH656">
        <v>0</v>
      </c>
      <c r="AI656" t="s">
        <v>373</v>
      </c>
      <c r="AJ656">
        <v>33.184376</v>
      </c>
      <c r="AK656" t="s">
        <v>374</v>
      </c>
      <c r="AL656">
        <v>-97.746691999999996</v>
      </c>
      <c r="AM656">
        <v>25</v>
      </c>
      <c r="AN656">
        <v>3300</v>
      </c>
      <c r="AO656" t="s">
        <v>118</v>
      </c>
      <c r="AP656">
        <v>63</v>
      </c>
      <c r="AQ656">
        <v>-73</v>
      </c>
      <c r="AR656">
        <v>0</v>
      </c>
      <c r="AZ656">
        <v>1200</v>
      </c>
      <c r="BA656">
        <v>1</v>
      </c>
      <c r="BB656" t="str">
        <f t="shared" si="181"/>
        <v xml:space="preserve">N733KP  </v>
      </c>
      <c r="BC656">
        <v>1</v>
      </c>
      <c r="BE656">
        <v>0</v>
      </c>
      <c r="BF656">
        <v>0</v>
      </c>
      <c r="BG656">
        <v>0</v>
      </c>
      <c r="BH656">
        <v>3250</v>
      </c>
      <c r="BI656">
        <v>1</v>
      </c>
      <c r="BJ656">
        <v>1</v>
      </c>
      <c r="BK656">
        <v>0</v>
      </c>
      <c r="BL656">
        <v>0</v>
      </c>
      <c r="BO656">
        <v>0</v>
      </c>
      <c r="BP656">
        <v>0</v>
      </c>
      <c r="BW656" t="str">
        <f>"22:12:12.864"</f>
        <v>22:12:12.864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364</v>
      </c>
      <c r="CR656">
        <v>0</v>
      </c>
      <c r="CW656">
        <v>1389465</v>
      </c>
      <c r="CY656">
        <v>1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"03/24/2022 22:12:13.050"</f>
        <v>03/24/2022 22:12:13.050</v>
      </c>
      <c r="C657" t="str">
        <f t="shared" si="179"/>
        <v>FFDFD3C0</v>
      </c>
      <c r="D657" t="s">
        <v>120</v>
      </c>
      <c r="E657">
        <v>14</v>
      </c>
      <c r="F657">
        <v>1014</v>
      </c>
      <c r="G657" t="s">
        <v>121</v>
      </c>
      <c r="J657" t="s">
        <v>122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 t="shared" si="196"/>
        <v>22:12:12.000</v>
      </c>
      <c r="T657" t="str">
        <f t="shared" si="196"/>
        <v>22:12:12.000</v>
      </c>
      <c r="U657" t="str">
        <f t="shared" si="193"/>
        <v>A9D71F</v>
      </c>
      <c r="V657">
        <v>0</v>
      </c>
      <c r="W657">
        <v>0</v>
      </c>
      <c r="X657">
        <v>2</v>
      </c>
      <c r="Z657">
        <v>1</v>
      </c>
      <c r="AA657">
        <v>8</v>
      </c>
      <c r="AB657">
        <v>3</v>
      </c>
      <c r="AC657">
        <v>0</v>
      </c>
      <c r="AD657">
        <v>9</v>
      </c>
      <c r="AE657">
        <v>0</v>
      </c>
      <c r="AF657">
        <v>3</v>
      </c>
      <c r="AG657">
        <v>1</v>
      </c>
      <c r="AH657">
        <v>0</v>
      </c>
      <c r="AI657" t="s">
        <v>373</v>
      </c>
      <c r="AJ657">
        <v>33.184376</v>
      </c>
      <c r="AK657" t="s">
        <v>374</v>
      </c>
      <c r="AL657">
        <v>-97.746691999999996</v>
      </c>
      <c r="AM657">
        <v>25</v>
      </c>
      <c r="AN657">
        <v>3300</v>
      </c>
      <c r="AO657" t="s">
        <v>118</v>
      </c>
      <c r="AP657">
        <v>63</v>
      </c>
      <c r="AQ657">
        <v>-73</v>
      </c>
      <c r="AR657">
        <v>0</v>
      </c>
      <c r="AZ657">
        <v>1200</v>
      </c>
      <c r="BA657">
        <v>1</v>
      </c>
      <c r="BB657" t="str">
        <f t="shared" si="181"/>
        <v xml:space="preserve">N733KP  </v>
      </c>
      <c r="BC657">
        <v>1</v>
      </c>
      <c r="BE657">
        <v>0</v>
      </c>
      <c r="BF657">
        <v>0</v>
      </c>
      <c r="BG657">
        <v>0</v>
      </c>
      <c r="BH657">
        <v>3250</v>
      </c>
      <c r="BI657">
        <v>1</v>
      </c>
      <c r="BJ657">
        <v>1</v>
      </c>
      <c r="BK657">
        <v>0</v>
      </c>
      <c r="BL657">
        <v>0</v>
      </c>
      <c r="BO657">
        <v>0</v>
      </c>
      <c r="BP657">
        <v>0</v>
      </c>
      <c r="BW657" t="str">
        <f>"22:12:12.864"</f>
        <v>22:12:12.864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364</v>
      </c>
      <c r="CR657">
        <v>0</v>
      </c>
      <c r="CW657">
        <v>1389465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"03/24/2022 22:12:13.755"</f>
        <v>03/24/2022 22:12:13.755</v>
      </c>
      <c r="C658" t="str">
        <f t="shared" si="179"/>
        <v>FFDFD3C0</v>
      </c>
      <c r="D658" t="s">
        <v>113</v>
      </c>
      <c r="E658">
        <v>24</v>
      </c>
      <c r="F658">
        <v>2024</v>
      </c>
      <c r="G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 t="shared" ref="S658:T661" si="197">"22:12:13.000"</f>
        <v>22:12:13.000</v>
      </c>
      <c r="T658" t="str">
        <f t="shared" si="197"/>
        <v>22:12:13.000</v>
      </c>
      <c r="U658" t="str">
        <f t="shared" si="193"/>
        <v>A9D71F</v>
      </c>
      <c r="V658">
        <v>0</v>
      </c>
      <c r="W658">
        <v>0</v>
      </c>
      <c r="X658">
        <v>2</v>
      </c>
      <c r="Z658">
        <v>1</v>
      </c>
      <c r="AA658">
        <v>8</v>
      </c>
      <c r="AB658">
        <v>3</v>
      </c>
      <c r="AC658">
        <v>0</v>
      </c>
      <c r="AD658">
        <v>9</v>
      </c>
      <c r="AE658">
        <v>0</v>
      </c>
      <c r="AF658">
        <v>3</v>
      </c>
      <c r="AG658">
        <v>1</v>
      </c>
      <c r="AH658">
        <v>0</v>
      </c>
      <c r="AI658" t="s">
        <v>375</v>
      </c>
      <c r="AJ658">
        <v>33.184054000000003</v>
      </c>
      <c r="AK658" t="s">
        <v>376</v>
      </c>
      <c r="AL658">
        <v>-97.746326999999994</v>
      </c>
      <c r="AM658">
        <v>25</v>
      </c>
      <c r="AN658">
        <v>3300</v>
      </c>
      <c r="AO658" t="s">
        <v>118</v>
      </c>
      <c r="AP658">
        <v>61</v>
      </c>
      <c r="AQ658">
        <v>-76</v>
      </c>
      <c r="AR658">
        <v>0</v>
      </c>
      <c r="AZ658">
        <v>1200</v>
      </c>
      <c r="BA658">
        <v>1</v>
      </c>
      <c r="BB658" t="str">
        <f t="shared" si="181"/>
        <v xml:space="preserve">N733KP  </v>
      </c>
      <c r="BC658">
        <v>1</v>
      </c>
      <c r="BE658">
        <v>0</v>
      </c>
      <c r="BF658">
        <v>0</v>
      </c>
      <c r="BG658">
        <v>0</v>
      </c>
      <c r="BH658">
        <v>3250</v>
      </c>
      <c r="BI658">
        <v>1</v>
      </c>
      <c r="BJ658">
        <v>1</v>
      </c>
      <c r="BK658">
        <v>0</v>
      </c>
      <c r="BL658">
        <v>0</v>
      </c>
      <c r="BO658">
        <v>0</v>
      </c>
      <c r="BP658">
        <v>0</v>
      </c>
      <c r="BW658" t="str">
        <f>"22:12:13.548"</f>
        <v>22:12:13.548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119</v>
      </c>
      <c r="CQ658">
        <v>364</v>
      </c>
      <c r="CR658">
        <v>0</v>
      </c>
      <c r="CW658">
        <v>1389561</v>
      </c>
      <c r="CY658">
        <v>1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"03/24/2022 22:12:13.755"</f>
        <v>03/24/2022 22:12:13.755</v>
      </c>
      <c r="C659" t="str">
        <f t="shared" si="179"/>
        <v>FFDFD3C0</v>
      </c>
      <c r="D659" t="s">
        <v>126</v>
      </c>
      <c r="E659">
        <v>3</v>
      </c>
      <c r="H659">
        <v>160</v>
      </c>
      <c r="I659" t="s">
        <v>121</v>
      </c>
      <c r="J659" t="s">
        <v>127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 t="shared" si="197"/>
        <v>22:12:13.000</v>
      </c>
      <c r="T659" t="str">
        <f t="shared" si="197"/>
        <v>22:12:13.000</v>
      </c>
      <c r="U659" t="str">
        <f t="shared" si="193"/>
        <v>A9D71F</v>
      </c>
      <c r="V659">
        <v>0</v>
      </c>
      <c r="W659">
        <v>0</v>
      </c>
      <c r="X659">
        <v>2</v>
      </c>
      <c r="Z659">
        <v>1</v>
      </c>
      <c r="AA659">
        <v>8</v>
      </c>
      <c r="AB659">
        <v>3</v>
      </c>
      <c r="AC659">
        <v>0</v>
      </c>
      <c r="AD659">
        <v>9</v>
      </c>
      <c r="AE659">
        <v>0</v>
      </c>
      <c r="AF659">
        <v>3</v>
      </c>
      <c r="AG659">
        <v>1</v>
      </c>
      <c r="AH659">
        <v>0</v>
      </c>
      <c r="AI659" t="s">
        <v>375</v>
      </c>
      <c r="AJ659">
        <v>33.184054000000003</v>
      </c>
      <c r="AK659" t="s">
        <v>376</v>
      </c>
      <c r="AL659">
        <v>-97.746326999999994</v>
      </c>
      <c r="AM659">
        <v>25</v>
      </c>
      <c r="AN659">
        <v>3300</v>
      </c>
      <c r="AO659" t="s">
        <v>118</v>
      </c>
      <c r="AP659">
        <v>61</v>
      </c>
      <c r="AQ659">
        <v>-76</v>
      </c>
      <c r="AR659">
        <v>0</v>
      </c>
      <c r="AZ659">
        <v>1200</v>
      </c>
      <c r="BA659">
        <v>1</v>
      </c>
      <c r="BB659" t="str">
        <f t="shared" si="181"/>
        <v xml:space="preserve">N733KP  </v>
      </c>
      <c r="BC659">
        <v>1</v>
      </c>
      <c r="BE659">
        <v>0</v>
      </c>
      <c r="BF659">
        <v>0</v>
      </c>
      <c r="BG659">
        <v>0</v>
      </c>
      <c r="BH659">
        <v>3250</v>
      </c>
      <c r="BI659">
        <v>1</v>
      </c>
      <c r="BJ659">
        <v>1</v>
      </c>
      <c r="BK659">
        <v>0</v>
      </c>
      <c r="BL659">
        <v>0</v>
      </c>
      <c r="BO659">
        <v>0</v>
      </c>
      <c r="BP659">
        <v>0</v>
      </c>
      <c r="BW659" t="str">
        <f>"22:12:13.548"</f>
        <v>22:12:13.548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364</v>
      </c>
      <c r="CR659">
        <v>0</v>
      </c>
      <c r="CW659">
        <v>1389561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"03/24/2022 22:12:13.755"</f>
        <v>03/24/2022 22:12:13.755</v>
      </c>
      <c r="C660" t="str">
        <f t="shared" si="179"/>
        <v>FFDFD3C0</v>
      </c>
      <c r="D660" t="s">
        <v>123</v>
      </c>
      <c r="E660">
        <v>8</v>
      </c>
      <c r="H660">
        <v>31</v>
      </c>
      <c r="I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 t="shared" si="197"/>
        <v>22:12:13.000</v>
      </c>
      <c r="T660" t="str">
        <f t="shared" si="197"/>
        <v>22:12:13.000</v>
      </c>
      <c r="U660" t="str">
        <f t="shared" si="193"/>
        <v>A9D71F</v>
      </c>
      <c r="V660">
        <v>0</v>
      </c>
      <c r="W660">
        <v>0</v>
      </c>
      <c r="X660">
        <v>2</v>
      </c>
      <c r="Z660">
        <v>1</v>
      </c>
      <c r="AA660">
        <v>8</v>
      </c>
      <c r="AB660">
        <v>3</v>
      </c>
      <c r="AC660">
        <v>0</v>
      </c>
      <c r="AD660">
        <v>9</v>
      </c>
      <c r="AE660">
        <v>0</v>
      </c>
      <c r="AF660">
        <v>3</v>
      </c>
      <c r="AG660">
        <v>1</v>
      </c>
      <c r="AH660">
        <v>0</v>
      </c>
      <c r="AI660" t="s">
        <v>375</v>
      </c>
      <c r="AJ660">
        <v>33.184054000000003</v>
      </c>
      <c r="AK660" t="s">
        <v>376</v>
      </c>
      <c r="AL660">
        <v>-97.746326999999994</v>
      </c>
      <c r="AM660">
        <v>25</v>
      </c>
      <c r="AN660">
        <v>3300</v>
      </c>
      <c r="AO660" t="s">
        <v>118</v>
      </c>
      <c r="AP660">
        <v>61</v>
      </c>
      <c r="AQ660">
        <v>-76</v>
      </c>
      <c r="AR660">
        <v>0</v>
      </c>
      <c r="AZ660">
        <v>1200</v>
      </c>
      <c r="BA660">
        <v>1</v>
      </c>
      <c r="BB660" t="str">
        <f t="shared" si="181"/>
        <v xml:space="preserve">N733KP  </v>
      </c>
      <c r="BC660">
        <v>1</v>
      </c>
      <c r="BE660">
        <v>0</v>
      </c>
      <c r="BF660">
        <v>0</v>
      </c>
      <c r="BG660">
        <v>0</v>
      </c>
      <c r="BH660">
        <v>3250</v>
      </c>
      <c r="BI660">
        <v>1</v>
      </c>
      <c r="BJ660">
        <v>1</v>
      </c>
      <c r="BK660">
        <v>0</v>
      </c>
      <c r="BL660">
        <v>0</v>
      </c>
      <c r="BO660">
        <v>0</v>
      </c>
      <c r="BP660">
        <v>0</v>
      </c>
      <c r="BW660" t="str">
        <f>"22:12:13.548"</f>
        <v>22:12:13.548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364</v>
      </c>
      <c r="CR660">
        <v>0</v>
      </c>
      <c r="CW660">
        <v>1389561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"03/24/2022 22:12:13.755"</f>
        <v>03/24/2022 22:12:13.755</v>
      </c>
      <c r="C661" t="str">
        <f t="shared" si="179"/>
        <v>FFDFD3C0</v>
      </c>
      <c r="D661" t="s">
        <v>120</v>
      </c>
      <c r="E661">
        <v>14</v>
      </c>
      <c r="F661">
        <v>1014</v>
      </c>
      <c r="G661" t="s">
        <v>121</v>
      </c>
      <c r="J661" t="s">
        <v>122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 t="shared" si="197"/>
        <v>22:12:13.000</v>
      </c>
      <c r="T661" t="str">
        <f t="shared" si="197"/>
        <v>22:12:13.000</v>
      </c>
      <c r="U661" t="str">
        <f t="shared" si="193"/>
        <v>A9D71F</v>
      </c>
      <c r="V661">
        <v>0</v>
      </c>
      <c r="W661">
        <v>0</v>
      </c>
      <c r="X661">
        <v>2</v>
      </c>
      <c r="Z661">
        <v>1</v>
      </c>
      <c r="AA661">
        <v>8</v>
      </c>
      <c r="AB661">
        <v>3</v>
      </c>
      <c r="AC661">
        <v>0</v>
      </c>
      <c r="AD661">
        <v>9</v>
      </c>
      <c r="AE661">
        <v>0</v>
      </c>
      <c r="AF661">
        <v>3</v>
      </c>
      <c r="AG661">
        <v>1</v>
      </c>
      <c r="AH661">
        <v>0</v>
      </c>
      <c r="AI661" t="s">
        <v>375</v>
      </c>
      <c r="AJ661">
        <v>33.184054000000003</v>
      </c>
      <c r="AK661" t="s">
        <v>376</v>
      </c>
      <c r="AL661">
        <v>-97.746326999999994</v>
      </c>
      <c r="AM661">
        <v>25</v>
      </c>
      <c r="AN661">
        <v>3300</v>
      </c>
      <c r="AO661" t="s">
        <v>118</v>
      </c>
      <c r="AP661">
        <v>61</v>
      </c>
      <c r="AQ661">
        <v>-76</v>
      </c>
      <c r="AR661">
        <v>0</v>
      </c>
      <c r="AZ661">
        <v>1200</v>
      </c>
      <c r="BA661">
        <v>1</v>
      </c>
      <c r="BB661" t="str">
        <f t="shared" si="181"/>
        <v xml:space="preserve">N733KP  </v>
      </c>
      <c r="BC661">
        <v>1</v>
      </c>
      <c r="BE661">
        <v>0</v>
      </c>
      <c r="BF661">
        <v>0</v>
      </c>
      <c r="BG661">
        <v>0</v>
      </c>
      <c r="BH661">
        <v>3250</v>
      </c>
      <c r="BI661">
        <v>1</v>
      </c>
      <c r="BJ661">
        <v>1</v>
      </c>
      <c r="BK661">
        <v>0</v>
      </c>
      <c r="BL661">
        <v>0</v>
      </c>
      <c r="BO661">
        <v>0</v>
      </c>
      <c r="BP661">
        <v>0</v>
      </c>
      <c r="BW661" t="str">
        <f>"22:12:13.548"</f>
        <v>22:12:13.548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364</v>
      </c>
      <c r="CR661">
        <v>0</v>
      </c>
      <c r="CW661">
        <v>1389561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"03/24/2022 22:12:14.711"</f>
        <v>03/24/2022 22:12:14.711</v>
      </c>
      <c r="C662" t="str">
        <f t="shared" ref="C662:C725" si="198">"FFDFD3C0"</f>
        <v>FFDFD3C0</v>
      </c>
      <c r="D662" t="s">
        <v>126</v>
      </c>
      <c r="E662">
        <v>3</v>
      </c>
      <c r="H662">
        <v>160</v>
      </c>
      <c r="I662" t="s">
        <v>121</v>
      </c>
      <c r="J662" t="s">
        <v>127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 t="shared" ref="S662:T665" si="199">"22:12:14.000"</f>
        <v>22:12:14.000</v>
      </c>
      <c r="T662" t="str">
        <f t="shared" si="199"/>
        <v>22:12:14.000</v>
      </c>
      <c r="U662" t="str">
        <f t="shared" si="193"/>
        <v>A9D71F</v>
      </c>
      <c r="V662">
        <v>0</v>
      </c>
      <c r="W662">
        <v>0</v>
      </c>
      <c r="X662">
        <v>2</v>
      </c>
      <c r="Z662">
        <v>1</v>
      </c>
      <c r="AA662">
        <v>8</v>
      </c>
      <c r="AB662">
        <v>3</v>
      </c>
      <c r="AC662">
        <v>0</v>
      </c>
      <c r="AD662">
        <v>9</v>
      </c>
      <c r="AE662">
        <v>0</v>
      </c>
      <c r="AF662">
        <v>3</v>
      </c>
      <c r="AG662">
        <v>1</v>
      </c>
      <c r="AH662">
        <v>0</v>
      </c>
      <c r="AI662" t="s">
        <v>377</v>
      </c>
      <c r="AJ662">
        <v>33.183689000000001</v>
      </c>
      <c r="AK662" t="s">
        <v>378</v>
      </c>
      <c r="AL662">
        <v>-97.746004999999997</v>
      </c>
      <c r="AM662">
        <v>25</v>
      </c>
      <c r="AN662">
        <v>3300</v>
      </c>
      <c r="AO662" t="s">
        <v>118</v>
      </c>
      <c r="AP662">
        <v>56</v>
      </c>
      <c r="AQ662">
        <v>-75</v>
      </c>
      <c r="AR662">
        <v>-64</v>
      </c>
      <c r="AZ662">
        <v>1200</v>
      </c>
      <c r="BA662">
        <v>1</v>
      </c>
      <c r="BB662" t="str">
        <f t="shared" ref="BB662:BB725" si="200">"N733KP  "</f>
        <v xml:space="preserve">N733KP  </v>
      </c>
      <c r="BC662">
        <v>1</v>
      </c>
      <c r="BE662">
        <v>0</v>
      </c>
      <c r="BF662">
        <v>0</v>
      </c>
      <c r="BG662">
        <v>0</v>
      </c>
      <c r="BH662">
        <v>3250</v>
      </c>
      <c r="BI662">
        <v>1</v>
      </c>
      <c r="BJ662">
        <v>1</v>
      </c>
      <c r="BK662">
        <v>0</v>
      </c>
      <c r="BL662">
        <v>0</v>
      </c>
      <c r="BO662">
        <v>0</v>
      </c>
      <c r="BP662">
        <v>0</v>
      </c>
      <c r="BW662" t="str">
        <f>"22:12:14.518"</f>
        <v>22:12:14.518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364</v>
      </c>
      <c r="CR662">
        <v>0</v>
      </c>
      <c r="CW662">
        <v>1389695</v>
      </c>
      <c r="CY662">
        <v>1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"03/24/2022 22:12:14.711"</f>
        <v>03/24/2022 22:12:14.711</v>
      </c>
      <c r="C663" t="str">
        <f t="shared" si="198"/>
        <v>FFDFD3C0</v>
      </c>
      <c r="D663" t="s">
        <v>113</v>
      </c>
      <c r="E663">
        <v>24</v>
      </c>
      <c r="F663">
        <v>2024</v>
      </c>
      <c r="G663" t="s">
        <v>114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 t="shared" si="199"/>
        <v>22:12:14.000</v>
      </c>
      <c r="T663" t="str">
        <f t="shared" si="199"/>
        <v>22:12:14.000</v>
      </c>
      <c r="U663" t="str">
        <f t="shared" si="193"/>
        <v>A9D71F</v>
      </c>
      <c r="V663">
        <v>0</v>
      </c>
      <c r="W663">
        <v>0</v>
      </c>
      <c r="X663">
        <v>2</v>
      </c>
      <c r="Z663">
        <v>1</v>
      </c>
      <c r="AA663">
        <v>8</v>
      </c>
      <c r="AB663">
        <v>3</v>
      </c>
      <c r="AC663">
        <v>0</v>
      </c>
      <c r="AD663">
        <v>9</v>
      </c>
      <c r="AE663">
        <v>0</v>
      </c>
      <c r="AF663">
        <v>3</v>
      </c>
      <c r="AG663">
        <v>1</v>
      </c>
      <c r="AH663">
        <v>0</v>
      </c>
      <c r="AI663" t="s">
        <v>377</v>
      </c>
      <c r="AJ663">
        <v>33.183689000000001</v>
      </c>
      <c r="AK663" t="s">
        <v>378</v>
      </c>
      <c r="AL663">
        <v>-97.746004999999997</v>
      </c>
      <c r="AM663">
        <v>25</v>
      </c>
      <c r="AN663">
        <v>3300</v>
      </c>
      <c r="AO663" t="s">
        <v>118</v>
      </c>
      <c r="AP663">
        <v>56</v>
      </c>
      <c r="AQ663">
        <v>-75</v>
      </c>
      <c r="AR663">
        <v>-64</v>
      </c>
      <c r="AZ663">
        <v>1200</v>
      </c>
      <c r="BA663">
        <v>1</v>
      </c>
      <c r="BB663" t="str">
        <f t="shared" si="200"/>
        <v xml:space="preserve">N733KP  </v>
      </c>
      <c r="BC663">
        <v>1</v>
      </c>
      <c r="BE663">
        <v>0</v>
      </c>
      <c r="BF663">
        <v>0</v>
      </c>
      <c r="BG663">
        <v>0</v>
      </c>
      <c r="BH663">
        <v>3250</v>
      </c>
      <c r="BI663">
        <v>1</v>
      </c>
      <c r="BJ663">
        <v>1</v>
      </c>
      <c r="BK663">
        <v>0</v>
      </c>
      <c r="BL663">
        <v>0</v>
      </c>
      <c r="BO663">
        <v>0</v>
      </c>
      <c r="BP663">
        <v>0</v>
      </c>
      <c r="BW663" t="str">
        <f>"22:12:14.518"</f>
        <v>22:12:14.518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364</v>
      </c>
      <c r="CR663">
        <v>0</v>
      </c>
      <c r="CW663">
        <v>1389695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"03/24/2022 22:12:14.711"</f>
        <v>03/24/2022 22:12:14.711</v>
      </c>
      <c r="C664" t="str">
        <f t="shared" si="198"/>
        <v>FFDFD3C0</v>
      </c>
      <c r="D664" t="s">
        <v>123</v>
      </c>
      <c r="E664">
        <v>8</v>
      </c>
      <c r="H664">
        <v>31</v>
      </c>
      <c r="I664" t="s">
        <v>124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 t="shared" si="199"/>
        <v>22:12:14.000</v>
      </c>
      <c r="T664" t="str">
        <f t="shared" si="199"/>
        <v>22:12:14.000</v>
      </c>
      <c r="U664" t="str">
        <f t="shared" si="193"/>
        <v>A9D71F</v>
      </c>
      <c r="V664">
        <v>0</v>
      </c>
      <c r="W664">
        <v>0</v>
      </c>
      <c r="X664">
        <v>2</v>
      </c>
      <c r="Z664">
        <v>1</v>
      </c>
      <c r="AA664">
        <v>8</v>
      </c>
      <c r="AB664">
        <v>3</v>
      </c>
      <c r="AC664">
        <v>0</v>
      </c>
      <c r="AD664">
        <v>9</v>
      </c>
      <c r="AE664">
        <v>0</v>
      </c>
      <c r="AF664">
        <v>3</v>
      </c>
      <c r="AG664">
        <v>1</v>
      </c>
      <c r="AH664">
        <v>0</v>
      </c>
      <c r="AI664" t="s">
        <v>377</v>
      </c>
      <c r="AJ664">
        <v>33.183689000000001</v>
      </c>
      <c r="AK664" t="s">
        <v>378</v>
      </c>
      <c r="AL664">
        <v>-97.746004999999997</v>
      </c>
      <c r="AM664">
        <v>25</v>
      </c>
      <c r="AN664">
        <v>3300</v>
      </c>
      <c r="AO664" t="s">
        <v>118</v>
      </c>
      <c r="AP664">
        <v>56</v>
      </c>
      <c r="AQ664">
        <v>-75</v>
      </c>
      <c r="AR664">
        <v>-64</v>
      </c>
      <c r="AZ664">
        <v>1200</v>
      </c>
      <c r="BA664">
        <v>1</v>
      </c>
      <c r="BB664" t="str">
        <f t="shared" si="200"/>
        <v xml:space="preserve">N733KP  </v>
      </c>
      <c r="BC664">
        <v>1</v>
      </c>
      <c r="BE664">
        <v>0</v>
      </c>
      <c r="BF664">
        <v>0</v>
      </c>
      <c r="BG664">
        <v>0</v>
      </c>
      <c r="BH664">
        <v>3250</v>
      </c>
      <c r="BI664">
        <v>1</v>
      </c>
      <c r="BJ664">
        <v>1</v>
      </c>
      <c r="BK664">
        <v>0</v>
      </c>
      <c r="BL664">
        <v>0</v>
      </c>
      <c r="BO664">
        <v>0</v>
      </c>
      <c r="BP664">
        <v>0</v>
      </c>
      <c r="BW664" t="str">
        <f>"22:12:14.518"</f>
        <v>22:12:14.518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364</v>
      </c>
      <c r="CR664">
        <v>0</v>
      </c>
      <c r="CW664">
        <v>1389695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"03/24/2022 22:12:14.711"</f>
        <v>03/24/2022 22:12:14.711</v>
      </c>
      <c r="C665" t="str">
        <f t="shared" si="198"/>
        <v>FFDFD3C0</v>
      </c>
      <c r="D665" t="s">
        <v>120</v>
      </c>
      <c r="E665">
        <v>14</v>
      </c>
      <c r="F665">
        <v>1014</v>
      </c>
      <c r="G665" t="s">
        <v>121</v>
      </c>
      <c r="J665" t="s">
        <v>122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 t="shared" si="199"/>
        <v>22:12:14.000</v>
      </c>
      <c r="T665" t="str">
        <f t="shared" si="199"/>
        <v>22:12:14.000</v>
      </c>
      <c r="U665" t="str">
        <f t="shared" si="193"/>
        <v>A9D71F</v>
      </c>
      <c r="V665">
        <v>0</v>
      </c>
      <c r="W665">
        <v>0</v>
      </c>
      <c r="X665">
        <v>2</v>
      </c>
      <c r="Z665">
        <v>1</v>
      </c>
      <c r="AA665">
        <v>8</v>
      </c>
      <c r="AB665">
        <v>3</v>
      </c>
      <c r="AC665">
        <v>0</v>
      </c>
      <c r="AD665">
        <v>9</v>
      </c>
      <c r="AE665">
        <v>0</v>
      </c>
      <c r="AF665">
        <v>3</v>
      </c>
      <c r="AG665">
        <v>1</v>
      </c>
      <c r="AH665">
        <v>0</v>
      </c>
      <c r="AI665" t="s">
        <v>377</v>
      </c>
      <c r="AJ665">
        <v>33.183689000000001</v>
      </c>
      <c r="AK665" t="s">
        <v>378</v>
      </c>
      <c r="AL665">
        <v>-97.746004999999997</v>
      </c>
      <c r="AM665">
        <v>25</v>
      </c>
      <c r="AN665">
        <v>3300</v>
      </c>
      <c r="AO665" t="s">
        <v>118</v>
      </c>
      <c r="AP665">
        <v>56</v>
      </c>
      <c r="AQ665">
        <v>-75</v>
      </c>
      <c r="AR665">
        <v>-64</v>
      </c>
      <c r="AZ665">
        <v>1200</v>
      </c>
      <c r="BA665">
        <v>1</v>
      </c>
      <c r="BB665" t="str">
        <f t="shared" si="200"/>
        <v xml:space="preserve">N733KP  </v>
      </c>
      <c r="BC665">
        <v>1</v>
      </c>
      <c r="BE665">
        <v>0</v>
      </c>
      <c r="BF665">
        <v>0</v>
      </c>
      <c r="BG665">
        <v>0</v>
      </c>
      <c r="BH665">
        <v>3250</v>
      </c>
      <c r="BI665">
        <v>1</v>
      </c>
      <c r="BJ665">
        <v>1</v>
      </c>
      <c r="BK665">
        <v>0</v>
      </c>
      <c r="BL665">
        <v>0</v>
      </c>
      <c r="BO665">
        <v>0</v>
      </c>
      <c r="BP665">
        <v>0</v>
      </c>
      <c r="BW665" t="str">
        <f>"22:12:14.518"</f>
        <v>22:12:14.518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364</v>
      </c>
      <c r="CR665">
        <v>0</v>
      </c>
      <c r="CW665">
        <v>1389695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"03/24/2022 22:12:16.042"</f>
        <v>03/24/2022 22:12:16.042</v>
      </c>
      <c r="C666" t="str">
        <f t="shared" si="198"/>
        <v>FFDFD3C0</v>
      </c>
      <c r="D666" t="s">
        <v>126</v>
      </c>
      <c r="E666">
        <v>3</v>
      </c>
      <c r="H666">
        <v>160</v>
      </c>
      <c r="I666" t="s">
        <v>121</v>
      </c>
      <c r="J666" t="s">
        <v>127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 t="shared" ref="S666:T669" si="201">"22:12:15.000"</f>
        <v>22:12:15.000</v>
      </c>
      <c r="T666" t="str">
        <f t="shared" si="201"/>
        <v>22:12:15.000</v>
      </c>
      <c r="U666" t="str">
        <f t="shared" si="193"/>
        <v>A9D71F</v>
      </c>
      <c r="V666">
        <v>0</v>
      </c>
      <c r="W666">
        <v>0</v>
      </c>
      <c r="X666">
        <v>2</v>
      </c>
      <c r="Z666">
        <v>1</v>
      </c>
      <c r="AA666">
        <v>8</v>
      </c>
      <c r="AB666">
        <v>3</v>
      </c>
      <c r="AC666">
        <v>0</v>
      </c>
      <c r="AD666">
        <v>9</v>
      </c>
      <c r="AE666">
        <v>0</v>
      </c>
      <c r="AF666">
        <v>3</v>
      </c>
      <c r="AG666">
        <v>1</v>
      </c>
      <c r="AH666">
        <v>0</v>
      </c>
      <c r="AI666" t="s">
        <v>379</v>
      </c>
      <c r="AJ666">
        <v>33.183366999999997</v>
      </c>
      <c r="AK666" t="s">
        <v>380</v>
      </c>
      <c r="AL666">
        <v>-97.745683</v>
      </c>
      <c r="AM666">
        <v>25</v>
      </c>
      <c r="AN666">
        <v>3300</v>
      </c>
      <c r="AO666" t="s">
        <v>118</v>
      </c>
      <c r="AP666">
        <v>56</v>
      </c>
      <c r="AQ666">
        <v>-81</v>
      </c>
      <c r="AR666">
        <v>-192</v>
      </c>
      <c r="AZ666">
        <v>1200</v>
      </c>
      <c r="BA666">
        <v>1</v>
      </c>
      <c r="BB666" t="str">
        <f t="shared" si="200"/>
        <v xml:space="preserve">N733KP  </v>
      </c>
      <c r="BC666">
        <v>1</v>
      </c>
      <c r="BE666">
        <v>0</v>
      </c>
      <c r="BF666">
        <v>0</v>
      </c>
      <c r="BG666">
        <v>0</v>
      </c>
      <c r="BH666">
        <v>3250</v>
      </c>
      <c r="BI666">
        <v>1</v>
      </c>
      <c r="BJ666">
        <v>1</v>
      </c>
      <c r="BK666">
        <v>0</v>
      </c>
      <c r="BL666">
        <v>0</v>
      </c>
      <c r="BO666">
        <v>0</v>
      </c>
      <c r="BP666">
        <v>0</v>
      </c>
      <c r="BW666" t="str">
        <f>"22:12:15.811"</f>
        <v>22:12:15.811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364</v>
      </c>
      <c r="CR666">
        <v>0</v>
      </c>
      <c r="CW666">
        <v>1389877</v>
      </c>
      <c r="CY666">
        <v>1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"03/24/2022 22:12:16.042"</f>
        <v>03/24/2022 22:12:16.042</v>
      </c>
      <c r="C667" t="str">
        <f t="shared" si="198"/>
        <v>FFDFD3C0</v>
      </c>
      <c r="D667" t="s">
        <v>113</v>
      </c>
      <c r="E667">
        <v>24</v>
      </c>
      <c r="F667">
        <v>2024</v>
      </c>
      <c r="G667" t="s">
        <v>114</v>
      </c>
      <c r="J667" t="s">
        <v>115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 t="shared" si="201"/>
        <v>22:12:15.000</v>
      </c>
      <c r="T667" t="str">
        <f t="shared" si="201"/>
        <v>22:12:15.000</v>
      </c>
      <c r="U667" t="str">
        <f t="shared" si="193"/>
        <v>A9D71F</v>
      </c>
      <c r="V667">
        <v>0</v>
      </c>
      <c r="W667">
        <v>0</v>
      </c>
      <c r="X667">
        <v>2</v>
      </c>
      <c r="Z667">
        <v>1</v>
      </c>
      <c r="AA667">
        <v>8</v>
      </c>
      <c r="AB667">
        <v>3</v>
      </c>
      <c r="AC667">
        <v>0</v>
      </c>
      <c r="AD667">
        <v>9</v>
      </c>
      <c r="AE667">
        <v>0</v>
      </c>
      <c r="AF667">
        <v>3</v>
      </c>
      <c r="AG667">
        <v>1</v>
      </c>
      <c r="AH667">
        <v>0</v>
      </c>
      <c r="AI667" t="s">
        <v>379</v>
      </c>
      <c r="AJ667">
        <v>33.183366999999997</v>
      </c>
      <c r="AK667" t="s">
        <v>380</v>
      </c>
      <c r="AL667">
        <v>-97.745683</v>
      </c>
      <c r="AM667">
        <v>25</v>
      </c>
      <c r="AN667">
        <v>3300</v>
      </c>
      <c r="AO667" t="s">
        <v>118</v>
      </c>
      <c r="AP667">
        <v>56</v>
      </c>
      <c r="AQ667">
        <v>-81</v>
      </c>
      <c r="AR667">
        <v>-192</v>
      </c>
      <c r="AZ667">
        <v>1200</v>
      </c>
      <c r="BA667">
        <v>1</v>
      </c>
      <c r="BB667" t="str">
        <f t="shared" si="200"/>
        <v xml:space="preserve">N733KP  </v>
      </c>
      <c r="BC667">
        <v>1</v>
      </c>
      <c r="BE667">
        <v>0</v>
      </c>
      <c r="BF667">
        <v>0</v>
      </c>
      <c r="BG667">
        <v>0</v>
      </c>
      <c r="BH667">
        <v>3250</v>
      </c>
      <c r="BI667">
        <v>1</v>
      </c>
      <c r="BJ667">
        <v>1</v>
      </c>
      <c r="BK667">
        <v>0</v>
      </c>
      <c r="BL667">
        <v>0</v>
      </c>
      <c r="BO667">
        <v>0</v>
      </c>
      <c r="BP667">
        <v>0</v>
      </c>
      <c r="BW667" t="str">
        <f>"22:12:15.811"</f>
        <v>22:12:15.811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364</v>
      </c>
      <c r="CR667">
        <v>0</v>
      </c>
      <c r="CW667">
        <v>1389877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"03/24/2022 22:12:16.042"</f>
        <v>03/24/2022 22:12:16.042</v>
      </c>
      <c r="C668" t="str">
        <f t="shared" si="198"/>
        <v>FFDFD3C0</v>
      </c>
      <c r="D668" t="s">
        <v>123</v>
      </c>
      <c r="E668">
        <v>8</v>
      </c>
      <c r="H668">
        <v>31</v>
      </c>
      <c r="I668" t="s">
        <v>124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 t="shared" si="201"/>
        <v>22:12:15.000</v>
      </c>
      <c r="T668" t="str">
        <f t="shared" si="201"/>
        <v>22:12:15.000</v>
      </c>
      <c r="U668" t="str">
        <f t="shared" si="193"/>
        <v>A9D71F</v>
      </c>
      <c r="V668">
        <v>0</v>
      </c>
      <c r="W668">
        <v>0</v>
      </c>
      <c r="X668">
        <v>2</v>
      </c>
      <c r="Z668">
        <v>1</v>
      </c>
      <c r="AA668">
        <v>8</v>
      </c>
      <c r="AB668">
        <v>3</v>
      </c>
      <c r="AC668">
        <v>0</v>
      </c>
      <c r="AD668">
        <v>9</v>
      </c>
      <c r="AE668">
        <v>0</v>
      </c>
      <c r="AF668">
        <v>3</v>
      </c>
      <c r="AG668">
        <v>1</v>
      </c>
      <c r="AH668">
        <v>0</v>
      </c>
      <c r="AI668" t="s">
        <v>379</v>
      </c>
      <c r="AJ668">
        <v>33.183366999999997</v>
      </c>
      <c r="AK668" t="s">
        <v>380</v>
      </c>
      <c r="AL668">
        <v>-97.745683</v>
      </c>
      <c r="AM668">
        <v>25</v>
      </c>
      <c r="AN668">
        <v>3300</v>
      </c>
      <c r="AO668" t="s">
        <v>118</v>
      </c>
      <c r="AP668">
        <v>56</v>
      </c>
      <c r="AQ668">
        <v>-81</v>
      </c>
      <c r="AR668">
        <v>-192</v>
      </c>
      <c r="AZ668">
        <v>1200</v>
      </c>
      <c r="BA668">
        <v>1</v>
      </c>
      <c r="BB668" t="str">
        <f t="shared" si="200"/>
        <v xml:space="preserve">N733KP  </v>
      </c>
      <c r="BC668">
        <v>1</v>
      </c>
      <c r="BE668">
        <v>0</v>
      </c>
      <c r="BF668">
        <v>0</v>
      </c>
      <c r="BG668">
        <v>0</v>
      </c>
      <c r="BH668">
        <v>3250</v>
      </c>
      <c r="BI668">
        <v>1</v>
      </c>
      <c r="BJ668">
        <v>1</v>
      </c>
      <c r="BK668">
        <v>0</v>
      </c>
      <c r="BL668">
        <v>0</v>
      </c>
      <c r="BO668">
        <v>0</v>
      </c>
      <c r="BP668">
        <v>0</v>
      </c>
      <c r="BW668" t="str">
        <f>"22:12:15.811"</f>
        <v>22:12:15.811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364</v>
      </c>
      <c r="CR668">
        <v>0</v>
      </c>
      <c r="CW668">
        <v>1389877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"03/24/2022 22:12:16.042"</f>
        <v>03/24/2022 22:12:16.042</v>
      </c>
      <c r="C669" t="str">
        <f t="shared" si="198"/>
        <v>FFDFD3C0</v>
      </c>
      <c r="D669" t="s">
        <v>120</v>
      </c>
      <c r="E669">
        <v>14</v>
      </c>
      <c r="F669">
        <v>1014</v>
      </c>
      <c r="G669" t="s">
        <v>121</v>
      </c>
      <c r="J669" t="s">
        <v>122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 t="shared" si="201"/>
        <v>22:12:15.000</v>
      </c>
      <c r="T669" t="str">
        <f t="shared" si="201"/>
        <v>22:12:15.000</v>
      </c>
      <c r="U669" t="str">
        <f t="shared" si="193"/>
        <v>A9D71F</v>
      </c>
      <c r="V669">
        <v>0</v>
      </c>
      <c r="W669">
        <v>0</v>
      </c>
      <c r="X669">
        <v>2</v>
      </c>
      <c r="Z669">
        <v>1</v>
      </c>
      <c r="AA669">
        <v>8</v>
      </c>
      <c r="AB669">
        <v>3</v>
      </c>
      <c r="AC669">
        <v>0</v>
      </c>
      <c r="AD669">
        <v>9</v>
      </c>
      <c r="AE669">
        <v>0</v>
      </c>
      <c r="AF669">
        <v>3</v>
      </c>
      <c r="AG669">
        <v>1</v>
      </c>
      <c r="AH669">
        <v>0</v>
      </c>
      <c r="AI669" t="s">
        <v>379</v>
      </c>
      <c r="AJ669">
        <v>33.183366999999997</v>
      </c>
      <c r="AK669" t="s">
        <v>380</v>
      </c>
      <c r="AL669">
        <v>-97.745683</v>
      </c>
      <c r="AM669">
        <v>25</v>
      </c>
      <c r="AN669">
        <v>3300</v>
      </c>
      <c r="AO669" t="s">
        <v>118</v>
      </c>
      <c r="AP669">
        <v>56</v>
      </c>
      <c r="AQ669">
        <v>-81</v>
      </c>
      <c r="AR669">
        <v>-192</v>
      </c>
      <c r="AZ669">
        <v>1200</v>
      </c>
      <c r="BA669">
        <v>1</v>
      </c>
      <c r="BB669" t="str">
        <f t="shared" si="200"/>
        <v xml:space="preserve">N733KP  </v>
      </c>
      <c r="BC669">
        <v>1</v>
      </c>
      <c r="BE669">
        <v>0</v>
      </c>
      <c r="BF669">
        <v>0</v>
      </c>
      <c r="BG669">
        <v>0</v>
      </c>
      <c r="BH669">
        <v>3250</v>
      </c>
      <c r="BI669">
        <v>1</v>
      </c>
      <c r="BJ669">
        <v>1</v>
      </c>
      <c r="BK669">
        <v>0</v>
      </c>
      <c r="BL669">
        <v>0</v>
      </c>
      <c r="BO669">
        <v>0</v>
      </c>
      <c r="BP669">
        <v>0</v>
      </c>
      <c r="BW669" t="str">
        <f>"22:12:15.811"</f>
        <v>22:12:15.811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364</v>
      </c>
      <c r="CR669">
        <v>0</v>
      </c>
      <c r="CW669">
        <v>1389877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"03/24/2022 22:12:17.136"</f>
        <v>03/24/2022 22:12:17.136</v>
      </c>
      <c r="C670" t="str">
        <f t="shared" si="198"/>
        <v>FFDFD3C0</v>
      </c>
      <c r="D670" t="s">
        <v>126</v>
      </c>
      <c r="E670">
        <v>3</v>
      </c>
      <c r="H670">
        <v>160</v>
      </c>
      <c r="I670" t="s">
        <v>121</v>
      </c>
      <c r="J670" t="s">
        <v>127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 t="shared" ref="S670:T673" si="202">"22:12:16.000"</f>
        <v>22:12:16.000</v>
      </c>
      <c r="T670" t="str">
        <f t="shared" si="202"/>
        <v>22:12:16.000</v>
      </c>
      <c r="U670" t="str">
        <f t="shared" si="193"/>
        <v>A9D71F</v>
      </c>
      <c r="V670">
        <v>0</v>
      </c>
      <c r="W670">
        <v>0</v>
      </c>
      <c r="X670">
        <v>2</v>
      </c>
      <c r="Z670">
        <v>1</v>
      </c>
      <c r="AA670">
        <v>8</v>
      </c>
      <c r="AB670">
        <v>3</v>
      </c>
      <c r="AC670">
        <v>0</v>
      </c>
      <c r="AD670">
        <v>9</v>
      </c>
      <c r="AE670">
        <v>0</v>
      </c>
      <c r="AF670">
        <v>3</v>
      </c>
      <c r="AG670">
        <v>1</v>
      </c>
      <c r="AH670">
        <v>0</v>
      </c>
      <c r="AI670" t="s">
        <v>381</v>
      </c>
      <c r="AJ670">
        <v>33.182980999999998</v>
      </c>
      <c r="AK670" t="s">
        <v>382</v>
      </c>
      <c r="AL670">
        <v>-97.745361000000003</v>
      </c>
      <c r="AM670">
        <v>25</v>
      </c>
      <c r="AN670">
        <v>3300</v>
      </c>
      <c r="AO670" t="s">
        <v>118</v>
      </c>
      <c r="AP670">
        <v>54</v>
      </c>
      <c r="AQ670">
        <v>-84</v>
      </c>
      <c r="AR670">
        <v>-256</v>
      </c>
      <c r="AZ670">
        <v>1200</v>
      </c>
      <c r="BA670">
        <v>1</v>
      </c>
      <c r="BB670" t="str">
        <f t="shared" si="200"/>
        <v xml:space="preserve">N733KP  </v>
      </c>
      <c r="BC670">
        <v>1</v>
      </c>
      <c r="BE670">
        <v>0</v>
      </c>
      <c r="BF670">
        <v>0</v>
      </c>
      <c r="BG670">
        <v>0</v>
      </c>
      <c r="BH670">
        <v>3250</v>
      </c>
      <c r="BI670">
        <v>1</v>
      </c>
      <c r="BJ670">
        <v>1</v>
      </c>
      <c r="BK670">
        <v>0</v>
      </c>
      <c r="BL670">
        <v>0</v>
      </c>
      <c r="BO670">
        <v>0</v>
      </c>
      <c r="BP670">
        <v>0</v>
      </c>
      <c r="BW670" t="str">
        <f>"22:12:16.972"</f>
        <v>22:12:16.972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364</v>
      </c>
      <c r="CR670">
        <v>0</v>
      </c>
      <c r="CW670">
        <v>1390055</v>
      </c>
      <c r="CY670">
        <v>1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"03/24/2022 22:12:17.136"</f>
        <v>03/24/2022 22:12:17.136</v>
      </c>
      <c r="C671" t="str">
        <f t="shared" si="198"/>
        <v>FFDFD3C0</v>
      </c>
      <c r="D671" t="s">
        <v>113</v>
      </c>
      <c r="E671">
        <v>24</v>
      </c>
      <c r="F671">
        <v>2024</v>
      </c>
      <c r="G671" t="s">
        <v>114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 t="shared" si="202"/>
        <v>22:12:16.000</v>
      </c>
      <c r="T671" t="str">
        <f t="shared" si="202"/>
        <v>22:12:16.000</v>
      </c>
      <c r="U671" t="str">
        <f t="shared" si="193"/>
        <v>A9D71F</v>
      </c>
      <c r="V671">
        <v>0</v>
      </c>
      <c r="W671">
        <v>0</v>
      </c>
      <c r="X671">
        <v>2</v>
      </c>
      <c r="Z671">
        <v>1</v>
      </c>
      <c r="AA671">
        <v>8</v>
      </c>
      <c r="AB671">
        <v>3</v>
      </c>
      <c r="AC671">
        <v>0</v>
      </c>
      <c r="AD671">
        <v>9</v>
      </c>
      <c r="AE671">
        <v>0</v>
      </c>
      <c r="AF671">
        <v>3</v>
      </c>
      <c r="AG671">
        <v>1</v>
      </c>
      <c r="AH671">
        <v>0</v>
      </c>
      <c r="AI671" t="s">
        <v>381</v>
      </c>
      <c r="AJ671">
        <v>33.182980999999998</v>
      </c>
      <c r="AK671" t="s">
        <v>382</v>
      </c>
      <c r="AL671">
        <v>-97.745361000000003</v>
      </c>
      <c r="AM671">
        <v>25</v>
      </c>
      <c r="AN671">
        <v>3300</v>
      </c>
      <c r="AO671" t="s">
        <v>118</v>
      </c>
      <c r="AP671">
        <v>54</v>
      </c>
      <c r="AQ671">
        <v>-84</v>
      </c>
      <c r="AR671">
        <v>-256</v>
      </c>
      <c r="AZ671">
        <v>1200</v>
      </c>
      <c r="BA671">
        <v>1</v>
      </c>
      <c r="BB671" t="str">
        <f t="shared" si="200"/>
        <v xml:space="preserve">N733KP  </v>
      </c>
      <c r="BC671">
        <v>1</v>
      </c>
      <c r="BE671">
        <v>0</v>
      </c>
      <c r="BF671">
        <v>0</v>
      </c>
      <c r="BG671">
        <v>0</v>
      </c>
      <c r="BH671">
        <v>3250</v>
      </c>
      <c r="BI671">
        <v>1</v>
      </c>
      <c r="BJ671">
        <v>1</v>
      </c>
      <c r="BK671">
        <v>0</v>
      </c>
      <c r="BL671">
        <v>0</v>
      </c>
      <c r="BO671">
        <v>0</v>
      </c>
      <c r="BP671">
        <v>0</v>
      </c>
      <c r="BW671" t="str">
        <f>"22:12:16.972"</f>
        <v>22:12:16.972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364</v>
      </c>
      <c r="CR671">
        <v>0</v>
      </c>
      <c r="CW671">
        <v>1390055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"03/24/2022 22:12:17.136"</f>
        <v>03/24/2022 22:12:17.136</v>
      </c>
      <c r="C672" t="str">
        <f t="shared" si="198"/>
        <v>FFDFD3C0</v>
      </c>
      <c r="D672" t="s">
        <v>123</v>
      </c>
      <c r="E672">
        <v>8</v>
      </c>
      <c r="H672">
        <v>31</v>
      </c>
      <c r="I672" t="s">
        <v>124</v>
      </c>
      <c r="J672" t="s">
        <v>125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 t="shared" si="202"/>
        <v>22:12:16.000</v>
      </c>
      <c r="T672" t="str">
        <f t="shared" si="202"/>
        <v>22:12:16.000</v>
      </c>
      <c r="U672" t="str">
        <f t="shared" si="193"/>
        <v>A9D71F</v>
      </c>
      <c r="V672">
        <v>0</v>
      </c>
      <c r="W672">
        <v>0</v>
      </c>
      <c r="X672">
        <v>2</v>
      </c>
      <c r="Z672">
        <v>1</v>
      </c>
      <c r="AA672">
        <v>8</v>
      </c>
      <c r="AB672">
        <v>3</v>
      </c>
      <c r="AC672">
        <v>0</v>
      </c>
      <c r="AD672">
        <v>9</v>
      </c>
      <c r="AE672">
        <v>0</v>
      </c>
      <c r="AF672">
        <v>3</v>
      </c>
      <c r="AG672">
        <v>1</v>
      </c>
      <c r="AH672">
        <v>0</v>
      </c>
      <c r="AI672" t="s">
        <v>381</v>
      </c>
      <c r="AJ672">
        <v>33.182980999999998</v>
      </c>
      <c r="AK672" t="s">
        <v>382</v>
      </c>
      <c r="AL672">
        <v>-97.745361000000003</v>
      </c>
      <c r="AM672">
        <v>25</v>
      </c>
      <c r="AN672">
        <v>3300</v>
      </c>
      <c r="AO672" t="s">
        <v>118</v>
      </c>
      <c r="AP672">
        <v>54</v>
      </c>
      <c r="AQ672">
        <v>-84</v>
      </c>
      <c r="AR672">
        <v>-256</v>
      </c>
      <c r="AZ672">
        <v>1200</v>
      </c>
      <c r="BA672">
        <v>1</v>
      </c>
      <c r="BB672" t="str">
        <f t="shared" si="200"/>
        <v xml:space="preserve">N733KP  </v>
      </c>
      <c r="BC672">
        <v>1</v>
      </c>
      <c r="BE672">
        <v>0</v>
      </c>
      <c r="BF672">
        <v>0</v>
      </c>
      <c r="BG672">
        <v>0</v>
      </c>
      <c r="BH672">
        <v>3250</v>
      </c>
      <c r="BI672">
        <v>1</v>
      </c>
      <c r="BJ672">
        <v>1</v>
      </c>
      <c r="BK672">
        <v>0</v>
      </c>
      <c r="BL672">
        <v>0</v>
      </c>
      <c r="BO672">
        <v>0</v>
      </c>
      <c r="BP672">
        <v>0</v>
      </c>
      <c r="BW672" t="str">
        <f>"22:12:16.972"</f>
        <v>22:12:16.972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364</v>
      </c>
      <c r="CR672">
        <v>0</v>
      </c>
      <c r="CW672">
        <v>1390055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"03/24/2022 22:12:17.215"</f>
        <v>03/24/2022 22:12:17.215</v>
      </c>
      <c r="C673" t="str">
        <f t="shared" si="198"/>
        <v>FFDFD3C0</v>
      </c>
      <c r="D673" t="s">
        <v>120</v>
      </c>
      <c r="E673">
        <v>14</v>
      </c>
      <c r="F673">
        <v>1014</v>
      </c>
      <c r="G673" t="s">
        <v>121</v>
      </c>
      <c r="J673" t="s">
        <v>122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 t="shared" si="202"/>
        <v>22:12:16.000</v>
      </c>
      <c r="T673" t="str">
        <f t="shared" si="202"/>
        <v>22:12:16.000</v>
      </c>
      <c r="U673" t="str">
        <f t="shared" si="193"/>
        <v>A9D71F</v>
      </c>
      <c r="V673">
        <v>0</v>
      </c>
      <c r="W673">
        <v>0</v>
      </c>
      <c r="X673">
        <v>2</v>
      </c>
      <c r="Z673">
        <v>1</v>
      </c>
      <c r="AA673">
        <v>8</v>
      </c>
      <c r="AB673">
        <v>3</v>
      </c>
      <c r="AC673">
        <v>0</v>
      </c>
      <c r="AD673">
        <v>9</v>
      </c>
      <c r="AE673">
        <v>0</v>
      </c>
      <c r="AF673">
        <v>3</v>
      </c>
      <c r="AG673">
        <v>1</v>
      </c>
      <c r="AH673">
        <v>0</v>
      </c>
      <c r="AI673" t="s">
        <v>381</v>
      </c>
      <c r="AJ673">
        <v>33.182980999999998</v>
      </c>
      <c r="AK673" t="s">
        <v>382</v>
      </c>
      <c r="AL673">
        <v>-97.745361000000003</v>
      </c>
      <c r="AM673">
        <v>25</v>
      </c>
      <c r="AN673">
        <v>3300</v>
      </c>
      <c r="AO673" t="s">
        <v>118</v>
      </c>
      <c r="AP673">
        <v>54</v>
      </c>
      <c r="AQ673">
        <v>-84</v>
      </c>
      <c r="AR673">
        <v>-256</v>
      </c>
      <c r="AZ673">
        <v>1200</v>
      </c>
      <c r="BA673">
        <v>1</v>
      </c>
      <c r="BB673" t="str">
        <f t="shared" si="200"/>
        <v xml:space="preserve">N733KP  </v>
      </c>
      <c r="BC673">
        <v>1</v>
      </c>
      <c r="BE673">
        <v>0</v>
      </c>
      <c r="BF673">
        <v>0</v>
      </c>
      <c r="BG673">
        <v>0</v>
      </c>
      <c r="BH673">
        <v>3250</v>
      </c>
      <c r="BI673">
        <v>1</v>
      </c>
      <c r="BJ673">
        <v>1</v>
      </c>
      <c r="BK673">
        <v>0</v>
      </c>
      <c r="BL673">
        <v>0</v>
      </c>
      <c r="BO673">
        <v>0</v>
      </c>
      <c r="BP673">
        <v>0</v>
      </c>
      <c r="BW673" t="str">
        <f>"22:12:16.972"</f>
        <v>22:12:16.972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364</v>
      </c>
      <c r="CR673">
        <v>0</v>
      </c>
      <c r="CW673">
        <v>1390055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"03/24/2022 22:12:17.636"</f>
        <v>03/24/2022 22:12:17.636</v>
      </c>
      <c r="C674" t="str">
        <f t="shared" si="198"/>
        <v>FFDFD3C0</v>
      </c>
      <c r="D674" t="s">
        <v>126</v>
      </c>
      <c r="E674">
        <v>3</v>
      </c>
      <c r="H674">
        <v>160</v>
      </c>
      <c r="I674" t="s">
        <v>121</v>
      </c>
      <c r="J674" t="s">
        <v>127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 t="shared" ref="S674:T677" si="203">"22:12:17.000"</f>
        <v>22:12:17.000</v>
      </c>
      <c r="T674" t="str">
        <f t="shared" si="203"/>
        <v>22:12:17.000</v>
      </c>
      <c r="U674" t="str">
        <f t="shared" si="193"/>
        <v>A9D71F</v>
      </c>
      <c r="V674">
        <v>0</v>
      </c>
      <c r="W674">
        <v>0</v>
      </c>
      <c r="X674">
        <v>2</v>
      </c>
      <c r="Z674">
        <v>1</v>
      </c>
      <c r="AA674">
        <v>8</v>
      </c>
      <c r="AB674">
        <v>3</v>
      </c>
      <c r="AC674">
        <v>0</v>
      </c>
      <c r="AD674">
        <v>9</v>
      </c>
      <c r="AE674">
        <v>0</v>
      </c>
      <c r="AF674">
        <v>3</v>
      </c>
      <c r="AG674">
        <v>1</v>
      </c>
      <c r="AH674">
        <v>0</v>
      </c>
      <c r="AI674" t="s">
        <v>383</v>
      </c>
      <c r="AJ674">
        <v>33.182572999999998</v>
      </c>
      <c r="AK674" t="s">
        <v>384</v>
      </c>
      <c r="AL674">
        <v>-97.745039000000006</v>
      </c>
      <c r="AM674">
        <v>25</v>
      </c>
      <c r="AN674">
        <v>3300</v>
      </c>
      <c r="AO674" t="s">
        <v>118</v>
      </c>
      <c r="AP674">
        <v>49</v>
      </c>
      <c r="AQ674">
        <v>-82</v>
      </c>
      <c r="AR674">
        <v>-256</v>
      </c>
      <c r="AZ674">
        <v>1200</v>
      </c>
      <c r="BA674">
        <v>1</v>
      </c>
      <c r="BB674" t="str">
        <f t="shared" si="200"/>
        <v xml:space="preserve">N733KP  </v>
      </c>
      <c r="BC674">
        <v>1</v>
      </c>
      <c r="BE674">
        <v>0</v>
      </c>
      <c r="BF674">
        <v>0</v>
      </c>
      <c r="BG674">
        <v>0</v>
      </c>
      <c r="BH674">
        <v>3250</v>
      </c>
      <c r="BI674">
        <v>1</v>
      </c>
      <c r="BJ674">
        <v>1</v>
      </c>
      <c r="BK674">
        <v>0</v>
      </c>
      <c r="BL674">
        <v>0</v>
      </c>
      <c r="BO674">
        <v>0</v>
      </c>
      <c r="BP674">
        <v>0</v>
      </c>
      <c r="BW674" t="str">
        <f>"22:12:17.472"</f>
        <v>22:12:17.472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364</v>
      </c>
      <c r="CR674">
        <v>0</v>
      </c>
      <c r="CW674">
        <v>1390134</v>
      </c>
      <c r="CY674">
        <v>1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"03/24/2022 22:12:17.636"</f>
        <v>03/24/2022 22:12:17.636</v>
      </c>
      <c r="C675" t="str">
        <f t="shared" si="198"/>
        <v>FFDFD3C0</v>
      </c>
      <c r="D675" t="s">
        <v>113</v>
      </c>
      <c r="E675">
        <v>24</v>
      </c>
      <c r="F675">
        <v>2024</v>
      </c>
      <c r="G675" t="s">
        <v>114</v>
      </c>
      <c r="J675" t="s">
        <v>115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 t="shared" si="203"/>
        <v>22:12:17.000</v>
      </c>
      <c r="T675" t="str">
        <f t="shared" si="203"/>
        <v>22:12:17.000</v>
      </c>
      <c r="U675" t="str">
        <f t="shared" si="193"/>
        <v>A9D71F</v>
      </c>
      <c r="V675">
        <v>0</v>
      </c>
      <c r="W675">
        <v>0</v>
      </c>
      <c r="X675">
        <v>2</v>
      </c>
      <c r="Z675">
        <v>1</v>
      </c>
      <c r="AA675">
        <v>8</v>
      </c>
      <c r="AB675">
        <v>3</v>
      </c>
      <c r="AC675">
        <v>0</v>
      </c>
      <c r="AD675">
        <v>9</v>
      </c>
      <c r="AE675">
        <v>0</v>
      </c>
      <c r="AF675">
        <v>3</v>
      </c>
      <c r="AG675">
        <v>1</v>
      </c>
      <c r="AH675">
        <v>0</v>
      </c>
      <c r="AI675" t="s">
        <v>383</v>
      </c>
      <c r="AJ675">
        <v>33.182572999999998</v>
      </c>
      <c r="AK675" t="s">
        <v>384</v>
      </c>
      <c r="AL675">
        <v>-97.745039000000006</v>
      </c>
      <c r="AM675">
        <v>25</v>
      </c>
      <c r="AN675">
        <v>3300</v>
      </c>
      <c r="AO675" t="s">
        <v>118</v>
      </c>
      <c r="AP675">
        <v>49</v>
      </c>
      <c r="AQ675">
        <v>-82</v>
      </c>
      <c r="AR675">
        <v>-256</v>
      </c>
      <c r="AZ675">
        <v>1200</v>
      </c>
      <c r="BA675">
        <v>1</v>
      </c>
      <c r="BB675" t="str">
        <f t="shared" si="200"/>
        <v xml:space="preserve">N733KP  </v>
      </c>
      <c r="BC675">
        <v>1</v>
      </c>
      <c r="BE675">
        <v>0</v>
      </c>
      <c r="BF675">
        <v>0</v>
      </c>
      <c r="BG675">
        <v>0</v>
      </c>
      <c r="BH675">
        <v>3250</v>
      </c>
      <c r="BI675">
        <v>1</v>
      </c>
      <c r="BJ675">
        <v>1</v>
      </c>
      <c r="BK675">
        <v>0</v>
      </c>
      <c r="BL675">
        <v>0</v>
      </c>
      <c r="BO675">
        <v>0</v>
      </c>
      <c r="BP675">
        <v>0</v>
      </c>
      <c r="BW675" t="str">
        <f>"22:12:17.472"</f>
        <v>22:12:17.472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364</v>
      </c>
      <c r="CR675">
        <v>0</v>
      </c>
      <c r="CW675">
        <v>1390134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"03/24/2022 22:12:17.636"</f>
        <v>03/24/2022 22:12:17.636</v>
      </c>
      <c r="C676" t="str">
        <f t="shared" si="198"/>
        <v>FFDFD3C0</v>
      </c>
      <c r="D676" t="s">
        <v>123</v>
      </c>
      <c r="E676">
        <v>8</v>
      </c>
      <c r="H676">
        <v>31</v>
      </c>
      <c r="I676" t="s">
        <v>124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 t="shared" si="203"/>
        <v>22:12:17.000</v>
      </c>
      <c r="T676" t="str">
        <f t="shared" si="203"/>
        <v>22:12:17.000</v>
      </c>
      <c r="U676" t="str">
        <f t="shared" si="193"/>
        <v>A9D71F</v>
      </c>
      <c r="V676">
        <v>0</v>
      </c>
      <c r="W676">
        <v>0</v>
      </c>
      <c r="X676">
        <v>2</v>
      </c>
      <c r="Z676">
        <v>1</v>
      </c>
      <c r="AA676">
        <v>8</v>
      </c>
      <c r="AB676">
        <v>3</v>
      </c>
      <c r="AC676">
        <v>0</v>
      </c>
      <c r="AD676">
        <v>9</v>
      </c>
      <c r="AE676">
        <v>0</v>
      </c>
      <c r="AF676">
        <v>3</v>
      </c>
      <c r="AG676">
        <v>1</v>
      </c>
      <c r="AH676">
        <v>0</v>
      </c>
      <c r="AI676" t="s">
        <v>383</v>
      </c>
      <c r="AJ676">
        <v>33.182572999999998</v>
      </c>
      <c r="AK676" t="s">
        <v>384</v>
      </c>
      <c r="AL676">
        <v>-97.745039000000006</v>
      </c>
      <c r="AM676">
        <v>25</v>
      </c>
      <c r="AN676">
        <v>3300</v>
      </c>
      <c r="AO676" t="s">
        <v>118</v>
      </c>
      <c r="AP676">
        <v>49</v>
      </c>
      <c r="AQ676">
        <v>-82</v>
      </c>
      <c r="AR676">
        <v>-256</v>
      </c>
      <c r="AZ676">
        <v>1200</v>
      </c>
      <c r="BA676">
        <v>1</v>
      </c>
      <c r="BB676" t="str">
        <f t="shared" si="200"/>
        <v xml:space="preserve">N733KP  </v>
      </c>
      <c r="BC676">
        <v>1</v>
      </c>
      <c r="BE676">
        <v>0</v>
      </c>
      <c r="BF676">
        <v>0</v>
      </c>
      <c r="BG676">
        <v>0</v>
      </c>
      <c r="BH676">
        <v>3250</v>
      </c>
      <c r="BI676">
        <v>1</v>
      </c>
      <c r="BJ676">
        <v>1</v>
      </c>
      <c r="BK676">
        <v>0</v>
      </c>
      <c r="BL676">
        <v>0</v>
      </c>
      <c r="BO676">
        <v>0</v>
      </c>
      <c r="BP676">
        <v>0</v>
      </c>
      <c r="BW676" t="str">
        <f>"22:12:17.472"</f>
        <v>22:12:17.472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364</v>
      </c>
      <c r="CR676">
        <v>0</v>
      </c>
      <c r="CW676">
        <v>1390134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"03/24/2022 22:12:17.668"</f>
        <v>03/24/2022 22:12:17.668</v>
      </c>
      <c r="C677" t="str">
        <f t="shared" si="198"/>
        <v>FFDFD3C0</v>
      </c>
      <c r="D677" t="s">
        <v>120</v>
      </c>
      <c r="E677">
        <v>14</v>
      </c>
      <c r="F677">
        <v>1014</v>
      </c>
      <c r="G677" t="s">
        <v>121</v>
      </c>
      <c r="J677" t="s">
        <v>122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 t="shared" si="203"/>
        <v>22:12:17.000</v>
      </c>
      <c r="T677" t="str">
        <f t="shared" si="203"/>
        <v>22:12:17.000</v>
      </c>
      <c r="U677" t="str">
        <f t="shared" si="193"/>
        <v>A9D71F</v>
      </c>
      <c r="V677">
        <v>0</v>
      </c>
      <c r="W677">
        <v>0</v>
      </c>
      <c r="X677">
        <v>2</v>
      </c>
      <c r="Z677">
        <v>1</v>
      </c>
      <c r="AA677">
        <v>8</v>
      </c>
      <c r="AB677">
        <v>3</v>
      </c>
      <c r="AC677">
        <v>0</v>
      </c>
      <c r="AD677">
        <v>9</v>
      </c>
      <c r="AE677">
        <v>0</v>
      </c>
      <c r="AF677">
        <v>3</v>
      </c>
      <c r="AG677">
        <v>1</v>
      </c>
      <c r="AH677">
        <v>0</v>
      </c>
      <c r="AI677" t="s">
        <v>383</v>
      </c>
      <c r="AJ677">
        <v>33.182572999999998</v>
      </c>
      <c r="AK677" t="s">
        <v>384</v>
      </c>
      <c r="AL677">
        <v>-97.745039000000006</v>
      </c>
      <c r="AM677">
        <v>25</v>
      </c>
      <c r="AN677">
        <v>3300</v>
      </c>
      <c r="AO677" t="s">
        <v>118</v>
      </c>
      <c r="AP677">
        <v>49</v>
      </c>
      <c r="AQ677">
        <v>-82</v>
      </c>
      <c r="AR677">
        <v>-256</v>
      </c>
      <c r="AZ677">
        <v>1200</v>
      </c>
      <c r="BA677">
        <v>1</v>
      </c>
      <c r="BB677" t="str">
        <f t="shared" si="200"/>
        <v xml:space="preserve">N733KP  </v>
      </c>
      <c r="BC677">
        <v>1</v>
      </c>
      <c r="BE677">
        <v>0</v>
      </c>
      <c r="BF677">
        <v>0</v>
      </c>
      <c r="BG677">
        <v>0</v>
      </c>
      <c r="BH677">
        <v>3250</v>
      </c>
      <c r="BI677">
        <v>1</v>
      </c>
      <c r="BJ677">
        <v>1</v>
      </c>
      <c r="BK677">
        <v>0</v>
      </c>
      <c r="BL677">
        <v>0</v>
      </c>
      <c r="BO677">
        <v>0</v>
      </c>
      <c r="BP677">
        <v>0</v>
      </c>
      <c r="BW677" t="str">
        <f>"22:12:17.472"</f>
        <v>22:12:17.472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364</v>
      </c>
      <c r="CR677">
        <v>0</v>
      </c>
      <c r="CW677">
        <v>1390134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"03/24/2022 22:12:18.451"</f>
        <v>03/24/2022 22:12:18.451</v>
      </c>
      <c r="C678" t="str">
        <f t="shared" si="198"/>
        <v>FFDFD3C0</v>
      </c>
      <c r="D678" t="s">
        <v>126</v>
      </c>
      <c r="E678">
        <v>3</v>
      </c>
      <c r="H678">
        <v>160</v>
      </c>
      <c r="I678" t="s">
        <v>121</v>
      </c>
      <c r="J678" t="s">
        <v>127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 t="shared" ref="S678:T681" si="204">"22:12:18.000"</f>
        <v>22:12:18.000</v>
      </c>
      <c r="T678" t="str">
        <f t="shared" si="204"/>
        <v>22:12:18.000</v>
      </c>
      <c r="U678" t="str">
        <f t="shared" si="193"/>
        <v>A9D71F</v>
      </c>
      <c r="V678">
        <v>0</v>
      </c>
      <c r="W678">
        <v>0</v>
      </c>
      <c r="X678">
        <v>2</v>
      </c>
      <c r="Z678">
        <v>1</v>
      </c>
      <c r="AA678">
        <v>8</v>
      </c>
      <c r="AB678">
        <v>3</v>
      </c>
      <c r="AC678">
        <v>0</v>
      </c>
      <c r="AD678">
        <v>9</v>
      </c>
      <c r="AE678">
        <v>0</v>
      </c>
      <c r="AF678">
        <v>3</v>
      </c>
      <c r="AG678">
        <v>1</v>
      </c>
      <c r="AH678">
        <v>0</v>
      </c>
      <c r="AI678" t="s">
        <v>385</v>
      </c>
      <c r="AJ678">
        <v>33.182166000000002</v>
      </c>
      <c r="AK678" t="s">
        <v>386</v>
      </c>
      <c r="AL678">
        <v>-97.744738999999996</v>
      </c>
      <c r="AM678">
        <v>25</v>
      </c>
      <c r="AN678">
        <v>3300</v>
      </c>
      <c r="AO678" t="s">
        <v>118</v>
      </c>
      <c r="AP678">
        <v>49</v>
      </c>
      <c r="AQ678">
        <v>-84</v>
      </c>
      <c r="AR678">
        <v>-128</v>
      </c>
      <c r="AZ678">
        <v>1200</v>
      </c>
      <c r="BA678">
        <v>1</v>
      </c>
      <c r="BB678" t="str">
        <f t="shared" si="200"/>
        <v xml:space="preserve">N733KP  </v>
      </c>
      <c r="BC678">
        <v>1</v>
      </c>
      <c r="BE678">
        <v>0</v>
      </c>
      <c r="BF678">
        <v>0</v>
      </c>
      <c r="BG678">
        <v>0</v>
      </c>
      <c r="BH678">
        <v>3250</v>
      </c>
      <c r="BI678">
        <v>1</v>
      </c>
      <c r="BJ678">
        <v>1</v>
      </c>
      <c r="BK678">
        <v>0</v>
      </c>
      <c r="BL678">
        <v>0</v>
      </c>
      <c r="BO678">
        <v>0</v>
      </c>
      <c r="BP678">
        <v>0</v>
      </c>
      <c r="BW678" t="str">
        <f>"22:12:18.224"</f>
        <v>22:12:18.224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364</v>
      </c>
      <c r="CR678">
        <v>0</v>
      </c>
      <c r="CW678">
        <v>1390240</v>
      </c>
      <c r="CY678">
        <v>1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"03/24/2022 22:12:18.451"</f>
        <v>03/24/2022 22:12:18.451</v>
      </c>
      <c r="C679" t="str">
        <f t="shared" si="198"/>
        <v>FFDFD3C0</v>
      </c>
      <c r="D679" t="s">
        <v>123</v>
      </c>
      <c r="E679">
        <v>8</v>
      </c>
      <c r="H679">
        <v>31</v>
      </c>
      <c r="I679" t="s">
        <v>124</v>
      </c>
      <c r="J679" t="s">
        <v>125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 t="shared" si="204"/>
        <v>22:12:18.000</v>
      </c>
      <c r="T679" t="str">
        <f t="shared" si="204"/>
        <v>22:12:18.000</v>
      </c>
      <c r="U679" t="str">
        <f t="shared" si="193"/>
        <v>A9D71F</v>
      </c>
      <c r="V679">
        <v>0</v>
      </c>
      <c r="W679">
        <v>0</v>
      </c>
      <c r="X679">
        <v>2</v>
      </c>
      <c r="Z679">
        <v>1</v>
      </c>
      <c r="AA679">
        <v>8</v>
      </c>
      <c r="AB679">
        <v>3</v>
      </c>
      <c r="AC679">
        <v>0</v>
      </c>
      <c r="AD679">
        <v>9</v>
      </c>
      <c r="AE679">
        <v>0</v>
      </c>
      <c r="AF679">
        <v>3</v>
      </c>
      <c r="AG679">
        <v>1</v>
      </c>
      <c r="AH679">
        <v>0</v>
      </c>
      <c r="AI679" t="s">
        <v>385</v>
      </c>
      <c r="AJ679">
        <v>33.182166000000002</v>
      </c>
      <c r="AK679" t="s">
        <v>386</v>
      </c>
      <c r="AL679">
        <v>-97.744738999999996</v>
      </c>
      <c r="AM679">
        <v>25</v>
      </c>
      <c r="AN679">
        <v>3300</v>
      </c>
      <c r="AO679" t="s">
        <v>118</v>
      </c>
      <c r="AP679">
        <v>49</v>
      </c>
      <c r="AQ679">
        <v>-84</v>
      </c>
      <c r="AR679">
        <v>-128</v>
      </c>
      <c r="AZ679">
        <v>1200</v>
      </c>
      <c r="BA679">
        <v>1</v>
      </c>
      <c r="BB679" t="str">
        <f t="shared" si="200"/>
        <v xml:space="preserve">N733KP  </v>
      </c>
      <c r="BC679">
        <v>1</v>
      </c>
      <c r="BE679">
        <v>0</v>
      </c>
      <c r="BF679">
        <v>0</v>
      </c>
      <c r="BG679">
        <v>0</v>
      </c>
      <c r="BH679">
        <v>3250</v>
      </c>
      <c r="BI679">
        <v>1</v>
      </c>
      <c r="BJ679">
        <v>1</v>
      </c>
      <c r="BK679">
        <v>0</v>
      </c>
      <c r="BL679">
        <v>0</v>
      </c>
      <c r="BO679">
        <v>0</v>
      </c>
      <c r="BP679">
        <v>0</v>
      </c>
      <c r="BW679" t="str">
        <f>"22:12:18.224"</f>
        <v>22:12:18.224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364</v>
      </c>
      <c r="CR679">
        <v>0</v>
      </c>
      <c r="CW679">
        <v>1390240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"03/24/2022 22:12:18.451"</f>
        <v>03/24/2022 22:12:18.451</v>
      </c>
      <c r="C680" t="str">
        <f t="shared" si="198"/>
        <v>FFDFD3C0</v>
      </c>
      <c r="D680" t="s">
        <v>113</v>
      </c>
      <c r="E680">
        <v>24</v>
      </c>
      <c r="F680">
        <v>2024</v>
      </c>
      <c r="G680" t="s">
        <v>114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 t="shared" si="204"/>
        <v>22:12:18.000</v>
      </c>
      <c r="T680" t="str">
        <f t="shared" si="204"/>
        <v>22:12:18.000</v>
      </c>
      <c r="U680" t="str">
        <f t="shared" si="193"/>
        <v>A9D71F</v>
      </c>
      <c r="V680">
        <v>0</v>
      </c>
      <c r="W680">
        <v>0</v>
      </c>
      <c r="X680">
        <v>2</v>
      </c>
      <c r="Z680">
        <v>1</v>
      </c>
      <c r="AA680">
        <v>8</v>
      </c>
      <c r="AB680">
        <v>3</v>
      </c>
      <c r="AC680">
        <v>0</v>
      </c>
      <c r="AD680">
        <v>9</v>
      </c>
      <c r="AE680">
        <v>0</v>
      </c>
      <c r="AF680">
        <v>3</v>
      </c>
      <c r="AG680">
        <v>1</v>
      </c>
      <c r="AH680">
        <v>0</v>
      </c>
      <c r="AI680" t="s">
        <v>385</v>
      </c>
      <c r="AJ680">
        <v>33.182166000000002</v>
      </c>
      <c r="AK680" t="s">
        <v>386</v>
      </c>
      <c r="AL680">
        <v>-97.744738999999996</v>
      </c>
      <c r="AM680">
        <v>25</v>
      </c>
      <c r="AN680">
        <v>3300</v>
      </c>
      <c r="AO680" t="s">
        <v>118</v>
      </c>
      <c r="AP680">
        <v>49</v>
      </c>
      <c r="AQ680">
        <v>-84</v>
      </c>
      <c r="AR680">
        <v>-128</v>
      </c>
      <c r="AZ680">
        <v>1200</v>
      </c>
      <c r="BA680">
        <v>1</v>
      </c>
      <c r="BB680" t="str">
        <f t="shared" si="200"/>
        <v xml:space="preserve">N733KP  </v>
      </c>
      <c r="BC680">
        <v>1</v>
      </c>
      <c r="BE680">
        <v>0</v>
      </c>
      <c r="BF680">
        <v>0</v>
      </c>
      <c r="BG680">
        <v>0</v>
      </c>
      <c r="BH680">
        <v>3250</v>
      </c>
      <c r="BI680">
        <v>1</v>
      </c>
      <c r="BJ680">
        <v>1</v>
      </c>
      <c r="BK680">
        <v>0</v>
      </c>
      <c r="BL680">
        <v>0</v>
      </c>
      <c r="BO680">
        <v>0</v>
      </c>
      <c r="BP680">
        <v>0</v>
      </c>
      <c r="BW680" t="str">
        <f>"22:12:18.224"</f>
        <v>22:12:18.224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364</v>
      </c>
      <c r="CR680">
        <v>0</v>
      </c>
      <c r="CW680">
        <v>1390240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"03/24/2022 22:12:18.451"</f>
        <v>03/24/2022 22:12:18.451</v>
      </c>
      <c r="C681" t="str">
        <f t="shared" si="198"/>
        <v>FFDFD3C0</v>
      </c>
      <c r="D681" t="s">
        <v>120</v>
      </c>
      <c r="E681">
        <v>14</v>
      </c>
      <c r="F681">
        <v>1014</v>
      </c>
      <c r="G681" t="s">
        <v>121</v>
      </c>
      <c r="J681" t="s">
        <v>122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 t="shared" si="204"/>
        <v>22:12:18.000</v>
      </c>
      <c r="T681" t="str">
        <f t="shared" si="204"/>
        <v>22:12:18.000</v>
      </c>
      <c r="U681" t="str">
        <f t="shared" si="193"/>
        <v>A9D71F</v>
      </c>
      <c r="V681">
        <v>0</v>
      </c>
      <c r="W681">
        <v>0</v>
      </c>
      <c r="X681">
        <v>2</v>
      </c>
      <c r="Z681">
        <v>1</v>
      </c>
      <c r="AA681">
        <v>8</v>
      </c>
      <c r="AB681">
        <v>3</v>
      </c>
      <c r="AC681">
        <v>0</v>
      </c>
      <c r="AD681">
        <v>9</v>
      </c>
      <c r="AE681">
        <v>0</v>
      </c>
      <c r="AF681">
        <v>3</v>
      </c>
      <c r="AG681">
        <v>1</v>
      </c>
      <c r="AH681">
        <v>0</v>
      </c>
      <c r="AI681" t="s">
        <v>385</v>
      </c>
      <c r="AJ681">
        <v>33.182166000000002</v>
      </c>
      <c r="AK681" t="s">
        <v>386</v>
      </c>
      <c r="AL681">
        <v>-97.744738999999996</v>
      </c>
      <c r="AM681">
        <v>25</v>
      </c>
      <c r="AN681">
        <v>3300</v>
      </c>
      <c r="AO681" t="s">
        <v>118</v>
      </c>
      <c r="AP681">
        <v>49</v>
      </c>
      <c r="AQ681">
        <v>-84</v>
      </c>
      <c r="AR681">
        <v>-128</v>
      </c>
      <c r="AZ681">
        <v>1200</v>
      </c>
      <c r="BA681">
        <v>1</v>
      </c>
      <c r="BB681" t="str">
        <f t="shared" si="200"/>
        <v xml:space="preserve">N733KP  </v>
      </c>
      <c r="BC681">
        <v>1</v>
      </c>
      <c r="BE681">
        <v>0</v>
      </c>
      <c r="BF681">
        <v>0</v>
      </c>
      <c r="BG681">
        <v>0</v>
      </c>
      <c r="BH681">
        <v>3250</v>
      </c>
      <c r="BI681">
        <v>1</v>
      </c>
      <c r="BJ681">
        <v>1</v>
      </c>
      <c r="BK681">
        <v>0</v>
      </c>
      <c r="BL681">
        <v>0</v>
      </c>
      <c r="BO681">
        <v>0</v>
      </c>
      <c r="BP681">
        <v>0</v>
      </c>
      <c r="BW681" t="str">
        <f>"22:12:18.224"</f>
        <v>22:12:18.224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364</v>
      </c>
      <c r="CR681">
        <v>0</v>
      </c>
      <c r="CW681">
        <v>1390240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"03/24/2022 22:12:19.733"</f>
        <v>03/24/2022 22:12:19.733</v>
      </c>
      <c r="C682" t="str">
        <f t="shared" si="198"/>
        <v>FFDFD3C0</v>
      </c>
      <c r="D682" t="s">
        <v>120</v>
      </c>
      <c r="E682">
        <v>14</v>
      </c>
      <c r="F682">
        <v>1014</v>
      </c>
      <c r="G682" t="s">
        <v>121</v>
      </c>
      <c r="J682" t="s">
        <v>122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 t="shared" ref="S682:T685" si="205">"22:12:19.000"</f>
        <v>22:12:19.000</v>
      </c>
      <c r="T682" t="str">
        <f t="shared" si="205"/>
        <v>22:12:19.000</v>
      </c>
      <c r="U682" t="str">
        <f t="shared" si="193"/>
        <v>A9D71F</v>
      </c>
      <c r="V682">
        <v>0</v>
      </c>
      <c r="W682">
        <v>0</v>
      </c>
      <c r="X682">
        <v>2</v>
      </c>
      <c r="Z682">
        <v>1</v>
      </c>
      <c r="AA682">
        <v>8</v>
      </c>
      <c r="AB682">
        <v>3</v>
      </c>
      <c r="AC682">
        <v>0</v>
      </c>
      <c r="AD682">
        <v>9</v>
      </c>
      <c r="AE682">
        <v>0</v>
      </c>
      <c r="AF682">
        <v>3</v>
      </c>
      <c r="AG682">
        <v>1</v>
      </c>
      <c r="AH682">
        <v>0</v>
      </c>
      <c r="AI682" t="s">
        <v>387</v>
      </c>
      <c r="AJ682">
        <v>33.181758000000002</v>
      </c>
      <c r="AK682" t="s">
        <v>388</v>
      </c>
      <c r="AL682">
        <v>-97.744460000000004</v>
      </c>
      <c r="AM682">
        <v>25</v>
      </c>
      <c r="AN682">
        <v>3300</v>
      </c>
      <c r="AO682" t="s">
        <v>118</v>
      </c>
      <c r="AP682">
        <v>45</v>
      </c>
      <c r="AQ682">
        <v>-85</v>
      </c>
      <c r="AR682">
        <v>-128</v>
      </c>
      <c r="AZ682">
        <v>1200</v>
      </c>
      <c r="BA682">
        <v>1</v>
      </c>
      <c r="BB682" t="str">
        <f t="shared" si="200"/>
        <v xml:space="preserve">N733KP  </v>
      </c>
      <c r="BC682">
        <v>1</v>
      </c>
      <c r="BE682">
        <v>0</v>
      </c>
      <c r="BF682">
        <v>0</v>
      </c>
      <c r="BG682">
        <v>0</v>
      </c>
      <c r="BH682">
        <v>3225</v>
      </c>
      <c r="BI682">
        <v>1</v>
      </c>
      <c r="BJ682">
        <v>1</v>
      </c>
      <c r="BK682">
        <v>0</v>
      </c>
      <c r="BL682">
        <v>0</v>
      </c>
      <c r="BO682">
        <v>0</v>
      </c>
      <c r="BP682">
        <v>0</v>
      </c>
      <c r="BW682" t="str">
        <f>"22:12:19.531"</f>
        <v>22:12:19.531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364</v>
      </c>
      <c r="CR682">
        <v>0</v>
      </c>
      <c r="CW682">
        <v>1390465</v>
      </c>
      <c r="CY682">
        <v>1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"03/24/2022 22:12:19.733"</f>
        <v>03/24/2022 22:12:19.733</v>
      </c>
      <c r="C683" t="str">
        <f t="shared" si="198"/>
        <v>FFDFD3C0</v>
      </c>
      <c r="D683" t="s">
        <v>126</v>
      </c>
      <c r="E683">
        <v>3</v>
      </c>
      <c r="H683">
        <v>160</v>
      </c>
      <c r="I683" t="s">
        <v>121</v>
      </c>
      <c r="J683" t="s">
        <v>127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 t="shared" si="205"/>
        <v>22:12:19.000</v>
      </c>
      <c r="T683" t="str">
        <f t="shared" si="205"/>
        <v>22:12:19.000</v>
      </c>
      <c r="U683" t="str">
        <f t="shared" si="193"/>
        <v>A9D71F</v>
      </c>
      <c r="V683">
        <v>0</v>
      </c>
      <c r="W683">
        <v>0</v>
      </c>
      <c r="X683">
        <v>2</v>
      </c>
      <c r="Z683">
        <v>1</v>
      </c>
      <c r="AA683">
        <v>8</v>
      </c>
      <c r="AB683">
        <v>3</v>
      </c>
      <c r="AC683">
        <v>0</v>
      </c>
      <c r="AD683">
        <v>9</v>
      </c>
      <c r="AE683">
        <v>0</v>
      </c>
      <c r="AF683">
        <v>3</v>
      </c>
      <c r="AG683">
        <v>1</v>
      </c>
      <c r="AH683">
        <v>0</v>
      </c>
      <c r="AI683" t="s">
        <v>387</v>
      </c>
      <c r="AJ683">
        <v>33.181758000000002</v>
      </c>
      <c r="AK683" t="s">
        <v>388</v>
      </c>
      <c r="AL683">
        <v>-97.744460000000004</v>
      </c>
      <c r="AM683">
        <v>25</v>
      </c>
      <c r="AN683">
        <v>3300</v>
      </c>
      <c r="AO683" t="s">
        <v>118</v>
      </c>
      <c r="AP683">
        <v>45</v>
      </c>
      <c r="AQ683">
        <v>-85</v>
      </c>
      <c r="AR683">
        <v>-128</v>
      </c>
      <c r="AZ683">
        <v>1200</v>
      </c>
      <c r="BA683">
        <v>1</v>
      </c>
      <c r="BB683" t="str">
        <f t="shared" si="200"/>
        <v xml:space="preserve">N733KP  </v>
      </c>
      <c r="BC683">
        <v>1</v>
      </c>
      <c r="BE683">
        <v>0</v>
      </c>
      <c r="BF683">
        <v>0</v>
      </c>
      <c r="BG683">
        <v>0</v>
      </c>
      <c r="BH683">
        <v>3225</v>
      </c>
      <c r="BI683">
        <v>1</v>
      </c>
      <c r="BJ683">
        <v>1</v>
      </c>
      <c r="BK683">
        <v>0</v>
      </c>
      <c r="BL683">
        <v>0</v>
      </c>
      <c r="BO683">
        <v>0</v>
      </c>
      <c r="BP683">
        <v>0</v>
      </c>
      <c r="BW683" t="str">
        <f>"22:12:19.531"</f>
        <v>22:12:19.531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364</v>
      </c>
      <c r="CR683">
        <v>0</v>
      </c>
      <c r="CW683">
        <v>1390465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"03/24/2022 22:12:19.733"</f>
        <v>03/24/2022 22:12:19.733</v>
      </c>
      <c r="C684" t="str">
        <f t="shared" si="198"/>
        <v>FFDFD3C0</v>
      </c>
      <c r="D684" t="s">
        <v>123</v>
      </c>
      <c r="E684">
        <v>8</v>
      </c>
      <c r="H684">
        <v>31</v>
      </c>
      <c r="I684" t="s">
        <v>124</v>
      </c>
      <c r="J684" t="s">
        <v>125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 t="shared" si="205"/>
        <v>22:12:19.000</v>
      </c>
      <c r="T684" t="str">
        <f t="shared" si="205"/>
        <v>22:12:19.000</v>
      </c>
      <c r="U684" t="str">
        <f t="shared" si="193"/>
        <v>A9D71F</v>
      </c>
      <c r="V684">
        <v>0</v>
      </c>
      <c r="W684">
        <v>0</v>
      </c>
      <c r="X684">
        <v>2</v>
      </c>
      <c r="Z684">
        <v>1</v>
      </c>
      <c r="AA684">
        <v>8</v>
      </c>
      <c r="AB684">
        <v>3</v>
      </c>
      <c r="AC684">
        <v>0</v>
      </c>
      <c r="AD684">
        <v>9</v>
      </c>
      <c r="AE684">
        <v>0</v>
      </c>
      <c r="AF684">
        <v>3</v>
      </c>
      <c r="AG684">
        <v>1</v>
      </c>
      <c r="AH684">
        <v>0</v>
      </c>
      <c r="AI684" t="s">
        <v>387</v>
      </c>
      <c r="AJ684">
        <v>33.181758000000002</v>
      </c>
      <c r="AK684" t="s">
        <v>388</v>
      </c>
      <c r="AL684">
        <v>-97.744460000000004</v>
      </c>
      <c r="AM684">
        <v>25</v>
      </c>
      <c r="AN684">
        <v>3300</v>
      </c>
      <c r="AO684" t="s">
        <v>118</v>
      </c>
      <c r="AP684">
        <v>45</v>
      </c>
      <c r="AQ684">
        <v>-85</v>
      </c>
      <c r="AR684">
        <v>-128</v>
      </c>
      <c r="AZ684">
        <v>1200</v>
      </c>
      <c r="BA684">
        <v>1</v>
      </c>
      <c r="BB684" t="str">
        <f t="shared" si="200"/>
        <v xml:space="preserve">N733KP  </v>
      </c>
      <c r="BC684">
        <v>1</v>
      </c>
      <c r="BE684">
        <v>0</v>
      </c>
      <c r="BF684">
        <v>0</v>
      </c>
      <c r="BG684">
        <v>0</v>
      </c>
      <c r="BH684">
        <v>3225</v>
      </c>
      <c r="BI684">
        <v>1</v>
      </c>
      <c r="BJ684">
        <v>1</v>
      </c>
      <c r="BK684">
        <v>0</v>
      </c>
      <c r="BL684">
        <v>0</v>
      </c>
      <c r="BO684">
        <v>0</v>
      </c>
      <c r="BP684">
        <v>0</v>
      </c>
      <c r="BW684" t="str">
        <f>"22:12:19.531"</f>
        <v>22:12:19.531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364</v>
      </c>
      <c r="CR684">
        <v>0</v>
      </c>
      <c r="CW684">
        <v>1390465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"03/24/2022 22:12:19.733"</f>
        <v>03/24/2022 22:12:19.733</v>
      </c>
      <c r="C685" t="str">
        <f t="shared" si="198"/>
        <v>FFDFD3C0</v>
      </c>
      <c r="D685" t="s">
        <v>113</v>
      </c>
      <c r="E685">
        <v>24</v>
      </c>
      <c r="F685">
        <v>2024</v>
      </c>
      <c r="G685" t="s">
        <v>114</v>
      </c>
      <c r="J685" t="s">
        <v>115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 t="shared" si="205"/>
        <v>22:12:19.000</v>
      </c>
      <c r="T685" t="str">
        <f t="shared" si="205"/>
        <v>22:12:19.000</v>
      </c>
      <c r="U685" t="str">
        <f t="shared" si="193"/>
        <v>A9D71F</v>
      </c>
      <c r="V685">
        <v>0</v>
      </c>
      <c r="W685">
        <v>0</v>
      </c>
      <c r="X685">
        <v>2</v>
      </c>
      <c r="Z685">
        <v>1</v>
      </c>
      <c r="AA685">
        <v>8</v>
      </c>
      <c r="AB685">
        <v>3</v>
      </c>
      <c r="AC685">
        <v>0</v>
      </c>
      <c r="AD685">
        <v>9</v>
      </c>
      <c r="AE685">
        <v>0</v>
      </c>
      <c r="AF685">
        <v>3</v>
      </c>
      <c r="AG685">
        <v>1</v>
      </c>
      <c r="AH685">
        <v>0</v>
      </c>
      <c r="AI685" t="s">
        <v>387</v>
      </c>
      <c r="AJ685">
        <v>33.181758000000002</v>
      </c>
      <c r="AK685" t="s">
        <v>388</v>
      </c>
      <c r="AL685">
        <v>-97.744460000000004</v>
      </c>
      <c r="AM685">
        <v>25</v>
      </c>
      <c r="AN685">
        <v>3300</v>
      </c>
      <c r="AO685" t="s">
        <v>118</v>
      </c>
      <c r="AP685">
        <v>45</v>
      </c>
      <c r="AQ685">
        <v>-85</v>
      </c>
      <c r="AR685">
        <v>-128</v>
      </c>
      <c r="AZ685">
        <v>1200</v>
      </c>
      <c r="BA685">
        <v>1</v>
      </c>
      <c r="BB685" t="str">
        <f t="shared" si="200"/>
        <v xml:space="preserve">N733KP  </v>
      </c>
      <c r="BC685">
        <v>1</v>
      </c>
      <c r="BE685">
        <v>0</v>
      </c>
      <c r="BF685">
        <v>0</v>
      </c>
      <c r="BG685">
        <v>0</v>
      </c>
      <c r="BH685">
        <v>3225</v>
      </c>
      <c r="BI685">
        <v>1</v>
      </c>
      <c r="BJ685">
        <v>1</v>
      </c>
      <c r="BK685">
        <v>0</v>
      </c>
      <c r="BL685">
        <v>0</v>
      </c>
      <c r="BO685">
        <v>0</v>
      </c>
      <c r="BP685">
        <v>0</v>
      </c>
      <c r="BW685" t="str">
        <f>"22:12:19.531"</f>
        <v>22:12:19.531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364</v>
      </c>
      <c r="CR685">
        <v>0</v>
      </c>
      <c r="CW685">
        <v>1390465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"03/24/2022 22:12:21.045"</f>
        <v>03/24/2022 22:12:21.045</v>
      </c>
      <c r="C686" t="str">
        <f t="shared" si="198"/>
        <v>FFDFD3C0</v>
      </c>
      <c r="D686" t="s">
        <v>123</v>
      </c>
      <c r="E686">
        <v>8</v>
      </c>
      <c r="H686">
        <v>31</v>
      </c>
      <c r="I686" t="s">
        <v>124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 t="shared" ref="S686:T689" si="206">"22:12:20.000"</f>
        <v>22:12:20.000</v>
      </c>
      <c r="T686" t="str">
        <f t="shared" si="206"/>
        <v>22:12:20.000</v>
      </c>
      <c r="U686" t="str">
        <f t="shared" si="193"/>
        <v>A9D71F</v>
      </c>
      <c r="V686">
        <v>0</v>
      </c>
      <c r="W686">
        <v>0</v>
      </c>
      <c r="X686">
        <v>2</v>
      </c>
      <c r="Z686">
        <v>1</v>
      </c>
      <c r="AA686">
        <v>8</v>
      </c>
      <c r="AB686">
        <v>3</v>
      </c>
      <c r="AC686">
        <v>0</v>
      </c>
      <c r="AD686">
        <v>9</v>
      </c>
      <c r="AE686">
        <v>0</v>
      </c>
      <c r="AF686">
        <v>3</v>
      </c>
      <c r="AG686">
        <v>1</v>
      </c>
      <c r="AH686">
        <v>0</v>
      </c>
      <c r="AI686" t="s">
        <v>389</v>
      </c>
      <c r="AJ686">
        <v>33.181350000000002</v>
      </c>
      <c r="AK686" t="s">
        <v>390</v>
      </c>
      <c r="AL686">
        <v>-97.744202999999999</v>
      </c>
      <c r="AM686">
        <v>25</v>
      </c>
      <c r="AN686">
        <v>3300</v>
      </c>
      <c r="AO686" t="s">
        <v>118</v>
      </c>
      <c r="AP686">
        <v>48</v>
      </c>
      <c r="AQ686">
        <v>-85</v>
      </c>
      <c r="AR686">
        <v>0</v>
      </c>
      <c r="AZ686">
        <v>1200</v>
      </c>
      <c r="BA686">
        <v>1</v>
      </c>
      <c r="BB686" t="str">
        <f t="shared" si="200"/>
        <v xml:space="preserve">N733KP  </v>
      </c>
      <c r="BC686">
        <v>1</v>
      </c>
      <c r="BE686">
        <v>0</v>
      </c>
      <c r="BF686">
        <v>0</v>
      </c>
      <c r="BG686">
        <v>0</v>
      </c>
      <c r="BH686">
        <v>3225</v>
      </c>
      <c r="BI686">
        <v>1</v>
      </c>
      <c r="BJ686">
        <v>1</v>
      </c>
      <c r="BK686">
        <v>0</v>
      </c>
      <c r="BL686">
        <v>0</v>
      </c>
      <c r="BO686">
        <v>0</v>
      </c>
      <c r="BP686">
        <v>0</v>
      </c>
      <c r="BW686" t="str">
        <f>"22:12:20.874"</f>
        <v>22:12:20.874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364</v>
      </c>
      <c r="CR686">
        <v>0</v>
      </c>
      <c r="CW686">
        <v>1390644</v>
      </c>
      <c r="CY686">
        <v>1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"03/24/2022 22:12:21.045"</f>
        <v>03/24/2022 22:12:21.045</v>
      </c>
      <c r="C687" t="str">
        <f t="shared" si="198"/>
        <v>FFDFD3C0</v>
      </c>
      <c r="D687" t="s">
        <v>113</v>
      </c>
      <c r="E687">
        <v>24</v>
      </c>
      <c r="F687">
        <v>2024</v>
      </c>
      <c r="G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 t="shared" si="206"/>
        <v>22:12:20.000</v>
      </c>
      <c r="T687" t="str">
        <f t="shared" si="206"/>
        <v>22:12:20.000</v>
      </c>
      <c r="U687" t="str">
        <f t="shared" si="193"/>
        <v>A9D71F</v>
      </c>
      <c r="V687">
        <v>0</v>
      </c>
      <c r="W687">
        <v>0</v>
      </c>
      <c r="X687">
        <v>2</v>
      </c>
      <c r="Z687">
        <v>1</v>
      </c>
      <c r="AA687">
        <v>8</v>
      </c>
      <c r="AB687">
        <v>3</v>
      </c>
      <c r="AC687">
        <v>0</v>
      </c>
      <c r="AD687">
        <v>9</v>
      </c>
      <c r="AE687">
        <v>0</v>
      </c>
      <c r="AF687">
        <v>3</v>
      </c>
      <c r="AG687">
        <v>1</v>
      </c>
      <c r="AH687">
        <v>0</v>
      </c>
      <c r="AI687" t="s">
        <v>389</v>
      </c>
      <c r="AJ687">
        <v>33.181350000000002</v>
      </c>
      <c r="AK687" t="s">
        <v>390</v>
      </c>
      <c r="AL687">
        <v>-97.744202999999999</v>
      </c>
      <c r="AM687">
        <v>25</v>
      </c>
      <c r="AN687">
        <v>3300</v>
      </c>
      <c r="AO687" t="s">
        <v>118</v>
      </c>
      <c r="AP687">
        <v>48</v>
      </c>
      <c r="AQ687">
        <v>-85</v>
      </c>
      <c r="AR687">
        <v>0</v>
      </c>
      <c r="AZ687">
        <v>1200</v>
      </c>
      <c r="BA687">
        <v>1</v>
      </c>
      <c r="BB687" t="str">
        <f t="shared" si="200"/>
        <v xml:space="preserve">N733KP  </v>
      </c>
      <c r="BC687">
        <v>1</v>
      </c>
      <c r="BE687">
        <v>0</v>
      </c>
      <c r="BF687">
        <v>0</v>
      </c>
      <c r="BG687">
        <v>0</v>
      </c>
      <c r="BH687">
        <v>3225</v>
      </c>
      <c r="BI687">
        <v>1</v>
      </c>
      <c r="BJ687">
        <v>1</v>
      </c>
      <c r="BK687">
        <v>0</v>
      </c>
      <c r="BL687">
        <v>0</v>
      </c>
      <c r="BO687">
        <v>0</v>
      </c>
      <c r="BP687">
        <v>0</v>
      </c>
      <c r="BW687" t="str">
        <f>"22:12:20.874"</f>
        <v>22:12:20.874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364</v>
      </c>
      <c r="CR687">
        <v>0</v>
      </c>
      <c r="CW687">
        <v>1390644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"03/24/2022 22:12:21.045"</f>
        <v>03/24/2022 22:12:21.045</v>
      </c>
      <c r="C688" t="str">
        <f t="shared" si="198"/>
        <v>FFDFD3C0</v>
      </c>
      <c r="D688" t="s">
        <v>120</v>
      </c>
      <c r="E688">
        <v>14</v>
      </c>
      <c r="F688">
        <v>1014</v>
      </c>
      <c r="G688" t="s">
        <v>121</v>
      </c>
      <c r="J688" t="s">
        <v>122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 t="shared" si="206"/>
        <v>22:12:20.000</v>
      </c>
      <c r="T688" t="str">
        <f t="shared" si="206"/>
        <v>22:12:20.000</v>
      </c>
      <c r="U688" t="str">
        <f t="shared" si="193"/>
        <v>A9D71F</v>
      </c>
      <c r="V688">
        <v>0</v>
      </c>
      <c r="W688">
        <v>0</v>
      </c>
      <c r="X688">
        <v>2</v>
      </c>
      <c r="Z688">
        <v>1</v>
      </c>
      <c r="AA688">
        <v>8</v>
      </c>
      <c r="AB688">
        <v>3</v>
      </c>
      <c r="AC688">
        <v>0</v>
      </c>
      <c r="AD688">
        <v>9</v>
      </c>
      <c r="AE688">
        <v>0</v>
      </c>
      <c r="AF688">
        <v>3</v>
      </c>
      <c r="AG688">
        <v>1</v>
      </c>
      <c r="AH688">
        <v>0</v>
      </c>
      <c r="AI688" t="s">
        <v>389</v>
      </c>
      <c r="AJ688">
        <v>33.181350000000002</v>
      </c>
      <c r="AK688" t="s">
        <v>390</v>
      </c>
      <c r="AL688">
        <v>-97.744202999999999</v>
      </c>
      <c r="AM688">
        <v>25</v>
      </c>
      <c r="AN688">
        <v>3300</v>
      </c>
      <c r="AO688" t="s">
        <v>118</v>
      </c>
      <c r="AP688">
        <v>48</v>
      </c>
      <c r="AQ688">
        <v>-85</v>
      </c>
      <c r="AR688">
        <v>0</v>
      </c>
      <c r="AZ688">
        <v>1200</v>
      </c>
      <c r="BA688">
        <v>1</v>
      </c>
      <c r="BB688" t="str">
        <f t="shared" si="200"/>
        <v xml:space="preserve">N733KP  </v>
      </c>
      <c r="BC688">
        <v>1</v>
      </c>
      <c r="BE688">
        <v>0</v>
      </c>
      <c r="BF688">
        <v>0</v>
      </c>
      <c r="BG688">
        <v>0</v>
      </c>
      <c r="BH688">
        <v>3225</v>
      </c>
      <c r="BI688">
        <v>1</v>
      </c>
      <c r="BJ688">
        <v>1</v>
      </c>
      <c r="BK688">
        <v>0</v>
      </c>
      <c r="BL688">
        <v>0</v>
      </c>
      <c r="BO688">
        <v>0</v>
      </c>
      <c r="BP688">
        <v>0</v>
      </c>
      <c r="BW688" t="str">
        <f>"22:12:20.874"</f>
        <v>22:12:20.874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364</v>
      </c>
      <c r="CR688">
        <v>0</v>
      </c>
      <c r="CW688">
        <v>1390644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"03/24/2022 22:12:21.139"</f>
        <v>03/24/2022 22:12:21.139</v>
      </c>
      <c r="C689" t="str">
        <f t="shared" si="198"/>
        <v>FFDFD3C0</v>
      </c>
      <c r="D689" t="s">
        <v>126</v>
      </c>
      <c r="E689">
        <v>3</v>
      </c>
      <c r="H689">
        <v>160</v>
      </c>
      <c r="I689" t="s">
        <v>121</v>
      </c>
      <c r="J689" t="s">
        <v>127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 t="shared" si="206"/>
        <v>22:12:20.000</v>
      </c>
      <c r="T689" t="str">
        <f t="shared" si="206"/>
        <v>22:12:20.000</v>
      </c>
      <c r="U689" t="str">
        <f t="shared" si="193"/>
        <v>A9D71F</v>
      </c>
      <c r="V689">
        <v>0</v>
      </c>
      <c r="W689">
        <v>0</v>
      </c>
      <c r="X689">
        <v>2</v>
      </c>
      <c r="Z689">
        <v>1</v>
      </c>
      <c r="AA689">
        <v>8</v>
      </c>
      <c r="AB689">
        <v>3</v>
      </c>
      <c r="AC689">
        <v>0</v>
      </c>
      <c r="AD689">
        <v>9</v>
      </c>
      <c r="AE689">
        <v>0</v>
      </c>
      <c r="AF689">
        <v>3</v>
      </c>
      <c r="AG689">
        <v>1</v>
      </c>
      <c r="AH689">
        <v>0</v>
      </c>
      <c r="AI689" t="s">
        <v>389</v>
      </c>
      <c r="AJ689">
        <v>33.181350000000002</v>
      </c>
      <c r="AK689" t="s">
        <v>390</v>
      </c>
      <c r="AL689">
        <v>-97.744202999999999</v>
      </c>
      <c r="AM689">
        <v>25</v>
      </c>
      <c r="AN689">
        <v>3300</v>
      </c>
      <c r="AO689" t="s">
        <v>118</v>
      </c>
      <c r="AP689">
        <v>48</v>
      </c>
      <c r="AQ689">
        <v>-85</v>
      </c>
      <c r="AR689">
        <v>0</v>
      </c>
      <c r="AZ689">
        <v>1200</v>
      </c>
      <c r="BA689">
        <v>1</v>
      </c>
      <c r="BB689" t="str">
        <f t="shared" si="200"/>
        <v xml:space="preserve">N733KP  </v>
      </c>
      <c r="BC689">
        <v>1</v>
      </c>
      <c r="BE689">
        <v>0</v>
      </c>
      <c r="BF689">
        <v>0</v>
      </c>
      <c r="BG689">
        <v>0</v>
      </c>
      <c r="BH689">
        <v>3225</v>
      </c>
      <c r="BI689">
        <v>1</v>
      </c>
      <c r="BJ689">
        <v>1</v>
      </c>
      <c r="BK689">
        <v>0</v>
      </c>
      <c r="BL689">
        <v>0</v>
      </c>
      <c r="BO689">
        <v>0</v>
      </c>
      <c r="BP689">
        <v>0</v>
      </c>
      <c r="BW689" t="str">
        <f>"22:12:20.874"</f>
        <v>22:12:20.874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364</v>
      </c>
      <c r="CR689">
        <v>0</v>
      </c>
      <c r="CW689">
        <v>1390644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"03/24/2022 22:12:21.765"</f>
        <v>03/24/2022 22:12:21.765</v>
      </c>
      <c r="C690" t="str">
        <f t="shared" si="198"/>
        <v>FFDFD3C0</v>
      </c>
      <c r="D690" t="s">
        <v>120</v>
      </c>
      <c r="E690">
        <v>14</v>
      </c>
      <c r="F690">
        <v>1014</v>
      </c>
      <c r="G690" t="s">
        <v>121</v>
      </c>
      <c r="J690" t="s">
        <v>122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 t="shared" ref="S690:T693" si="207">"22:12:21.000"</f>
        <v>22:12:21.000</v>
      </c>
      <c r="T690" t="str">
        <f t="shared" si="207"/>
        <v>22:12:21.000</v>
      </c>
      <c r="U690" t="str">
        <f t="shared" si="193"/>
        <v>A9D71F</v>
      </c>
      <c r="V690">
        <v>0</v>
      </c>
      <c r="W690">
        <v>0</v>
      </c>
      <c r="X690">
        <v>2</v>
      </c>
      <c r="Z690">
        <v>1</v>
      </c>
      <c r="AA690">
        <v>8</v>
      </c>
      <c r="AB690">
        <v>3</v>
      </c>
      <c r="AC690">
        <v>0</v>
      </c>
      <c r="AD690">
        <v>9</v>
      </c>
      <c r="AE690">
        <v>0</v>
      </c>
      <c r="AF690">
        <v>3</v>
      </c>
      <c r="AG690">
        <v>1</v>
      </c>
      <c r="AH690">
        <v>0</v>
      </c>
      <c r="AI690" t="s">
        <v>391</v>
      </c>
      <c r="AJ690">
        <v>33.180964000000003</v>
      </c>
      <c r="AK690" t="s">
        <v>392</v>
      </c>
      <c r="AL690">
        <v>-97.743944999999997</v>
      </c>
      <c r="AM690">
        <v>25</v>
      </c>
      <c r="AN690">
        <v>3300</v>
      </c>
      <c r="AO690" t="s">
        <v>118</v>
      </c>
      <c r="AP690">
        <v>47</v>
      </c>
      <c r="AQ690">
        <v>-84</v>
      </c>
      <c r="AR690">
        <v>0</v>
      </c>
      <c r="AZ690">
        <v>1200</v>
      </c>
      <c r="BA690">
        <v>1</v>
      </c>
      <c r="BB690" t="str">
        <f t="shared" si="200"/>
        <v xml:space="preserve">N733KP  </v>
      </c>
      <c r="BC690">
        <v>1</v>
      </c>
      <c r="BE690">
        <v>0</v>
      </c>
      <c r="BF690">
        <v>0</v>
      </c>
      <c r="BG690">
        <v>0</v>
      </c>
      <c r="BH690">
        <v>3225</v>
      </c>
      <c r="BI690">
        <v>1</v>
      </c>
      <c r="BJ690">
        <v>1</v>
      </c>
      <c r="BK690">
        <v>0</v>
      </c>
      <c r="BL690">
        <v>0</v>
      </c>
      <c r="BO690">
        <v>0</v>
      </c>
      <c r="BP690">
        <v>0</v>
      </c>
      <c r="BW690" t="str">
        <f>"22:12:21.586"</f>
        <v>22:12:21.586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364</v>
      </c>
      <c r="CR690">
        <v>0</v>
      </c>
      <c r="CW690">
        <v>1390736</v>
      </c>
      <c r="CY690">
        <v>1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"03/24/2022 22:12:21.781"</f>
        <v>03/24/2022 22:12:21.781</v>
      </c>
      <c r="C691" t="str">
        <f t="shared" si="198"/>
        <v>FFDFD3C0</v>
      </c>
      <c r="D691" t="s">
        <v>126</v>
      </c>
      <c r="E691">
        <v>3</v>
      </c>
      <c r="H691">
        <v>160</v>
      </c>
      <c r="I691" t="s">
        <v>121</v>
      </c>
      <c r="J691" t="s">
        <v>127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 t="shared" si="207"/>
        <v>22:12:21.000</v>
      </c>
      <c r="T691" t="str">
        <f t="shared" si="207"/>
        <v>22:12:21.000</v>
      </c>
      <c r="U691" t="str">
        <f t="shared" si="193"/>
        <v>A9D71F</v>
      </c>
      <c r="V691">
        <v>0</v>
      </c>
      <c r="W691">
        <v>0</v>
      </c>
      <c r="X691">
        <v>2</v>
      </c>
      <c r="Z691">
        <v>1</v>
      </c>
      <c r="AA691">
        <v>8</v>
      </c>
      <c r="AB691">
        <v>3</v>
      </c>
      <c r="AC691">
        <v>0</v>
      </c>
      <c r="AD691">
        <v>9</v>
      </c>
      <c r="AE691">
        <v>0</v>
      </c>
      <c r="AF691">
        <v>3</v>
      </c>
      <c r="AG691">
        <v>1</v>
      </c>
      <c r="AH691">
        <v>0</v>
      </c>
      <c r="AI691" t="s">
        <v>391</v>
      </c>
      <c r="AJ691">
        <v>33.180964000000003</v>
      </c>
      <c r="AK691" t="s">
        <v>392</v>
      </c>
      <c r="AL691">
        <v>-97.743944999999997</v>
      </c>
      <c r="AM691">
        <v>25</v>
      </c>
      <c r="AN691">
        <v>3300</v>
      </c>
      <c r="AO691" t="s">
        <v>118</v>
      </c>
      <c r="AP691">
        <v>47</v>
      </c>
      <c r="AQ691">
        <v>-84</v>
      </c>
      <c r="AR691">
        <v>0</v>
      </c>
      <c r="AZ691">
        <v>1200</v>
      </c>
      <c r="BA691">
        <v>1</v>
      </c>
      <c r="BB691" t="str">
        <f t="shared" si="200"/>
        <v xml:space="preserve">N733KP  </v>
      </c>
      <c r="BC691">
        <v>1</v>
      </c>
      <c r="BE691">
        <v>0</v>
      </c>
      <c r="BF691">
        <v>0</v>
      </c>
      <c r="BG691">
        <v>0</v>
      </c>
      <c r="BH691">
        <v>3225</v>
      </c>
      <c r="BI691">
        <v>1</v>
      </c>
      <c r="BJ691">
        <v>1</v>
      </c>
      <c r="BK691">
        <v>0</v>
      </c>
      <c r="BL691">
        <v>0</v>
      </c>
      <c r="BO691">
        <v>0</v>
      </c>
      <c r="BP691">
        <v>0</v>
      </c>
      <c r="BW691" t="str">
        <f>"22:12:21.586"</f>
        <v>22:12:21.586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364</v>
      </c>
      <c r="CR691">
        <v>0</v>
      </c>
      <c r="CW691">
        <v>1390736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"03/24/2022 22:12:21.796"</f>
        <v>03/24/2022 22:12:21.796</v>
      </c>
      <c r="C692" t="str">
        <f t="shared" si="198"/>
        <v>FFDFD3C0</v>
      </c>
      <c r="D692" t="s">
        <v>123</v>
      </c>
      <c r="E692">
        <v>8</v>
      </c>
      <c r="H692">
        <v>31</v>
      </c>
      <c r="I692" t="s">
        <v>124</v>
      </c>
      <c r="J692" t="s">
        <v>125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 t="shared" si="207"/>
        <v>22:12:21.000</v>
      </c>
      <c r="T692" t="str">
        <f t="shared" si="207"/>
        <v>22:12:21.000</v>
      </c>
      <c r="U692" t="str">
        <f t="shared" si="193"/>
        <v>A9D71F</v>
      </c>
      <c r="V692">
        <v>0</v>
      </c>
      <c r="W692">
        <v>0</v>
      </c>
      <c r="X692">
        <v>2</v>
      </c>
      <c r="Z692">
        <v>1</v>
      </c>
      <c r="AA692">
        <v>8</v>
      </c>
      <c r="AB692">
        <v>3</v>
      </c>
      <c r="AC692">
        <v>0</v>
      </c>
      <c r="AD692">
        <v>9</v>
      </c>
      <c r="AE692">
        <v>0</v>
      </c>
      <c r="AF692">
        <v>3</v>
      </c>
      <c r="AG692">
        <v>1</v>
      </c>
      <c r="AH692">
        <v>0</v>
      </c>
      <c r="AI692" t="s">
        <v>391</v>
      </c>
      <c r="AJ692">
        <v>33.180964000000003</v>
      </c>
      <c r="AK692" t="s">
        <v>392</v>
      </c>
      <c r="AL692">
        <v>-97.743944999999997</v>
      </c>
      <c r="AM692">
        <v>25</v>
      </c>
      <c r="AN692">
        <v>3300</v>
      </c>
      <c r="AO692" t="s">
        <v>118</v>
      </c>
      <c r="AP692">
        <v>47</v>
      </c>
      <c r="AQ692">
        <v>-84</v>
      </c>
      <c r="AR692">
        <v>0</v>
      </c>
      <c r="AZ692">
        <v>1200</v>
      </c>
      <c r="BA692">
        <v>1</v>
      </c>
      <c r="BB692" t="str">
        <f t="shared" si="200"/>
        <v xml:space="preserve">N733KP  </v>
      </c>
      <c r="BC692">
        <v>1</v>
      </c>
      <c r="BE692">
        <v>0</v>
      </c>
      <c r="BF692">
        <v>0</v>
      </c>
      <c r="BG692">
        <v>0</v>
      </c>
      <c r="BH692">
        <v>3225</v>
      </c>
      <c r="BI692">
        <v>1</v>
      </c>
      <c r="BJ692">
        <v>1</v>
      </c>
      <c r="BK692">
        <v>0</v>
      </c>
      <c r="BL692">
        <v>0</v>
      </c>
      <c r="BO692">
        <v>0</v>
      </c>
      <c r="BP692">
        <v>0</v>
      </c>
      <c r="BW692" t="str">
        <f>"22:12:21.586"</f>
        <v>22:12:21.586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364</v>
      </c>
      <c r="CR692">
        <v>0</v>
      </c>
      <c r="CW692">
        <v>1390736</v>
      </c>
      <c r="CY692">
        <v>1</v>
      </c>
      <c r="CZ692">
        <v>0</v>
      </c>
      <c r="DA692">
        <v>1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"03/24/2022 22:12:21.796"</f>
        <v>03/24/2022 22:12:21.796</v>
      </c>
      <c r="C693" t="str">
        <f t="shared" si="198"/>
        <v>FFDFD3C0</v>
      </c>
      <c r="D693" t="s">
        <v>113</v>
      </c>
      <c r="E693">
        <v>24</v>
      </c>
      <c r="F693">
        <v>2024</v>
      </c>
      <c r="G693" t="s">
        <v>114</v>
      </c>
      <c r="J693" t="s">
        <v>115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 t="shared" si="207"/>
        <v>22:12:21.000</v>
      </c>
      <c r="T693" t="str">
        <f t="shared" si="207"/>
        <v>22:12:21.000</v>
      </c>
      <c r="U693" t="str">
        <f t="shared" si="193"/>
        <v>A9D71F</v>
      </c>
      <c r="V693">
        <v>0</v>
      </c>
      <c r="W693">
        <v>0</v>
      </c>
      <c r="X693">
        <v>2</v>
      </c>
      <c r="Z693">
        <v>1</v>
      </c>
      <c r="AA693">
        <v>8</v>
      </c>
      <c r="AB693">
        <v>3</v>
      </c>
      <c r="AC693">
        <v>0</v>
      </c>
      <c r="AD693">
        <v>9</v>
      </c>
      <c r="AE693">
        <v>0</v>
      </c>
      <c r="AF693">
        <v>3</v>
      </c>
      <c r="AG693">
        <v>1</v>
      </c>
      <c r="AH693">
        <v>0</v>
      </c>
      <c r="AI693" t="s">
        <v>391</v>
      </c>
      <c r="AJ693">
        <v>33.180964000000003</v>
      </c>
      <c r="AK693" t="s">
        <v>392</v>
      </c>
      <c r="AL693">
        <v>-97.743944999999997</v>
      </c>
      <c r="AM693">
        <v>25</v>
      </c>
      <c r="AN693">
        <v>3300</v>
      </c>
      <c r="AO693" t="s">
        <v>118</v>
      </c>
      <c r="AP693">
        <v>47</v>
      </c>
      <c r="AQ693">
        <v>-84</v>
      </c>
      <c r="AR693">
        <v>0</v>
      </c>
      <c r="AZ693">
        <v>1200</v>
      </c>
      <c r="BA693">
        <v>1</v>
      </c>
      <c r="BB693" t="str">
        <f t="shared" si="200"/>
        <v xml:space="preserve">N733KP  </v>
      </c>
      <c r="BC693">
        <v>1</v>
      </c>
      <c r="BE693">
        <v>0</v>
      </c>
      <c r="BF693">
        <v>0</v>
      </c>
      <c r="BG693">
        <v>0</v>
      </c>
      <c r="BH693">
        <v>3225</v>
      </c>
      <c r="BI693">
        <v>1</v>
      </c>
      <c r="BJ693">
        <v>1</v>
      </c>
      <c r="BK693">
        <v>0</v>
      </c>
      <c r="BL693">
        <v>0</v>
      </c>
      <c r="BO693">
        <v>0</v>
      </c>
      <c r="BP693">
        <v>0</v>
      </c>
      <c r="BW693" t="str">
        <f>"22:12:21.586"</f>
        <v>22:12:21.586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364</v>
      </c>
      <c r="CR693">
        <v>0</v>
      </c>
      <c r="CW693">
        <v>1390736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"03/24/2022 22:12:23.109"</f>
        <v>03/24/2022 22:12:23.109</v>
      </c>
      <c r="C694" t="str">
        <f t="shared" si="198"/>
        <v>FFDFD3C0</v>
      </c>
      <c r="D694" t="s">
        <v>120</v>
      </c>
      <c r="E694">
        <v>14</v>
      </c>
      <c r="F694">
        <v>1014</v>
      </c>
      <c r="G694" t="s">
        <v>121</v>
      </c>
      <c r="J694" t="s">
        <v>122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 t="shared" ref="S694:T697" si="208">"22:12:22.000"</f>
        <v>22:12:22.000</v>
      </c>
      <c r="T694" t="str">
        <f t="shared" si="208"/>
        <v>22:12:22.000</v>
      </c>
      <c r="U694" t="str">
        <f t="shared" si="193"/>
        <v>A9D71F</v>
      </c>
      <c r="V694">
        <v>0</v>
      </c>
      <c r="W694">
        <v>0</v>
      </c>
      <c r="X694">
        <v>2</v>
      </c>
      <c r="Z694">
        <v>1</v>
      </c>
      <c r="AA694">
        <v>8</v>
      </c>
      <c r="AB694">
        <v>3</v>
      </c>
      <c r="AC694">
        <v>0</v>
      </c>
      <c r="AD694">
        <v>9</v>
      </c>
      <c r="AE694">
        <v>0</v>
      </c>
      <c r="AF694">
        <v>3</v>
      </c>
      <c r="AG694">
        <v>1</v>
      </c>
      <c r="AH694">
        <v>0</v>
      </c>
      <c r="AI694" t="s">
        <v>393</v>
      </c>
      <c r="AJ694">
        <v>33.180599000000001</v>
      </c>
      <c r="AK694" t="s">
        <v>394</v>
      </c>
      <c r="AL694">
        <v>-97.743708999999996</v>
      </c>
      <c r="AM694">
        <v>25</v>
      </c>
      <c r="AN694">
        <v>3300</v>
      </c>
      <c r="AO694" t="s">
        <v>118</v>
      </c>
      <c r="AP694">
        <v>50</v>
      </c>
      <c r="AQ694">
        <v>-85</v>
      </c>
      <c r="AR694">
        <v>192</v>
      </c>
      <c r="AZ694">
        <v>1200</v>
      </c>
      <c r="BA694">
        <v>1</v>
      </c>
      <c r="BB694" t="str">
        <f t="shared" si="200"/>
        <v xml:space="preserve">N733KP  </v>
      </c>
      <c r="BC694">
        <v>1</v>
      </c>
      <c r="BE694">
        <v>0</v>
      </c>
      <c r="BF694">
        <v>0</v>
      </c>
      <c r="BG694">
        <v>0</v>
      </c>
      <c r="BH694">
        <v>3225</v>
      </c>
      <c r="BI694">
        <v>1</v>
      </c>
      <c r="BJ694">
        <v>1</v>
      </c>
      <c r="BK694">
        <v>0</v>
      </c>
      <c r="BL694">
        <v>0</v>
      </c>
      <c r="BO694">
        <v>0</v>
      </c>
      <c r="BP694">
        <v>0</v>
      </c>
      <c r="BW694" t="str">
        <f>"22:12:22.920"</f>
        <v>22:12:22.920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364</v>
      </c>
      <c r="CR694">
        <v>0</v>
      </c>
      <c r="CW694">
        <v>1390925</v>
      </c>
      <c r="CY694">
        <v>1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"03/24/2022 22:12:23.109"</f>
        <v>03/24/2022 22:12:23.109</v>
      </c>
      <c r="C695" t="str">
        <f t="shared" si="198"/>
        <v>FFDFD3C0</v>
      </c>
      <c r="D695" t="s">
        <v>126</v>
      </c>
      <c r="E695">
        <v>3</v>
      </c>
      <c r="H695">
        <v>160</v>
      </c>
      <c r="I695" t="s">
        <v>121</v>
      </c>
      <c r="J695" t="s">
        <v>127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 t="shared" si="208"/>
        <v>22:12:22.000</v>
      </c>
      <c r="T695" t="str">
        <f t="shared" si="208"/>
        <v>22:12:22.000</v>
      </c>
      <c r="U695" t="str">
        <f t="shared" si="193"/>
        <v>A9D71F</v>
      </c>
      <c r="V695">
        <v>0</v>
      </c>
      <c r="W695">
        <v>0</v>
      </c>
      <c r="X695">
        <v>2</v>
      </c>
      <c r="Z695">
        <v>1</v>
      </c>
      <c r="AA695">
        <v>8</v>
      </c>
      <c r="AB695">
        <v>3</v>
      </c>
      <c r="AC695">
        <v>0</v>
      </c>
      <c r="AD695">
        <v>9</v>
      </c>
      <c r="AE695">
        <v>0</v>
      </c>
      <c r="AF695">
        <v>3</v>
      </c>
      <c r="AG695">
        <v>1</v>
      </c>
      <c r="AH695">
        <v>0</v>
      </c>
      <c r="AI695" t="s">
        <v>393</v>
      </c>
      <c r="AJ695">
        <v>33.180599000000001</v>
      </c>
      <c r="AK695" t="s">
        <v>394</v>
      </c>
      <c r="AL695">
        <v>-97.743708999999996</v>
      </c>
      <c r="AM695">
        <v>25</v>
      </c>
      <c r="AN695">
        <v>3300</v>
      </c>
      <c r="AO695" t="s">
        <v>118</v>
      </c>
      <c r="AP695">
        <v>50</v>
      </c>
      <c r="AQ695">
        <v>-85</v>
      </c>
      <c r="AR695">
        <v>192</v>
      </c>
      <c r="AZ695">
        <v>1200</v>
      </c>
      <c r="BA695">
        <v>1</v>
      </c>
      <c r="BB695" t="str">
        <f t="shared" si="200"/>
        <v xml:space="preserve">N733KP  </v>
      </c>
      <c r="BC695">
        <v>1</v>
      </c>
      <c r="BE695">
        <v>0</v>
      </c>
      <c r="BF695">
        <v>0</v>
      </c>
      <c r="BG695">
        <v>0</v>
      </c>
      <c r="BH695">
        <v>3225</v>
      </c>
      <c r="BI695">
        <v>1</v>
      </c>
      <c r="BJ695">
        <v>1</v>
      </c>
      <c r="BK695">
        <v>0</v>
      </c>
      <c r="BL695">
        <v>0</v>
      </c>
      <c r="BO695">
        <v>0</v>
      </c>
      <c r="BP695">
        <v>0</v>
      </c>
      <c r="BW695" t="str">
        <f>"22:12:22.920"</f>
        <v>22:12:22.920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364</v>
      </c>
      <c r="CR695">
        <v>0</v>
      </c>
      <c r="CW695">
        <v>1390925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"03/24/2022 22:12:23.109"</f>
        <v>03/24/2022 22:12:23.109</v>
      </c>
      <c r="C696" t="str">
        <f t="shared" si="198"/>
        <v>FFDFD3C0</v>
      </c>
      <c r="D696" t="s">
        <v>123</v>
      </c>
      <c r="E696">
        <v>8</v>
      </c>
      <c r="H696">
        <v>31</v>
      </c>
      <c r="I696" t="s">
        <v>124</v>
      </c>
      <c r="J696" t="s">
        <v>125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 t="shared" si="208"/>
        <v>22:12:22.000</v>
      </c>
      <c r="T696" t="str">
        <f t="shared" si="208"/>
        <v>22:12:22.000</v>
      </c>
      <c r="U696" t="str">
        <f t="shared" si="193"/>
        <v>A9D71F</v>
      </c>
      <c r="V696">
        <v>0</v>
      </c>
      <c r="W696">
        <v>0</v>
      </c>
      <c r="X696">
        <v>2</v>
      </c>
      <c r="Z696">
        <v>1</v>
      </c>
      <c r="AA696">
        <v>8</v>
      </c>
      <c r="AB696">
        <v>3</v>
      </c>
      <c r="AC696">
        <v>0</v>
      </c>
      <c r="AD696">
        <v>9</v>
      </c>
      <c r="AE696">
        <v>0</v>
      </c>
      <c r="AF696">
        <v>3</v>
      </c>
      <c r="AG696">
        <v>1</v>
      </c>
      <c r="AH696">
        <v>0</v>
      </c>
      <c r="AI696" t="s">
        <v>393</v>
      </c>
      <c r="AJ696">
        <v>33.180599000000001</v>
      </c>
      <c r="AK696" t="s">
        <v>394</v>
      </c>
      <c r="AL696">
        <v>-97.743708999999996</v>
      </c>
      <c r="AM696">
        <v>25</v>
      </c>
      <c r="AN696">
        <v>3300</v>
      </c>
      <c r="AO696" t="s">
        <v>118</v>
      </c>
      <c r="AP696">
        <v>50</v>
      </c>
      <c r="AQ696">
        <v>-85</v>
      </c>
      <c r="AR696">
        <v>192</v>
      </c>
      <c r="AZ696">
        <v>1200</v>
      </c>
      <c r="BA696">
        <v>1</v>
      </c>
      <c r="BB696" t="str">
        <f t="shared" si="200"/>
        <v xml:space="preserve">N733KP  </v>
      </c>
      <c r="BC696">
        <v>1</v>
      </c>
      <c r="BE696">
        <v>0</v>
      </c>
      <c r="BF696">
        <v>0</v>
      </c>
      <c r="BG696">
        <v>0</v>
      </c>
      <c r="BH696">
        <v>3225</v>
      </c>
      <c r="BI696">
        <v>1</v>
      </c>
      <c r="BJ696">
        <v>1</v>
      </c>
      <c r="BK696">
        <v>0</v>
      </c>
      <c r="BL696">
        <v>0</v>
      </c>
      <c r="BO696">
        <v>0</v>
      </c>
      <c r="BP696">
        <v>0</v>
      </c>
      <c r="BW696" t="str">
        <f>"22:12:22.920"</f>
        <v>22:12:22.920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364</v>
      </c>
      <c r="CR696">
        <v>0</v>
      </c>
      <c r="CW696">
        <v>1390925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"03/24/2022 22:12:23.109"</f>
        <v>03/24/2022 22:12:23.109</v>
      </c>
      <c r="C697" t="str">
        <f t="shared" si="198"/>
        <v>FFDFD3C0</v>
      </c>
      <c r="D697" t="s">
        <v>113</v>
      </c>
      <c r="E697">
        <v>24</v>
      </c>
      <c r="F697">
        <v>2024</v>
      </c>
      <c r="G697" t="s">
        <v>114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 t="shared" si="208"/>
        <v>22:12:22.000</v>
      </c>
      <c r="T697" t="str">
        <f t="shared" si="208"/>
        <v>22:12:22.000</v>
      </c>
      <c r="U697" t="str">
        <f t="shared" si="193"/>
        <v>A9D71F</v>
      </c>
      <c r="V697">
        <v>0</v>
      </c>
      <c r="W697">
        <v>0</v>
      </c>
      <c r="X697">
        <v>2</v>
      </c>
      <c r="Z697">
        <v>1</v>
      </c>
      <c r="AA697">
        <v>8</v>
      </c>
      <c r="AB697">
        <v>3</v>
      </c>
      <c r="AC697">
        <v>0</v>
      </c>
      <c r="AD697">
        <v>9</v>
      </c>
      <c r="AE697">
        <v>0</v>
      </c>
      <c r="AF697">
        <v>3</v>
      </c>
      <c r="AG697">
        <v>1</v>
      </c>
      <c r="AH697">
        <v>0</v>
      </c>
      <c r="AI697" t="s">
        <v>393</v>
      </c>
      <c r="AJ697">
        <v>33.180599000000001</v>
      </c>
      <c r="AK697" t="s">
        <v>394</v>
      </c>
      <c r="AL697">
        <v>-97.743708999999996</v>
      </c>
      <c r="AM697">
        <v>25</v>
      </c>
      <c r="AN697">
        <v>3300</v>
      </c>
      <c r="AO697" t="s">
        <v>118</v>
      </c>
      <c r="AP697">
        <v>50</v>
      </c>
      <c r="AQ697">
        <v>-85</v>
      </c>
      <c r="AR697">
        <v>192</v>
      </c>
      <c r="AZ697">
        <v>1200</v>
      </c>
      <c r="BA697">
        <v>1</v>
      </c>
      <c r="BB697" t="str">
        <f t="shared" si="200"/>
        <v xml:space="preserve">N733KP  </v>
      </c>
      <c r="BC697">
        <v>1</v>
      </c>
      <c r="BE697">
        <v>0</v>
      </c>
      <c r="BF697">
        <v>0</v>
      </c>
      <c r="BG697">
        <v>0</v>
      </c>
      <c r="BH697">
        <v>3225</v>
      </c>
      <c r="BI697">
        <v>1</v>
      </c>
      <c r="BJ697">
        <v>1</v>
      </c>
      <c r="BK697">
        <v>0</v>
      </c>
      <c r="BL697">
        <v>0</v>
      </c>
      <c r="BO697">
        <v>0</v>
      </c>
      <c r="BP697">
        <v>0</v>
      </c>
      <c r="BW697" t="str">
        <f>"22:12:22.920"</f>
        <v>22:12:22.920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364</v>
      </c>
      <c r="CR697">
        <v>0</v>
      </c>
      <c r="CW697">
        <v>1390925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"03/24/2022 22:12:24.018"</f>
        <v>03/24/2022 22:12:24.018</v>
      </c>
      <c r="C698" t="str">
        <f t="shared" si="198"/>
        <v>FFDFD3C0</v>
      </c>
      <c r="D698" t="s">
        <v>126</v>
      </c>
      <c r="E698">
        <v>3</v>
      </c>
      <c r="H698">
        <v>160</v>
      </c>
      <c r="I698" t="s">
        <v>121</v>
      </c>
      <c r="J698" t="s">
        <v>127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 t="shared" ref="S698:T701" si="209">"22:12:23.000"</f>
        <v>22:12:23.000</v>
      </c>
      <c r="T698" t="str">
        <f t="shared" si="209"/>
        <v>22:12:23.000</v>
      </c>
      <c r="U698" t="str">
        <f t="shared" si="193"/>
        <v>A9D71F</v>
      </c>
      <c r="V698">
        <v>0</v>
      </c>
      <c r="W698">
        <v>0</v>
      </c>
      <c r="X698">
        <v>2</v>
      </c>
      <c r="Z698">
        <v>1</v>
      </c>
      <c r="AA698">
        <v>8</v>
      </c>
      <c r="AB698">
        <v>3</v>
      </c>
      <c r="AC698">
        <v>0</v>
      </c>
      <c r="AD698">
        <v>9</v>
      </c>
      <c r="AE698">
        <v>0</v>
      </c>
      <c r="AF698">
        <v>3</v>
      </c>
      <c r="AG698">
        <v>1</v>
      </c>
      <c r="AH698">
        <v>0</v>
      </c>
      <c r="AI698" t="s">
        <v>395</v>
      </c>
      <c r="AJ698">
        <v>33.180213000000002</v>
      </c>
      <c r="AK698" t="s">
        <v>396</v>
      </c>
      <c r="AL698">
        <v>-97.743452000000005</v>
      </c>
      <c r="AM698">
        <v>25</v>
      </c>
      <c r="AN698">
        <v>3300</v>
      </c>
      <c r="AO698" t="s">
        <v>118</v>
      </c>
      <c r="AP698">
        <v>51</v>
      </c>
      <c r="AQ698">
        <v>-85</v>
      </c>
      <c r="AR698">
        <v>192</v>
      </c>
      <c r="AZ698">
        <v>1200</v>
      </c>
      <c r="BA698">
        <v>1</v>
      </c>
      <c r="BB698" t="str">
        <f t="shared" si="200"/>
        <v xml:space="preserve">N733KP  </v>
      </c>
      <c r="BC698">
        <v>1</v>
      </c>
      <c r="BE698">
        <v>0</v>
      </c>
      <c r="BF698">
        <v>0</v>
      </c>
      <c r="BG698">
        <v>0</v>
      </c>
      <c r="BH698">
        <v>3225</v>
      </c>
      <c r="BI698">
        <v>1</v>
      </c>
      <c r="BJ698">
        <v>1</v>
      </c>
      <c r="BK698">
        <v>0</v>
      </c>
      <c r="BL698">
        <v>0</v>
      </c>
      <c r="BO698">
        <v>0</v>
      </c>
      <c r="BP698">
        <v>0</v>
      </c>
      <c r="BW698" t="str">
        <f>"22:12:23.838"</f>
        <v>22:12:23.838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364</v>
      </c>
      <c r="CR698">
        <v>0</v>
      </c>
      <c r="CW698">
        <v>1391051</v>
      </c>
      <c r="CY698">
        <v>1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"03/24/2022 22:12:24.018"</f>
        <v>03/24/2022 22:12:24.018</v>
      </c>
      <c r="C699" t="str">
        <f t="shared" si="198"/>
        <v>FFDFD3C0</v>
      </c>
      <c r="D699" t="s">
        <v>123</v>
      </c>
      <c r="E699">
        <v>8</v>
      </c>
      <c r="H699">
        <v>31</v>
      </c>
      <c r="I699" t="s">
        <v>124</v>
      </c>
      <c r="J699" t="s">
        <v>125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 t="shared" si="209"/>
        <v>22:12:23.000</v>
      </c>
      <c r="T699" t="str">
        <f t="shared" si="209"/>
        <v>22:12:23.000</v>
      </c>
      <c r="U699" t="str">
        <f t="shared" si="193"/>
        <v>A9D71F</v>
      </c>
      <c r="V699">
        <v>0</v>
      </c>
      <c r="W699">
        <v>0</v>
      </c>
      <c r="X699">
        <v>2</v>
      </c>
      <c r="Z699">
        <v>1</v>
      </c>
      <c r="AA699">
        <v>8</v>
      </c>
      <c r="AB699">
        <v>3</v>
      </c>
      <c r="AC699">
        <v>0</v>
      </c>
      <c r="AD699">
        <v>9</v>
      </c>
      <c r="AE699">
        <v>0</v>
      </c>
      <c r="AF699">
        <v>3</v>
      </c>
      <c r="AG699">
        <v>1</v>
      </c>
      <c r="AH699">
        <v>0</v>
      </c>
      <c r="AI699" t="s">
        <v>395</v>
      </c>
      <c r="AJ699">
        <v>33.180213000000002</v>
      </c>
      <c r="AK699" t="s">
        <v>396</v>
      </c>
      <c r="AL699">
        <v>-97.743452000000005</v>
      </c>
      <c r="AM699">
        <v>25</v>
      </c>
      <c r="AN699">
        <v>3300</v>
      </c>
      <c r="AO699" t="s">
        <v>118</v>
      </c>
      <c r="AP699">
        <v>51</v>
      </c>
      <c r="AQ699">
        <v>-85</v>
      </c>
      <c r="AR699">
        <v>192</v>
      </c>
      <c r="AZ699">
        <v>1200</v>
      </c>
      <c r="BA699">
        <v>1</v>
      </c>
      <c r="BB699" t="str">
        <f t="shared" si="200"/>
        <v xml:space="preserve">N733KP  </v>
      </c>
      <c r="BC699">
        <v>1</v>
      </c>
      <c r="BE699">
        <v>0</v>
      </c>
      <c r="BF699">
        <v>0</v>
      </c>
      <c r="BG699">
        <v>0</v>
      </c>
      <c r="BH699">
        <v>3225</v>
      </c>
      <c r="BI699">
        <v>1</v>
      </c>
      <c r="BJ699">
        <v>1</v>
      </c>
      <c r="BK699">
        <v>0</v>
      </c>
      <c r="BL699">
        <v>0</v>
      </c>
      <c r="BO699">
        <v>0</v>
      </c>
      <c r="BP699">
        <v>0</v>
      </c>
      <c r="BW699" t="str">
        <f>"22:12:23.838"</f>
        <v>22:12:23.838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364</v>
      </c>
      <c r="CR699">
        <v>0</v>
      </c>
      <c r="CW699">
        <v>1391051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"03/24/2022 22:12:24.018"</f>
        <v>03/24/2022 22:12:24.018</v>
      </c>
      <c r="C700" t="str">
        <f t="shared" si="198"/>
        <v>FFDFD3C0</v>
      </c>
      <c r="D700" t="s">
        <v>113</v>
      </c>
      <c r="E700">
        <v>24</v>
      </c>
      <c r="F700">
        <v>2024</v>
      </c>
      <c r="G700" t="s">
        <v>114</v>
      </c>
      <c r="J700" t="s">
        <v>115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 t="shared" si="209"/>
        <v>22:12:23.000</v>
      </c>
      <c r="T700" t="str">
        <f t="shared" si="209"/>
        <v>22:12:23.000</v>
      </c>
      <c r="U700" t="str">
        <f t="shared" si="193"/>
        <v>A9D71F</v>
      </c>
      <c r="V700">
        <v>0</v>
      </c>
      <c r="W700">
        <v>0</v>
      </c>
      <c r="X700">
        <v>2</v>
      </c>
      <c r="Z700">
        <v>1</v>
      </c>
      <c r="AA700">
        <v>8</v>
      </c>
      <c r="AB700">
        <v>3</v>
      </c>
      <c r="AC700">
        <v>0</v>
      </c>
      <c r="AD700">
        <v>9</v>
      </c>
      <c r="AE700">
        <v>0</v>
      </c>
      <c r="AF700">
        <v>3</v>
      </c>
      <c r="AG700">
        <v>1</v>
      </c>
      <c r="AH700">
        <v>0</v>
      </c>
      <c r="AI700" t="s">
        <v>395</v>
      </c>
      <c r="AJ700">
        <v>33.180213000000002</v>
      </c>
      <c r="AK700" t="s">
        <v>396</v>
      </c>
      <c r="AL700">
        <v>-97.743452000000005</v>
      </c>
      <c r="AM700">
        <v>25</v>
      </c>
      <c r="AN700">
        <v>3300</v>
      </c>
      <c r="AO700" t="s">
        <v>118</v>
      </c>
      <c r="AP700">
        <v>51</v>
      </c>
      <c r="AQ700">
        <v>-85</v>
      </c>
      <c r="AR700">
        <v>192</v>
      </c>
      <c r="AZ700">
        <v>1200</v>
      </c>
      <c r="BA700">
        <v>1</v>
      </c>
      <c r="BB700" t="str">
        <f t="shared" si="200"/>
        <v xml:space="preserve">N733KP  </v>
      </c>
      <c r="BC700">
        <v>1</v>
      </c>
      <c r="BE700">
        <v>0</v>
      </c>
      <c r="BF700">
        <v>0</v>
      </c>
      <c r="BG700">
        <v>0</v>
      </c>
      <c r="BH700">
        <v>3225</v>
      </c>
      <c r="BI700">
        <v>1</v>
      </c>
      <c r="BJ700">
        <v>1</v>
      </c>
      <c r="BK700">
        <v>0</v>
      </c>
      <c r="BL700">
        <v>0</v>
      </c>
      <c r="BO700">
        <v>0</v>
      </c>
      <c r="BP700">
        <v>0</v>
      </c>
      <c r="BW700" t="str">
        <f>"22:12:23.838"</f>
        <v>22:12:23.838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364</v>
      </c>
      <c r="CR700">
        <v>0</v>
      </c>
      <c r="CW700">
        <v>1391051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"03/24/2022 22:12:24.081"</f>
        <v>03/24/2022 22:12:24.081</v>
      </c>
      <c r="C701" t="str">
        <f t="shared" si="198"/>
        <v>FFDFD3C0</v>
      </c>
      <c r="D701" t="s">
        <v>120</v>
      </c>
      <c r="E701">
        <v>14</v>
      </c>
      <c r="F701">
        <v>1014</v>
      </c>
      <c r="G701" t="s">
        <v>121</v>
      </c>
      <c r="J701" t="s">
        <v>122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 t="shared" si="209"/>
        <v>22:12:23.000</v>
      </c>
      <c r="T701" t="str">
        <f t="shared" si="209"/>
        <v>22:12:23.000</v>
      </c>
      <c r="U701" t="str">
        <f t="shared" si="193"/>
        <v>A9D71F</v>
      </c>
      <c r="V701">
        <v>0</v>
      </c>
      <c r="W701">
        <v>0</v>
      </c>
      <c r="X701">
        <v>2</v>
      </c>
      <c r="Z701">
        <v>1</v>
      </c>
      <c r="AA701">
        <v>8</v>
      </c>
      <c r="AB701">
        <v>3</v>
      </c>
      <c r="AC701">
        <v>0</v>
      </c>
      <c r="AD701">
        <v>9</v>
      </c>
      <c r="AE701">
        <v>0</v>
      </c>
      <c r="AF701">
        <v>3</v>
      </c>
      <c r="AG701">
        <v>1</v>
      </c>
      <c r="AH701">
        <v>0</v>
      </c>
      <c r="AI701" t="s">
        <v>395</v>
      </c>
      <c r="AJ701">
        <v>33.180213000000002</v>
      </c>
      <c r="AK701" t="s">
        <v>396</v>
      </c>
      <c r="AL701">
        <v>-97.743452000000005</v>
      </c>
      <c r="AM701">
        <v>25</v>
      </c>
      <c r="AN701">
        <v>3300</v>
      </c>
      <c r="AO701" t="s">
        <v>118</v>
      </c>
      <c r="AP701">
        <v>51</v>
      </c>
      <c r="AQ701">
        <v>-85</v>
      </c>
      <c r="AR701">
        <v>192</v>
      </c>
      <c r="AZ701">
        <v>1200</v>
      </c>
      <c r="BA701">
        <v>1</v>
      </c>
      <c r="BB701" t="str">
        <f t="shared" si="200"/>
        <v xml:space="preserve">N733KP  </v>
      </c>
      <c r="BC701">
        <v>1</v>
      </c>
      <c r="BE701">
        <v>0</v>
      </c>
      <c r="BF701">
        <v>0</v>
      </c>
      <c r="BG701">
        <v>0</v>
      </c>
      <c r="BH701">
        <v>3225</v>
      </c>
      <c r="BI701">
        <v>1</v>
      </c>
      <c r="BJ701">
        <v>1</v>
      </c>
      <c r="BK701">
        <v>0</v>
      </c>
      <c r="BL701">
        <v>0</v>
      </c>
      <c r="BO701">
        <v>0</v>
      </c>
      <c r="BP701">
        <v>0</v>
      </c>
      <c r="BW701" t="str">
        <f>"22:12:23.838"</f>
        <v>22:12:23.838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364</v>
      </c>
      <c r="CR701">
        <v>0</v>
      </c>
      <c r="CW701">
        <v>1391051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"03/24/2022 22:12:24.706"</f>
        <v>03/24/2022 22:12:24.706</v>
      </c>
      <c r="C702" t="str">
        <f t="shared" si="198"/>
        <v>FFDFD3C0</v>
      </c>
      <c r="D702" t="s">
        <v>120</v>
      </c>
      <c r="E702">
        <v>14</v>
      </c>
      <c r="F702">
        <v>1014</v>
      </c>
      <c r="G702" t="s">
        <v>121</v>
      </c>
      <c r="J702" t="s">
        <v>122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 t="shared" ref="S702:T705" si="210">"22:12:24.000"</f>
        <v>22:12:24.000</v>
      </c>
      <c r="T702" t="str">
        <f t="shared" si="210"/>
        <v>22:12:24.000</v>
      </c>
      <c r="U702" t="str">
        <f t="shared" si="193"/>
        <v>A9D71F</v>
      </c>
      <c r="V702">
        <v>0</v>
      </c>
      <c r="W702">
        <v>0</v>
      </c>
      <c r="X702">
        <v>2</v>
      </c>
      <c r="Z702">
        <v>1</v>
      </c>
      <c r="AA702">
        <v>8</v>
      </c>
      <c r="AB702">
        <v>3</v>
      </c>
      <c r="AC702">
        <v>0</v>
      </c>
      <c r="AD702">
        <v>9</v>
      </c>
      <c r="AE702">
        <v>0</v>
      </c>
      <c r="AF702">
        <v>3</v>
      </c>
      <c r="AG702">
        <v>1</v>
      </c>
      <c r="AH702">
        <v>0</v>
      </c>
      <c r="AI702" t="s">
        <v>397</v>
      </c>
      <c r="AJ702">
        <v>33.179805000000002</v>
      </c>
      <c r="AK702" t="s">
        <v>398</v>
      </c>
      <c r="AL702">
        <v>-97.743172999999999</v>
      </c>
      <c r="AM702">
        <v>25</v>
      </c>
      <c r="AN702">
        <v>3300</v>
      </c>
      <c r="AO702" t="s">
        <v>118</v>
      </c>
      <c r="AP702">
        <v>50</v>
      </c>
      <c r="AQ702">
        <v>-86</v>
      </c>
      <c r="AR702">
        <v>192</v>
      </c>
      <c r="AZ702">
        <v>1200</v>
      </c>
      <c r="BA702">
        <v>1</v>
      </c>
      <c r="BB702" t="str">
        <f t="shared" si="200"/>
        <v xml:space="preserve">N733KP  </v>
      </c>
      <c r="BC702">
        <v>1</v>
      </c>
      <c r="BE702">
        <v>0</v>
      </c>
      <c r="BF702">
        <v>0</v>
      </c>
      <c r="BG702">
        <v>0</v>
      </c>
      <c r="BH702">
        <v>3250</v>
      </c>
      <c r="BI702">
        <v>1</v>
      </c>
      <c r="BJ702">
        <v>1</v>
      </c>
      <c r="BK702">
        <v>0</v>
      </c>
      <c r="BL702">
        <v>0</v>
      </c>
      <c r="BO702">
        <v>0</v>
      </c>
      <c r="BP702">
        <v>0</v>
      </c>
      <c r="BW702" t="str">
        <f>"22:12:24.563"</f>
        <v>22:12:24.563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364</v>
      </c>
      <c r="CR702">
        <v>0</v>
      </c>
      <c r="CW702">
        <v>1391148</v>
      </c>
      <c r="CY702">
        <v>1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"03/24/2022 22:12:24.722"</f>
        <v>03/24/2022 22:12:24.722</v>
      </c>
      <c r="C703" t="str">
        <f t="shared" si="198"/>
        <v>FFDFD3C0</v>
      </c>
      <c r="D703" t="s">
        <v>126</v>
      </c>
      <c r="E703">
        <v>3</v>
      </c>
      <c r="H703">
        <v>160</v>
      </c>
      <c r="I703" t="s">
        <v>121</v>
      </c>
      <c r="J703" t="s">
        <v>127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 t="shared" si="210"/>
        <v>22:12:24.000</v>
      </c>
      <c r="T703" t="str">
        <f t="shared" si="210"/>
        <v>22:12:24.000</v>
      </c>
      <c r="U703" t="str">
        <f t="shared" si="193"/>
        <v>A9D71F</v>
      </c>
      <c r="V703">
        <v>0</v>
      </c>
      <c r="W703">
        <v>0</v>
      </c>
      <c r="X703">
        <v>2</v>
      </c>
      <c r="Z703">
        <v>1</v>
      </c>
      <c r="AA703">
        <v>8</v>
      </c>
      <c r="AB703">
        <v>3</v>
      </c>
      <c r="AC703">
        <v>0</v>
      </c>
      <c r="AD703">
        <v>9</v>
      </c>
      <c r="AE703">
        <v>0</v>
      </c>
      <c r="AF703">
        <v>3</v>
      </c>
      <c r="AG703">
        <v>1</v>
      </c>
      <c r="AH703">
        <v>0</v>
      </c>
      <c r="AI703" t="s">
        <v>397</v>
      </c>
      <c r="AJ703">
        <v>33.179805000000002</v>
      </c>
      <c r="AK703" t="s">
        <v>398</v>
      </c>
      <c r="AL703">
        <v>-97.743172999999999</v>
      </c>
      <c r="AM703">
        <v>25</v>
      </c>
      <c r="AN703">
        <v>3300</v>
      </c>
      <c r="AO703" t="s">
        <v>118</v>
      </c>
      <c r="AP703">
        <v>50</v>
      </c>
      <c r="AQ703">
        <v>-86</v>
      </c>
      <c r="AR703">
        <v>192</v>
      </c>
      <c r="AZ703">
        <v>1200</v>
      </c>
      <c r="BA703">
        <v>1</v>
      </c>
      <c r="BB703" t="str">
        <f t="shared" si="200"/>
        <v xml:space="preserve">N733KP  </v>
      </c>
      <c r="BC703">
        <v>1</v>
      </c>
      <c r="BE703">
        <v>0</v>
      </c>
      <c r="BF703">
        <v>0</v>
      </c>
      <c r="BG703">
        <v>0</v>
      </c>
      <c r="BH703">
        <v>3250</v>
      </c>
      <c r="BI703">
        <v>1</v>
      </c>
      <c r="BJ703">
        <v>1</v>
      </c>
      <c r="BK703">
        <v>0</v>
      </c>
      <c r="BL703">
        <v>0</v>
      </c>
      <c r="BO703">
        <v>0</v>
      </c>
      <c r="BP703">
        <v>0</v>
      </c>
      <c r="BW703" t="str">
        <f>"22:12:24.563"</f>
        <v>22:12:24.563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364</v>
      </c>
      <c r="CR703">
        <v>0</v>
      </c>
      <c r="CW703">
        <v>1391148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"03/24/2022 22:12:24.722"</f>
        <v>03/24/2022 22:12:24.722</v>
      </c>
      <c r="C704" t="str">
        <f t="shared" si="198"/>
        <v>FFDFD3C0</v>
      </c>
      <c r="D704" t="s">
        <v>123</v>
      </c>
      <c r="E704">
        <v>8</v>
      </c>
      <c r="H704">
        <v>31</v>
      </c>
      <c r="I704" t="s">
        <v>124</v>
      </c>
      <c r="J704" t="s">
        <v>125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 t="shared" si="210"/>
        <v>22:12:24.000</v>
      </c>
      <c r="T704" t="str">
        <f t="shared" si="210"/>
        <v>22:12:24.000</v>
      </c>
      <c r="U704" t="str">
        <f t="shared" si="193"/>
        <v>A9D71F</v>
      </c>
      <c r="V704">
        <v>0</v>
      </c>
      <c r="W704">
        <v>0</v>
      </c>
      <c r="X704">
        <v>2</v>
      </c>
      <c r="Z704">
        <v>1</v>
      </c>
      <c r="AA704">
        <v>8</v>
      </c>
      <c r="AB704">
        <v>3</v>
      </c>
      <c r="AC704">
        <v>0</v>
      </c>
      <c r="AD704">
        <v>9</v>
      </c>
      <c r="AE704">
        <v>0</v>
      </c>
      <c r="AF704">
        <v>3</v>
      </c>
      <c r="AG704">
        <v>1</v>
      </c>
      <c r="AH704">
        <v>0</v>
      </c>
      <c r="AI704" t="s">
        <v>397</v>
      </c>
      <c r="AJ704">
        <v>33.179805000000002</v>
      </c>
      <c r="AK704" t="s">
        <v>398</v>
      </c>
      <c r="AL704">
        <v>-97.743172999999999</v>
      </c>
      <c r="AM704">
        <v>25</v>
      </c>
      <c r="AN704">
        <v>3300</v>
      </c>
      <c r="AO704" t="s">
        <v>118</v>
      </c>
      <c r="AP704">
        <v>50</v>
      </c>
      <c r="AQ704">
        <v>-86</v>
      </c>
      <c r="AR704">
        <v>192</v>
      </c>
      <c r="AZ704">
        <v>1200</v>
      </c>
      <c r="BA704">
        <v>1</v>
      </c>
      <c r="BB704" t="str">
        <f t="shared" si="200"/>
        <v xml:space="preserve">N733KP  </v>
      </c>
      <c r="BC704">
        <v>1</v>
      </c>
      <c r="BE704">
        <v>0</v>
      </c>
      <c r="BF704">
        <v>0</v>
      </c>
      <c r="BG704">
        <v>0</v>
      </c>
      <c r="BH704">
        <v>3250</v>
      </c>
      <c r="BI704">
        <v>1</v>
      </c>
      <c r="BJ704">
        <v>1</v>
      </c>
      <c r="BK704">
        <v>0</v>
      </c>
      <c r="BL704">
        <v>0</v>
      </c>
      <c r="BO704">
        <v>0</v>
      </c>
      <c r="BP704">
        <v>0</v>
      </c>
      <c r="BW704" t="str">
        <f>"22:12:24.563"</f>
        <v>22:12:24.563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364</v>
      </c>
      <c r="CR704">
        <v>0</v>
      </c>
      <c r="CW704">
        <v>1391148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"03/24/2022 22:12:24.769"</f>
        <v>03/24/2022 22:12:24.769</v>
      </c>
      <c r="C705" t="str">
        <f t="shared" si="198"/>
        <v>FFDFD3C0</v>
      </c>
      <c r="D705" t="s">
        <v>113</v>
      </c>
      <c r="E705">
        <v>24</v>
      </c>
      <c r="F705">
        <v>2024</v>
      </c>
      <c r="G705" t="s">
        <v>114</v>
      </c>
      <c r="J705" t="s">
        <v>115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 t="shared" si="210"/>
        <v>22:12:24.000</v>
      </c>
      <c r="T705" t="str">
        <f t="shared" si="210"/>
        <v>22:12:24.000</v>
      </c>
      <c r="U705" t="str">
        <f t="shared" si="193"/>
        <v>A9D71F</v>
      </c>
      <c r="V705">
        <v>0</v>
      </c>
      <c r="W705">
        <v>0</v>
      </c>
      <c r="X705">
        <v>2</v>
      </c>
      <c r="Z705">
        <v>1</v>
      </c>
      <c r="AA705">
        <v>8</v>
      </c>
      <c r="AB705">
        <v>3</v>
      </c>
      <c r="AC705">
        <v>0</v>
      </c>
      <c r="AD705">
        <v>9</v>
      </c>
      <c r="AE705">
        <v>0</v>
      </c>
      <c r="AF705">
        <v>3</v>
      </c>
      <c r="AG705">
        <v>1</v>
      </c>
      <c r="AH705">
        <v>0</v>
      </c>
      <c r="AI705" t="s">
        <v>397</v>
      </c>
      <c r="AJ705">
        <v>33.179805000000002</v>
      </c>
      <c r="AK705" t="s">
        <v>398</v>
      </c>
      <c r="AL705">
        <v>-97.743172999999999</v>
      </c>
      <c r="AM705">
        <v>25</v>
      </c>
      <c r="AN705">
        <v>3300</v>
      </c>
      <c r="AO705" t="s">
        <v>118</v>
      </c>
      <c r="AP705">
        <v>50</v>
      </c>
      <c r="AQ705">
        <v>-86</v>
      </c>
      <c r="AR705">
        <v>192</v>
      </c>
      <c r="AZ705">
        <v>1200</v>
      </c>
      <c r="BA705">
        <v>1</v>
      </c>
      <c r="BB705" t="str">
        <f t="shared" si="200"/>
        <v xml:space="preserve">N733KP  </v>
      </c>
      <c r="BC705">
        <v>1</v>
      </c>
      <c r="BE705">
        <v>0</v>
      </c>
      <c r="BF705">
        <v>0</v>
      </c>
      <c r="BG705">
        <v>0</v>
      </c>
      <c r="BH705">
        <v>3250</v>
      </c>
      <c r="BI705">
        <v>1</v>
      </c>
      <c r="BJ705">
        <v>1</v>
      </c>
      <c r="BK705">
        <v>0</v>
      </c>
      <c r="BL705">
        <v>0</v>
      </c>
      <c r="BO705">
        <v>0</v>
      </c>
      <c r="BP705">
        <v>0</v>
      </c>
      <c r="BW705" t="str">
        <f>"22:12:24.563"</f>
        <v>22:12:24.563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364</v>
      </c>
      <c r="CR705">
        <v>0</v>
      </c>
      <c r="CW705">
        <v>1391148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"03/24/2022 22:12:25.644"</f>
        <v>03/24/2022 22:12:25.644</v>
      </c>
      <c r="C706" t="str">
        <f t="shared" si="198"/>
        <v>FFDFD3C0</v>
      </c>
      <c r="D706" t="s">
        <v>113</v>
      </c>
      <c r="E706">
        <v>24</v>
      </c>
      <c r="F706">
        <v>2024</v>
      </c>
      <c r="G706" t="s">
        <v>114</v>
      </c>
      <c r="J706" t="s">
        <v>115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 t="shared" ref="S706:T709" si="211">"22:12:25.000"</f>
        <v>22:12:25.000</v>
      </c>
      <c r="T706" t="str">
        <f t="shared" si="211"/>
        <v>22:12:25.000</v>
      </c>
      <c r="U706" t="str">
        <f t="shared" ref="U706:U769" si="212">"A9D71F"</f>
        <v>A9D71F</v>
      </c>
      <c r="V706">
        <v>0</v>
      </c>
      <c r="W706">
        <v>0</v>
      </c>
      <c r="X706">
        <v>2</v>
      </c>
      <c r="Z706">
        <v>1</v>
      </c>
      <c r="AA706">
        <v>8</v>
      </c>
      <c r="AB706">
        <v>3</v>
      </c>
      <c r="AC706">
        <v>0</v>
      </c>
      <c r="AD706">
        <v>9</v>
      </c>
      <c r="AE706">
        <v>0</v>
      </c>
      <c r="AF706">
        <v>3</v>
      </c>
      <c r="AG706">
        <v>1</v>
      </c>
      <c r="AH706">
        <v>0</v>
      </c>
      <c r="AI706" t="s">
        <v>399</v>
      </c>
      <c r="AJ706">
        <v>33.179375999999998</v>
      </c>
      <c r="AK706" t="s">
        <v>400</v>
      </c>
      <c r="AL706">
        <v>-97.742872000000006</v>
      </c>
      <c r="AM706">
        <v>25</v>
      </c>
      <c r="AN706">
        <v>3300</v>
      </c>
      <c r="AO706" t="s">
        <v>118</v>
      </c>
      <c r="AP706">
        <v>52</v>
      </c>
      <c r="AQ706">
        <v>-86</v>
      </c>
      <c r="AR706">
        <v>256</v>
      </c>
      <c r="AZ706">
        <v>1200</v>
      </c>
      <c r="BA706">
        <v>1</v>
      </c>
      <c r="BB706" t="str">
        <f t="shared" si="200"/>
        <v xml:space="preserve">N733KP  </v>
      </c>
      <c r="BC706">
        <v>1</v>
      </c>
      <c r="BE706">
        <v>0</v>
      </c>
      <c r="BF706">
        <v>0</v>
      </c>
      <c r="BG706">
        <v>0</v>
      </c>
      <c r="BH706">
        <v>3250</v>
      </c>
      <c r="BI706">
        <v>1</v>
      </c>
      <c r="BJ706">
        <v>1</v>
      </c>
      <c r="BK706">
        <v>0</v>
      </c>
      <c r="BL706">
        <v>0</v>
      </c>
      <c r="BO706">
        <v>0</v>
      </c>
      <c r="BP706">
        <v>0</v>
      </c>
      <c r="BW706" t="str">
        <f>"22:12:25.488"</f>
        <v>22:12:25.488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364</v>
      </c>
      <c r="CR706">
        <v>0</v>
      </c>
      <c r="CW706">
        <v>1391264</v>
      </c>
      <c r="CY706">
        <v>1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"03/24/2022 22:12:25.675"</f>
        <v>03/24/2022 22:12:25.675</v>
      </c>
      <c r="C707" t="str">
        <f t="shared" si="198"/>
        <v>FFDFD3C0</v>
      </c>
      <c r="D707" t="s">
        <v>120</v>
      </c>
      <c r="E707">
        <v>14</v>
      </c>
      <c r="F707">
        <v>1014</v>
      </c>
      <c r="G707" t="s">
        <v>121</v>
      </c>
      <c r="J707" t="s">
        <v>122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 t="shared" si="211"/>
        <v>22:12:25.000</v>
      </c>
      <c r="T707" t="str">
        <f t="shared" si="211"/>
        <v>22:12:25.000</v>
      </c>
      <c r="U707" t="str">
        <f t="shared" si="212"/>
        <v>A9D71F</v>
      </c>
      <c r="V707">
        <v>0</v>
      </c>
      <c r="W707">
        <v>0</v>
      </c>
      <c r="X707">
        <v>2</v>
      </c>
      <c r="Z707">
        <v>1</v>
      </c>
      <c r="AA707">
        <v>8</v>
      </c>
      <c r="AB707">
        <v>3</v>
      </c>
      <c r="AC707">
        <v>0</v>
      </c>
      <c r="AD707">
        <v>9</v>
      </c>
      <c r="AE707">
        <v>0</v>
      </c>
      <c r="AF707">
        <v>3</v>
      </c>
      <c r="AG707">
        <v>1</v>
      </c>
      <c r="AH707">
        <v>0</v>
      </c>
      <c r="AI707" t="s">
        <v>399</v>
      </c>
      <c r="AJ707">
        <v>33.179375999999998</v>
      </c>
      <c r="AK707" t="s">
        <v>400</v>
      </c>
      <c r="AL707">
        <v>-97.742872000000006</v>
      </c>
      <c r="AM707">
        <v>25</v>
      </c>
      <c r="AN707">
        <v>3300</v>
      </c>
      <c r="AO707" t="s">
        <v>118</v>
      </c>
      <c r="AP707">
        <v>52</v>
      </c>
      <c r="AQ707">
        <v>-86</v>
      </c>
      <c r="AR707">
        <v>256</v>
      </c>
      <c r="AZ707">
        <v>1200</v>
      </c>
      <c r="BA707">
        <v>1</v>
      </c>
      <c r="BB707" t="str">
        <f t="shared" si="200"/>
        <v xml:space="preserve">N733KP  </v>
      </c>
      <c r="BC707">
        <v>1</v>
      </c>
      <c r="BE707">
        <v>0</v>
      </c>
      <c r="BF707">
        <v>0</v>
      </c>
      <c r="BG707">
        <v>0</v>
      </c>
      <c r="BH707">
        <v>3250</v>
      </c>
      <c r="BI707">
        <v>1</v>
      </c>
      <c r="BJ707">
        <v>1</v>
      </c>
      <c r="BK707">
        <v>0</v>
      </c>
      <c r="BL707">
        <v>0</v>
      </c>
      <c r="BO707">
        <v>0</v>
      </c>
      <c r="BP707">
        <v>0</v>
      </c>
      <c r="BW707" t="str">
        <f>"22:12:25.488"</f>
        <v>22:12:25.488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364</v>
      </c>
      <c r="CR707">
        <v>0</v>
      </c>
      <c r="CW707">
        <v>1391264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"03/24/2022 22:12:25.675"</f>
        <v>03/24/2022 22:12:25.675</v>
      </c>
      <c r="C708" t="str">
        <f t="shared" si="198"/>
        <v>FFDFD3C0</v>
      </c>
      <c r="D708" t="s">
        <v>126</v>
      </c>
      <c r="E708">
        <v>3</v>
      </c>
      <c r="H708">
        <v>160</v>
      </c>
      <c r="I708" t="s">
        <v>121</v>
      </c>
      <c r="J708" t="s">
        <v>127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 t="shared" si="211"/>
        <v>22:12:25.000</v>
      </c>
      <c r="T708" t="str">
        <f t="shared" si="211"/>
        <v>22:12:25.000</v>
      </c>
      <c r="U708" t="str">
        <f t="shared" si="212"/>
        <v>A9D71F</v>
      </c>
      <c r="V708">
        <v>0</v>
      </c>
      <c r="W708">
        <v>0</v>
      </c>
      <c r="X708">
        <v>2</v>
      </c>
      <c r="Z708">
        <v>1</v>
      </c>
      <c r="AA708">
        <v>8</v>
      </c>
      <c r="AB708">
        <v>3</v>
      </c>
      <c r="AC708">
        <v>0</v>
      </c>
      <c r="AD708">
        <v>9</v>
      </c>
      <c r="AE708">
        <v>0</v>
      </c>
      <c r="AF708">
        <v>3</v>
      </c>
      <c r="AG708">
        <v>1</v>
      </c>
      <c r="AH708">
        <v>0</v>
      </c>
      <c r="AI708" t="s">
        <v>399</v>
      </c>
      <c r="AJ708">
        <v>33.179375999999998</v>
      </c>
      <c r="AK708" t="s">
        <v>400</v>
      </c>
      <c r="AL708">
        <v>-97.742872000000006</v>
      </c>
      <c r="AM708">
        <v>25</v>
      </c>
      <c r="AN708">
        <v>3300</v>
      </c>
      <c r="AO708" t="s">
        <v>118</v>
      </c>
      <c r="AP708">
        <v>52</v>
      </c>
      <c r="AQ708">
        <v>-86</v>
      </c>
      <c r="AR708">
        <v>256</v>
      </c>
      <c r="AZ708">
        <v>1200</v>
      </c>
      <c r="BA708">
        <v>1</v>
      </c>
      <c r="BB708" t="str">
        <f t="shared" si="200"/>
        <v xml:space="preserve">N733KP  </v>
      </c>
      <c r="BC708">
        <v>1</v>
      </c>
      <c r="BE708">
        <v>0</v>
      </c>
      <c r="BF708">
        <v>0</v>
      </c>
      <c r="BG708">
        <v>0</v>
      </c>
      <c r="BH708">
        <v>3250</v>
      </c>
      <c r="BI708">
        <v>1</v>
      </c>
      <c r="BJ708">
        <v>1</v>
      </c>
      <c r="BK708">
        <v>0</v>
      </c>
      <c r="BL708">
        <v>0</v>
      </c>
      <c r="BO708">
        <v>0</v>
      </c>
      <c r="BP708">
        <v>0</v>
      </c>
      <c r="BW708" t="str">
        <f>"22:12:25.488"</f>
        <v>22:12:25.488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364</v>
      </c>
      <c r="CR708">
        <v>0</v>
      </c>
      <c r="CW708">
        <v>1391264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"03/24/2022 22:12:25.675"</f>
        <v>03/24/2022 22:12:25.675</v>
      </c>
      <c r="C709" t="str">
        <f t="shared" si="198"/>
        <v>FFDFD3C0</v>
      </c>
      <c r="D709" t="s">
        <v>123</v>
      </c>
      <c r="E709">
        <v>8</v>
      </c>
      <c r="H709">
        <v>31</v>
      </c>
      <c r="I709" t="s">
        <v>124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 t="shared" si="211"/>
        <v>22:12:25.000</v>
      </c>
      <c r="T709" t="str">
        <f t="shared" si="211"/>
        <v>22:12:25.000</v>
      </c>
      <c r="U709" t="str">
        <f t="shared" si="212"/>
        <v>A9D71F</v>
      </c>
      <c r="V709">
        <v>0</v>
      </c>
      <c r="W709">
        <v>0</v>
      </c>
      <c r="X709">
        <v>2</v>
      </c>
      <c r="Z709">
        <v>1</v>
      </c>
      <c r="AA709">
        <v>8</v>
      </c>
      <c r="AB709">
        <v>3</v>
      </c>
      <c r="AC709">
        <v>0</v>
      </c>
      <c r="AD709">
        <v>9</v>
      </c>
      <c r="AE709">
        <v>0</v>
      </c>
      <c r="AF709">
        <v>3</v>
      </c>
      <c r="AG709">
        <v>1</v>
      </c>
      <c r="AH709">
        <v>0</v>
      </c>
      <c r="AI709" t="s">
        <v>399</v>
      </c>
      <c r="AJ709">
        <v>33.179375999999998</v>
      </c>
      <c r="AK709" t="s">
        <v>400</v>
      </c>
      <c r="AL709">
        <v>-97.742872000000006</v>
      </c>
      <c r="AM709">
        <v>25</v>
      </c>
      <c r="AN709">
        <v>3300</v>
      </c>
      <c r="AO709" t="s">
        <v>118</v>
      </c>
      <c r="AP709">
        <v>52</v>
      </c>
      <c r="AQ709">
        <v>-86</v>
      </c>
      <c r="AR709">
        <v>256</v>
      </c>
      <c r="AZ709">
        <v>1200</v>
      </c>
      <c r="BA709">
        <v>1</v>
      </c>
      <c r="BB709" t="str">
        <f t="shared" si="200"/>
        <v xml:space="preserve">N733KP  </v>
      </c>
      <c r="BC709">
        <v>1</v>
      </c>
      <c r="BE709">
        <v>0</v>
      </c>
      <c r="BF709">
        <v>0</v>
      </c>
      <c r="BG709">
        <v>0</v>
      </c>
      <c r="BH709">
        <v>3250</v>
      </c>
      <c r="BI709">
        <v>1</v>
      </c>
      <c r="BJ709">
        <v>1</v>
      </c>
      <c r="BK709">
        <v>0</v>
      </c>
      <c r="BL709">
        <v>0</v>
      </c>
      <c r="BO709">
        <v>0</v>
      </c>
      <c r="BP709">
        <v>0</v>
      </c>
      <c r="BW709" t="str">
        <f>"22:12:25.488"</f>
        <v>22:12:25.488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364</v>
      </c>
      <c r="CR709">
        <v>0</v>
      </c>
      <c r="CW709">
        <v>1391264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"03/24/2022 22:12:27.004"</f>
        <v>03/24/2022 22:12:27.004</v>
      </c>
      <c r="C710" t="str">
        <f t="shared" si="198"/>
        <v>FFDFD3C0</v>
      </c>
      <c r="D710" t="s">
        <v>113</v>
      </c>
      <c r="E710">
        <v>24</v>
      </c>
      <c r="F710">
        <v>2024</v>
      </c>
      <c r="G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 t="shared" ref="S710:T713" si="213">"22:12:26.000"</f>
        <v>22:12:26.000</v>
      </c>
      <c r="T710" t="str">
        <f t="shared" si="213"/>
        <v>22:12:26.000</v>
      </c>
      <c r="U710" t="str">
        <f t="shared" si="212"/>
        <v>A9D71F</v>
      </c>
      <c r="V710">
        <v>0</v>
      </c>
      <c r="W710">
        <v>0</v>
      </c>
      <c r="X710">
        <v>2</v>
      </c>
      <c r="Z710">
        <v>1</v>
      </c>
      <c r="AA710">
        <v>8</v>
      </c>
      <c r="AB710">
        <v>3</v>
      </c>
      <c r="AC710">
        <v>0</v>
      </c>
      <c r="AD710">
        <v>9</v>
      </c>
      <c r="AE710">
        <v>0</v>
      </c>
      <c r="AF710">
        <v>3</v>
      </c>
      <c r="AG710">
        <v>1</v>
      </c>
      <c r="AH710">
        <v>0</v>
      </c>
      <c r="AI710" t="s">
        <v>401</v>
      </c>
      <c r="AJ710">
        <v>33.178989999999999</v>
      </c>
      <c r="AK710" t="s">
        <v>402</v>
      </c>
      <c r="AL710">
        <v>-97.742592999999999</v>
      </c>
      <c r="AM710">
        <v>25</v>
      </c>
      <c r="AN710">
        <v>3300</v>
      </c>
      <c r="AO710" t="s">
        <v>118</v>
      </c>
      <c r="AP710">
        <v>53</v>
      </c>
      <c r="AQ710">
        <v>-86</v>
      </c>
      <c r="AR710">
        <v>320</v>
      </c>
      <c r="AZ710">
        <v>1200</v>
      </c>
      <c r="BA710">
        <v>1</v>
      </c>
      <c r="BB710" t="str">
        <f t="shared" si="200"/>
        <v xml:space="preserve">N733KP  </v>
      </c>
      <c r="BC710">
        <v>1</v>
      </c>
      <c r="BE710">
        <v>0</v>
      </c>
      <c r="BF710">
        <v>0</v>
      </c>
      <c r="BG710">
        <v>0</v>
      </c>
      <c r="BH710">
        <v>3250</v>
      </c>
      <c r="BI710">
        <v>1</v>
      </c>
      <c r="BJ710">
        <v>1</v>
      </c>
      <c r="BK710">
        <v>0</v>
      </c>
      <c r="BL710">
        <v>0</v>
      </c>
      <c r="BO710">
        <v>0</v>
      </c>
      <c r="BP710">
        <v>0</v>
      </c>
      <c r="BW710" t="str">
        <f>"22:12:26.803"</f>
        <v>22:12:26.803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364</v>
      </c>
      <c r="CR710">
        <v>0</v>
      </c>
      <c r="CW710">
        <v>1391430</v>
      </c>
      <c r="CY710">
        <v>1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"03/24/2022 22:12:27.004"</f>
        <v>03/24/2022 22:12:27.004</v>
      </c>
      <c r="C711" t="str">
        <f t="shared" si="198"/>
        <v>FFDFD3C0</v>
      </c>
      <c r="D711" t="s">
        <v>120</v>
      </c>
      <c r="E711">
        <v>14</v>
      </c>
      <c r="F711">
        <v>1014</v>
      </c>
      <c r="G711" t="s">
        <v>121</v>
      </c>
      <c r="J711" t="s">
        <v>122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 t="shared" si="213"/>
        <v>22:12:26.000</v>
      </c>
      <c r="T711" t="str">
        <f t="shared" si="213"/>
        <v>22:12:26.000</v>
      </c>
      <c r="U711" t="str">
        <f t="shared" si="212"/>
        <v>A9D71F</v>
      </c>
      <c r="V711">
        <v>0</v>
      </c>
      <c r="W711">
        <v>0</v>
      </c>
      <c r="X711">
        <v>2</v>
      </c>
      <c r="Z711">
        <v>1</v>
      </c>
      <c r="AA711">
        <v>8</v>
      </c>
      <c r="AB711">
        <v>3</v>
      </c>
      <c r="AC711">
        <v>0</v>
      </c>
      <c r="AD711">
        <v>9</v>
      </c>
      <c r="AE711">
        <v>0</v>
      </c>
      <c r="AF711">
        <v>3</v>
      </c>
      <c r="AG711">
        <v>1</v>
      </c>
      <c r="AH711">
        <v>0</v>
      </c>
      <c r="AI711" t="s">
        <v>401</v>
      </c>
      <c r="AJ711">
        <v>33.178989999999999</v>
      </c>
      <c r="AK711" t="s">
        <v>402</v>
      </c>
      <c r="AL711">
        <v>-97.742592999999999</v>
      </c>
      <c r="AM711">
        <v>25</v>
      </c>
      <c r="AN711">
        <v>3300</v>
      </c>
      <c r="AO711" t="s">
        <v>118</v>
      </c>
      <c r="AP711">
        <v>53</v>
      </c>
      <c r="AQ711">
        <v>-86</v>
      </c>
      <c r="AR711">
        <v>320</v>
      </c>
      <c r="AZ711">
        <v>1200</v>
      </c>
      <c r="BA711">
        <v>1</v>
      </c>
      <c r="BB711" t="str">
        <f t="shared" si="200"/>
        <v xml:space="preserve">N733KP  </v>
      </c>
      <c r="BC711">
        <v>1</v>
      </c>
      <c r="BE711">
        <v>0</v>
      </c>
      <c r="BF711">
        <v>0</v>
      </c>
      <c r="BG711">
        <v>0</v>
      </c>
      <c r="BH711">
        <v>3250</v>
      </c>
      <c r="BI711">
        <v>1</v>
      </c>
      <c r="BJ711">
        <v>1</v>
      </c>
      <c r="BK711">
        <v>0</v>
      </c>
      <c r="BL711">
        <v>0</v>
      </c>
      <c r="BO711">
        <v>0</v>
      </c>
      <c r="BP711">
        <v>0</v>
      </c>
      <c r="BW711" t="str">
        <f>"22:12:26.803"</f>
        <v>22:12:26.803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364</v>
      </c>
      <c r="CR711">
        <v>0</v>
      </c>
      <c r="CW711">
        <v>1391430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"03/24/2022 22:12:27.004"</f>
        <v>03/24/2022 22:12:27.004</v>
      </c>
      <c r="C712" t="str">
        <f t="shared" si="198"/>
        <v>FFDFD3C0</v>
      </c>
      <c r="D712" t="s">
        <v>126</v>
      </c>
      <c r="E712">
        <v>3</v>
      </c>
      <c r="H712">
        <v>160</v>
      </c>
      <c r="I712" t="s">
        <v>121</v>
      </c>
      <c r="J712" t="s">
        <v>127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 t="shared" si="213"/>
        <v>22:12:26.000</v>
      </c>
      <c r="T712" t="str">
        <f t="shared" si="213"/>
        <v>22:12:26.000</v>
      </c>
      <c r="U712" t="str">
        <f t="shared" si="212"/>
        <v>A9D71F</v>
      </c>
      <c r="V712">
        <v>0</v>
      </c>
      <c r="W712">
        <v>0</v>
      </c>
      <c r="X712">
        <v>2</v>
      </c>
      <c r="Z712">
        <v>1</v>
      </c>
      <c r="AA712">
        <v>8</v>
      </c>
      <c r="AB712">
        <v>3</v>
      </c>
      <c r="AC712">
        <v>0</v>
      </c>
      <c r="AD712">
        <v>9</v>
      </c>
      <c r="AE712">
        <v>0</v>
      </c>
      <c r="AF712">
        <v>3</v>
      </c>
      <c r="AG712">
        <v>1</v>
      </c>
      <c r="AH712">
        <v>0</v>
      </c>
      <c r="AI712" t="s">
        <v>401</v>
      </c>
      <c r="AJ712">
        <v>33.178989999999999</v>
      </c>
      <c r="AK712" t="s">
        <v>402</v>
      </c>
      <c r="AL712">
        <v>-97.742592999999999</v>
      </c>
      <c r="AM712">
        <v>25</v>
      </c>
      <c r="AN712">
        <v>3300</v>
      </c>
      <c r="AO712" t="s">
        <v>118</v>
      </c>
      <c r="AP712">
        <v>53</v>
      </c>
      <c r="AQ712">
        <v>-86</v>
      </c>
      <c r="AR712">
        <v>320</v>
      </c>
      <c r="AZ712">
        <v>1200</v>
      </c>
      <c r="BA712">
        <v>1</v>
      </c>
      <c r="BB712" t="str">
        <f t="shared" si="200"/>
        <v xml:space="preserve">N733KP  </v>
      </c>
      <c r="BC712">
        <v>1</v>
      </c>
      <c r="BE712">
        <v>0</v>
      </c>
      <c r="BF712">
        <v>0</v>
      </c>
      <c r="BG712">
        <v>0</v>
      </c>
      <c r="BH712">
        <v>3250</v>
      </c>
      <c r="BI712">
        <v>1</v>
      </c>
      <c r="BJ712">
        <v>1</v>
      </c>
      <c r="BK712">
        <v>0</v>
      </c>
      <c r="BL712">
        <v>0</v>
      </c>
      <c r="BO712">
        <v>0</v>
      </c>
      <c r="BP712">
        <v>0</v>
      </c>
      <c r="BW712" t="str">
        <f>"22:12:26.803"</f>
        <v>22:12:26.803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364</v>
      </c>
      <c r="CR712">
        <v>0</v>
      </c>
      <c r="CW712">
        <v>1391430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"03/24/2022 22:12:27.004"</f>
        <v>03/24/2022 22:12:27.004</v>
      </c>
      <c r="C713" t="str">
        <f t="shared" si="198"/>
        <v>FFDFD3C0</v>
      </c>
      <c r="D713" t="s">
        <v>123</v>
      </c>
      <c r="E713">
        <v>8</v>
      </c>
      <c r="H713">
        <v>31</v>
      </c>
      <c r="I713" t="s">
        <v>124</v>
      </c>
      <c r="J713" t="s">
        <v>125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 t="shared" si="213"/>
        <v>22:12:26.000</v>
      </c>
      <c r="T713" t="str">
        <f t="shared" si="213"/>
        <v>22:12:26.000</v>
      </c>
      <c r="U713" t="str">
        <f t="shared" si="212"/>
        <v>A9D71F</v>
      </c>
      <c r="V713">
        <v>0</v>
      </c>
      <c r="W713">
        <v>0</v>
      </c>
      <c r="X713">
        <v>2</v>
      </c>
      <c r="Z713">
        <v>1</v>
      </c>
      <c r="AA713">
        <v>8</v>
      </c>
      <c r="AB713">
        <v>3</v>
      </c>
      <c r="AC713">
        <v>0</v>
      </c>
      <c r="AD713">
        <v>9</v>
      </c>
      <c r="AE713">
        <v>0</v>
      </c>
      <c r="AF713">
        <v>3</v>
      </c>
      <c r="AG713">
        <v>1</v>
      </c>
      <c r="AH713">
        <v>0</v>
      </c>
      <c r="AI713" t="s">
        <v>401</v>
      </c>
      <c r="AJ713">
        <v>33.178989999999999</v>
      </c>
      <c r="AK713" t="s">
        <v>402</v>
      </c>
      <c r="AL713">
        <v>-97.742592999999999</v>
      </c>
      <c r="AM713">
        <v>25</v>
      </c>
      <c r="AN713">
        <v>3300</v>
      </c>
      <c r="AO713" t="s">
        <v>118</v>
      </c>
      <c r="AP713">
        <v>53</v>
      </c>
      <c r="AQ713">
        <v>-86</v>
      </c>
      <c r="AR713">
        <v>320</v>
      </c>
      <c r="AZ713">
        <v>1200</v>
      </c>
      <c r="BA713">
        <v>1</v>
      </c>
      <c r="BB713" t="str">
        <f t="shared" si="200"/>
        <v xml:space="preserve">N733KP  </v>
      </c>
      <c r="BC713">
        <v>1</v>
      </c>
      <c r="BE713">
        <v>0</v>
      </c>
      <c r="BF713">
        <v>0</v>
      </c>
      <c r="BG713">
        <v>0</v>
      </c>
      <c r="BH713">
        <v>3250</v>
      </c>
      <c r="BI713">
        <v>1</v>
      </c>
      <c r="BJ713">
        <v>1</v>
      </c>
      <c r="BK713">
        <v>0</v>
      </c>
      <c r="BL713">
        <v>0</v>
      </c>
      <c r="BO713">
        <v>0</v>
      </c>
      <c r="BP713">
        <v>0</v>
      </c>
      <c r="BW713" t="str">
        <f>"22:12:26.803"</f>
        <v>22:12:26.803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364</v>
      </c>
      <c r="CR713">
        <v>0</v>
      </c>
      <c r="CW713">
        <v>1391430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"03/24/2022 22:12:28.082"</f>
        <v>03/24/2022 22:12:28.082</v>
      </c>
      <c r="C714" t="str">
        <f t="shared" si="198"/>
        <v>FFDFD3C0</v>
      </c>
      <c r="D714" t="s">
        <v>113</v>
      </c>
      <c r="E714">
        <v>24</v>
      </c>
      <c r="F714">
        <v>2024</v>
      </c>
      <c r="G714" t="s">
        <v>114</v>
      </c>
      <c r="J714" t="s">
        <v>115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 t="shared" ref="S714:T717" si="214">"22:12:27.000"</f>
        <v>22:12:27.000</v>
      </c>
      <c r="T714" t="str">
        <f t="shared" si="214"/>
        <v>22:12:27.000</v>
      </c>
      <c r="U714" t="str">
        <f t="shared" si="212"/>
        <v>A9D71F</v>
      </c>
      <c r="V714">
        <v>0</v>
      </c>
      <c r="W714">
        <v>0</v>
      </c>
      <c r="X714">
        <v>2</v>
      </c>
      <c r="Z714">
        <v>1</v>
      </c>
      <c r="AA714">
        <v>8</v>
      </c>
      <c r="AB714">
        <v>3</v>
      </c>
      <c r="AC714">
        <v>0</v>
      </c>
      <c r="AD714">
        <v>9</v>
      </c>
      <c r="AE714">
        <v>0</v>
      </c>
      <c r="AF714">
        <v>3</v>
      </c>
      <c r="AG714">
        <v>1</v>
      </c>
      <c r="AH714">
        <v>0</v>
      </c>
      <c r="AI714" t="s">
        <v>403</v>
      </c>
      <c r="AJ714">
        <v>33.178604</v>
      </c>
      <c r="AK714" t="s">
        <v>404</v>
      </c>
      <c r="AL714">
        <v>-97.742335999999995</v>
      </c>
      <c r="AM714">
        <v>25</v>
      </c>
      <c r="AN714">
        <v>3300</v>
      </c>
      <c r="AO714" t="s">
        <v>118</v>
      </c>
      <c r="AP714">
        <v>52</v>
      </c>
      <c r="AQ714">
        <v>-84</v>
      </c>
      <c r="AR714">
        <v>256</v>
      </c>
      <c r="AZ714">
        <v>1200</v>
      </c>
      <c r="BA714">
        <v>1</v>
      </c>
      <c r="BB714" t="str">
        <f t="shared" si="200"/>
        <v xml:space="preserve">N733KP  </v>
      </c>
      <c r="BC714">
        <v>1</v>
      </c>
      <c r="BE714">
        <v>0</v>
      </c>
      <c r="BF714">
        <v>0</v>
      </c>
      <c r="BG714">
        <v>0</v>
      </c>
      <c r="BH714">
        <v>3275</v>
      </c>
      <c r="BI714">
        <v>1</v>
      </c>
      <c r="BJ714">
        <v>1</v>
      </c>
      <c r="BK714">
        <v>0</v>
      </c>
      <c r="BL714">
        <v>0</v>
      </c>
      <c r="BO714">
        <v>0</v>
      </c>
      <c r="BP714">
        <v>0</v>
      </c>
      <c r="BW714" t="str">
        <f>"22:12:27.934"</f>
        <v>22:12:27.934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364</v>
      </c>
      <c r="CR714">
        <v>0</v>
      </c>
      <c r="CW714">
        <v>1391563</v>
      </c>
      <c r="CY714">
        <v>1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"03/24/2022 22:12:28.098"</f>
        <v>03/24/2022 22:12:28.098</v>
      </c>
      <c r="C715" t="str">
        <f t="shared" si="198"/>
        <v>FFDFD3C0</v>
      </c>
      <c r="D715" t="s">
        <v>126</v>
      </c>
      <c r="E715">
        <v>3</v>
      </c>
      <c r="H715">
        <v>160</v>
      </c>
      <c r="I715" t="s">
        <v>121</v>
      </c>
      <c r="J715" t="s">
        <v>127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 t="shared" si="214"/>
        <v>22:12:27.000</v>
      </c>
      <c r="T715" t="str">
        <f t="shared" si="214"/>
        <v>22:12:27.000</v>
      </c>
      <c r="U715" t="str">
        <f t="shared" si="212"/>
        <v>A9D71F</v>
      </c>
      <c r="V715">
        <v>0</v>
      </c>
      <c r="W715">
        <v>0</v>
      </c>
      <c r="X715">
        <v>2</v>
      </c>
      <c r="Z715">
        <v>1</v>
      </c>
      <c r="AA715">
        <v>8</v>
      </c>
      <c r="AB715">
        <v>3</v>
      </c>
      <c r="AC715">
        <v>0</v>
      </c>
      <c r="AD715">
        <v>9</v>
      </c>
      <c r="AE715">
        <v>0</v>
      </c>
      <c r="AF715">
        <v>3</v>
      </c>
      <c r="AG715">
        <v>1</v>
      </c>
      <c r="AH715">
        <v>0</v>
      </c>
      <c r="AI715" t="s">
        <v>403</v>
      </c>
      <c r="AJ715">
        <v>33.178604</v>
      </c>
      <c r="AK715" t="s">
        <v>404</v>
      </c>
      <c r="AL715">
        <v>-97.742335999999995</v>
      </c>
      <c r="AM715">
        <v>25</v>
      </c>
      <c r="AN715">
        <v>3300</v>
      </c>
      <c r="AO715" t="s">
        <v>118</v>
      </c>
      <c r="AP715">
        <v>52</v>
      </c>
      <c r="AQ715">
        <v>-84</v>
      </c>
      <c r="AR715">
        <v>256</v>
      </c>
      <c r="AZ715">
        <v>1200</v>
      </c>
      <c r="BA715">
        <v>1</v>
      </c>
      <c r="BB715" t="str">
        <f t="shared" si="200"/>
        <v xml:space="preserve">N733KP  </v>
      </c>
      <c r="BC715">
        <v>1</v>
      </c>
      <c r="BE715">
        <v>0</v>
      </c>
      <c r="BF715">
        <v>0</v>
      </c>
      <c r="BG715">
        <v>0</v>
      </c>
      <c r="BH715">
        <v>3275</v>
      </c>
      <c r="BI715">
        <v>1</v>
      </c>
      <c r="BJ715">
        <v>1</v>
      </c>
      <c r="BK715">
        <v>0</v>
      </c>
      <c r="BL715">
        <v>0</v>
      </c>
      <c r="BO715">
        <v>0</v>
      </c>
      <c r="BP715">
        <v>0</v>
      </c>
      <c r="BW715" t="str">
        <f>"22:12:27.934"</f>
        <v>22:12:27.934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364</v>
      </c>
      <c r="CR715">
        <v>0</v>
      </c>
      <c r="CW715">
        <v>1391563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"03/24/2022 22:12:28.114"</f>
        <v>03/24/2022 22:12:28.114</v>
      </c>
      <c r="C716" t="str">
        <f t="shared" si="198"/>
        <v>FFDFD3C0</v>
      </c>
      <c r="D716" t="s">
        <v>123</v>
      </c>
      <c r="E716">
        <v>8</v>
      </c>
      <c r="H716">
        <v>31</v>
      </c>
      <c r="I716" t="s">
        <v>124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 t="shared" si="214"/>
        <v>22:12:27.000</v>
      </c>
      <c r="T716" t="str">
        <f t="shared" si="214"/>
        <v>22:12:27.000</v>
      </c>
      <c r="U716" t="str">
        <f t="shared" si="212"/>
        <v>A9D71F</v>
      </c>
      <c r="V716">
        <v>0</v>
      </c>
      <c r="W716">
        <v>0</v>
      </c>
      <c r="X716">
        <v>2</v>
      </c>
      <c r="Z716">
        <v>1</v>
      </c>
      <c r="AA716">
        <v>8</v>
      </c>
      <c r="AB716">
        <v>3</v>
      </c>
      <c r="AC716">
        <v>0</v>
      </c>
      <c r="AD716">
        <v>9</v>
      </c>
      <c r="AE716">
        <v>0</v>
      </c>
      <c r="AF716">
        <v>3</v>
      </c>
      <c r="AG716">
        <v>1</v>
      </c>
      <c r="AH716">
        <v>0</v>
      </c>
      <c r="AI716" t="s">
        <v>403</v>
      </c>
      <c r="AJ716">
        <v>33.178604</v>
      </c>
      <c r="AK716" t="s">
        <v>404</v>
      </c>
      <c r="AL716">
        <v>-97.742335999999995</v>
      </c>
      <c r="AM716">
        <v>25</v>
      </c>
      <c r="AN716">
        <v>3300</v>
      </c>
      <c r="AO716" t="s">
        <v>118</v>
      </c>
      <c r="AP716">
        <v>52</v>
      </c>
      <c r="AQ716">
        <v>-84</v>
      </c>
      <c r="AR716">
        <v>256</v>
      </c>
      <c r="AZ716">
        <v>1200</v>
      </c>
      <c r="BA716">
        <v>1</v>
      </c>
      <c r="BB716" t="str">
        <f t="shared" si="200"/>
        <v xml:space="preserve">N733KP  </v>
      </c>
      <c r="BC716">
        <v>1</v>
      </c>
      <c r="BE716">
        <v>0</v>
      </c>
      <c r="BF716">
        <v>0</v>
      </c>
      <c r="BG716">
        <v>0</v>
      </c>
      <c r="BH716">
        <v>3275</v>
      </c>
      <c r="BI716">
        <v>1</v>
      </c>
      <c r="BJ716">
        <v>1</v>
      </c>
      <c r="BK716">
        <v>0</v>
      </c>
      <c r="BL716">
        <v>0</v>
      </c>
      <c r="BO716">
        <v>0</v>
      </c>
      <c r="BP716">
        <v>0</v>
      </c>
      <c r="BW716" t="str">
        <f>"22:12:27.934"</f>
        <v>22:12:27.934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364</v>
      </c>
      <c r="CR716">
        <v>0</v>
      </c>
      <c r="CW716">
        <v>1391563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"03/24/2022 22:12:28.114"</f>
        <v>03/24/2022 22:12:28.114</v>
      </c>
      <c r="C717" t="str">
        <f t="shared" si="198"/>
        <v>FFDFD3C0</v>
      </c>
      <c r="D717" t="s">
        <v>120</v>
      </c>
      <c r="E717">
        <v>14</v>
      </c>
      <c r="F717">
        <v>1014</v>
      </c>
      <c r="G717" t="s">
        <v>121</v>
      </c>
      <c r="J717" t="s">
        <v>122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 t="shared" si="214"/>
        <v>22:12:27.000</v>
      </c>
      <c r="T717" t="str">
        <f t="shared" si="214"/>
        <v>22:12:27.000</v>
      </c>
      <c r="U717" t="str">
        <f t="shared" si="212"/>
        <v>A9D71F</v>
      </c>
      <c r="V717">
        <v>0</v>
      </c>
      <c r="W717">
        <v>0</v>
      </c>
      <c r="X717">
        <v>2</v>
      </c>
      <c r="Z717">
        <v>1</v>
      </c>
      <c r="AA717">
        <v>8</v>
      </c>
      <c r="AB717">
        <v>3</v>
      </c>
      <c r="AC717">
        <v>0</v>
      </c>
      <c r="AD717">
        <v>9</v>
      </c>
      <c r="AE717">
        <v>0</v>
      </c>
      <c r="AF717">
        <v>3</v>
      </c>
      <c r="AG717">
        <v>1</v>
      </c>
      <c r="AH717">
        <v>0</v>
      </c>
      <c r="AI717" t="s">
        <v>403</v>
      </c>
      <c r="AJ717">
        <v>33.178604</v>
      </c>
      <c r="AK717" t="s">
        <v>404</v>
      </c>
      <c r="AL717">
        <v>-97.742335999999995</v>
      </c>
      <c r="AM717">
        <v>25</v>
      </c>
      <c r="AN717">
        <v>3300</v>
      </c>
      <c r="AO717" t="s">
        <v>118</v>
      </c>
      <c r="AP717">
        <v>52</v>
      </c>
      <c r="AQ717">
        <v>-84</v>
      </c>
      <c r="AR717">
        <v>256</v>
      </c>
      <c r="AZ717">
        <v>1200</v>
      </c>
      <c r="BA717">
        <v>1</v>
      </c>
      <c r="BB717" t="str">
        <f t="shared" si="200"/>
        <v xml:space="preserve">N733KP  </v>
      </c>
      <c r="BC717">
        <v>1</v>
      </c>
      <c r="BE717">
        <v>0</v>
      </c>
      <c r="BF717">
        <v>0</v>
      </c>
      <c r="BG717">
        <v>0</v>
      </c>
      <c r="BH717">
        <v>3275</v>
      </c>
      <c r="BI717">
        <v>1</v>
      </c>
      <c r="BJ717">
        <v>1</v>
      </c>
      <c r="BK717">
        <v>0</v>
      </c>
      <c r="BL717">
        <v>0</v>
      </c>
      <c r="BO717">
        <v>0</v>
      </c>
      <c r="BP717">
        <v>0</v>
      </c>
      <c r="BW717" t="str">
        <f>"22:12:27.934"</f>
        <v>22:12:27.934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364</v>
      </c>
      <c r="CR717">
        <v>0</v>
      </c>
      <c r="CW717">
        <v>1391563</v>
      </c>
      <c r="CY717">
        <v>1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"03/24/2022 22:12:29.067"</f>
        <v>03/24/2022 22:12:29.067</v>
      </c>
      <c r="C718" t="str">
        <f t="shared" si="198"/>
        <v>FFDFD3C0</v>
      </c>
      <c r="D718" t="s">
        <v>113</v>
      </c>
      <c r="E718">
        <v>24</v>
      </c>
      <c r="F718">
        <v>2024</v>
      </c>
      <c r="G718" t="s">
        <v>114</v>
      </c>
      <c r="J718" t="s">
        <v>115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 t="shared" ref="S718:T721" si="215">"22:12:28.000"</f>
        <v>22:12:28.000</v>
      </c>
      <c r="T718" t="str">
        <f t="shared" si="215"/>
        <v>22:12:28.000</v>
      </c>
      <c r="U718" t="str">
        <f t="shared" si="212"/>
        <v>A9D71F</v>
      </c>
      <c r="V718">
        <v>0</v>
      </c>
      <c r="W718">
        <v>0</v>
      </c>
      <c r="X718">
        <v>2</v>
      </c>
      <c r="Z718">
        <v>1</v>
      </c>
      <c r="AA718">
        <v>7</v>
      </c>
      <c r="AB718">
        <v>3</v>
      </c>
      <c r="AC718">
        <v>0</v>
      </c>
      <c r="AD718">
        <v>9</v>
      </c>
      <c r="AE718">
        <v>0</v>
      </c>
      <c r="AF718">
        <v>3</v>
      </c>
      <c r="AG718">
        <v>1</v>
      </c>
      <c r="AH718">
        <v>0</v>
      </c>
      <c r="AI718" t="s">
        <v>405</v>
      </c>
      <c r="AJ718">
        <v>33.178196</v>
      </c>
      <c r="AK718" t="s">
        <v>406</v>
      </c>
      <c r="AL718">
        <v>-97.742057000000003</v>
      </c>
      <c r="AM718">
        <v>25</v>
      </c>
      <c r="AN718">
        <v>3300</v>
      </c>
      <c r="AO718" t="s">
        <v>118</v>
      </c>
      <c r="AP718">
        <v>53</v>
      </c>
      <c r="AQ718">
        <v>-85</v>
      </c>
      <c r="AR718">
        <v>256</v>
      </c>
      <c r="AZ718">
        <v>1200</v>
      </c>
      <c r="BA718">
        <v>1</v>
      </c>
      <c r="BB718" t="str">
        <f t="shared" si="200"/>
        <v xml:space="preserve">N733KP  </v>
      </c>
      <c r="BC718">
        <v>1</v>
      </c>
      <c r="BE718">
        <v>0</v>
      </c>
      <c r="BF718">
        <v>0</v>
      </c>
      <c r="BG718">
        <v>0</v>
      </c>
      <c r="BH718">
        <v>3275</v>
      </c>
      <c r="BI718">
        <v>1</v>
      </c>
      <c r="BJ718">
        <v>1</v>
      </c>
      <c r="BK718">
        <v>0</v>
      </c>
      <c r="BL718">
        <v>0</v>
      </c>
      <c r="BO718">
        <v>0</v>
      </c>
      <c r="BP718">
        <v>0</v>
      </c>
      <c r="BW718" t="str">
        <f>"22:12:28.840"</f>
        <v>22:12:28.840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364</v>
      </c>
      <c r="CR718">
        <v>0</v>
      </c>
      <c r="CW718">
        <v>1391667</v>
      </c>
      <c r="CY718">
        <v>1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"03/24/2022 22:12:29.067"</f>
        <v>03/24/2022 22:12:29.067</v>
      </c>
      <c r="C719" t="str">
        <f t="shared" si="198"/>
        <v>FFDFD3C0</v>
      </c>
      <c r="D719" t="s">
        <v>123</v>
      </c>
      <c r="E719">
        <v>8</v>
      </c>
      <c r="H719">
        <v>31</v>
      </c>
      <c r="I719" t="s">
        <v>124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 t="shared" si="215"/>
        <v>22:12:28.000</v>
      </c>
      <c r="T719" t="str">
        <f t="shared" si="215"/>
        <v>22:12:28.000</v>
      </c>
      <c r="U719" t="str">
        <f t="shared" si="212"/>
        <v>A9D71F</v>
      </c>
      <c r="V719">
        <v>0</v>
      </c>
      <c r="W719">
        <v>0</v>
      </c>
      <c r="X719">
        <v>2</v>
      </c>
      <c r="Z719">
        <v>1</v>
      </c>
      <c r="AA719">
        <v>7</v>
      </c>
      <c r="AB719">
        <v>3</v>
      </c>
      <c r="AC719">
        <v>0</v>
      </c>
      <c r="AD719">
        <v>9</v>
      </c>
      <c r="AE719">
        <v>0</v>
      </c>
      <c r="AF719">
        <v>3</v>
      </c>
      <c r="AG719">
        <v>1</v>
      </c>
      <c r="AH719">
        <v>0</v>
      </c>
      <c r="AI719" t="s">
        <v>405</v>
      </c>
      <c r="AJ719">
        <v>33.178196</v>
      </c>
      <c r="AK719" t="s">
        <v>406</v>
      </c>
      <c r="AL719">
        <v>-97.742057000000003</v>
      </c>
      <c r="AM719">
        <v>25</v>
      </c>
      <c r="AN719">
        <v>3300</v>
      </c>
      <c r="AO719" t="s">
        <v>118</v>
      </c>
      <c r="AP719">
        <v>53</v>
      </c>
      <c r="AQ719">
        <v>-85</v>
      </c>
      <c r="AR719">
        <v>256</v>
      </c>
      <c r="AZ719">
        <v>1200</v>
      </c>
      <c r="BA719">
        <v>1</v>
      </c>
      <c r="BB719" t="str">
        <f t="shared" si="200"/>
        <v xml:space="preserve">N733KP  </v>
      </c>
      <c r="BC719">
        <v>1</v>
      </c>
      <c r="BE719">
        <v>0</v>
      </c>
      <c r="BF719">
        <v>0</v>
      </c>
      <c r="BG719">
        <v>0</v>
      </c>
      <c r="BH719">
        <v>3275</v>
      </c>
      <c r="BI719">
        <v>1</v>
      </c>
      <c r="BJ719">
        <v>1</v>
      </c>
      <c r="BK719">
        <v>0</v>
      </c>
      <c r="BL719">
        <v>0</v>
      </c>
      <c r="BO719">
        <v>0</v>
      </c>
      <c r="BP719">
        <v>0</v>
      </c>
      <c r="BW719" t="str">
        <f>"22:12:28.840"</f>
        <v>22:12:28.840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364</v>
      </c>
      <c r="CR719">
        <v>0</v>
      </c>
      <c r="CW719">
        <v>1391667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"03/24/2022 22:12:29.067"</f>
        <v>03/24/2022 22:12:29.067</v>
      </c>
      <c r="C720" t="str">
        <f t="shared" si="198"/>
        <v>FFDFD3C0</v>
      </c>
      <c r="D720" t="s">
        <v>126</v>
      </c>
      <c r="E720">
        <v>3</v>
      </c>
      <c r="H720">
        <v>160</v>
      </c>
      <c r="I720" t="s">
        <v>121</v>
      </c>
      <c r="J720" t="s">
        <v>127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 t="shared" si="215"/>
        <v>22:12:28.000</v>
      </c>
      <c r="T720" t="str">
        <f t="shared" si="215"/>
        <v>22:12:28.000</v>
      </c>
      <c r="U720" t="str">
        <f t="shared" si="212"/>
        <v>A9D71F</v>
      </c>
      <c r="V720">
        <v>0</v>
      </c>
      <c r="W720">
        <v>0</v>
      </c>
      <c r="X720">
        <v>2</v>
      </c>
      <c r="Z720">
        <v>1</v>
      </c>
      <c r="AA720">
        <v>7</v>
      </c>
      <c r="AB720">
        <v>3</v>
      </c>
      <c r="AC720">
        <v>0</v>
      </c>
      <c r="AD720">
        <v>9</v>
      </c>
      <c r="AE720">
        <v>0</v>
      </c>
      <c r="AF720">
        <v>3</v>
      </c>
      <c r="AG720">
        <v>1</v>
      </c>
      <c r="AH720">
        <v>0</v>
      </c>
      <c r="AI720" t="s">
        <v>405</v>
      </c>
      <c r="AJ720">
        <v>33.178196</v>
      </c>
      <c r="AK720" t="s">
        <v>406</v>
      </c>
      <c r="AL720">
        <v>-97.742057000000003</v>
      </c>
      <c r="AM720">
        <v>25</v>
      </c>
      <c r="AN720">
        <v>3300</v>
      </c>
      <c r="AO720" t="s">
        <v>118</v>
      </c>
      <c r="AP720">
        <v>53</v>
      </c>
      <c r="AQ720">
        <v>-85</v>
      </c>
      <c r="AR720">
        <v>256</v>
      </c>
      <c r="AZ720">
        <v>1200</v>
      </c>
      <c r="BA720">
        <v>1</v>
      </c>
      <c r="BB720" t="str">
        <f t="shared" si="200"/>
        <v xml:space="preserve">N733KP  </v>
      </c>
      <c r="BC720">
        <v>1</v>
      </c>
      <c r="BE720">
        <v>0</v>
      </c>
      <c r="BF720">
        <v>0</v>
      </c>
      <c r="BG720">
        <v>0</v>
      </c>
      <c r="BH720">
        <v>3275</v>
      </c>
      <c r="BI720">
        <v>1</v>
      </c>
      <c r="BJ720">
        <v>1</v>
      </c>
      <c r="BK720">
        <v>0</v>
      </c>
      <c r="BL720">
        <v>0</v>
      </c>
      <c r="BO720">
        <v>0</v>
      </c>
      <c r="BP720">
        <v>0</v>
      </c>
      <c r="BW720" t="str">
        <f>"22:12:28.840"</f>
        <v>22:12:28.840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364</v>
      </c>
      <c r="CR720">
        <v>0</v>
      </c>
      <c r="CW720">
        <v>1391667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"03/24/2022 22:12:29.067"</f>
        <v>03/24/2022 22:12:29.067</v>
      </c>
      <c r="C721" t="str">
        <f t="shared" si="198"/>
        <v>FFDFD3C0</v>
      </c>
      <c r="D721" t="s">
        <v>120</v>
      </c>
      <c r="E721">
        <v>14</v>
      </c>
      <c r="F721">
        <v>1014</v>
      </c>
      <c r="G721" t="s">
        <v>121</v>
      </c>
      <c r="J721" t="s">
        <v>122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 t="shared" si="215"/>
        <v>22:12:28.000</v>
      </c>
      <c r="T721" t="str">
        <f t="shared" si="215"/>
        <v>22:12:28.000</v>
      </c>
      <c r="U721" t="str">
        <f t="shared" si="212"/>
        <v>A9D71F</v>
      </c>
      <c r="V721">
        <v>0</v>
      </c>
      <c r="W721">
        <v>0</v>
      </c>
      <c r="X721">
        <v>2</v>
      </c>
      <c r="Z721">
        <v>1</v>
      </c>
      <c r="AA721">
        <v>7</v>
      </c>
      <c r="AB721">
        <v>3</v>
      </c>
      <c r="AC721">
        <v>0</v>
      </c>
      <c r="AD721">
        <v>9</v>
      </c>
      <c r="AE721">
        <v>0</v>
      </c>
      <c r="AF721">
        <v>3</v>
      </c>
      <c r="AG721">
        <v>1</v>
      </c>
      <c r="AH721">
        <v>0</v>
      </c>
      <c r="AI721" t="s">
        <v>405</v>
      </c>
      <c r="AJ721">
        <v>33.178196</v>
      </c>
      <c r="AK721" t="s">
        <v>406</v>
      </c>
      <c r="AL721">
        <v>-97.742057000000003</v>
      </c>
      <c r="AM721">
        <v>25</v>
      </c>
      <c r="AN721">
        <v>3300</v>
      </c>
      <c r="AO721" t="s">
        <v>118</v>
      </c>
      <c r="AP721">
        <v>53</v>
      </c>
      <c r="AQ721">
        <v>-85</v>
      </c>
      <c r="AR721">
        <v>256</v>
      </c>
      <c r="AZ721">
        <v>1200</v>
      </c>
      <c r="BA721">
        <v>1</v>
      </c>
      <c r="BB721" t="str">
        <f t="shared" si="200"/>
        <v xml:space="preserve">N733KP  </v>
      </c>
      <c r="BC721">
        <v>1</v>
      </c>
      <c r="BE721">
        <v>0</v>
      </c>
      <c r="BF721">
        <v>0</v>
      </c>
      <c r="BG721">
        <v>0</v>
      </c>
      <c r="BH721">
        <v>3275</v>
      </c>
      <c r="BI721">
        <v>1</v>
      </c>
      <c r="BJ721">
        <v>1</v>
      </c>
      <c r="BK721">
        <v>0</v>
      </c>
      <c r="BL721">
        <v>0</v>
      </c>
      <c r="BO721">
        <v>0</v>
      </c>
      <c r="BP721">
        <v>0</v>
      </c>
      <c r="BW721" t="str">
        <f>"22:12:28.840"</f>
        <v>22:12:28.840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364</v>
      </c>
      <c r="CR721">
        <v>0</v>
      </c>
      <c r="CW721">
        <v>1391667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"03/24/2022 22:12:29.567"</f>
        <v>03/24/2022 22:12:29.567</v>
      </c>
      <c r="C722" t="str">
        <f t="shared" si="198"/>
        <v>FFDFD3C0</v>
      </c>
      <c r="D722" t="s">
        <v>113</v>
      </c>
      <c r="E722">
        <v>24</v>
      </c>
      <c r="F722">
        <v>2024</v>
      </c>
      <c r="G722" t="s">
        <v>114</v>
      </c>
      <c r="J722" t="s">
        <v>115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 t="shared" ref="S722:T725" si="216">"22:12:29.000"</f>
        <v>22:12:29.000</v>
      </c>
      <c r="T722" t="str">
        <f t="shared" si="216"/>
        <v>22:12:29.000</v>
      </c>
      <c r="U722" t="str">
        <f t="shared" si="212"/>
        <v>A9D71F</v>
      </c>
      <c r="V722">
        <v>0</v>
      </c>
      <c r="W722">
        <v>0</v>
      </c>
      <c r="X722">
        <v>2</v>
      </c>
      <c r="Z722">
        <v>1</v>
      </c>
      <c r="AA722">
        <v>7</v>
      </c>
      <c r="AB722">
        <v>3</v>
      </c>
      <c r="AC722">
        <v>0</v>
      </c>
      <c r="AD722">
        <v>9</v>
      </c>
      <c r="AE722">
        <v>0</v>
      </c>
      <c r="AF722">
        <v>3</v>
      </c>
      <c r="AG722">
        <v>1</v>
      </c>
      <c r="AH722">
        <v>0</v>
      </c>
      <c r="AI722" t="s">
        <v>407</v>
      </c>
      <c r="AJ722">
        <v>33.177788</v>
      </c>
      <c r="AK722" t="s">
        <v>408</v>
      </c>
      <c r="AL722">
        <v>-97.741755999999995</v>
      </c>
      <c r="AM722">
        <v>25</v>
      </c>
      <c r="AN722">
        <v>3300</v>
      </c>
      <c r="AO722" t="s">
        <v>118</v>
      </c>
      <c r="AP722">
        <v>55</v>
      </c>
      <c r="AQ722">
        <v>-86</v>
      </c>
      <c r="AR722">
        <v>256</v>
      </c>
      <c r="AZ722">
        <v>1200</v>
      </c>
      <c r="BA722">
        <v>1</v>
      </c>
      <c r="BB722" t="str">
        <f t="shared" si="200"/>
        <v xml:space="preserve">N733KP  </v>
      </c>
      <c r="BC722">
        <v>1</v>
      </c>
      <c r="BE722">
        <v>0</v>
      </c>
      <c r="BF722">
        <v>0</v>
      </c>
      <c r="BG722">
        <v>0</v>
      </c>
      <c r="BH722">
        <v>3275</v>
      </c>
      <c r="BI722">
        <v>1</v>
      </c>
      <c r="BJ722">
        <v>1</v>
      </c>
      <c r="BK722">
        <v>0</v>
      </c>
      <c r="BL722">
        <v>0</v>
      </c>
      <c r="BO722">
        <v>0</v>
      </c>
      <c r="BP722">
        <v>0</v>
      </c>
      <c r="BW722" t="str">
        <f>"22:12:29.378"</f>
        <v>22:12:29.378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364</v>
      </c>
      <c r="CR722">
        <v>0</v>
      </c>
      <c r="CW722">
        <v>1391728</v>
      </c>
      <c r="CY722">
        <v>1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"03/24/2022 22:12:29.567"</f>
        <v>03/24/2022 22:12:29.567</v>
      </c>
      <c r="C723" t="str">
        <f t="shared" si="198"/>
        <v>FFDFD3C0</v>
      </c>
      <c r="D723" t="s">
        <v>123</v>
      </c>
      <c r="E723">
        <v>8</v>
      </c>
      <c r="H723">
        <v>31</v>
      </c>
      <c r="I723" t="s">
        <v>124</v>
      </c>
      <c r="J723" t="s">
        <v>125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 t="shared" si="216"/>
        <v>22:12:29.000</v>
      </c>
      <c r="T723" t="str">
        <f t="shared" si="216"/>
        <v>22:12:29.000</v>
      </c>
      <c r="U723" t="str">
        <f t="shared" si="212"/>
        <v>A9D71F</v>
      </c>
      <c r="V723">
        <v>0</v>
      </c>
      <c r="W723">
        <v>0</v>
      </c>
      <c r="X723">
        <v>2</v>
      </c>
      <c r="Z723">
        <v>1</v>
      </c>
      <c r="AA723">
        <v>7</v>
      </c>
      <c r="AB723">
        <v>3</v>
      </c>
      <c r="AC723">
        <v>0</v>
      </c>
      <c r="AD723">
        <v>9</v>
      </c>
      <c r="AE723">
        <v>0</v>
      </c>
      <c r="AF723">
        <v>3</v>
      </c>
      <c r="AG723">
        <v>1</v>
      </c>
      <c r="AH723">
        <v>0</v>
      </c>
      <c r="AI723" t="s">
        <v>407</v>
      </c>
      <c r="AJ723">
        <v>33.177788</v>
      </c>
      <c r="AK723" t="s">
        <v>408</v>
      </c>
      <c r="AL723">
        <v>-97.741755999999995</v>
      </c>
      <c r="AM723">
        <v>25</v>
      </c>
      <c r="AN723">
        <v>3300</v>
      </c>
      <c r="AO723" t="s">
        <v>118</v>
      </c>
      <c r="AP723">
        <v>55</v>
      </c>
      <c r="AQ723">
        <v>-86</v>
      </c>
      <c r="AR723">
        <v>256</v>
      </c>
      <c r="AZ723">
        <v>1200</v>
      </c>
      <c r="BA723">
        <v>1</v>
      </c>
      <c r="BB723" t="str">
        <f t="shared" si="200"/>
        <v xml:space="preserve">N733KP  </v>
      </c>
      <c r="BC723">
        <v>1</v>
      </c>
      <c r="BE723">
        <v>0</v>
      </c>
      <c r="BF723">
        <v>0</v>
      </c>
      <c r="BG723">
        <v>0</v>
      </c>
      <c r="BH723">
        <v>3275</v>
      </c>
      <c r="BI723">
        <v>1</v>
      </c>
      <c r="BJ723">
        <v>1</v>
      </c>
      <c r="BK723">
        <v>0</v>
      </c>
      <c r="BL723">
        <v>0</v>
      </c>
      <c r="BO723">
        <v>0</v>
      </c>
      <c r="BP723">
        <v>0</v>
      </c>
      <c r="BW723" t="str">
        <f>"22:12:29.378"</f>
        <v>22:12:29.378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364</v>
      </c>
      <c r="CR723">
        <v>0</v>
      </c>
      <c r="CW723">
        <v>1391728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"03/24/2022 22:12:29.567"</f>
        <v>03/24/2022 22:12:29.567</v>
      </c>
      <c r="C724" t="str">
        <f t="shared" si="198"/>
        <v>FFDFD3C0</v>
      </c>
      <c r="D724" t="s">
        <v>126</v>
      </c>
      <c r="E724">
        <v>3</v>
      </c>
      <c r="H724">
        <v>160</v>
      </c>
      <c r="I724" t="s">
        <v>121</v>
      </c>
      <c r="J724" t="s">
        <v>127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 t="shared" si="216"/>
        <v>22:12:29.000</v>
      </c>
      <c r="T724" t="str">
        <f t="shared" si="216"/>
        <v>22:12:29.000</v>
      </c>
      <c r="U724" t="str">
        <f t="shared" si="212"/>
        <v>A9D71F</v>
      </c>
      <c r="V724">
        <v>0</v>
      </c>
      <c r="W724">
        <v>0</v>
      </c>
      <c r="X724">
        <v>2</v>
      </c>
      <c r="Z724">
        <v>1</v>
      </c>
      <c r="AA724">
        <v>7</v>
      </c>
      <c r="AB724">
        <v>3</v>
      </c>
      <c r="AC724">
        <v>0</v>
      </c>
      <c r="AD724">
        <v>9</v>
      </c>
      <c r="AE724">
        <v>0</v>
      </c>
      <c r="AF724">
        <v>3</v>
      </c>
      <c r="AG724">
        <v>1</v>
      </c>
      <c r="AH724">
        <v>0</v>
      </c>
      <c r="AI724" t="s">
        <v>407</v>
      </c>
      <c r="AJ724">
        <v>33.177788</v>
      </c>
      <c r="AK724" t="s">
        <v>408</v>
      </c>
      <c r="AL724">
        <v>-97.741755999999995</v>
      </c>
      <c r="AM724">
        <v>25</v>
      </c>
      <c r="AN724">
        <v>3300</v>
      </c>
      <c r="AO724" t="s">
        <v>118</v>
      </c>
      <c r="AP724">
        <v>55</v>
      </c>
      <c r="AQ724">
        <v>-86</v>
      </c>
      <c r="AR724">
        <v>256</v>
      </c>
      <c r="AZ724">
        <v>1200</v>
      </c>
      <c r="BA724">
        <v>1</v>
      </c>
      <c r="BB724" t="str">
        <f t="shared" si="200"/>
        <v xml:space="preserve">N733KP  </v>
      </c>
      <c r="BC724">
        <v>1</v>
      </c>
      <c r="BE724">
        <v>0</v>
      </c>
      <c r="BF724">
        <v>0</v>
      </c>
      <c r="BG724">
        <v>0</v>
      </c>
      <c r="BH724">
        <v>3275</v>
      </c>
      <c r="BI724">
        <v>1</v>
      </c>
      <c r="BJ724">
        <v>1</v>
      </c>
      <c r="BK724">
        <v>0</v>
      </c>
      <c r="BL724">
        <v>0</v>
      </c>
      <c r="BO724">
        <v>0</v>
      </c>
      <c r="BP724">
        <v>0</v>
      </c>
      <c r="BW724" t="str">
        <f>"22:12:29.378"</f>
        <v>22:12:29.378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364</v>
      </c>
      <c r="CR724">
        <v>0</v>
      </c>
      <c r="CW724">
        <v>1391728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"03/24/2022 22:12:29.567"</f>
        <v>03/24/2022 22:12:29.567</v>
      </c>
      <c r="C725" t="str">
        <f t="shared" si="198"/>
        <v>FFDFD3C0</v>
      </c>
      <c r="D725" t="s">
        <v>120</v>
      </c>
      <c r="E725">
        <v>14</v>
      </c>
      <c r="F725">
        <v>1014</v>
      </c>
      <c r="G725" t="s">
        <v>121</v>
      </c>
      <c r="J725" t="s">
        <v>122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 t="shared" si="216"/>
        <v>22:12:29.000</v>
      </c>
      <c r="T725" t="str">
        <f t="shared" si="216"/>
        <v>22:12:29.000</v>
      </c>
      <c r="U725" t="str">
        <f t="shared" si="212"/>
        <v>A9D71F</v>
      </c>
      <c r="V725">
        <v>0</v>
      </c>
      <c r="W725">
        <v>0</v>
      </c>
      <c r="X725">
        <v>2</v>
      </c>
      <c r="Z725">
        <v>1</v>
      </c>
      <c r="AA725">
        <v>7</v>
      </c>
      <c r="AB725">
        <v>3</v>
      </c>
      <c r="AC725">
        <v>0</v>
      </c>
      <c r="AD725">
        <v>9</v>
      </c>
      <c r="AE725">
        <v>0</v>
      </c>
      <c r="AF725">
        <v>3</v>
      </c>
      <c r="AG725">
        <v>1</v>
      </c>
      <c r="AH725">
        <v>0</v>
      </c>
      <c r="AI725" t="s">
        <v>407</v>
      </c>
      <c r="AJ725">
        <v>33.177788</v>
      </c>
      <c r="AK725" t="s">
        <v>408</v>
      </c>
      <c r="AL725">
        <v>-97.741755999999995</v>
      </c>
      <c r="AM725">
        <v>25</v>
      </c>
      <c r="AN725">
        <v>3300</v>
      </c>
      <c r="AO725" t="s">
        <v>118</v>
      </c>
      <c r="AP725">
        <v>55</v>
      </c>
      <c r="AQ725">
        <v>-86</v>
      </c>
      <c r="AR725">
        <v>256</v>
      </c>
      <c r="AZ725">
        <v>1200</v>
      </c>
      <c r="BA725">
        <v>1</v>
      </c>
      <c r="BB725" t="str">
        <f t="shared" si="200"/>
        <v xml:space="preserve">N733KP  </v>
      </c>
      <c r="BC725">
        <v>1</v>
      </c>
      <c r="BE725">
        <v>0</v>
      </c>
      <c r="BF725">
        <v>0</v>
      </c>
      <c r="BG725">
        <v>0</v>
      </c>
      <c r="BH725">
        <v>3275</v>
      </c>
      <c r="BI725">
        <v>1</v>
      </c>
      <c r="BJ725">
        <v>1</v>
      </c>
      <c r="BK725">
        <v>0</v>
      </c>
      <c r="BL725">
        <v>0</v>
      </c>
      <c r="BO725">
        <v>0</v>
      </c>
      <c r="BP725">
        <v>0</v>
      </c>
      <c r="BW725" t="str">
        <f>"22:12:29.378"</f>
        <v>22:12:29.378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364</v>
      </c>
      <c r="CR725">
        <v>0</v>
      </c>
      <c r="CW725">
        <v>1391728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"03/24/2022 22:12:30.598"</f>
        <v>03/24/2022 22:12:30.598</v>
      </c>
      <c r="C726" t="str">
        <f t="shared" ref="C726:C789" si="217">"FFDFD3C0"</f>
        <v>FFDFD3C0</v>
      </c>
      <c r="D726" t="s">
        <v>113</v>
      </c>
      <c r="E726">
        <v>24</v>
      </c>
      <c r="F726">
        <v>2024</v>
      </c>
      <c r="G726" t="s">
        <v>114</v>
      </c>
      <c r="J726" t="s">
        <v>115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 t="shared" ref="S726:T729" si="218">"22:12:30.000"</f>
        <v>22:12:30.000</v>
      </c>
      <c r="T726" t="str">
        <f t="shared" si="218"/>
        <v>22:12:30.000</v>
      </c>
      <c r="U726" t="str">
        <f t="shared" si="212"/>
        <v>A9D71F</v>
      </c>
      <c r="V726">
        <v>0</v>
      </c>
      <c r="W726">
        <v>0</v>
      </c>
      <c r="X726">
        <v>2</v>
      </c>
      <c r="Z726">
        <v>1</v>
      </c>
      <c r="AA726">
        <v>7</v>
      </c>
      <c r="AB726">
        <v>3</v>
      </c>
      <c r="AC726">
        <v>0</v>
      </c>
      <c r="AD726">
        <v>9</v>
      </c>
      <c r="AE726">
        <v>0</v>
      </c>
      <c r="AF726">
        <v>3</v>
      </c>
      <c r="AG726">
        <v>1</v>
      </c>
      <c r="AH726">
        <v>0</v>
      </c>
      <c r="AI726" t="s">
        <v>409</v>
      </c>
      <c r="AJ726">
        <v>33.177359000000003</v>
      </c>
      <c r="AK726" t="s">
        <v>410</v>
      </c>
      <c r="AL726">
        <v>-97.741412999999994</v>
      </c>
      <c r="AM726">
        <v>25</v>
      </c>
      <c r="AN726">
        <v>3300</v>
      </c>
      <c r="AO726" t="s">
        <v>118</v>
      </c>
      <c r="AP726">
        <v>54</v>
      </c>
      <c r="AQ726">
        <v>-86</v>
      </c>
      <c r="AR726">
        <v>256</v>
      </c>
      <c r="AZ726">
        <v>1200</v>
      </c>
      <c r="BA726">
        <v>1</v>
      </c>
      <c r="BB726" t="str">
        <f t="shared" ref="BB726:BB789" si="219">"N733KP  "</f>
        <v xml:space="preserve">N733KP  </v>
      </c>
      <c r="BC726">
        <v>1</v>
      </c>
      <c r="BE726">
        <v>0</v>
      </c>
      <c r="BF726">
        <v>0</v>
      </c>
      <c r="BG726">
        <v>0</v>
      </c>
      <c r="BH726">
        <v>3275</v>
      </c>
      <c r="BI726">
        <v>1</v>
      </c>
      <c r="BJ726">
        <v>1</v>
      </c>
      <c r="BK726">
        <v>0</v>
      </c>
      <c r="BL726">
        <v>0</v>
      </c>
      <c r="BO726">
        <v>0</v>
      </c>
      <c r="BP726">
        <v>0</v>
      </c>
      <c r="BW726" t="str">
        <f>"22:12:30.275"</f>
        <v>22:12:30.275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364</v>
      </c>
      <c r="CR726">
        <v>0</v>
      </c>
      <c r="CW726">
        <v>1391846</v>
      </c>
      <c r="CY726">
        <v>1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"03/24/2022 22:12:30.660"</f>
        <v>03/24/2022 22:12:30.660</v>
      </c>
      <c r="C727" t="str">
        <f t="shared" si="217"/>
        <v>FFDFD3C0</v>
      </c>
      <c r="D727" t="s">
        <v>123</v>
      </c>
      <c r="E727">
        <v>8</v>
      </c>
      <c r="H727">
        <v>31</v>
      </c>
      <c r="I727" t="s">
        <v>124</v>
      </c>
      <c r="J727" t="s">
        <v>125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 t="shared" si="218"/>
        <v>22:12:30.000</v>
      </c>
      <c r="T727" t="str">
        <f t="shared" si="218"/>
        <v>22:12:30.000</v>
      </c>
      <c r="U727" t="str">
        <f t="shared" si="212"/>
        <v>A9D71F</v>
      </c>
      <c r="V727">
        <v>0</v>
      </c>
      <c r="W727">
        <v>0</v>
      </c>
      <c r="X727">
        <v>2</v>
      </c>
      <c r="Z727">
        <v>1</v>
      </c>
      <c r="AA727">
        <v>7</v>
      </c>
      <c r="AB727">
        <v>3</v>
      </c>
      <c r="AC727">
        <v>0</v>
      </c>
      <c r="AD727">
        <v>9</v>
      </c>
      <c r="AE727">
        <v>0</v>
      </c>
      <c r="AF727">
        <v>3</v>
      </c>
      <c r="AG727">
        <v>1</v>
      </c>
      <c r="AH727">
        <v>0</v>
      </c>
      <c r="AI727" t="s">
        <v>409</v>
      </c>
      <c r="AJ727">
        <v>33.177359000000003</v>
      </c>
      <c r="AK727" t="s">
        <v>410</v>
      </c>
      <c r="AL727">
        <v>-97.741412999999994</v>
      </c>
      <c r="AM727">
        <v>25</v>
      </c>
      <c r="AN727">
        <v>3300</v>
      </c>
      <c r="AO727" t="s">
        <v>118</v>
      </c>
      <c r="AP727">
        <v>54</v>
      </c>
      <c r="AQ727">
        <v>-86</v>
      </c>
      <c r="AR727">
        <v>256</v>
      </c>
      <c r="AZ727">
        <v>1200</v>
      </c>
      <c r="BA727">
        <v>1</v>
      </c>
      <c r="BB727" t="str">
        <f t="shared" si="219"/>
        <v xml:space="preserve">N733KP  </v>
      </c>
      <c r="BC727">
        <v>1</v>
      </c>
      <c r="BE727">
        <v>0</v>
      </c>
      <c r="BF727">
        <v>0</v>
      </c>
      <c r="BG727">
        <v>0</v>
      </c>
      <c r="BH727">
        <v>3275</v>
      </c>
      <c r="BI727">
        <v>1</v>
      </c>
      <c r="BJ727">
        <v>1</v>
      </c>
      <c r="BK727">
        <v>0</v>
      </c>
      <c r="BL727">
        <v>0</v>
      </c>
      <c r="BO727">
        <v>0</v>
      </c>
      <c r="BP727">
        <v>0</v>
      </c>
      <c r="BW727" t="str">
        <f>"22:12:30.275"</f>
        <v>22:12:30.275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364</v>
      </c>
      <c r="CR727">
        <v>0</v>
      </c>
      <c r="CW727">
        <v>1391846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"03/24/2022 22:12:30.660"</f>
        <v>03/24/2022 22:12:30.660</v>
      </c>
      <c r="C728" t="str">
        <f t="shared" si="217"/>
        <v>FFDFD3C0</v>
      </c>
      <c r="D728" t="s">
        <v>126</v>
      </c>
      <c r="E728">
        <v>3</v>
      </c>
      <c r="H728">
        <v>160</v>
      </c>
      <c r="I728" t="s">
        <v>121</v>
      </c>
      <c r="J728" t="s">
        <v>127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 t="shared" si="218"/>
        <v>22:12:30.000</v>
      </c>
      <c r="T728" t="str">
        <f t="shared" si="218"/>
        <v>22:12:30.000</v>
      </c>
      <c r="U728" t="str">
        <f t="shared" si="212"/>
        <v>A9D71F</v>
      </c>
      <c r="V728">
        <v>0</v>
      </c>
      <c r="W728">
        <v>0</v>
      </c>
      <c r="X728">
        <v>2</v>
      </c>
      <c r="Z728">
        <v>1</v>
      </c>
      <c r="AA728">
        <v>7</v>
      </c>
      <c r="AB728">
        <v>3</v>
      </c>
      <c r="AC728">
        <v>0</v>
      </c>
      <c r="AD728">
        <v>9</v>
      </c>
      <c r="AE728">
        <v>0</v>
      </c>
      <c r="AF728">
        <v>3</v>
      </c>
      <c r="AG728">
        <v>1</v>
      </c>
      <c r="AH728">
        <v>0</v>
      </c>
      <c r="AI728" t="s">
        <v>409</v>
      </c>
      <c r="AJ728">
        <v>33.177359000000003</v>
      </c>
      <c r="AK728" t="s">
        <v>410</v>
      </c>
      <c r="AL728">
        <v>-97.741412999999994</v>
      </c>
      <c r="AM728">
        <v>25</v>
      </c>
      <c r="AN728">
        <v>3300</v>
      </c>
      <c r="AO728" t="s">
        <v>118</v>
      </c>
      <c r="AP728">
        <v>54</v>
      </c>
      <c r="AQ728">
        <v>-86</v>
      </c>
      <c r="AR728">
        <v>256</v>
      </c>
      <c r="AZ728">
        <v>1200</v>
      </c>
      <c r="BA728">
        <v>1</v>
      </c>
      <c r="BB728" t="str">
        <f t="shared" si="219"/>
        <v xml:space="preserve">N733KP  </v>
      </c>
      <c r="BC728">
        <v>1</v>
      </c>
      <c r="BE728">
        <v>0</v>
      </c>
      <c r="BF728">
        <v>0</v>
      </c>
      <c r="BG728">
        <v>0</v>
      </c>
      <c r="BH728">
        <v>3275</v>
      </c>
      <c r="BI728">
        <v>1</v>
      </c>
      <c r="BJ728">
        <v>1</v>
      </c>
      <c r="BK728">
        <v>0</v>
      </c>
      <c r="BL728">
        <v>0</v>
      </c>
      <c r="BO728">
        <v>0</v>
      </c>
      <c r="BP728">
        <v>0</v>
      </c>
      <c r="BW728" t="str">
        <f>"22:12:30.275"</f>
        <v>22:12:30.275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364</v>
      </c>
      <c r="CR728">
        <v>0</v>
      </c>
      <c r="CW728">
        <v>1391846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"03/24/2022 22:12:30.660"</f>
        <v>03/24/2022 22:12:30.660</v>
      </c>
      <c r="C729" t="str">
        <f t="shared" si="217"/>
        <v>FFDFD3C0</v>
      </c>
      <c r="D729" t="s">
        <v>120</v>
      </c>
      <c r="E729">
        <v>14</v>
      </c>
      <c r="F729">
        <v>1014</v>
      </c>
      <c r="G729" t="s">
        <v>121</v>
      </c>
      <c r="J729" t="s">
        <v>122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 t="shared" si="218"/>
        <v>22:12:30.000</v>
      </c>
      <c r="T729" t="str">
        <f t="shared" si="218"/>
        <v>22:12:30.000</v>
      </c>
      <c r="U729" t="str">
        <f t="shared" si="212"/>
        <v>A9D71F</v>
      </c>
      <c r="V729">
        <v>0</v>
      </c>
      <c r="W729">
        <v>0</v>
      </c>
      <c r="X729">
        <v>2</v>
      </c>
      <c r="Z729">
        <v>1</v>
      </c>
      <c r="AA729">
        <v>7</v>
      </c>
      <c r="AB729">
        <v>3</v>
      </c>
      <c r="AC729">
        <v>0</v>
      </c>
      <c r="AD729">
        <v>9</v>
      </c>
      <c r="AE729">
        <v>0</v>
      </c>
      <c r="AF729">
        <v>3</v>
      </c>
      <c r="AG729">
        <v>1</v>
      </c>
      <c r="AH729">
        <v>0</v>
      </c>
      <c r="AI729" t="s">
        <v>409</v>
      </c>
      <c r="AJ729">
        <v>33.177359000000003</v>
      </c>
      <c r="AK729" t="s">
        <v>410</v>
      </c>
      <c r="AL729">
        <v>-97.741412999999994</v>
      </c>
      <c r="AM729">
        <v>25</v>
      </c>
      <c r="AN729">
        <v>3300</v>
      </c>
      <c r="AO729" t="s">
        <v>118</v>
      </c>
      <c r="AP729">
        <v>54</v>
      </c>
      <c r="AQ729">
        <v>-86</v>
      </c>
      <c r="AR729">
        <v>256</v>
      </c>
      <c r="AZ729">
        <v>1200</v>
      </c>
      <c r="BA729">
        <v>1</v>
      </c>
      <c r="BB729" t="str">
        <f t="shared" si="219"/>
        <v xml:space="preserve">N733KP  </v>
      </c>
      <c r="BC729">
        <v>1</v>
      </c>
      <c r="BE729">
        <v>0</v>
      </c>
      <c r="BF729">
        <v>0</v>
      </c>
      <c r="BG729">
        <v>0</v>
      </c>
      <c r="BH729">
        <v>3275</v>
      </c>
      <c r="BI729">
        <v>1</v>
      </c>
      <c r="BJ729">
        <v>1</v>
      </c>
      <c r="BK729">
        <v>0</v>
      </c>
      <c r="BL729">
        <v>0</v>
      </c>
      <c r="BO729">
        <v>0</v>
      </c>
      <c r="BP729">
        <v>0</v>
      </c>
      <c r="BW729" t="str">
        <f>"22:12:30.275"</f>
        <v>22:12:30.275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364</v>
      </c>
      <c r="CR729">
        <v>0</v>
      </c>
      <c r="CW729">
        <v>1391846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"03/24/2022 22:12:32.005"</f>
        <v>03/24/2022 22:12:32.005</v>
      </c>
      <c r="C730" t="str">
        <f t="shared" si="217"/>
        <v>FFDFD3C0</v>
      </c>
      <c r="D730" t="s">
        <v>113</v>
      </c>
      <c r="E730">
        <v>24</v>
      </c>
      <c r="F730">
        <v>2024</v>
      </c>
      <c r="G730" t="s">
        <v>114</v>
      </c>
      <c r="J730" t="s">
        <v>115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 t="shared" ref="S730:T733" si="220">"22:12:31.000"</f>
        <v>22:12:31.000</v>
      </c>
      <c r="T730" t="str">
        <f t="shared" si="220"/>
        <v>22:12:31.000</v>
      </c>
      <c r="U730" t="str">
        <f t="shared" si="212"/>
        <v>A9D71F</v>
      </c>
      <c r="V730">
        <v>0</v>
      </c>
      <c r="W730">
        <v>0</v>
      </c>
      <c r="X730">
        <v>2</v>
      </c>
      <c r="Z730">
        <v>1</v>
      </c>
      <c r="AA730">
        <v>7</v>
      </c>
      <c r="AB730">
        <v>3</v>
      </c>
      <c r="AC730">
        <v>0</v>
      </c>
      <c r="AD730">
        <v>9</v>
      </c>
      <c r="AE730">
        <v>0</v>
      </c>
      <c r="AF730">
        <v>3</v>
      </c>
      <c r="AG730">
        <v>1</v>
      </c>
      <c r="AH730">
        <v>0</v>
      </c>
      <c r="AI730" t="s">
        <v>411</v>
      </c>
      <c r="AJ730">
        <v>33.176994000000001</v>
      </c>
      <c r="AK730" t="s">
        <v>412</v>
      </c>
      <c r="AL730">
        <v>-97.741134000000002</v>
      </c>
      <c r="AM730">
        <v>25</v>
      </c>
      <c r="AN730">
        <v>3300</v>
      </c>
      <c r="AO730" t="s">
        <v>118</v>
      </c>
      <c r="AP730">
        <v>54</v>
      </c>
      <c r="AQ730">
        <v>-87</v>
      </c>
      <c r="AR730">
        <v>512</v>
      </c>
      <c r="AZ730">
        <v>1200</v>
      </c>
      <c r="BA730">
        <v>1</v>
      </c>
      <c r="BB730" t="str">
        <f t="shared" si="219"/>
        <v xml:space="preserve">N733KP  </v>
      </c>
      <c r="BC730">
        <v>1</v>
      </c>
      <c r="BE730">
        <v>0</v>
      </c>
      <c r="BF730">
        <v>0</v>
      </c>
      <c r="BG730">
        <v>0</v>
      </c>
      <c r="BH730">
        <v>3275</v>
      </c>
      <c r="BI730">
        <v>1</v>
      </c>
      <c r="BJ730">
        <v>1</v>
      </c>
      <c r="BK730">
        <v>0</v>
      </c>
      <c r="BL730">
        <v>0</v>
      </c>
      <c r="BO730">
        <v>0</v>
      </c>
      <c r="BP730">
        <v>0</v>
      </c>
      <c r="BW730" t="str">
        <f>"22:12:31.820"</f>
        <v>22:12:31.820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3</v>
      </c>
      <c r="CP730" t="s">
        <v>119</v>
      </c>
      <c r="CQ730">
        <v>439</v>
      </c>
      <c r="CR730">
        <v>0</v>
      </c>
      <c r="CW730">
        <v>11498425</v>
      </c>
      <c r="CY730">
        <v>1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"03/24/2022 22:12:32.005"</f>
        <v>03/24/2022 22:12:32.005</v>
      </c>
      <c r="C731" t="str">
        <f t="shared" si="217"/>
        <v>FFDFD3C0</v>
      </c>
      <c r="D731" t="s">
        <v>126</v>
      </c>
      <c r="E731">
        <v>3</v>
      </c>
      <c r="H731">
        <v>160</v>
      </c>
      <c r="I731" t="s">
        <v>121</v>
      </c>
      <c r="J731" t="s">
        <v>127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S731" t="str">
        <f t="shared" si="220"/>
        <v>22:12:31.000</v>
      </c>
      <c r="T731" t="str">
        <f t="shared" si="220"/>
        <v>22:12:31.000</v>
      </c>
      <c r="U731" t="str">
        <f t="shared" si="212"/>
        <v>A9D71F</v>
      </c>
      <c r="V731">
        <v>0</v>
      </c>
      <c r="W731">
        <v>0</v>
      </c>
      <c r="X731">
        <v>2</v>
      </c>
      <c r="Z731">
        <v>1</v>
      </c>
      <c r="AA731">
        <v>7</v>
      </c>
      <c r="AB731">
        <v>3</v>
      </c>
      <c r="AC731">
        <v>0</v>
      </c>
      <c r="AD731">
        <v>9</v>
      </c>
      <c r="AE731">
        <v>0</v>
      </c>
      <c r="AF731">
        <v>3</v>
      </c>
      <c r="AG731">
        <v>1</v>
      </c>
      <c r="AH731">
        <v>0</v>
      </c>
      <c r="AI731" t="s">
        <v>411</v>
      </c>
      <c r="AJ731">
        <v>33.176994000000001</v>
      </c>
      <c r="AK731" t="s">
        <v>412</v>
      </c>
      <c r="AL731">
        <v>-97.741134000000002</v>
      </c>
      <c r="AM731">
        <v>25</v>
      </c>
      <c r="AN731">
        <v>3300</v>
      </c>
      <c r="AO731" t="s">
        <v>118</v>
      </c>
      <c r="AP731">
        <v>54</v>
      </c>
      <c r="AQ731">
        <v>-87</v>
      </c>
      <c r="AR731">
        <v>512</v>
      </c>
      <c r="AZ731">
        <v>1200</v>
      </c>
      <c r="BA731">
        <v>1</v>
      </c>
      <c r="BB731" t="str">
        <f t="shared" si="219"/>
        <v xml:space="preserve">N733KP  </v>
      </c>
      <c r="BC731">
        <v>1</v>
      </c>
      <c r="BE731">
        <v>0</v>
      </c>
      <c r="BF731">
        <v>0</v>
      </c>
      <c r="BG731">
        <v>0</v>
      </c>
      <c r="BH731">
        <v>3275</v>
      </c>
      <c r="BI731">
        <v>1</v>
      </c>
      <c r="BJ731">
        <v>1</v>
      </c>
      <c r="BK731">
        <v>0</v>
      </c>
      <c r="BL731">
        <v>0</v>
      </c>
      <c r="BO731">
        <v>0</v>
      </c>
      <c r="BP731">
        <v>0</v>
      </c>
      <c r="BW731" t="str">
        <f>"22:12:31.820"</f>
        <v>22:12:31.820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3</v>
      </c>
      <c r="CP731" t="s">
        <v>119</v>
      </c>
      <c r="CQ731">
        <v>439</v>
      </c>
      <c r="CR731">
        <v>0</v>
      </c>
      <c r="CW731">
        <v>11498425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"03/24/2022 22:12:32.005"</f>
        <v>03/24/2022 22:12:32.005</v>
      </c>
      <c r="C732" t="str">
        <f t="shared" si="217"/>
        <v>FFDFD3C0</v>
      </c>
      <c r="D732" t="s">
        <v>123</v>
      </c>
      <c r="E732">
        <v>8</v>
      </c>
      <c r="H732">
        <v>31</v>
      </c>
      <c r="I732" t="s">
        <v>124</v>
      </c>
      <c r="J732" t="s">
        <v>125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S732" t="str">
        <f t="shared" si="220"/>
        <v>22:12:31.000</v>
      </c>
      <c r="T732" t="str">
        <f t="shared" si="220"/>
        <v>22:12:31.000</v>
      </c>
      <c r="U732" t="str">
        <f t="shared" si="212"/>
        <v>A9D71F</v>
      </c>
      <c r="V732">
        <v>0</v>
      </c>
      <c r="W732">
        <v>0</v>
      </c>
      <c r="X732">
        <v>2</v>
      </c>
      <c r="Z732">
        <v>1</v>
      </c>
      <c r="AA732">
        <v>7</v>
      </c>
      <c r="AB732">
        <v>3</v>
      </c>
      <c r="AC732">
        <v>0</v>
      </c>
      <c r="AD732">
        <v>9</v>
      </c>
      <c r="AE732">
        <v>0</v>
      </c>
      <c r="AF732">
        <v>3</v>
      </c>
      <c r="AG732">
        <v>1</v>
      </c>
      <c r="AH732">
        <v>0</v>
      </c>
      <c r="AI732" t="s">
        <v>411</v>
      </c>
      <c r="AJ732">
        <v>33.176994000000001</v>
      </c>
      <c r="AK732" t="s">
        <v>412</v>
      </c>
      <c r="AL732">
        <v>-97.741134000000002</v>
      </c>
      <c r="AM732">
        <v>25</v>
      </c>
      <c r="AN732">
        <v>3300</v>
      </c>
      <c r="AO732" t="s">
        <v>118</v>
      </c>
      <c r="AP732">
        <v>54</v>
      </c>
      <c r="AQ732">
        <v>-87</v>
      </c>
      <c r="AR732">
        <v>512</v>
      </c>
      <c r="AZ732">
        <v>1200</v>
      </c>
      <c r="BA732">
        <v>1</v>
      </c>
      <c r="BB732" t="str">
        <f t="shared" si="219"/>
        <v xml:space="preserve">N733KP  </v>
      </c>
      <c r="BC732">
        <v>1</v>
      </c>
      <c r="BE732">
        <v>0</v>
      </c>
      <c r="BF732">
        <v>0</v>
      </c>
      <c r="BG732">
        <v>0</v>
      </c>
      <c r="BH732">
        <v>3275</v>
      </c>
      <c r="BI732">
        <v>1</v>
      </c>
      <c r="BJ732">
        <v>1</v>
      </c>
      <c r="BK732">
        <v>0</v>
      </c>
      <c r="BL732">
        <v>0</v>
      </c>
      <c r="BO732">
        <v>0</v>
      </c>
      <c r="BP732">
        <v>0</v>
      </c>
      <c r="BW732" t="str">
        <f>"22:12:31.820"</f>
        <v>22:12:31.820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2</v>
      </c>
      <c r="CP732" t="s">
        <v>119</v>
      </c>
      <c r="CQ732">
        <v>365</v>
      </c>
      <c r="CR732">
        <v>0</v>
      </c>
      <c r="CW732">
        <v>11432974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"03/24/2022 22:12:32.005"</f>
        <v>03/24/2022 22:12:32.005</v>
      </c>
      <c r="C733" t="str">
        <f t="shared" si="217"/>
        <v>FFDFD3C0</v>
      </c>
      <c r="D733" t="s">
        <v>120</v>
      </c>
      <c r="E733">
        <v>14</v>
      </c>
      <c r="F733">
        <v>1014</v>
      </c>
      <c r="G733" t="s">
        <v>121</v>
      </c>
      <c r="J733" t="s">
        <v>122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S733" t="str">
        <f t="shared" si="220"/>
        <v>22:12:31.000</v>
      </c>
      <c r="T733" t="str">
        <f t="shared" si="220"/>
        <v>22:12:31.000</v>
      </c>
      <c r="U733" t="str">
        <f t="shared" si="212"/>
        <v>A9D71F</v>
      </c>
      <c r="V733">
        <v>0</v>
      </c>
      <c r="W733">
        <v>0</v>
      </c>
      <c r="X733">
        <v>2</v>
      </c>
      <c r="Z733">
        <v>1</v>
      </c>
      <c r="AA733">
        <v>7</v>
      </c>
      <c r="AB733">
        <v>3</v>
      </c>
      <c r="AC733">
        <v>0</v>
      </c>
      <c r="AD733">
        <v>9</v>
      </c>
      <c r="AE733">
        <v>0</v>
      </c>
      <c r="AF733">
        <v>3</v>
      </c>
      <c r="AG733">
        <v>1</v>
      </c>
      <c r="AH733">
        <v>0</v>
      </c>
      <c r="AI733" t="s">
        <v>411</v>
      </c>
      <c r="AJ733">
        <v>33.176994000000001</v>
      </c>
      <c r="AK733" t="s">
        <v>412</v>
      </c>
      <c r="AL733">
        <v>-97.741134000000002</v>
      </c>
      <c r="AM733">
        <v>25</v>
      </c>
      <c r="AN733">
        <v>3300</v>
      </c>
      <c r="AO733" t="s">
        <v>118</v>
      </c>
      <c r="AP733">
        <v>54</v>
      </c>
      <c r="AQ733">
        <v>-87</v>
      </c>
      <c r="AR733">
        <v>512</v>
      </c>
      <c r="AZ733">
        <v>1200</v>
      </c>
      <c r="BA733">
        <v>1</v>
      </c>
      <c r="BB733" t="str">
        <f t="shared" si="219"/>
        <v xml:space="preserve">N733KP  </v>
      </c>
      <c r="BC733">
        <v>1</v>
      </c>
      <c r="BE733">
        <v>0</v>
      </c>
      <c r="BF733">
        <v>0</v>
      </c>
      <c r="BG733">
        <v>0</v>
      </c>
      <c r="BH733">
        <v>3275</v>
      </c>
      <c r="BI733">
        <v>1</v>
      </c>
      <c r="BJ733">
        <v>1</v>
      </c>
      <c r="BK733">
        <v>0</v>
      </c>
      <c r="BL733">
        <v>0</v>
      </c>
      <c r="BO733">
        <v>0</v>
      </c>
      <c r="BP733">
        <v>0</v>
      </c>
      <c r="BW733" t="str">
        <f>"22:12:31.820"</f>
        <v>22:12:31.820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3</v>
      </c>
      <c r="CP733" t="s">
        <v>119</v>
      </c>
      <c r="CQ733">
        <v>439</v>
      </c>
      <c r="CR733">
        <v>0</v>
      </c>
      <c r="CW733">
        <v>11498425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"03/24/2022 22:12:32.505"</f>
        <v>03/24/2022 22:12:32.505</v>
      </c>
      <c r="C734" t="str">
        <f t="shared" si="217"/>
        <v>FFDFD3C0</v>
      </c>
      <c r="D734" t="s">
        <v>123</v>
      </c>
      <c r="E734">
        <v>8</v>
      </c>
      <c r="H734">
        <v>31</v>
      </c>
      <c r="I734" t="s">
        <v>124</v>
      </c>
      <c r="J734" t="s">
        <v>125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S734" t="str">
        <f t="shared" ref="S734:T737" si="221">"22:12:32.000"</f>
        <v>22:12:32.000</v>
      </c>
      <c r="T734" t="str">
        <f t="shared" si="221"/>
        <v>22:12:32.000</v>
      </c>
      <c r="U734" t="str">
        <f t="shared" si="212"/>
        <v>A9D71F</v>
      </c>
      <c r="V734">
        <v>0</v>
      </c>
      <c r="W734">
        <v>0</v>
      </c>
      <c r="X734">
        <v>2</v>
      </c>
      <c r="Z734">
        <v>1</v>
      </c>
      <c r="AA734">
        <v>7</v>
      </c>
      <c r="AB734">
        <v>3</v>
      </c>
      <c r="AC734">
        <v>0</v>
      </c>
      <c r="AD734">
        <v>9</v>
      </c>
      <c r="AE734">
        <v>0</v>
      </c>
      <c r="AF734">
        <v>3</v>
      </c>
      <c r="AG734">
        <v>1</v>
      </c>
      <c r="AH734">
        <v>0</v>
      </c>
      <c r="AI734" t="s">
        <v>413</v>
      </c>
      <c r="AJ734">
        <v>33.176651</v>
      </c>
      <c r="AK734" t="s">
        <v>414</v>
      </c>
      <c r="AL734">
        <v>-97.740876999999998</v>
      </c>
      <c r="AM734">
        <v>25</v>
      </c>
      <c r="AN734">
        <v>3300</v>
      </c>
      <c r="AO734" t="s">
        <v>118</v>
      </c>
      <c r="AP734">
        <v>52</v>
      </c>
      <c r="AQ734">
        <v>-83</v>
      </c>
      <c r="AR734">
        <v>576</v>
      </c>
      <c r="AZ734">
        <v>1200</v>
      </c>
      <c r="BA734">
        <v>1</v>
      </c>
      <c r="BB734" t="str">
        <f t="shared" si="219"/>
        <v xml:space="preserve">N733KP  </v>
      </c>
      <c r="BC734">
        <v>1</v>
      </c>
      <c r="BE734">
        <v>0</v>
      </c>
      <c r="BF734">
        <v>0</v>
      </c>
      <c r="BG734">
        <v>0</v>
      </c>
      <c r="BH734">
        <v>3300</v>
      </c>
      <c r="BI734">
        <v>1</v>
      </c>
      <c r="BJ734">
        <v>1</v>
      </c>
      <c r="BK734">
        <v>0</v>
      </c>
      <c r="BL734">
        <v>0</v>
      </c>
      <c r="BO734">
        <v>0</v>
      </c>
      <c r="BP734">
        <v>0</v>
      </c>
      <c r="BW734" t="str">
        <f>"22:12:32.308"</f>
        <v>22:12:32.308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364</v>
      </c>
      <c r="CR734">
        <v>0</v>
      </c>
      <c r="CW734">
        <v>1392085</v>
      </c>
      <c r="CY734">
        <v>1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"03/24/2022 22:12:32.505"</f>
        <v>03/24/2022 22:12:32.505</v>
      </c>
      <c r="C735" t="str">
        <f t="shared" si="217"/>
        <v>FFDFD3C0</v>
      </c>
      <c r="D735" t="s">
        <v>126</v>
      </c>
      <c r="E735">
        <v>3</v>
      </c>
      <c r="H735">
        <v>160</v>
      </c>
      <c r="I735" t="s">
        <v>121</v>
      </c>
      <c r="J735" t="s">
        <v>127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S735" t="str">
        <f t="shared" si="221"/>
        <v>22:12:32.000</v>
      </c>
      <c r="T735" t="str">
        <f t="shared" si="221"/>
        <v>22:12:32.000</v>
      </c>
      <c r="U735" t="str">
        <f t="shared" si="212"/>
        <v>A9D71F</v>
      </c>
      <c r="V735">
        <v>0</v>
      </c>
      <c r="W735">
        <v>0</v>
      </c>
      <c r="X735">
        <v>2</v>
      </c>
      <c r="Z735">
        <v>1</v>
      </c>
      <c r="AA735">
        <v>7</v>
      </c>
      <c r="AB735">
        <v>3</v>
      </c>
      <c r="AC735">
        <v>0</v>
      </c>
      <c r="AD735">
        <v>9</v>
      </c>
      <c r="AE735">
        <v>0</v>
      </c>
      <c r="AF735">
        <v>3</v>
      </c>
      <c r="AG735">
        <v>1</v>
      </c>
      <c r="AH735">
        <v>0</v>
      </c>
      <c r="AI735" t="s">
        <v>413</v>
      </c>
      <c r="AJ735">
        <v>33.176651</v>
      </c>
      <c r="AK735" t="s">
        <v>414</v>
      </c>
      <c r="AL735">
        <v>-97.740876999999998</v>
      </c>
      <c r="AM735">
        <v>25</v>
      </c>
      <c r="AN735">
        <v>3300</v>
      </c>
      <c r="AO735" t="s">
        <v>118</v>
      </c>
      <c r="AP735">
        <v>52</v>
      </c>
      <c r="AQ735">
        <v>-83</v>
      </c>
      <c r="AR735">
        <v>576</v>
      </c>
      <c r="AZ735">
        <v>1200</v>
      </c>
      <c r="BA735">
        <v>1</v>
      </c>
      <c r="BB735" t="str">
        <f t="shared" si="219"/>
        <v xml:space="preserve">N733KP  </v>
      </c>
      <c r="BC735">
        <v>1</v>
      </c>
      <c r="BE735">
        <v>0</v>
      </c>
      <c r="BF735">
        <v>0</v>
      </c>
      <c r="BG735">
        <v>0</v>
      </c>
      <c r="BH735">
        <v>3300</v>
      </c>
      <c r="BI735">
        <v>1</v>
      </c>
      <c r="BJ735">
        <v>1</v>
      </c>
      <c r="BK735">
        <v>0</v>
      </c>
      <c r="BL735">
        <v>0</v>
      </c>
      <c r="BO735">
        <v>0</v>
      </c>
      <c r="BP735">
        <v>0</v>
      </c>
      <c r="BW735" t="str">
        <f>"22:12:32.308"</f>
        <v>22:12:32.308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364</v>
      </c>
      <c r="CR735">
        <v>0</v>
      </c>
      <c r="CW735">
        <v>1392085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"03/24/2022 22:12:32.505"</f>
        <v>03/24/2022 22:12:32.505</v>
      </c>
      <c r="C736" t="str">
        <f t="shared" si="217"/>
        <v>FFDFD3C0</v>
      </c>
      <c r="D736" t="s">
        <v>120</v>
      </c>
      <c r="E736">
        <v>14</v>
      </c>
      <c r="F736">
        <v>1014</v>
      </c>
      <c r="G736" t="s">
        <v>121</v>
      </c>
      <c r="J736" t="s">
        <v>122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 t="shared" si="221"/>
        <v>22:12:32.000</v>
      </c>
      <c r="T736" t="str">
        <f t="shared" si="221"/>
        <v>22:12:32.000</v>
      </c>
      <c r="U736" t="str">
        <f t="shared" si="212"/>
        <v>A9D71F</v>
      </c>
      <c r="V736">
        <v>0</v>
      </c>
      <c r="W736">
        <v>0</v>
      </c>
      <c r="X736">
        <v>2</v>
      </c>
      <c r="Z736">
        <v>1</v>
      </c>
      <c r="AA736">
        <v>7</v>
      </c>
      <c r="AB736">
        <v>3</v>
      </c>
      <c r="AC736">
        <v>0</v>
      </c>
      <c r="AD736">
        <v>9</v>
      </c>
      <c r="AE736">
        <v>0</v>
      </c>
      <c r="AF736">
        <v>3</v>
      </c>
      <c r="AG736">
        <v>1</v>
      </c>
      <c r="AH736">
        <v>0</v>
      </c>
      <c r="AI736" t="s">
        <v>413</v>
      </c>
      <c r="AJ736">
        <v>33.176651</v>
      </c>
      <c r="AK736" t="s">
        <v>414</v>
      </c>
      <c r="AL736">
        <v>-97.740876999999998</v>
      </c>
      <c r="AM736">
        <v>25</v>
      </c>
      <c r="AN736">
        <v>3300</v>
      </c>
      <c r="AO736" t="s">
        <v>118</v>
      </c>
      <c r="AP736">
        <v>52</v>
      </c>
      <c r="AQ736">
        <v>-83</v>
      </c>
      <c r="AR736">
        <v>576</v>
      </c>
      <c r="AZ736">
        <v>1200</v>
      </c>
      <c r="BA736">
        <v>1</v>
      </c>
      <c r="BB736" t="str">
        <f t="shared" si="219"/>
        <v xml:space="preserve">N733KP  </v>
      </c>
      <c r="BC736">
        <v>1</v>
      </c>
      <c r="BE736">
        <v>0</v>
      </c>
      <c r="BF736">
        <v>0</v>
      </c>
      <c r="BG736">
        <v>0</v>
      </c>
      <c r="BH736">
        <v>3300</v>
      </c>
      <c r="BI736">
        <v>1</v>
      </c>
      <c r="BJ736">
        <v>1</v>
      </c>
      <c r="BK736">
        <v>0</v>
      </c>
      <c r="BL736">
        <v>0</v>
      </c>
      <c r="BO736">
        <v>0</v>
      </c>
      <c r="BP736">
        <v>0</v>
      </c>
      <c r="BW736" t="str">
        <f>"22:12:32.308"</f>
        <v>22:12:32.308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364</v>
      </c>
      <c r="CR736">
        <v>0</v>
      </c>
      <c r="CW736">
        <v>1392085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"03/24/2022 22:12:32.505"</f>
        <v>03/24/2022 22:12:32.505</v>
      </c>
      <c r="C737" t="str">
        <f t="shared" si="217"/>
        <v>FFDFD3C0</v>
      </c>
      <c r="D737" t="s">
        <v>113</v>
      </c>
      <c r="E737">
        <v>24</v>
      </c>
      <c r="F737">
        <v>2024</v>
      </c>
      <c r="G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 t="shared" si="221"/>
        <v>22:12:32.000</v>
      </c>
      <c r="T737" t="str">
        <f t="shared" si="221"/>
        <v>22:12:32.000</v>
      </c>
      <c r="U737" t="str">
        <f t="shared" si="212"/>
        <v>A9D71F</v>
      </c>
      <c r="V737">
        <v>0</v>
      </c>
      <c r="W737">
        <v>0</v>
      </c>
      <c r="X737">
        <v>2</v>
      </c>
      <c r="Z737">
        <v>1</v>
      </c>
      <c r="AA737">
        <v>7</v>
      </c>
      <c r="AB737">
        <v>3</v>
      </c>
      <c r="AC737">
        <v>0</v>
      </c>
      <c r="AD737">
        <v>9</v>
      </c>
      <c r="AE737">
        <v>0</v>
      </c>
      <c r="AF737">
        <v>3</v>
      </c>
      <c r="AG737">
        <v>1</v>
      </c>
      <c r="AH737">
        <v>0</v>
      </c>
      <c r="AI737" t="s">
        <v>413</v>
      </c>
      <c r="AJ737">
        <v>33.176651</v>
      </c>
      <c r="AK737" t="s">
        <v>414</v>
      </c>
      <c r="AL737">
        <v>-97.740876999999998</v>
      </c>
      <c r="AM737">
        <v>25</v>
      </c>
      <c r="AN737">
        <v>3300</v>
      </c>
      <c r="AO737" t="s">
        <v>118</v>
      </c>
      <c r="AP737">
        <v>52</v>
      </c>
      <c r="AQ737">
        <v>-83</v>
      </c>
      <c r="AR737">
        <v>576</v>
      </c>
      <c r="AZ737">
        <v>1200</v>
      </c>
      <c r="BA737">
        <v>1</v>
      </c>
      <c r="BB737" t="str">
        <f t="shared" si="219"/>
        <v xml:space="preserve">N733KP  </v>
      </c>
      <c r="BC737">
        <v>1</v>
      </c>
      <c r="BE737">
        <v>0</v>
      </c>
      <c r="BF737">
        <v>0</v>
      </c>
      <c r="BG737">
        <v>0</v>
      </c>
      <c r="BH737">
        <v>3300</v>
      </c>
      <c r="BI737">
        <v>1</v>
      </c>
      <c r="BJ737">
        <v>1</v>
      </c>
      <c r="BK737">
        <v>0</v>
      </c>
      <c r="BL737">
        <v>0</v>
      </c>
      <c r="BO737">
        <v>0</v>
      </c>
      <c r="BP737">
        <v>0</v>
      </c>
      <c r="BW737" t="str">
        <f>"22:12:32.308"</f>
        <v>22:12:32.308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364</v>
      </c>
      <c r="CR737">
        <v>0</v>
      </c>
      <c r="CW737">
        <v>1392085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"03/24/2022 22:12:33.430"</f>
        <v>03/24/2022 22:12:33.430</v>
      </c>
      <c r="C738" t="str">
        <f t="shared" si="217"/>
        <v>FFDFD3C0</v>
      </c>
      <c r="D738" t="s">
        <v>126</v>
      </c>
      <c r="E738">
        <v>3</v>
      </c>
      <c r="H738">
        <v>160</v>
      </c>
      <c r="I738" t="s">
        <v>121</v>
      </c>
      <c r="J738" t="s">
        <v>127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 t="shared" ref="S738:T740" si="222">"22:12:33.000"</f>
        <v>22:12:33.000</v>
      </c>
      <c r="T738" t="str">
        <f t="shared" si="222"/>
        <v>22:12:33.000</v>
      </c>
      <c r="U738" t="str">
        <f t="shared" si="212"/>
        <v>A9D71F</v>
      </c>
      <c r="V738">
        <v>0</v>
      </c>
      <c r="W738">
        <v>0</v>
      </c>
      <c r="X738">
        <v>2</v>
      </c>
      <c r="Z738">
        <v>1</v>
      </c>
      <c r="AA738">
        <v>7</v>
      </c>
      <c r="AB738">
        <v>3</v>
      </c>
      <c r="AC738">
        <v>0</v>
      </c>
      <c r="AD738">
        <v>9</v>
      </c>
      <c r="AE738">
        <v>0</v>
      </c>
      <c r="AF738">
        <v>3</v>
      </c>
      <c r="AG738">
        <v>1</v>
      </c>
      <c r="AH738">
        <v>0</v>
      </c>
      <c r="AI738" t="s">
        <v>415</v>
      </c>
      <c r="AJ738">
        <v>33.176242999999999</v>
      </c>
      <c r="AK738" t="s">
        <v>416</v>
      </c>
      <c r="AL738">
        <v>-97.740576000000004</v>
      </c>
      <c r="AM738">
        <v>25</v>
      </c>
      <c r="AN738">
        <v>3400</v>
      </c>
      <c r="AO738" t="s">
        <v>118</v>
      </c>
      <c r="AP738">
        <v>52</v>
      </c>
      <c r="AQ738">
        <v>-81</v>
      </c>
      <c r="AR738">
        <v>896</v>
      </c>
      <c r="AZ738">
        <v>1200</v>
      </c>
      <c r="BA738">
        <v>1</v>
      </c>
      <c r="BB738" t="str">
        <f t="shared" si="219"/>
        <v xml:space="preserve">N733KP  </v>
      </c>
      <c r="BC738">
        <v>1</v>
      </c>
      <c r="BE738">
        <v>0</v>
      </c>
      <c r="BF738">
        <v>0</v>
      </c>
      <c r="BG738">
        <v>0</v>
      </c>
      <c r="BH738">
        <v>3325</v>
      </c>
      <c r="BI738">
        <v>1</v>
      </c>
      <c r="BJ738">
        <v>1</v>
      </c>
      <c r="BK738">
        <v>0</v>
      </c>
      <c r="BL738">
        <v>0</v>
      </c>
      <c r="BO738">
        <v>0</v>
      </c>
      <c r="BP738">
        <v>0</v>
      </c>
      <c r="BW738" t="str">
        <f>"22:12:33.260"</f>
        <v>22:12:33.260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2</v>
      </c>
      <c r="CP738" t="s">
        <v>119</v>
      </c>
      <c r="CQ738">
        <v>439</v>
      </c>
      <c r="CR738">
        <v>0</v>
      </c>
      <c r="CW738">
        <v>11498456</v>
      </c>
      <c r="CY738">
        <v>1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"03/24/2022 22:12:33.430"</f>
        <v>03/24/2022 22:12:33.430</v>
      </c>
      <c r="C739" t="str">
        <f t="shared" si="217"/>
        <v>FFDFD3C0</v>
      </c>
      <c r="D739" t="s">
        <v>120</v>
      </c>
      <c r="E739">
        <v>14</v>
      </c>
      <c r="F739">
        <v>1014</v>
      </c>
      <c r="G739" t="s">
        <v>121</v>
      </c>
      <c r="J739" t="s">
        <v>122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 t="shared" si="222"/>
        <v>22:12:33.000</v>
      </c>
      <c r="T739" t="str">
        <f t="shared" si="222"/>
        <v>22:12:33.000</v>
      </c>
      <c r="U739" t="str">
        <f t="shared" si="212"/>
        <v>A9D71F</v>
      </c>
      <c r="V739">
        <v>0</v>
      </c>
      <c r="W739">
        <v>0</v>
      </c>
      <c r="X739">
        <v>2</v>
      </c>
      <c r="Z739">
        <v>1</v>
      </c>
      <c r="AA739">
        <v>7</v>
      </c>
      <c r="AB739">
        <v>3</v>
      </c>
      <c r="AC739">
        <v>0</v>
      </c>
      <c r="AD739">
        <v>9</v>
      </c>
      <c r="AE739">
        <v>0</v>
      </c>
      <c r="AF739">
        <v>3</v>
      </c>
      <c r="AG739">
        <v>1</v>
      </c>
      <c r="AH739">
        <v>0</v>
      </c>
      <c r="AI739" t="s">
        <v>415</v>
      </c>
      <c r="AJ739">
        <v>33.176242999999999</v>
      </c>
      <c r="AK739" t="s">
        <v>416</v>
      </c>
      <c r="AL739">
        <v>-97.740576000000004</v>
      </c>
      <c r="AM739">
        <v>25</v>
      </c>
      <c r="AN739">
        <v>3400</v>
      </c>
      <c r="AO739" t="s">
        <v>118</v>
      </c>
      <c r="AP739">
        <v>52</v>
      </c>
      <c r="AQ739">
        <v>-81</v>
      </c>
      <c r="AR739">
        <v>896</v>
      </c>
      <c r="AZ739">
        <v>1200</v>
      </c>
      <c r="BA739">
        <v>1</v>
      </c>
      <c r="BB739" t="str">
        <f t="shared" si="219"/>
        <v xml:space="preserve">N733KP  </v>
      </c>
      <c r="BC739">
        <v>1</v>
      </c>
      <c r="BE739">
        <v>0</v>
      </c>
      <c r="BF739">
        <v>0</v>
      </c>
      <c r="BG739">
        <v>0</v>
      </c>
      <c r="BH739">
        <v>3325</v>
      </c>
      <c r="BI739">
        <v>1</v>
      </c>
      <c r="BJ739">
        <v>1</v>
      </c>
      <c r="BK739">
        <v>0</v>
      </c>
      <c r="BL739">
        <v>0</v>
      </c>
      <c r="BO739">
        <v>0</v>
      </c>
      <c r="BP739">
        <v>0</v>
      </c>
      <c r="BW739" t="str">
        <f>"22:12:33.260"</f>
        <v>22:12:33.260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2</v>
      </c>
      <c r="CP739" t="s">
        <v>119</v>
      </c>
      <c r="CQ739">
        <v>439</v>
      </c>
      <c r="CR739">
        <v>0</v>
      </c>
      <c r="CW739">
        <v>11498456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"03/24/2022 22:12:33.445"</f>
        <v>03/24/2022 22:12:33.445</v>
      </c>
      <c r="C740" t="str">
        <f t="shared" si="217"/>
        <v>FFDFD3C0</v>
      </c>
      <c r="D740" t="s">
        <v>113</v>
      </c>
      <c r="E740">
        <v>24</v>
      </c>
      <c r="F740">
        <v>2024</v>
      </c>
      <c r="G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 t="shared" si="222"/>
        <v>22:12:33.000</v>
      </c>
      <c r="T740" t="str">
        <f t="shared" si="222"/>
        <v>22:12:33.000</v>
      </c>
      <c r="U740" t="str">
        <f t="shared" si="212"/>
        <v>A9D71F</v>
      </c>
      <c r="V740">
        <v>0</v>
      </c>
      <c r="W740">
        <v>0</v>
      </c>
      <c r="X740">
        <v>2</v>
      </c>
      <c r="Z740">
        <v>1</v>
      </c>
      <c r="AA740">
        <v>7</v>
      </c>
      <c r="AB740">
        <v>3</v>
      </c>
      <c r="AC740">
        <v>0</v>
      </c>
      <c r="AD740">
        <v>9</v>
      </c>
      <c r="AE740">
        <v>0</v>
      </c>
      <c r="AF740">
        <v>3</v>
      </c>
      <c r="AG740">
        <v>1</v>
      </c>
      <c r="AH740">
        <v>0</v>
      </c>
      <c r="AI740" t="s">
        <v>415</v>
      </c>
      <c r="AJ740">
        <v>33.176242999999999</v>
      </c>
      <c r="AK740" t="s">
        <v>416</v>
      </c>
      <c r="AL740">
        <v>-97.740576000000004</v>
      </c>
      <c r="AM740">
        <v>25</v>
      </c>
      <c r="AN740">
        <v>3400</v>
      </c>
      <c r="AO740" t="s">
        <v>118</v>
      </c>
      <c r="AP740">
        <v>52</v>
      </c>
      <c r="AQ740">
        <v>-81</v>
      </c>
      <c r="AR740">
        <v>896</v>
      </c>
      <c r="AZ740">
        <v>1200</v>
      </c>
      <c r="BA740">
        <v>1</v>
      </c>
      <c r="BB740" t="str">
        <f t="shared" si="219"/>
        <v xml:space="preserve">N733KP  </v>
      </c>
      <c r="BC740">
        <v>1</v>
      </c>
      <c r="BE740">
        <v>0</v>
      </c>
      <c r="BF740">
        <v>0</v>
      </c>
      <c r="BG740">
        <v>0</v>
      </c>
      <c r="BH740">
        <v>3325</v>
      </c>
      <c r="BI740">
        <v>1</v>
      </c>
      <c r="BJ740">
        <v>1</v>
      </c>
      <c r="BK740">
        <v>0</v>
      </c>
      <c r="BL740">
        <v>0</v>
      </c>
      <c r="BO740">
        <v>0</v>
      </c>
      <c r="BP740">
        <v>0</v>
      </c>
      <c r="BW740" t="str">
        <f>"22:12:33.260"</f>
        <v>22:12:33.260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2</v>
      </c>
      <c r="CP740" t="s">
        <v>119</v>
      </c>
      <c r="CQ740">
        <v>439</v>
      </c>
      <c r="CR740">
        <v>0</v>
      </c>
      <c r="CW740">
        <v>11498456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"03/24/2022 22:12:34.539"</f>
        <v>03/24/2022 22:12:34.539</v>
      </c>
      <c r="C741" t="str">
        <f t="shared" si="217"/>
        <v>FFDFD3C0</v>
      </c>
      <c r="D741" t="s">
        <v>113</v>
      </c>
      <c r="E741">
        <v>24</v>
      </c>
      <c r="F741">
        <v>2024</v>
      </c>
      <c r="G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 t="shared" ref="S741:T744" si="223">"22:12:34.000"</f>
        <v>22:12:34.000</v>
      </c>
      <c r="T741" t="str">
        <f t="shared" si="223"/>
        <v>22:12:34.000</v>
      </c>
      <c r="U741" t="str">
        <f t="shared" si="212"/>
        <v>A9D71F</v>
      </c>
      <c r="V741">
        <v>0</v>
      </c>
      <c r="W741">
        <v>0</v>
      </c>
      <c r="X741">
        <v>2</v>
      </c>
      <c r="Z741">
        <v>1</v>
      </c>
      <c r="AA741">
        <v>7</v>
      </c>
      <c r="AB741">
        <v>3</v>
      </c>
      <c r="AC741">
        <v>0</v>
      </c>
      <c r="AD741">
        <v>9</v>
      </c>
      <c r="AE741">
        <v>0</v>
      </c>
      <c r="AF741">
        <v>3</v>
      </c>
      <c r="AG741">
        <v>1</v>
      </c>
      <c r="AH741">
        <v>0</v>
      </c>
      <c r="AI741" t="s">
        <v>417</v>
      </c>
      <c r="AJ741">
        <v>33.175857000000001</v>
      </c>
      <c r="AK741" t="s">
        <v>418</v>
      </c>
      <c r="AL741">
        <v>-97.740296999999998</v>
      </c>
      <c r="AM741">
        <v>25</v>
      </c>
      <c r="AN741">
        <v>3400</v>
      </c>
      <c r="AO741" t="s">
        <v>118</v>
      </c>
      <c r="AP741">
        <v>51</v>
      </c>
      <c r="AQ741">
        <v>-81</v>
      </c>
      <c r="AR741">
        <v>960</v>
      </c>
      <c r="AZ741">
        <v>1200</v>
      </c>
      <c r="BA741">
        <v>1</v>
      </c>
      <c r="BB741" t="str">
        <f t="shared" si="219"/>
        <v xml:space="preserve">N733KP  </v>
      </c>
      <c r="BC741">
        <v>1</v>
      </c>
      <c r="BE741">
        <v>0</v>
      </c>
      <c r="BF741">
        <v>0</v>
      </c>
      <c r="BG741">
        <v>0</v>
      </c>
      <c r="BH741">
        <v>3325</v>
      </c>
      <c r="BI741">
        <v>1</v>
      </c>
      <c r="BJ741">
        <v>1</v>
      </c>
      <c r="BK741">
        <v>0</v>
      </c>
      <c r="BL741">
        <v>0</v>
      </c>
      <c r="BO741">
        <v>0</v>
      </c>
      <c r="BP741">
        <v>0</v>
      </c>
      <c r="BW741" t="str">
        <f>"22:12:34.338"</f>
        <v>22:12:34.338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364</v>
      </c>
      <c r="CR741">
        <v>0</v>
      </c>
      <c r="CW741">
        <v>1392326</v>
      </c>
      <c r="CY741">
        <v>1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"03/24/2022 22:12:34.539"</f>
        <v>03/24/2022 22:12:34.539</v>
      </c>
      <c r="C742" t="str">
        <f t="shared" si="217"/>
        <v>FFDFD3C0</v>
      </c>
      <c r="D742" t="s">
        <v>123</v>
      </c>
      <c r="E742">
        <v>8</v>
      </c>
      <c r="H742">
        <v>31</v>
      </c>
      <c r="I742" t="s">
        <v>124</v>
      </c>
      <c r="J742" t="s">
        <v>125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 t="shared" si="223"/>
        <v>22:12:34.000</v>
      </c>
      <c r="T742" t="str">
        <f t="shared" si="223"/>
        <v>22:12:34.000</v>
      </c>
      <c r="U742" t="str">
        <f t="shared" si="212"/>
        <v>A9D71F</v>
      </c>
      <c r="V742">
        <v>0</v>
      </c>
      <c r="W742">
        <v>0</v>
      </c>
      <c r="X742">
        <v>2</v>
      </c>
      <c r="Z742">
        <v>1</v>
      </c>
      <c r="AA742">
        <v>7</v>
      </c>
      <c r="AB742">
        <v>3</v>
      </c>
      <c r="AC742">
        <v>0</v>
      </c>
      <c r="AD742">
        <v>9</v>
      </c>
      <c r="AE742">
        <v>0</v>
      </c>
      <c r="AF742">
        <v>3</v>
      </c>
      <c r="AG742">
        <v>1</v>
      </c>
      <c r="AH742">
        <v>0</v>
      </c>
      <c r="AI742" t="s">
        <v>417</v>
      </c>
      <c r="AJ742">
        <v>33.175857000000001</v>
      </c>
      <c r="AK742" t="s">
        <v>418</v>
      </c>
      <c r="AL742">
        <v>-97.740296999999998</v>
      </c>
      <c r="AM742">
        <v>25</v>
      </c>
      <c r="AN742">
        <v>3400</v>
      </c>
      <c r="AO742" t="s">
        <v>118</v>
      </c>
      <c r="AP742">
        <v>51</v>
      </c>
      <c r="AQ742">
        <v>-81</v>
      </c>
      <c r="AR742">
        <v>960</v>
      </c>
      <c r="AZ742">
        <v>1200</v>
      </c>
      <c r="BA742">
        <v>1</v>
      </c>
      <c r="BB742" t="str">
        <f t="shared" si="219"/>
        <v xml:space="preserve">N733KP  </v>
      </c>
      <c r="BC742">
        <v>1</v>
      </c>
      <c r="BE742">
        <v>0</v>
      </c>
      <c r="BF742">
        <v>0</v>
      </c>
      <c r="BG742">
        <v>0</v>
      </c>
      <c r="BH742">
        <v>3325</v>
      </c>
      <c r="BI742">
        <v>1</v>
      </c>
      <c r="BJ742">
        <v>1</v>
      </c>
      <c r="BK742">
        <v>0</v>
      </c>
      <c r="BL742">
        <v>0</v>
      </c>
      <c r="BO742">
        <v>0</v>
      </c>
      <c r="BP742">
        <v>0</v>
      </c>
      <c r="BW742" t="str">
        <f>"22:12:34.338"</f>
        <v>22:12:34.338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364</v>
      </c>
      <c r="CR742">
        <v>0</v>
      </c>
      <c r="CW742">
        <v>1392326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"03/24/2022 22:12:34.539"</f>
        <v>03/24/2022 22:12:34.539</v>
      </c>
      <c r="C743" t="str">
        <f t="shared" si="217"/>
        <v>FFDFD3C0</v>
      </c>
      <c r="D743" t="s">
        <v>126</v>
      </c>
      <c r="E743">
        <v>3</v>
      </c>
      <c r="H743">
        <v>160</v>
      </c>
      <c r="I743" t="s">
        <v>121</v>
      </c>
      <c r="J743" t="s">
        <v>127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 t="shared" si="223"/>
        <v>22:12:34.000</v>
      </c>
      <c r="T743" t="str">
        <f t="shared" si="223"/>
        <v>22:12:34.000</v>
      </c>
      <c r="U743" t="str">
        <f t="shared" si="212"/>
        <v>A9D71F</v>
      </c>
      <c r="V743">
        <v>0</v>
      </c>
      <c r="W743">
        <v>0</v>
      </c>
      <c r="X743">
        <v>2</v>
      </c>
      <c r="Z743">
        <v>1</v>
      </c>
      <c r="AA743">
        <v>7</v>
      </c>
      <c r="AB743">
        <v>3</v>
      </c>
      <c r="AC743">
        <v>0</v>
      </c>
      <c r="AD743">
        <v>9</v>
      </c>
      <c r="AE743">
        <v>0</v>
      </c>
      <c r="AF743">
        <v>3</v>
      </c>
      <c r="AG743">
        <v>1</v>
      </c>
      <c r="AH743">
        <v>0</v>
      </c>
      <c r="AI743" t="s">
        <v>417</v>
      </c>
      <c r="AJ743">
        <v>33.175857000000001</v>
      </c>
      <c r="AK743" t="s">
        <v>418</v>
      </c>
      <c r="AL743">
        <v>-97.740296999999998</v>
      </c>
      <c r="AM743">
        <v>25</v>
      </c>
      <c r="AN743">
        <v>3400</v>
      </c>
      <c r="AO743" t="s">
        <v>118</v>
      </c>
      <c r="AP743">
        <v>51</v>
      </c>
      <c r="AQ743">
        <v>-81</v>
      </c>
      <c r="AR743">
        <v>960</v>
      </c>
      <c r="AZ743">
        <v>1200</v>
      </c>
      <c r="BA743">
        <v>1</v>
      </c>
      <c r="BB743" t="str">
        <f t="shared" si="219"/>
        <v xml:space="preserve">N733KP  </v>
      </c>
      <c r="BC743">
        <v>1</v>
      </c>
      <c r="BE743">
        <v>0</v>
      </c>
      <c r="BF743">
        <v>0</v>
      </c>
      <c r="BG743">
        <v>0</v>
      </c>
      <c r="BH743">
        <v>3325</v>
      </c>
      <c r="BI743">
        <v>1</v>
      </c>
      <c r="BJ743">
        <v>1</v>
      </c>
      <c r="BK743">
        <v>0</v>
      </c>
      <c r="BL743">
        <v>0</v>
      </c>
      <c r="BO743">
        <v>0</v>
      </c>
      <c r="BP743">
        <v>0</v>
      </c>
      <c r="BW743" t="str">
        <f>"22:12:34.338"</f>
        <v>22:12:34.338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364</v>
      </c>
      <c r="CR743">
        <v>0</v>
      </c>
      <c r="CW743">
        <v>1392326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"03/24/2022 22:12:34.539"</f>
        <v>03/24/2022 22:12:34.539</v>
      </c>
      <c r="C744" t="str">
        <f t="shared" si="217"/>
        <v>FFDFD3C0</v>
      </c>
      <c r="D744" t="s">
        <v>120</v>
      </c>
      <c r="E744">
        <v>14</v>
      </c>
      <c r="F744">
        <v>1014</v>
      </c>
      <c r="G744" t="s">
        <v>121</v>
      </c>
      <c r="J744" t="s">
        <v>122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 t="shared" si="223"/>
        <v>22:12:34.000</v>
      </c>
      <c r="T744" t="str">
        <f t="shared" si="223"/>
        <v>22:12:34.000</v>
      </c>
      <c r="U744" t="str">
        <f t="shared" si="212"/>
        <v>A9D71F</v>
      </c>
      <c r="V744">
        <v>0</v>
      </c>
      <c r="W744">
        <v>0</v>
      </c>
      <c r="X744">
        <v>2</v>
      </c>
      <c r="Z744">
        <v>1</v>
      </c>
      <c r="AA744">
        <v>7</v>
      </c>
      <c r="AB744">
        <v>3</v>
      </c>
      <c r="AC744">
        <v>0</v>
      </c>
      <c r="AD744">
        <v>9</v>
      </c>
      <c r="AE744">
        <v>0</v>
      </c>
      <c r="AF744">
        <v>3</v>
      </c>
      <c r="AG744">
        <v>1</v>
      </c>
      <c r="AH744">
        <v>0</v>
      </c>
      <c r="AI744" t="s">
        <v>417</v>
      </c>
      <c r="AJ744">
        <v>33.175857000000001</v>
      </c>
      <c r="AK744" t="s">
        <v>418</v>
      </c>
      <c r="AL744">
        <v>-97.740296999999998</v>
      </c>
      <c r="AM744">
        <v>25</v>
      </c>
      <c r="AN744">
        <v>3400</v>
      </c>
      <c r="AO744" t="s">
        <v>118</v>
      </c>
      <c r="AP744">
        <v>51</v>
      </c>
      <c r="AQ744">
        <v>-81</v>
      </c>
      <c r="AR744">
        <v>960</v>
      </c>
      <c r="AZ744">
        <v>1200</v>
      </c>
      <c r="BA744">
        <v>1</v>
      </c>
      <c r="BB744" t="str">
        <f t="shared" si="219"/>
        <v xml:space="preserve">N733KP  </v>
      </c>
      <c r="BC744">
        <v>1</v>
      </c>
      <c r="BE744">
        <v>0</v>
      </c>
      <c r="BF744">
        <v>0</v>
      </c>
      <c r="BG744">
        <v>0</v>
      </c>
      <c r="BH744">
        <v>3325</v>
      </c>
      <c r="BI744">
        <v>1</v>
      </c>
      <c r="BJ744">
        <v>1</v>
      </c>
      <c r="BK744">
        <v>0</v>
      </c>
      <c r="BL744">
        <v>0</v>
      </c>
      <c r="BO744">
        <v>0</v>
      </c>
      <c r="BP744">
        <v>0</v>
      </c>
      <c r="BW744" t="str">
        <f>"22:12:34.338"</f>
        <v>22:12:34.338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364</v>
      </c>
      <c r="CR744">
        <v>0</v>
      </c>
      <c r="CW744">
        <v>1392326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"03/24/2022 22:12:35.867"</f>
        <v>03/24/2022 22:12:35.867</v>
      </c>
      <c r="C745" t="str">
        <f t="shared" si="217"/>
        <v>FFDFD3C0</v>
      </c>
      <c r="D745" t="s">
        <v>120</v>
      </c>
      <c r="E745">
        <v>14</v>
      </c>
      <c r="F745">
        <v>1014</v>
      </c>
      <c r="G745" t="s">
        <v>121</v>
      </c>
      <c r="J745" t="s">
        <v>122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 t="shared" ref="S745:T748" si="224">"22:12:35.000"</f>
        <v>22:12:35.000</v>
      </c>
      <c r="T745" t="str">
        <f t="shared" si="224"/>
        <v>22:12:35.000</v>
      </c>
      <c r="U745" t="str">
        <f t="shared" si="212"/>
        <v>A9D71F</v>
      </c>
      <c r="V745">
        <v>0</v>
      </c>
      <c r="W745">
        <v>0</v>
      </c>
      <c r="X745">
        <v>2</v>
      </c>
      <c r="Z745">
        <v>1</v>
      </c>
      <c r="AA745">
        <v>7</v>
      </c>
      <c r="AB745">
        <v>3</v>
      </c>
      <c r="AC745">
        <v>0</v>
      </c>
      <c r="AD745">
        <v>9</v>
      </c>
      <c r="AE745">
        <v>0</v>
      </c>
      <c r="AF745">
        <v>3</v>
      </c>
      <c r="AG745">
        <v>1</v>
      </c>
      <c r="AH745">
        <v>0</v>
      </c>
      <c r="AI745" t="s">
        <v>419</v>
      </c>
      <c r="AJ745">
        <v>33.175491999999998</v>
      </c>
      <c r="AK745" t="s">
        <v>420</v>
      </c>
      <c r="AL745">
        <v>-97.740018000000006</v>
      </c>
      <c r="AM745">
        <v>25</v>
      </c>
      <c r="AN745">
        <v>3400</v>
      </c>
      <c r="AO745" t="s">
        <v>118</v>
      </c>
      <c r="AP745">
        <v>54</v>
      </c>
      <c r="AQ745">
        <v>-80</v>
      </c>
      <c r="AR745">
        <v>896</v>
      </c>
      <c r="AZ745">
        <v>1200</v>
      </c>
      <c r="BA745">
        <v>1</v>
      </c>
      <c r="BB745" t="str">
        <f t="shared" si="219"/>
        <v xml:space="preserve">N733KP  </v>
      </c>
      <c r="BC745">
        <v>1</v>
      </c>
      <c r="BE745">
        <v>0</v>
      </c>
      <c r="BF745">
        <v>0</v>
      </c>
      <c r="BG745">
        <v>0</v>
      </c>
      <c r="BH745">
        <v>3350</v>
      </c>
      <c r="BI745">
        <v>1</v>
      </c>
      <c r="BJ745">
        <v>1</v>
      </c>
      <c r="BK745">
        <v>0</v>
      </c>
      <c r="BL745">
        <v>0</v>
      </c>
      <c r="BO745">
        <v>0</v>
      </c>
      <c r="BP745">
        <v>0</v>
      </c>
      <c r="BW745" t="str">
        <f>"22:12:35.697"</f>
        <v>22:12:35.697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364</v>
      </c>
      <c r="CR745">
        <v>0</v>
      </c>
      <c r="CW745">
        <v>1392485</v>
      </c>
      <c r="CY745">
        <v>1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"03/24/2022 22:12:35.914"</f>
        <v>03/24/2022 22:12:35.914</v>
      </c>
      <c r="C746" t="str">
        <f t="shared" si="217"/>
        <v>FFDFD3C0</v>
      </c>
      <c r="D746" t="s">
        <v>113</v>
      </c>
      <c r="E746">
        <v>24</v>
      </c>
      <c r="F746">
        <v>2024</v>
      </c>
      <c r="G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 t="shared" si="224"/>
        <v>22:12:35.000</v>
      </c>
      <c r="T746" t="str">
        <f t="shared" si="224"/>
        <v>22:12:35.000</v>
      </c>
      <c r="U746" t="str">
        <f t="shared" si="212"/>
        <v>A9D71F</v>
      </c>
      <c r="V746">
        <v>0</v>
      </c>
      <c r="W746">
        <v>0</v>
      </c>
      <c r="X746">
        <v>2</v>
      </c>
      <c r="Z746">
        <v>1</v>
      </c>
      <c r="AA746">
        <v>7</v>
      </c>
      <c r="AB746">
        <v>3</v>
      </c>
      <c r="AC746">
        <v>0</v>
      </c>
      <c r="AD746">
        <v>9</v>
      </c>
      <c r="AE746">
        <v>0</v>
      </c>
      <c r="AF746">
        <v>3</v>
      </c>
      <c r="AG746">
        <v>1</v>
      </c>
      <c r="AH746">
        <v>0</v>
      </c>
      <c r="AI746" t="s">
        <v>419</v>
      </c>
      <c r="AJ746">
        <v>33.175491999999998</v>
      </c>
      <c r="AK746" t="s">
        <v>420</v>
      </c>
      <c r="AL746">
        <v>-97.740018000000006</v>
      </c>
      <c r="AM746">
        <v>25</v>
      </c>
      <c r="AN746">
        <v>3400</v>
      </c>
      <c r="AO746" t="s">
        <v>118</v>
      </c>
      <c r="AP746">
        <v>54</v>
      </c>
      <c r="AQ746">
        <v>-80</v>
      </c>
      <c r="AR746">
        <v>896</v>
      </c>
      <c r="AZ746">
        <v>1200</v>
      </c>
      <c r="BA746">
        <v>1</v>
      </c>
      <c r="BB746" t="str">
        <f t="shared" si="219"/>
        <v xml:space="preserve">N733KP  </v>
      </c>
      <c r="BC746">
        <v>1</v>
      </c>
      <c r="BE746">
        <v>0</v>
      </c>
      <c r="BF746">
        <v>0</v>
      </c>
      <c r="BG746">
        <v>0</v>
      </c>
      <c r="BH746">
        <v>3350</v>
      </c>
      <c r="BI746">
        <v>1</v>
      </c>
      <c r="BJ746">
        <v>1</v>
      </c>
      <c r="BK746">
        <v>0</v>
      </c>
      <c r="BL746">
        <v>0</v>
      </c>
      <c r="BO746">
        <v>0</v>
      </c>
      <c r="BP746">
        <v>0</v>
      </c>
      <c r="BW746" t="str">
        <f>"22:12:35.697"</f>
        <v>22:12:35.697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364</v>
      </c>
      <c r="CR746">
        <v>0</v>
      </c>
      <c r="CW746">
        <v>1392485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"03/24/2022 22:12:35.914"</f>
        <v>03/24/2022 22:12:35.914</v>
      </c>
      <c r="C747" t="str">
        <f t="shared" si="217"/>
        <v>FFDFD3C0</v>
      </c>
      <c r="D747" t="s">
        <v>123</v>
      </c>
      <c r="E747">
        <v>8</v>
      </c>
      <c r="H747">
        <v>31</v>
      </c>
      <c r="I747" t="s">
        <v>124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 t="shared" si="224"/>
        <v>22:12:35.000</v>
      </c>
      <c r="T747" t="str">
        <f t="shared" si="224"/>
        <v>22:12:35.000</v>
      </c>
      <c r="U747" t="str">
        <f t="shared" si="212"/>
        <v>A9D71F</v>
      </c>
      <c r="V747">
        <v>0</v>
      </c>
      <c r="W747">
        <v>0</v>
      </c>
      <c r="X747">
        <v>2</v>
      </c>
      <c r="Z747">
        <v>1</v>
      </c>
      <c r="AA747">
        <v>7</v>
      </c>
      <c r="AB747">
        <v>3</v>
      </c>
      <c r="AC747">
        <v>0</v>
      </c>
      <c r="AD747">
        <v>9</v>
      </c>
      <c r="AE747">
        <v>0</v>
      </c>
      <c r="AF747">
        <v>3</v>
      </c>
      <c r="AG747">
        <v>1</v>
      </c>
      <c r="AH747">
        <v>0</v>
      </c>
      <c r="AI747" t="s">
        <v>419</v>
      </c>
      <c r="AJ747">
        <v>33.175491999999998</v>
      </c>
      <c r="AK747" t="s">
        <v>420</v>
      </c>
      <c r="AL747">
        <v>-97.740018000000006</v>
      </c>
      <c r="AM747">
        <v>25</v>
      </c>
      <c r="AN747">
        <v>3400</v>
      </c>
      <c r="AO747" t="s">
        <v>118</v>
      </c>
      <c r="AP747">
        <v>54</v>
      </c>
      <c r="AQ747">
        <v>-80</v>
      </c>
      <c r="AR747">
        <v>896</v>
      </c>
      <c r="AZ747">
        <v>1200</v>
      </c>
      <c r="BA747">
        <v>1</v>
      </c>
      <c r="BB747" t="str">
        <f t="shared" si="219"/>
        <v xml:space="preserve">N733KP  </v>
      </c>
      <c r="BC747">
        <v>1</v>
      </c>
      <c r="BE747">
        <v>0</v>
      </c>
      <c r="BF747">
        <v>0</v>
      </c>
      <c r="BG747">
        <v>0</v>
      </c>
      <c r="BH747">
        <v>3350</v>
      </c>
      <c r="BI747">
        <v>1</v>
      </c>
      <c r="BJ747">
        <v>1</v>
      </c>
      <c r="BK747">
        <v>0</v>
      </c>
      <c r="BL747">
        <v>0</v>
      </c>
      <c r="BO747">
        <v>0</v>
      </c>
      <c r="BP747">
        <v>0</v>
      </c>
      <c r="BW747" t="str">
        <f>"22:12:35.697"</f>
        <v>22:12:35.697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364</v>
      </c>
      <c r="CR747">
        <v>0</v>
      </c>
      <c r="CW747">
        <v>1392485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"03/24/2022 22:12:35.914"</f>
        <v>03/24/2022 22:12:35.914</v>
      </c>
      <c r="C748" t="str">
        <f t="shared" si="217"/>
        <v>FFDFD3C0</v>
      </c>
      <c r="D748" t="s">
        <v>126</v>
      </c>
      <c r="E748">
        <v>3</v>
      </c>
      <c r="H748">
        <v>160</v>
      </c>
      <c r="I748" t="s">
        <v>121</v>
      </c>
      <c r="J748" t="s">
        <v>127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 t="shared" si="224"/>
        <v>22:12:35.000</v>
      </c>
      <c r="T748" t="str">
        <f t="shared" si="224"/>
        <v>22:12:35.000</v>
      </c>
      <c r="U748" t="str">
        <f t="shared" si="212"/>
        <v>A9D71F</v>
      </c>
      <c r="V748">
        <v>0</v>
      </c>
      <c r="W748">
        <v>0</v>
      </c>
      <c r="X748">
        <v>2</v>
      </c>
      <c r="Z748">
        <v>1</v>
      </c>
      <c r="AA748">
        <v>7</v>
      </c>
      <c r="AB748">
        <v>3</v>
      </c>
      <c r="AC748">
        <v>0</v>
      </c>
      <c r="AD748">
        <v>9</v>
      </c>
      <c r="AE748">
        <v>0</v>
      </c>
      <c r="AF748">
        <v>3</v>
      </c>
      <c r="AG748">
        <v>1</v>
      </c>
      <c r="AH748">
        <v>0</v>
      </c>
      <c r="AI748" t="s">
        <v>419</v>
      </c>
      <c r="AJ748">
        <v>33.175491999999998</v>
      </c>
      <c r="AK748" t="s">
        <v>420</v>
      </c>
      <c r="AL748">
        <v>-97.740018000000006</v>
      </c>
      <c r="AM748">
        <v>25</v>
      </c>
      <c r="AN748">
        <v>3400</v>
      </c>
      <c r="AO748" t="s">
        <v>118</v>
      </c>
      <c r="AP748">
        <v>54</v>
      </c>
      <c r="AQ748">
        <v>-80</v>
      </c>
      <c r="AR748">
        <v>896</v>
      </c>
      <c r="AZ748">
        <v>1200</v>
      </c>
      <c r="BA748">
        <v>1</v>
      </c>
      <c r="BB748" t="str">
        <f t="shared" si="219"/>
        <v xml:space="preserve">N733KP  </v>
      </c>
      <c r="BC748">
        <v>1</v>
      </c>
      <c r="BE748">
        <v>0</v>
      </c>
      <c r="BF748">
        <v>0</v>
      </c>
      <c r="BG748">
        <v>0</v>
      </c>
      <c r="BH748">
        <v>3350</v>
      </c>
      <c r="BI748">
        <v>1</v>
      </c>
      <c r="BJ748">
        <v>1</v>
      </c>
      <c r="BK748">
        <v>0</v>
      </c>
      <c r="BL748">
        <v>0</v>
      </c>
      <c r="BO748">
        <v>0</v>
      </c>
      <c r="BP748">
        <v>0</v>
      </c>
      <c r="BW748" t="str">
        <f>"22:12:35.697"</f>
        <v>22:12:35.697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364</v>
      </c>
      <c r="CR748">
        <v>0</v>
      </c>
      <c r="CW748">
        <v>1392485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"03/24/2022 22:12:36.962"</f>
        <v>03/24/2022 22:12:36.962</v>
      </c>
      <c r="C749" t="str">
        <f t="shared" si="217"/>
        <v>FFDFD3C0</v>
      </c>
      <c r="D749" t="s">
        <v>120</v>
      </c>
      <c r="E749">
        <v>14</v>
      </c>
      <c r="F749">
        <v>1014</v>
      </c>
      <c r="G749" t="s">
        <v>121</v>
      </c>
      <c r="J749" t="s">
        <v>122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 t="shared" ref="S749:T752" si="225">"22:12:36.000"</f>
        <v>22:12:36.000</v>
      </c>
      <c r="T749" t="str">
        <f t="shared" si="225"/>
        <v>22:12:36.000</v>
      </c>
      <c r="U749" t="str">
        <f t="shared" si="212"/>
        <v>A9D71F</v>
      </c>
      <c r="V749">
        <v>0</v>
      </c>
      <c r="W749">
        <v>0</v>
      </c>
      <c r="X749">
        <v>2</v>
      </c>
      <c r="Z749">
        <v>1</v>
      </c>
      <c r="AA749">
        <v>7</v>
      </c>
      <c r="AB749">
        <v>3</v>
      </c>
      <c r="AC749">
        <v>0</v>
      </c>
      <c r="AD749">
        <v>9</v>
      </c>
      <c r="AE749">
        <v>0</v>
      </c>
      <c r="AF749">
        <v>3</v>
      </c>
      <c r="AG749">
        <v>1</v>
      </c>
      <c r="AH749">
        <v>0</v>
      </c>
      <c r="AI749" t="s">
        <v>421</v>
      </c>
      <c r="AJ749">
        <v>33.175128000000001</v>
      </c>
      <c r="AK749" t="s">
        <v>422</v>
      </c>
      <c r="AL749">
        <v>-97.739739</v>
      </c>
      <c r="AM749">
        <v>25</v>
      </c>
      <c r="AN749">
        <v>3400</v>
      </c>
      <c r="AO749" t="s">
        <v>118</v>
      </c>
      <c r="AP749">
        <v>54</v>
      </c>
      <c r="AQ749">
        <v>-81</v>
      </c>
      <c r="AR749">
        <v>768</v>
      </c>
      <c r="AZ749">
        <v>1200</v>
      </c>
      <c r="BA749">
        <v>1</v>
      </c>
      <c r="BB749" t="str">
        <f t="shared" si="219"/>
        <v xml:space="preserve">N733KP  </v>
      </c>
      <c r="BC749">
        <v>1</v>
      </c>
      <c r="BE749">
        <v>0</v>
      </c>
      <c r="BF749">
        <v>0</v>
      </c>
      <c r="BG749">
        <v>0</v>
      </c>
      <c r="BH749">
        <v>3350</v>
      </c>
      <c r="BI749">
        <v>1</v>
      </c>
      <c r="BJ749">
        <v>1</v>
      </c>
      <c r="BK749">
        <v>0</v>
      </c>
      <c r="BL749">
        <v>0</v>
      </c>
      <c r="BO749">
        <v>0</v>
      </c>
      <c r="BP749">
        <v>0</v>
      </c>
      <c r="BW749" t="str">
        <f>"22:12:36.767"</f>
        <v>22:12:36.767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364</v>
      </c>
      <c r="CR749">
        <v>0</v>
      </c>
      <c r="CW749">
        <v>1392630</v>
      </c>
      <c r="CY749">
        <v>1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"03/24/2022 22:12:36.962"</f>
        <v>03/24/2022 22:12:36.962</v>
      </c>
      <c r="C750" t="str">
        <f t="shared" si="217"/>
        <v>FFDFD3C0</v>
      </c>
      <c r="D750" t="s">
        <v>113</v>
      </c>
      <c r="E750">
        <v>24</v>
      </c>
      <c r="F750">
        <v>2024</v>
      </c>
      <c r="G750" t="s">
        <v>114</v>
      </c>
      <c r="J750" t="s">
        <v>115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 t="shared" si="225"/>
        <v>22:12:36.000</v>
      </c>
      <c r="T750" t="str">
        <f t="shared" si="225"/>
        <v>22:12:36.000</v>
      </c>
      <c r="U750" t="str">
        <f t="shared" si="212"/>
        <v>A9D71F</v>
      </c>
      <c r="V750">
        <v>0</v>
      </c>
      <c r="W750">
        <v>0</v>
      </c>
      <c r="X750">
        <v>2</v>
      </c>
      <c r="Z750">
        <v>1</v>
      </c>
      <c r="AA750">
        <v>7</v>
      </c>
      <c r="AB750">
        <v>3</v>
      </c>
      <c r="AC750">
        <v>0</v>
      </c>
      <c r="AD750">
        <v>9</v>
      </c>
      <c r="AE750">
        <v>0</v>
      </c>
      <c r="AF750">
        <v>3</v>
      </c>
      <c r="AG750">
        <v>1</v>
      </c>
      <c r="AH750">
        <v>0</v>
      </c>
      <c r="AI750" t="s">
        <v>421</v>
      </c>
      <c r="AJ750">
        <v>33.175128000000001</v>
      </c>
      <c r="AK750" t="s">
        <v>422</v>
      </c>
      <c r="AL750">
        <v>-97.739739</v>
      </c>
      <c r="AM750">
        <v>25</v>
      </c>
      <c r="AN750">
        <v>3400</v>
      </c>
      <c r="AO750" t="s">
        <v>118</v>
      </c>
      <c r="AP750">
        <v>54</v>
      </c>
      <c r="AQ750">
        <v>-81</v>
      </c>
      <c r="AR750">
        <v>768</v>
      </c>
      <c r="AZ750">
        <v>1200</v>
      </c>
      <c r="BA750">
        <v>1</v>
      </c>
      <c r="BB750" t="str">
        <f t="shared" si="219"/>
        <v xml:space="preserve">N733KP  </v>
      </c>
      <c r="BC750">
        <v>1</v>
      </c>
      <c r="BE750">
        <v>0</v>
      </c>
      <c r="BF750">
        <v>0</v>
      </c>
      <c r="BG750">
        <v>0</v>
      </c>
      <c r="BH750">
        <v>3350</v>
      </c>
      <c r="BI750">
        <v>1</v>
      </c>
      <c r="BJ750">
        <v>1</v>
      </c>
      <c r="BK750">
        <v>0</v>
      </c>
      <c r="BL750">
        <v>0</v>
      </c>
      <c r="BO750">
        <v>0</v>
      </c>
      <c r="BP750">
        <v>0</v>
      </c>
      <c r="BW750" t="str">
        <f>"22:12:36.767"</f>
        <v>22:12:36.767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364</v>
      </c>
      <c r="CR750">
        <v>0</v>
      </c>
      <c r="CW750">
        <v>1392630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"03/24/2022 22:12:36.962"</f>
        <v>03/24/2022 22:12:36.962</v>
      </c>
      <c r="C751" t="str">
        <f t="shared" si="217"/>
        <v>FFDFD3C0</v>
      </c>
      <c r="D751" t="s">
        <v>123</v>
      </c>
      <c r="E751">
        <v>8</v>
      </c>
      <c r="H751">
        <v>31</v>
      </c>
      <c r="I751" t="s">
        <v>124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 t="shared" si="225"/>
        <v>22:12:36.000</v>
      </c>
      <c r="T751" t="str">
        <f t="shared" si="225"/>
        <v>22:12:36.000</v>
      </c>
      <c r="U751" t="str">
        <f t="shared" si="212"/>
        <v>A9D71F</v>
      </c>
      <c r="V751">
        <v>0</v>
      </c>
      <c r="W751">
        <v>0</v>
      </c>
      <c r="X751">
        <v>2</v>
      </c>
      <c r="Z751">
        <v>1</v>
      </c>
      <c r="AA751">
        <v>7</v>
      </c>
      <c r="AB751">
        <v>3</v>
      </c>
      <c r="AC751">
        <v>0</v>
      </c>
      <c r="AD751">
        <v>9</v>
      </c>
      <c r="AE751">
        <v>0</v>
      </c>
      <c r="AF751">
        <v>3</v>
      </c>
      <c r="AG751">
        <v>1</v>
      </c>
      <c r="AH751">
        <v>0</v>
      </c>
      <c r="AI751" t="s">
        <v>421</v>
      </c>
      <c r="AJ751">
        <v>33.175128000000001</v>
      </c>
      <c r="AK751" t="s">
        <v>422</v>
      </c>
      <c r="AL751">
        <v>-97.739739</v>
      </c>
      <c r="AM751">
        <v>25</v>
      </c>
      <c r="AN751">
        <v>3400</v>
      </c>
      <c r="AO751" t="s">
        <v>118</v>
      </c>
      <c r="AP751">
        <v>54</v>
      </c>
      <c r="AQ751">
        <v>-81</v>
      </c>
      <c r="AR751">
        <v>768</v>
      </c>
      <c r="AZ751">
        <v>1200</v>
      </c>
      <c r="BA751">
        <v>1</v>
      </c>
      <c r="BB751" t="str">
        <f t="shared" si="219"/>
        <v xml:space="preserve">N733KP  </v>
      </c>
      <c r="BC751">
        <v>1</v>
      </c>
      <c r="BE751">
        <v>0</v>
      </c>
      <c r="BF751">
        <v>0</v>
      </c>
      <c r="BG751">
        <v>0</v>
      </c>
      <c r="BH751">
        <v>3350</v>
      </c>
      <c r="BI751">
        <v>1</v>
      </c>
      <c r="BJ751">
        <v>1</v>
      </c>
      <c r="BK751">
        <v>0</v>
      </c>
      <c r="BL751">
        <v>0</v>
      </c>
      <c r="BO751">
        <v>0</v>
      </c>
      <c r="BP751">
        <v>0</v>
      </c>
      <c r="BW751" t="str">
        <f>"22:12:36.767"</f>
        <v>22:12:36.767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364</v>
      </c>
      <c r="CR751">
        <v>0</v>
      </c>
      <c r="CW751">
        <v>1392630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"03/24/2022 22:12:36.962"</f>
        <v>03/24/2022 22:12:36.962</v>
      </c>
      <c r="C752" t="str">
        <f t="shared" si="217"/>
        <v>FFDFD3C0</v>
      </c>
      <c r="D752" t="s">
        <v>126</v>
      </c>
      <c r="E752">
        <v>3</v>
      </c>
      <c r="H752">
        <v>160</v>
      </c>
      <c r="I752" t="s">
        <v>121</v>
      </c>
      <c r="J752" t="s">
        <v>127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 t="shared" si="225"/>
        <v>22:12:36.000</v>
      </c>
      <c r="T752" t="str">
        <f t="shared" si="225"/>
        <v>22:12:36.000</v>
      </c>
      <c r="U752" t="str">
        <f t="shared" si="212"/>
        <v>A9D71F</v>
      </c>
      <c r="V752">
        <v>0</v>
      </c>
      <c r="W752">
        <v>0</v>
      </c>
      <c r="X752">
        <v>2</v>
      </c>
      <c r="Z752">
        <v>1</v>
      </c>
      <c r="AA752">
        <v>7</v>
      </c>
      <c r="AB752">
        <v>3</v>
      </c>
      <c r="AC752">
        <v>0</v>
      </c>
      <c r="AD752">
        <v>9</v>
      </c>
      <c r="AE752">
        <v>0</v>
      </c>
      <c r="AF752">
        <v>3</v>
      </c>
      <c r="AG752">
        <v>1</v>
      </c>
      <c r="AH752">
        <v>0</v>
      </c>
      <c r="AI752" t="s">
        <v>421</v>
      </c>
      <c r="AJ752">
        <v>33.175128000000001</v>
      </c>
      <c r="AK752" t="s">
        <v>422</v>
      </c>
      <c r="AL752">
        <v>-97.739739</v>
      </c>
      <c r="AM752">
        <v>25</v>
      </c>
      <c r="AN752">
        <v>3400</v>
      </c>
      <c r="AO752" t="s">
        <v>118</v>
      </c>
      <c r="AP752">
        <v>54</v>
      </c>
      <c r="AQ752">
        <v>-81</v>
      </c>
      <c r="AR752">
        <v>768</v>
      </c>
      <c r="AZ752">
        <v>1200</v>
      </c>
      <c r="BA752">
        <v>1</v>
      </c>
      <c r="BB752" t="str">
        <f t="shared" si="219"/>
        <v xml:space="preserve">N733KP  </v>
      </c>
      <c r="BC752">
        <v>1</v>
      </c>
      <c r="BE752">
        <v>0</v>
      </c>
      <c r="BF752">
        <v>0</v>
      </c>
      <c r="BG752">
        <v>0</v>
      </c>
      <c r="BH752">
        <v>3350</v>
      </c>
      <c r="BI752">
        <v>1</v>
      </c>
      <c r="BJ752">
        <v>1</v>
      </c>
      <c r="BK752">
        <v>0</v>
      </c>
      <c r="BL752">
        <v>0</v>
      </c>
      <c r="BO752">
        <v>0</v>
      </c>
      <c r="BP752">
        <v>0</v>
      </c>
      <c r="BW752" t="str">
        <f>"22:12:36.767"</f>
        <v>22:12:36.767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364</v>
      </c>
      <c r="CR752">
        <v>0</v>
      </c>
      <c r="CW752">
        <v>1392630</v>
      </c>
      <c r="CY752">
        <v>1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"03/24/2022 22:12:37.900"</f>
        <v>03/24/2022 22:12:37.900</v>
      </c>
      <c r="C753" t="str">
        <f t="shared" si="217"/>
        <v>FFDFD3C0</v>
      </c>
      <c r="D753" t="s">
        <v>120</v>
      </c>
      <c r="E753">
        <v>14</v>
      </c>
      <c r="F753">
        <v>1014</v>
      </c>
      <c r="G753" t="s">
        <v>121</v>
      </c>
      <c r="J753" t="s">
        <v>122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 t="shared" ref="S753:T756" si="226">"22:12:37.000"</f>
        <v>22:12:37.000</v>
      </c>
      <c r="T753" t="str">
        <f t="shared" si="226"/>
        <v>22:12:37.000</v>
      </c>
      <c r="U753" t="str">
        <f t="shared" si="212"/>
        <v>A9D71F</v>
      </c>
      <c r="V753">
        <v>0</v>
      </c>
      <c r="W753">
        <v>0</v>
      </c>
      <c r="X753">
        <v>2</v>
      </c>
      <c r="Z753">
        <v>1</v>
      </c>
      <c r="AA753">
        <v>7</v>
      </c>
      <c r="AB753">
        <v>3</v>
      </c>
      <c r="AC753">
        <v>0</v>
      </c>
      <c r="AD753">
        <v>9</v>
      </c>
      <c r="AE753">
        <v>0</v>
      </c>
      <c r="AF753">
        <v>3</v>
      </c>
      <c r="AG753">
        <v>1</v>
      </c>
      <c r="AH753">
        <v>0</v>
      </c>
      <c r="AI753" t="s">
        <v>423</v>
      </c>
      <c r="AJ753">
        <v>33.174740999999997</v>
      </c>
      <c r="AK753" t="s">
        <v>424</v>
      </c>
      <c r="AL753">
        <v>-97.739459999999994</v>
      </c>
      <c r="AM753">
        <v>25</v>
      </c>
      <c r="AN753">
        <v>3400</v>
      </c>
      <c r="AO753" t="s">
        <v>118</v>
      </c>
      <c r="AP753">
        <v>58</v>
      </c>
      <c r="AQ753">
        <v>-82</v>
      </c>
      <c r="AR753">
        <v>576</v>
      </c>
      <c r="AZ753">
        <v>1200</v>
      </c>
      <c r="BA753">
        <v>1</v>
      </c>
      <c r="BB753" t="str">
        <f t="shared" si="219"/>
        <v xml:space="preserve">N733KP  </v>
      </c>
      <c r="BC753">
        <v>1</v>
      </c>
      <c r="BE753">
        <v>0</v>
      </c>
      <c r="BF753">
        <v>0</v>
      </c>
      <c r="BG753">
        <v>0</v>
      </c>
      <c r="BH753">
        <v>3350</v>
      </c>
      <c r="BI753">
        <v>1</v>
      </c>
      <c r="BJ753">
        <v>1</v>
      </c>
      <c r="BK753">
        <v>0</v>
      </c>
      <c r="BL753">
        <v>0</v>
      </c>
      <c r="BO753">
        <v>0</v>
      </c>
      <c r="BP753">
        <v>0</v>
      </c>
      <c r="BW753" t="str">
        <f>"22:12:37.732"</f>
        <v>22:12:37.732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3</v>
      </c>
      <c r="CP753" t="s">
        <v>119</v>
      </c>
      <c r="CQ753">
        <v>439</v>
      </c>
      <c r="CR753">
        <v>0</v>
      </c>
      <c r="CW753">
        <v>11498562</v>
      </c>
      <c r="CY753">
        <v>1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"03/24/2022 22:12:37.900"</f>
        <v>03/24/2022 22:12:37.900</v>
      </c>
      <c r="C754" t="str">
        <f t="shared" si="217"/>
        <v>FFDFD3C0</v>
      </c>
      <c r="D754" t="s">
        <v>113</v>
      </c>
      <c r="E754">
        <v>24</v>
      </c>
      <c r="F754">
        <v>2024</v>
      </c>
      <c r="G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 t="shared" si="226"/>
        <v>22:12:37.000</v>
      </c>
      <c r="T754" t="str">
        <f t="shared" si="226"/>
        <v>22:12:37.000</v>
      </c>
      <c r="U754" t="str">
        <f t="shared" si="212"/>
        <v>A9D71F</v>
      </c>
      <c r="V754">
        <v>0</v>
      </c>
      <c r="W754">
        <v>0</v>
      </c>
      <c r="X754">
        <v>2</v>
      </c>
      <c r="Z754">
        <v>1</v>
      </c>
      <c r="AA754">
        <v>7</v>
      </c>
      <c r="AB754">
        <v>3</v>
      </c>
      <c r="AC754">
        <v>0</v>
      </c>
      <c r="AD754">
        <v>9</v>
      </c>
      <c r="AE754">
        <v>0</v>
      </c>
      <c r="AF754">
        <v>3</v>
      </c>
      <c r="AG754">
        <v>1</v>
      </c>
      <c r="AH754">
        <v>0</v>
      </c>
      <c r="AI754" t="s">
        <v>423</v>
      </c>
      <c r="AJ754">
        <v>33.174740999999997</v>
      </c>
      <c r="AK754" t="s">
        <v>424</v>
      </c>
      <c r="AL754">
        <v>-97.739459999999994</v>
      </c>
      <c r="AM754">
        <v>25</v>
      </c>
      <c r="AN754">
        <v>3400</v>
      </c>
      <c r="AO754" t="s">
        <v>118</v>
      </c>
      <c r="AP754">
        <v>58</v>
      </c>
      <c r="AQ754">
        <v>-82</v>
      </c>
      <c r="AR754">
        <v>576</v>
      </c>
      <c r="AZ754">
        <v>1200</v>
      </c>
      <c r="BA754">
        <v>1</v>
      </c>
      <c r="BB754" t="str">
        <f t="shared" si="219"/>
        <v xml:space="preserve">N733KP  </v>
      </c>
      <c r="BC754">
        <v>1</v>
      </c>
      <c r="BE754">
        <v>0</v>
      </c>
      <c r="BF754">
        <v>0</v>
      </c>
      <c r="BG754">
        <v>0</v>
      </c>
      <c r="BH754">
        <v>3350</v>
      </c>
      <c r="BI754">
        <v>1</v>
      </c>
      <c r="BJ754">
        <v>1</v>
      </c>
      <c r="BK754">
        <v>0</v>
      </c>
      <c r="BL754">
        <v>0</v>
      </c>
      <c r="BO754">
        <v>0</v>
      </c>
      <c r="BP754">
        <v>0</v>
      </c>
      <c r="BW754" t="str">
        <f>"22:12:37.732"</f>
        <v>22:12:37.732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3</v>
      </c>
      <c r="CP754" t="s">
        <v>119</v>
      </c>
      <c r="CQ754">
        <v>439</v>
      </c>
      <c r="CR754">
        <v>0</v>
      </c>
      <c r="CW754">
        <v>11498562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"03/24/2022 22:12:37.978"</f>
        <v>03/24/2022 22:12:37.978</v>
      </c>
      <c r="C755" t="str">
        <f t="shared" si="217"/>
        <v>FFDFD3C0</v>
      </c>
      <c r="D755" t="s">
        <v>123</v>
      </c>
      <c r="E755">
        <v>8</v>
      </c>
      <c r="H755">
        <v>31</v>
      </c>
      <c r="I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 t="shared" si="226"/>
        <v>22:12:37.000</v>
      </c>
      <c r="T755" t="str">
        <f t="shared" si="226"/>
        <v>22:12:37.000</v>
      </c>
      <c r="U755" t="str">
        <f t="shared" si="212"/>
        <v>A9D71F</v>
      </c>
      <c r="V755">
        <v>0</v>
      </c>
      <c r="W755">
        <v>0</v>
      </c>
      <c r="X755">
        <v>2</v>
      </c>
      <c r="Z755">
        <v>1</v>
      </c>
      <c r="AA755">
        <v>7</v>
      </c>
      <c r="AB755">
        <v>3</v>
      </c>
      <c r="AC755">
        <v>0</v>
      </c>
      <c r="AD755">
        <v>9</v>
      </c>
      <c r="AE755">
        <v>0</v>
      </c>
      <c r="AF755">
        <v>3</v>
      </c>
      <c r="AG755">
        <v>1</v>
      </c>
      <c r="AH755">
        <v>0</v>
      </c>
      <c r="AI755" t="s">
        <v>423</v>
      </c>
      <c r="AJ755">
        <v>33.174740999999997</v>
      </c>
      <c r="AK755" t="s">
        <v>424</v>
      </c>
      <c r="AL755">
        <v>-97.739459999999994</v>
      </c>
      <c r="AM755">
        <v>25</v>
      </c>
      <c r="AN755">
        <v>3400</v>
      </c>
      <c r="AO755" t="s">
        <v>118</v>
      </c>
      <c r="AP755">
        <v>58</v>
      </c>
      <c r="AQ755">
        <v>-82</v>
      </c>
      <c r="AR755">
        <v>576</v>
      </c>
      <c r="AZ755">
        <v>1200</v>
      </c>
      <c r="BA755">
        <v>1</v>
      </c>
      <c r="BB755" t="str">
        <f t="shared" si="219"/>
        <v xml:space="preserve">N733KP  </v>
      </c>
      <c r="BC755">
        <v>1</v>
      </c>
      <c r="BE755">
        <v>0</v>
      </c>
      <c r="BF755">
        <v>0</v>
      </c>
      <c r="BG755">
        <v>0</v>
      </c>
      <c r="BH755">
        <v>3350</v>
      </c>
      <c r="BI755">
        <v>1</v>
      </c>
      <c r="BJ755">
        <v>1</v>
      </c>
      <c r="BK755">
        <v>0</v>
      </c>
      <c r="BL755">
        <v>0</v>
      </c>
      <c r="BO755">
        <v>0</v>
      </c>
      <c r="BP755">
        <v>0</v>
      </c>
      <c r="BW755" t="str">
        <f>"22:12:37.732"</f>
        <v>22:12:37.732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3</v>
      </c>
      <c r="CP755" t="s">
        <v>119</v>
      </c>
      <c r="CQ755">
        <v>365</v>
      </c>
      <c r="CR755">
        <v>0</v>
      </c>
      <c r="CW755">
        <v>11434250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"03/24/2022 22:12:37.978"</f>
        <v>03/24/2022 22:12:37.978</v>
      </c>
      <c r="C756" t="str">
        <f t="shared" si="217"/>
        <v>FFDFD3C0</v>
      </c>
      <c r="D756" t="s">
        <v>126</v>
      </c>
      <c r="E756">
        <v>3</v>
      </c>
      <c r="H756">
        <v>160</v>
      </c>
      <c r="I756" t="s">
        <v>121</v>
      </c>
      <c r="J756" t="s">
        <v>127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 t="shared" si="226"/>
        <v>22:12:37.000</v>
      </c>
      <c r="T756" t="str">
        <f t="shared" si="226"/>
        <v>22:12:37.000</v>
      </c>
      <c r="U756" t="str">
        <f t="shared" si="212"/>
        <v>A9D71F</v>
      </c>
      <c r="V756">
        <v>0</v>
      </c>
      <c r="W756">
        <v>0</v>
      </c>
      <c r="X756">
        <v>2</v>
      </c>
      <c r="Z756">
        <v>1</v>
      </c>
      <c r="AA756">
        <v>7</v>
      </c>
      <c r="AB756">
        <v>3</v>
      </c>
      <c r="AC756">
        <v>0</v>
      </c>
      <c r="AD756">
        <v>9</v>
      </c>
      <c r="AE756">
        <v>0</v>
      </c>
      <c r="AF756">
        <v>3</v>
      </c>
      <c r="AG756">
        <v>1</v>
      </c>
      <c r="AH756">
        <v>0</v>
      </c>
      <c r="AI756" t="s">
        <v>423</v>
      </c>
      <c r="AJ756">
        <v>33.174740999999997</v>
      </c>
      <c r="AK756" t="s">
        <v>424</v>
      </c>
      <c r="AL756">
        <v>-97.739459999999994</v>
      </c>
      <c r="AM756">
        <v>25</v>
      </c>
      <c r="AN756">
        <v>3400</v>
      </c>
      <c r="AO756" t="s">
        <v>118</v>
      </c>
      <c r="AP756">
        <v>58</v>
      </c>
      <c r="AQ756">
        <v>-82</v>
      </c>
      <c r="AR756">
        <v>576</v>
      </c>
      <c r="AZ756">
        <v>1200</v>
      </c>
      <c r="BA756">
        <v>1</v>
      </c>
      <c r="BB756" t="str">
        <f t="shared" si="219"/>
        <v xml:space="preserve">N733KP  </v>
      </c>
      <c r="BC756">
        <v>1</v>
      </c>
      <c r="BE756">
        <v>0</v>
      </c>
      <c r="BF756">
        <v>0</v>
      </c>
      <c r="BG756">
        <v>0</v>
      </c>
      <c r="BH756">
        <v>3350</v>
      </c>
      <c r="BI756">
        <v>1</v>
      </c>
      <c r="BJ756">
        <v>1</v>
      </c>
      <c r="BK756">
        <v>0</v>
      </c>
      <c r="BL756">
        <v>0</v>
      </c>
      <c r="BO756">
        <v>0</v>
      </c>
      <c r="BP756">
        <v>0</v>
      </c>
      <c r="BW756" t="str">
        <f>"22:12:37.732"</f>
        <v>22:12:37.732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3</v>
      </c>
      <c r="CP756" t="s">
        <v>119</v>
      </c>
      <c r="CQ756">
        <v>439</v>
      </c>
      <c r="CR756">
        <v>0</v>
      </c>
      <c r="CW756">
        <v>11498562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"03/24/2022 22:12:38.964"</f>
        <v>03/24/2022 22:12:38.964</v>
      </c>
      <c r="C757" t="str">
        <f t="shared" si="217"/>
        <v>FFDFD3C0</v>
      </c>
      <c r="D757" t="s">
        <v>120</v>
      </c>
      <c r="E757">
        <v>14</v>
      </c>
      <c r="F757">
        <v>1014</v>
      </c>
      <c r="G757" t="s">
        <v>121</v>
      </c>
      <c r="J757" t="s">
        <v>122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 t="shared" ref="S757:T760" si="227">"22:12:38.000"</f>
        <v>22:12:38.000</v>
      </c>
      <c r="T757" t="str">
        <f t="shared" si="227"/>
        <v>22:12:38.000</v>
      </c>
      <c r="U757" t="str">
        <f t="shared" si="212"/>
        <v>A9D71F</v>
      </c>
      <c r="V757">
        <v>0</v>
      </c>
      <c r="W757">
        <v>0</v>
      </c>
      <c r="X757">
        <v>2</v>
      </c>
      <c r="Z757">
        <v>1</v>
      </c>
      <c r="AA757">
        <v>7</v>
      </c>
      <c r="AB757">
        <v>3</v>
      </c>
      <c r="AC757">
        <v>0</v>
      </c>
      <c r="AD757">
        <v>9</v>
      </c>
      <c r="AE757">
        <v>0</v>
      </c>
      <c r="AF757">
        <v>3</v>
      </c>
      <c r="AG757">
        <v>1</v>
      </c>
      <c r="AH757">
        <v>0</v>
      </c>
      <c r="AI757" t="s">
        <v>425</v>
      </c>
      <c r="AJ757">
        <v>33.174397999999997</v>
      </c>
      <c r="AK757" t="s">
        <v>426</v>
      </c>
      <c r="AL757">
        <v>-97.739159999999998</v>
      </c>
      <c r="AM757">
        <v>25</v>
      </c>
      <c r="AN757">
        <v>3400</v>
      </c>
      <c r="AO757" t="s">
        <v>118</v>
      </c>
      <c r="AP757">
        <v>55</v>
      </c>
      <c r="AQ757">
        <v>-81</v>
      </c>
      <c r="AR757">
        <v>576</v>
      </c>
      <c r="AZ757">
        <v>1200</v>
      </c>
      <c r="BA757">
        <v>1</v>
      </c>
      <c r="BB757" t="str">
        <f t="shared" si="219"/>
        <v xml:space="preserve">N733KP  </v>
      </c>
      <c r="BC757">
        <v>1</v>
      </c>
      <c r="BE757">
        <v>0</v>
      </c>
      <c r="BF757">
        <v>0</v>
      </c>
      <c r="BG757">
        <v>0</v>
      </c>
      <c r="BH757">
        <v>3400</v>
      </c>
      <c r="BI757">
        <v>1</v>
      </c>
      <c r="BJ757">
        <v>1</v>
      </c>
      <c r="BK757">
        <v>0</v>
      </c>
      <c r="BL757">
        <v>0</v>
      </c>
      <c r="BO757">
        <v>0</v>
      </c>
      <c r="BP757">
        <v>0</v>
      </c>
      <c r="BW757" t="str">
        <f>"22:12:38.793"</f>
        <v>22:12:38.793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364</v>
      </c>
      <c r="CR757">
        <v>0</v>
      </c>
      <c r="CW757">
        <v>1392909</v>
      </c>
      <c r="CY757">
        <v>1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"03/24/2022 22:12:38.996"</f>
        <v>03/24/2022 22:12:38.996</v>
      </c>
      <c r="C758" t="str">
        <f t="shared" si="217"/>
        <v>FFDFD3C0</v>
      </c>
      <c r="D758" t="s">
        <v>113</v>
      </c>
      <c r="E758">
        <v>24</v>
      </c>
      <c r="F758">
        <v>2024</v>
      </c>
      <c r="G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 t="shared" si="227"/>
        <v>22:12:38.000</v>
      </c>
      <c r="T758" t="str">
        <f t="shared" si="227"/>
        <v>22:12:38.000</v>
      </c>
      <c r="U758" t="str">
        <f t="shared" si="212"/>
        <v>A9D71F</v>
      </c>
      <c r="V758">
        <v>0</v>
      </c>
      <c r="W758">
        <v>0</v>
      </c>
      <c r="X758">
        <v>2</v>
      </c>
      <c r="Z758">
        <v>1</v>
      </c>
      <c r="AA758">
        <v>7</v>
      </c>
      <c r="AB758">
        <v>3</v>
      </c>
      <c r="AC758">
        <v>0</v>
      </c>
      <c r="AD758">
        <v>9</v>
      </c>
      <c r="AE758">
        <v>0</v>
      </c>
      <c r="AF758">
        <v>3</v>
      </c>
      <c r="AG758">
        <v>1</v>
      </c>
      <c r="AH758">
        <v>0</v>
      </c>
      <c r="AI758" t="s">
        <v>425</v>
      </c>
      <c r="AJ758">
        <v>33.174397999999997</v>
      </c>
      <c r="AK758" t="s">
        <v>426</v>
      </c>
      <c r="AL758">
        <v>-97.739159999999998</v>
      </c>
      <c r="AM758">
        <v>25</v>
      </c>
      <c r="AN758">
        <v>3400</v>
      </c>
      <c r="AO758" t="s">
        <v>118</v>
      </c>
      <c r="AP758">
        <v>55</v>
      </c>
      <c r="AQ758">
        <v>-81</v>
      </c>
      <c r="AR758">
        <v>576</v>
      </c>
      <c r="AZ758">
        <v>1200</v>
      </c>
      <c r="BA758">
        <v>1</v>
      </c>
      <c r="BB758" t="str">
        <f t="shared" si="219"/>
        <v xml:space="preserve">N733KP  </v>
      </c>
      <c r="BC758">
        <v>1</v>
      </c>
      <c r="BE758">
        <v>0</v>
      </c>
      <c r="BF758">
        <v>0</v>
      </c>
      <c r="BG758">
        <v>0</v>
      </c>
      <c r="BH758">
        <v>3400</v>
      </c>
      <c r="BI758">
        <v>1</v>
      </c>
      <c r="BJ758">
        <v>1</v>
      </c>
      <c r="BK758">
        <v>0</v>
      </c>
      <c r="BL758">
        <v>0</v>
      </c>
      <c r="BO758">
        <v>0</v>
      </c>
      <c r="BP758">
        <v>0</v>
      </c>
      <c r="BW758" t="str">
        <f>"22:12:38.793"</f>
        <v>22:12:38.793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364</v>
      </c>
      <c r="CR758">
        <v>0</v>
      </c>
      <c r="CW758">
        <v>1392909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"03/24/2022 22:12:38.996"</f>
        <v>03/24/2022 22:12:38.996</v>
      </c>
      <c r="C759" t="str">
        <f t="shared" si="217"/>
        <v>FFDFD3C0</v>
      </c>
      <c r="D759" t="s">
        <v>123</v>
      </c>
      <c r="E759">
        <v>8</v>
      </c>
      <c r="H759">
        <v>31</v>
      </c>
      <c r="I759" t="s">
        <v>124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 t="shared" si="227"/>
        <v>22:12:38.000</v>
      </c>
      <c r="T759" t="str">
        <f t="shared" si="227"/>
        <v>22:12:38.000</v>
      </c>
      <c r="U759" t="str">
        <f t="shared" si="212"/>
        <v>A9D71F</v>
      </c>
      <c r="V759">
        <v>0</v>
      </c>
      <c r="W759">
        <v>0</v>
      </c>
      <c r="X759">
        <v>2</v>
      </c>
      <c r="Z759">
        <v>1</v>
      </c>
      <c r="AA759">
        <v>7</v>
      </c>
      <c r="AB759">
        <v>3</v>
      </c>
      <c r="AC759">
        <v>0</v>
      </c>
      <c r="AD759">
        <v>9</v>
      </c>
      <c r="AE759">
        <v>0</v>
      </c>
      <c r="AF759">
        <v>3</v>
      </c>
      <c r="AG759">
        <v>1</v>
      </c>
      <c r="AH759">
        <v>0</v>
      </c>
      <c r="AI759" t="s">
        <v>425</v>
      </c>
      <c r="AJ759">
        <v>33.174397999999997</v>
      </c>
      <c r="AK759" t="s">
        <v>426</v>
      </c>
      <c r="AL759">
        <v>-97.739159999999998</v>
      </c>
      <c r="AM759">
        <v>25</v>
      </c>
      <c r="AN759">
        <v>3400</v>
      </c>
      <c r="AO759" t="s">
        <v>118</v>
      </c>
      <c r="AP759">
        <v>55</v>
      </c>
      <c r="AQ759">
        <v>-81</v>
      </c>
      <c r="AR759">
        <v>576</v>
      </c>
      <c r="AZ759">
        <v>1200</v>
      </c>
      <c r="BA759">
        <v>1</v>
      </c>
      <c r="BB759" t="str">
        <f t="shared" si="219"/>
        <v xml:space="preserve">N733KP  </v>
      </c>
      <c r="BC759">
        <v>1</v>
      </c>
      <c r="BE759">
        <v>0</v>
      </c>
      <c r="BF759">
        <v>0</v>
      </c>
      <c r="BG759">
        <v>0</v>
      </c>
      <c r="BH759">
        <v>3400</v>
      </c>
      <c r="BI759">
        <v>1</v>
      </c>
      <c r="BJ759">
        <v>1</v>
      </c>
      <c r="BK759">
        <v>0</v>
      </c>
      <c r="BL759">
        <v>0</v>
      </c>
      <c r="BO759">
        <v>0</v>
      </c>
      <c r="BP759">
        <v>0</v>
      </c>
      <c r="BW759" t="str">
        <f>"22:12:38.793"</f>
        <v>22:12:38.793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364</v>
      </c>
      <c r="CR759">
        <v>0</v>
      </c>
      <c r="CW759">
        <v>1392909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"03/24/2022 22:12:38.996"</f>
        <v>03/24/2022 22:12:38.996</v>
      </c>
      <c r="C760" t="str">
        <f t="shared" si="217"/>
        <v>FFDFD3C0</v>
      </c>
      <c r="D760" t="s">
        <v>126</v>
      </c>
      <c r="E760">
        <v>3</v>
      </c>
      <c r="H760">
        <v>160</v>
      </c>
      <c r="I760" t="s">
        <v>121</v>
      </c>
      <c r="J760" t="s">
        <v>127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 t="shared" si="227"/>
        <v>22:12:38.000</v>
      </c>
      <c r="T760" t="str">
        <f t="shared" si="227"/>
        <v>22:12:38.000</v>
      </c>
      <c r="U760" t="str">
        <f t="shared" si="212"/>
        <v>A9D71F</v>
      </c>
      <c r="V760">
        <v>0</v>
      </c>
      <c r="W760">
        <v>0</v>
      </c>
      <c r="X760">
        <v>2</v>
      </c>
      <c r="Z760">
        <v>1</v>
      </c>
      <c r="AA760">
        <v>7</v>
      </c>
      <c r="AB760">
        <v>3</v>
      </c>
      <c r="AC760">
        <v>0</v>
      </c>
      <c r="AD760">
        <v>9</v>
      </c>
      <c r="AE760">
        <v>0</v>
      </c>
      <c r="AF760">
        <v>3</v>
      </c>
      <c r="AG760">
        <v>1</v>
      </c>
      <c r="AH760">
        <v>0</v>
      </c>
      <c r="AI760" t="s">
        <v>425</v>
      </c>
      <c r="AJ760">
        <v>33.174397999999997</v>
      </c>
      <c r="AK760" t="s">
        <v>426</v>
      </c>
      <c r="AL760">
        <v>-97.739159999999998</v>
      </c>
      <c r="AM760">
        <v>25</v>
      </c>
      <c r="AN760">
        <v>3400</v>
      </c>
      <c r="AO760" t="s">
        <v>118</v>
      </c>
      <c r="AP760">
        <v>55</v>
      </c>
      <c r="AQ760">
        <v>-81</v>
      </c>
      <c r="AR760">
        <v>576</v>
      </c>
      <c r="AZ760">
        <v>1200</v>
      </c>
      <c r="BA760">
        <v>1</v>
      </c>
      <c r="BB760" t="str">
        <f t="shared" si="219"/>
        <v xml:space="preserve">N733KP  </v>
      </c>
      <c r="BC760">
        <v>1</v>
      </c>
      <c r="BE760">
        <v>0</v>
      </c>
      <c r="BF760">
        <v>0</v>
      </c>
      <c r="BG760">
        <v>0</v>
      </c>
      <c r="BH760">
        <v>3400</v>
      </c>
      <c r="BI760">
        <v>1</v>
      </c>
      <c r="BJ760">
        <v>1</v>
      </c>
      <c r="BK760">
        <v>0</v>
      </c>
      <c r="BL760">
        <v>0</v>
      </c>
      <c r="BO760">
        <v>0</v>
      </c>
      <c r="BP760">
        <v>0</v>
      </c>
      <c r="BW760" t="str">
        <f>"22:12:38.793"</f>
        <v>22:12:38.793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364</v>
      </c>
      <c r="CR760">
        <v>0</v>
      </c>
      <c r="CW760">
        <v>1392909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"03/24/2022 22:12:39.543"</f>
        <v>03/24/2022 22:12:39.543</v>
      </c>
      <c r="C761" t="str">
        <f t="shared" si="217"/>
        <v>FFDFD3C0</v>
      </c>
      <c r="D761" t="s">
        <v>113</v>
      </c>
      <c r="E761">
        <v>24</v>
      </c>
      <c r="F761">
        <v>2024</v>
      </c>
      <c r="G761" t="s">
        <v>114</v>
      </c>
      <c r="J761" t="s">
        <v>115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 t="shared" ref="S761:T764" si="228">"22:12:39.000"</f>
        <v>22:12:39.000</v>
      </c>
      <c r="T761" t="str">
        <f t="shared" si="228"/>
        <v>22:12:39.000</v>
      </c>
      <c r="U761" t="str">
        <f t="shared" si="212"/>
        <v>A9D71F</v>
      </c>
      <c r="V761">
        <v>0</v>
      </c>
      <c r="W761">
        <v>0</v>
      </c>
      <c r="X761">
        <v>2</v>
      </c>
      <c r="Z761">
        <v>1</v>
      </c>
      <c r="AA761">
        <v>7</v>
      </c>
      <c r="AB761">
        <v>3</v>
      </c>
      <c r="AC761">
        <v>0</v>
      </c>
      <c r="AD761">
        <v>9</v>
      </c>
      <c r="AE761">
        <v>0</v>
      </c>
      <c r="AF761">
        <v>3</v>
      </c>
      <c r="AG761">
        <v>1</v>
      </c>
      <c r="AH761">
        <v>0</v>
      </c>
      <c r="AI761" t="s">
        <v>427</v>
      </c>
      <c r="AJ761">
        <v>33.173969</v>
      </c>
      <c r="AK761" t="s">
        <v>428</v>
      </c>
      <c r="AL761">
        <v>-97.738860000000003</v>
      </c>
      <c r="AM761">
        <v>25</v>
      </c>
      <c r="AN761">
        <v>3400</v>
      </c>
      <c r="AO761" t="s">
        <v>118</v>
      </c>
      <c r="AP761">
        <v>55</v>
      </c>
      <c r="AQ761">
        <v>-83</v>
      </c>
      <c r="AR761">
        <v>512</v>
      </c>
      <c r="AZ761">
        <v>1200</v>
      </c>
      <c r="BA761">
        <v>1</v>
      </c>
      <c r="BB761" t="str">
        <f t="shared" si="219"/>
        <v xml:space="preserve">N733KP  </v>
      </c>
      <c r="BC761">
        <v>1</v>
      </c>
      <c r="BE761">
        <v>0</v>
      </c>
      <c r="BF761">
        <v>0</v>
      </c>
      <c r="BG761">
        <v>0</v>
      </c>
      <c r="BH761">
        <v>3400</v>
      </c>
      <c r="BI761">
        <v>1</v>
      </c>
      <c r="BJ761">
        <v>1</v>
      </c>
      <c r="BK761">
        <v>0</v>
      </c>
      <c r="BL761">
        <v>0</v>
      </c>
      <c r="BO761">
        <v>0</v>
      </c>
      <c r="BP761">
        <v>0</v>
      </c>
      <c r="BW761" t="str">
        <f>"22:12:39.365"</f>
        <v>22:12:39.365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364</v>
      </c>
      <c r="CR761">
        <v>0</v>
      </c>
      <c r="CW761">
        <v>1392978</v>
      </c>
      <c r="CY761">
        <v>1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"03/24/2022 22:12:39.543"</f>
        <v>03/24/2022 22:12:39.543</v>
      </c>
      <c r="C762" t="str">
        <f t="shared" si="217"/>
        <v>FFDFD3C0</v>
      </c>
      <c r="D762" t="s">
        <v>123</v>
      </c>
      <c r="E762">
        <v>8</v>
      </c>
      <c r="H762">
        <v>31</v>
      </c>
      <c r="I762" t="s">
        <v>124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 t="shared" si="228"/>
        <v>22:12:39.000</v>
      </c>
      <c r="T762" t="str">
        <f t="shared" si="228"/>
        <v>22:12:39.000</v>
      </c>
      <c r="U762" t="str">
        <f t="shared" si="212"/>
        <v>A9D71F</v>
      </c>
      <c r="V762">
        <v>0</v>
      </c>
      <c r="W762">
        <v>0</v>
      </c>
      <c r="X762">
        <v>2</v>
      </c>
      <c r="Z762">
        <v>1</v>
      </c>
      <c r="AA762">
        <v>7</v>
      </c>
      <c r="AB762">
        <v>3</v>
      </c>
      <c r="AC762">
        <v>0</v>
      </c>
      <c r="AD762">
        <v>9</v>
      </c>
      <c r="AE762">
        <v>0</v>
      </c>
      <c r="AF762">
        <v>3</v>
      </c>
      <c r="AG762">
        <v>1</v>
      </c>
      <c r="AH762">
        <v>0</v>
      </c>
      <c r="AI762" t="s">
        <v>427</v>
      </c>
      <c r="AJ762">
        <v>33.173969</v>
      </c>
      <c r="AK762" t="s">
        <v>428</v>
      </c>
      <c r="AL762">
        <v>-97.738860000000003</v>
      </c>
      <c r="AM762">
        <v>25</v>
      </c>
      <c r="AN762">
        <v>3400</v>
      </c>
      <c r="AO762" t="s">
        <v>118</v>
      </c>
      <c r="AP762">
        <v>55</v>
      </c>
      <c r="AQ762">
        <v>-83</v>
      </c>
      <c r="AR762">
        <v>512</v>
      </c>
      <c r="AZ762">
        <v>1200</v>
      </c>
      <c r="BA762">
        <v>1</v>
      </c>
      <c r="BB762" t="str">
        <f t="shared" si="219"/>
        <v xml:space="preserve">N733KP  </v>
      </c>
      <c r="BC762">
        <v>1</v>
      </c>
      <c r="BE762">
        <v>0</v>
      </c>
      <c r="BF762">
        <v>0</v>
      </c>
      <c r="BG762">
        <v>0</v>
      </c>
      <c r="BH762">
        <v>3400</v>
      </c>
      <c r="BI762">
        <v>1</v>
      </c>
      <c r="BJ762">
        <v>1</v>
      </c>
      <c r="BK762">
        <v>0</v>
      </c>
      <c r="BL762">
        <v>0</v>
      </c>
      <c r="BO762">
        <v>0</v>
      </c>
      <c r="BP762">
        <v>0</v>
      </c>
      <c r="BW762" t="str">
        <f>"22:12:39.365"</f>
        <v>22:12:39.365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364</v>
      </c>
      <c r="CR762">
        <v>0</v>
      </c>
      <c r="CW762">
        <v>1392978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"03/24/2022 22:12:39.543"</f>
        <v>03/24/2022 22:12:39.543</v>
      </c>
      <c r="C763" t="str">
        <f t="shared" si="217"/>
        <v>FFDFD3C0</v>
      </c>
      <c r="D763" t="s">
        <v>126</v>
      </c>
      <c r="E763">
        <v>3</v>
      </c>
      <c r="H763">
        <v>160</v>
      </c>
      <c r="I763" t="s">
        <v>121</v>
      </c>
      <c r="J763" t="s">
        <v>127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 t="shared" si="228"/>
        <v>22:12:39.000</v>
      </c>
      <c r="T763" t="str">
        <f t="shared" si="228"/>
        <v>22:12:39.000</v>
      </c>
      <c r="U763" t="str">
        <f t="shared" si="212"/>
        <v>A9D71F</v>
      </c>
      <c r="V763">
        <v>0</v>
      </c>
      <c r="W763">
        <v>0</v>
      </c>
      <c r="X763">
        <v>2</v>
      </c>
      <c r="Z763">
        <v>1</v>
      </c>
      <c r="AA763">
        <v>7</v>
      </c>
      <c r="AB763">
        <v>3</v>
      </c>
      <c r="AC763">
        <v>0</v>
      </c>
      <c r="AD763">
        <v>9</v>
      </c>
      <c r="AE763">
        <v>0</v>
      </c>
      <c r="AF763">
        <v>3</v>
      </c>
      <c r="AG763">
        <v>1</v>
      </c>
      <c r="AH763">
        <v>0</v>
      </c>
      <c r="AI763" t="s">
        <v>427</v>
      </c>
      <c r="AJ763">
        <v>33.173969</v>
      </c>
      <c r="AK763" t="s">
        <v>428</v>
      </c>
      <c r="AL763">
        <v>-97.738860000000003</v>
      </c>
      <c r="AM763">
        <v>25</v>
      </c>
      <c r="AN763">
        <v>3400</v>
      </c>
      <c r="AO763" t="s">
        <v>118</v>
      </c>
      <c r="AP763">
        <v>55</v>
      </c>
      <c r="AQ763">
        <v>-83</v>
      </c>
      <c r="AR763">
        <v>512</v>
      </c>
      <c r="AZ763">
        <v>1200</v>
      </c>
      <c r="BA763">
        <v>1</v>
      </c>
      <c r="BB763" t="str">
        <f t="shared" si="219"/>
        <v xml:space="preserve">N733KP  </v>
      </c>
      <c r="BC763">
        <v>1</v>
      </c>
      <c r="BE763">
        <v>0</v>
      </c>
      <c r="BF763">
        <v>0</v>
      </c>
      <c r="BG763">
        <v>0</v>
      </c>
      <c r="BH763">
        <v>3400</v>
      </c>
      <c r="BI763">
        <v>1</v>
      </c>
      <c r="BJ763">
        <v>1</v>
      </c>
      <c r="BK763">
        <v>0</v>
      </c>
      <c r="BL763">
        <v>0</v>
      </c>
      <c r="BO763">
        <v>0</v>
      </c>
      <c r="BP763">
        <v>0</v>
      </c>
      <c r="BW763" t="str">
        <f>"22:12:39.365"</f>
        <v>22:12:39.365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364</v>
      </c>
      <c r="CR763">
        <v>0</v>
      </c>
      <c r="CW763">
        <v>1392978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"03/24/2022 22:12:39.558"</f>
        <v>03/24/2022 22:12:39.558</v>
      </c>
      <c r="C764" t="str">
        <f t="shared" si="217"/>
        <v>FFDFD3C0</v>
      </c>
      <c r="D764" t="s">
        <v>120</v>
      </c>
      <c r="E764">
        <v>14</v>
      </c>
      <c r="F764">
        <v>1014</v>
      </c>
      <c r="G764" t="s">
        <v>121</v>
      </c>
      <c r="J764" t="s">
        <v>122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 t="shared" si="228"/>
        <v>22:12:39.000</v>
      </c>
      <c r="T764" t="str">
        <f t="shared" si="228"/>
        <v>22:12:39.000</v>
      </c>
      <c r="U764" t="str">
        <f t="shared" si="212"/>
        <v>A9D71F</v>
      </c>
      <c r="V764">
        <v>0</v>
      </c>
      <c r="W764">
        <v>0</v>
      </c>
      <c r="X764">
        <v>2</v>
      </c>
      <c r="Z764">
        <v>1</v>
      </c>
      <c r="AA764">
        <v>7</v>
      </c>
      <c r="AB764">
        <v>3</v>
      </c>
      <c r="AC764">
        <v>0</v>
      </c>
      <c r="AD764">
        <v>9</v>
      </c>
      <c r="AE764">
        <v>0</v>
      </c>
      <c r="AF764">
        <v>3</v>
      </c>
      <c r="AG764">
        <v>1</v>
      </c>
      <c r="AH764">
        <v>0</v>
      </c>
      <c r="AI764" t="s">
        <v>427</v>
      </c>
      <c r="AJ764">
        <v>33.173969</v>
      </c>
      <c r="AK764" t="s">
        <v>428</v>
      </c>
      <c r="AL764">
        <v>-97.738860000000003</v>
      </c>
      <c r="AM764">
        <v>25</v>
      </c>
      <c r="AN764">
        <v>3400</v>
      </c>
      <c r="AO764" t="s">
        <v>118</v>
      </c>
      <c r="AP764">
        <v>55</v>
      </c>
      <c r="AQ764">
        <v>-83</v>
      </c>
      <c r="AR764">
        <v>512</v>
      </c>
      <c r="AZ764">
        <v>1200</v>
      </c>
      <c r="BA764">
        <v>1</v>
      </c>
      <c r="BB764" t="str">
        <f t="shared" si="219"/>
        <v xml:space="preserve">N733KP  </v>
      </c>
      <c r="BC764">
        <v>1</v>
      </c>
      <c r="BE764">
        <v>0</v>
      </c>
      <c r="BF764">
        <v>0</v>
      </c>
      <c r="BG764">
        <v>0</v>
      </c>
      <c r="BH764">
        <v>3400</v>
      </c>
      <c r="BI764">
        <v>1</v>
      </c>
      <c r="BJ764">
        <v>1</v>
      </c>
      <c r="BK764">
        <v>0</v>
      </c>
      <c r="BL764">
        <v>0</v>
      </c>
      <c r="BO764">
        <v>0</v>
      </c>
      <c r="BP764">
        <v>0</v>
      </c>
      <c r="BW764" t="str">
        <f>"22:12:39.365"</f>
        <v>22:12:39.365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364</v>
      </c>
      <c r="CR764">
        <v>0</v>
      </c>
      <c r="CW764">
        <v>1392978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"03/24/2022 22:12:40.996"</f>
        <v>03/24/2022 22:12:40.996</v>
      </c>
      <c r="C765" t="str">
        <f t="shared" si="217"/>
        <v>FFDFD3C0</v>
      </c>
      <c r="D765" t="s">
        <v>120</v>
      </c>
      <c r="E765">
        <v>14</v>
      </c>
      <c r="F765">
        <v>1014</v>
      </c>
      <c r="G765" t="s">
        <v>121</v>
      </c>
      <c r="J765" t="s">
        <v>122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 t="shared" ref="S765:T768" si="229">"22:12:40.000"</f>
        <v>22:12:40.000</v>
      </c>
      <c r="T765" t="str">
        <f t="shared" si="229"/>
        <v>22:12:40.000</v>
      </c>
      <c r="U765" t="str">
        <f t="shared" si="212"/>
        <v>A9D71F</v>
      </c>
      <c r="V765">
        <v>0</v>
      </c>
      <c r="W765">
        <v>0</v>
      </c>
      <c r="X765">
        <v>2</v>
      </c>
      <c r="Z765">
        <v>1</v>
      </c>
      <c r="AA765">
        <v>7</v>
      </c>
      <c r="AB765">
        <v>3</v>
      </c>
      <c r="AC765">
        <v>0</v>
      </c>
      <c r="AD765">
        <v>9</v>
      </c>
      <c r="AE765">
        <v>0</v>
      </c>
      <c r="AF765">
        <v>3</v>
      </c>
      <c r="AG765">
        <v>1</v>
      </c>
      <c r="AH765">
        <v>0</v>
      </c>
      <c r="AI765" t="s">
        <v>429</v>
      </c>
      <c r="AJ765">
        <v>33.173603999999997</v>
      </c>
      <c r="AK765" t="s">
        <v>430</v>
      </c>
      <c r="AL765">
        <v>-97.738538000000005</v>
      </c>
      <c r="AM765">
        <v>25</v>
      </c>
      <c r="AN765">
        <v>3400</v>
      </c>
      <c r="AO765" t="s">
        <v>118</v>
      </c>
      <c r="AP765">
        <v>56</v>
      </c>
      <c r="AQ765">
        <v>-85</v>
      </c>
      <c r="AR765">
        <v>320</v>
      </c>
      <c r="AZ765">
        <v>1200</v>
      </c>
      <c r="BA765">
        <v>1</v>
      </c>
      <c r="BB765" t="str">
        <f t="shared" si="219"/>
        <v xml:space="preserve">N733KP  </v>
      </c>
      <c r="BC765">
        <v>1</v>
      </c>
      <c r="BE765">
        <v>0</v>
      </c>
      <c r="BF765">
        <v>0</v>
      </c>
      <c r="BG765">
        <v>0</v>
      </c>
      <c r="BH765">
        <v>3425</v>
      </c>
      <c r="BI765">
        <v>1</v>
      </c>
      <c r="BJ765">
        <v>1</v>
      </c>
      <c r="BK765">
        <v>0</v>
      </c>
      <c r="BL765">
        <v>0</v>
      </c>
      <c r="BO765">
        <v>0</v>
      </c>
      <c r="BP765">
        <v>0</v>
      </c>
      <c r="BW765" t="str">
        <f>"22:12:40.818"</f>
        <v>22:12:40.818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364</v>
      </c>
      <c r="CR765">
        <v>0</v>
      </c>
      <c r="CW765">
        <v>1393185</v>
      </c>
      <c r="CY765">
        <v>1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"03/24/2022 22:12:40.996"</f>
        <v>03/24/2022 22:12:40.996</v>
      </c>
      <c r="C766" t="str">
        <f t="shared" si="217"/>
        <v>FFDFD3C0</v>
      </c>
      <c r="D766" t="s">
        <v>113</v>
      </c>
      <c r="E766">
        <v>24</v>
      </c>
      <c r="F766">
        <v>2024</v>
      </c>
      <c r="G766" t="s">
        <v>114</v>
      </c>
      <c r="J766" t="s">
        <v>115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 t="shared" si="229"/>
        <v>22:12:40.000</v>
      </c>
      <c r="T766" t="str">
        <f t="shared" si="229"/>
        <v>22:12:40.000</v>
      </c>
      <c r="U766" t="str">
        <f t="shared" si="212"/>
        <v>A9D71F</v>
      </c>
      <c r="V766">
        <v>0</v>
      </c>
      <c r="W766">
        <v>0</v>
      </c>
      <c r="X766">
        <v>2</v>
      </c>
      <c r="Z766">
        <v>1</v>
      </c>
      <c r="AA766">
        <v>7</v>
      </c>
      <c r="AB766">
        <v>3</v>
      </c>
      <c r="AC766">
        <v>0</v>
      </c>
      <c r="AD766">
        <v>9</v>
      </c>
      <c r="AE766">
        <v>0</v>
      </c>
      <c r="AF766">
        <v>3</v>
      </c>
      <c r="AG766">
        <v>1</v>
      </c>
      <c r="AH766">
        <v>0</v>
      </c>
      <c r="AI766" t="s">
        <v>429</v>
      </c>
      <c r="AJ766">
        <v>33.173603999999997</v>
      </c>
      <c r="AK766" t="s">
        <v>430</v>
      </c>
      <c r="AL766">
        <v>-97.738538000000005</v>
      </c>
      <c r="AM766">
        <v>25</v>
      </c>
      <c r="AN766">
        <v>3400</v>
      </c>
      <c r="AO766" t="s">
        <v>118</v>
      </c>
      <c r="AP766">
        <v>56</v>
      </c>
      <c r="AQ766">
        <v>-85</v>
      </c>
      <c r="AR766">
        <v>320</v>
      </c>
      <c r="AZ766">
        <v>1200</v>
      </c>
      <c r="BA766">
        <v>1</v>
      </c>
      <c r="BB766" t="str">
        <f t="shared" si="219"/>
        <v xml:space="preserve">N733KP  </v>
      </c>
      <c r="BC766">
        <v>1</v>
      </c>
      <c r="BE766">
        <v>0</v>
      </c>
      <c r="BF766">
        <v>0</v>
      </c>
      <c r="BG766">
        <v>0</v>
      </c>
      <c r="BH766">
        <v>3425</v>
      </c>
      <c r="BI766">
        <v>1</v>
      </c>
      <c r="BJ766">
        <v>1</v>
      </c>
      <c r="BK766">
        <v>0</v>
      </c>
      <c r="BL766">
        <v>0</v>
      </c>
      <c r="BO766">
        <v>0</v>
      </c>
      <c r="BP766">
        <v>0</v>
      </c>
      <c r="BW766" t="str">
        <f>"22:12:40.818"</f>
        <v>22:12:40.818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364</v>
      </c>
      <c r="CR766">
        <v>0</v>
      </c>
      <c r="CW766">
        <v>1393185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"03/24/2022 22:12:40.996"</f>
        <v>03/24/2022 22:12:40.996</v>
      </c>
      <c r="C767" t="str">
        <f t="shared" si="217"/>
        <v>FFDFD3C0</v>
      </c>
      <c r="D767" t="s">
        <v>123</v>
      </c>
      <c r="E767">
        <v>8</v>
      </c>
      <c r="H767">
        <v>31</v>
      </c>
      <c r="I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 t="shared" si="229"/>
        <v>22:12:40.000</v>
      </c>
      <c r="T767" t="str">
        <f t="shared" si="229"/>
        <v>22:12:40.000</v>
      </c>
      <c r="U767" t="str">
        <f t="shared" si="212"/>
        <v>A9D71F</v>
      </c>
      <c r="V767">
        <v>0</v>
      </c>
      <c r="W767">
        <v>0</v>
      </c>
      <c r="X767">
        <v>2</v>
      </c>
      <c r="Z767">
        <v>1</v>
      </c>
      <c r="AA767">
        <v>7</v>
      </c>
      <c r="AB767">
        <v>3</v>
      </c>
      <c r="AC767">
        <v>0</v>
      </c>
      <c r="AD767">
        <v>9</v>
      </c>
      <c r="AE767">
        <v>0</v>
      </c>
      <c r="AF767">
        <v>3</v>
      </c>
      <c r="AG767">
        <v>1</v>
      </c>
      <c r="AH767">
        <v>0</v>
      </c>
      <c r="AI767" t="s">
        <v>429</v>
      </c>
      <c r="AJ767">
        <v>33.173603999999997</v>
      </c>
      <c r="AK767" t="s">
        <v>430</v>
      </c>
      <c r="AL767">
        <v>-97.738538000000005</v>
      </c>
      <c r="AM767">
        <v>25</v>
      </c>
      <c r="AN767">
        <v>3400</v>
      </c>
      <c r="AO767" t="s">
        <v>118</v>
      </c>
      <c r="AP767">
        <v>56</v>
      </c>
      <c r="AQ767">
        <v>-85</v>
      </c>
      <c r="AR767">
        <v>320</v>
      </c>
      <c r="AZ767">
        <v>1200</v>
      </c>
      <c r="BA767">
        <v>1</v>
      </c>
      <c r="BB767" t="str">
        <f t="shared" si="219"/>
        <v xml:space="preserve">N733KP  </v>
      </c>
      <c r="BC767">
        <v>1</v>
      </c>
      <c r="BE767">
        <v>0</v>
      </c>
      <c r="BF767">
        <v>0</v>
      </c>
      <c r="BG767">
        <v>0</v>
      </c>
      <c r="BH767">
        <v>3425</v>
      </c>
      <c r="BI767">
        <v>1</v>
      </c>
      <c r="BJ767">
        <v>1</v>
      </c>
      <c r="BK767">
        <v>0</v>
      </c>
      <c r="BL767">
        <v>0</v>
      </c>
      <c r="BO767">
        <v>0</v>
      </c>
      <c r="BP767">
        <v>0</v>
      </c>
      <c r="BW767" t="str">
        <f>"22:12:40.818"</f>
        <v>22:12:40.818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364</v>
      </c>
      <c r="CR767">
        <v>0</v>
      </c>
      <c r="CW767">
        <v>1393185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"03/24/2022 22:12:41.011"</f>
        <v>03/24/2022 22:12:41.011</v>
      </c>
      <c r="C768" t="str">
        <f t="shared" si="217"/>
        <v>FFDFD3C0</v>
      </c>
      <c r="D768" t="s">
        <v>126</v>
      </c>
      <c r="E768">
        <v>3</v>
      </c>
      <c r="H768">
        <v>160</v>
      </c>
      <c r="I768" t="s">
        <v>121</v>
      </c>
      <c r="J768" t="s">
        <v>127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 t="shared" si="229"/>
        <v>22:12:40.000</v>
      </c>
      <c r="T768" t="str">
        <f t="shared" si="229"/>
        <v>22:12:40.000</v>
      </c>
      <c r="U768" t="str">
        <f t="shared" si="212"/>
        <v>A9D71F</v>
      </c>
      <c r="V768">
        <v>0</v>
      </c>
      <c r="W768">
        <v>0</v>
      </c>
      <c r="X768">
        <v>2</v>
      </c>
      <c r="Z768">
        <v>1</v>
      </c>
      <c r="AA768">
        <v>7</v>
      </c>
      <c r="AB768">
        <v>3</v>
      </c>
      <c r="AC768">
        <v>0</v>
      </c>
      <c r="AD768">
        <v>9</v>
      </c>
      <c r="AE768">
        <v>0</v>
      </c>
      <c r="AF768">
        <v>3</v>
      </c>
      <c r="AG768">
        <v>1</v>
      </c>
      <c r="AH768">
        <v>0</v>
      </c>
      <c r="AI768" t="s">
        <v>429</v>
      </c>
      <c r="AJ768">
        <v>33.173603999999997</v>
      </c>
      <c r="AK768" t="s">
        <v>430</v>
      </c>
      <c r="AL768">
        <v>-97.738538000000005</v>
      </c>
      <c r="AM768">
        <v>25</v>
      </c>
      <c r="AN768">
        <v>3400</v>
      </c>
      <c r="AO768" t="s">
        <v>118</v>
      </c>
      <c r="AP768">
        <v>56</v>
      </c>
      <c r="AQ768">
        <v>-85</v>
      </c>
      <c r="AR768">
        <v>320</v>
      </c>
      <c r="AZ768">
        <v>1200</v>
      </c>
      <c r="BA768">
        <v>1</v>
      </c>
      <c r="BB768" t="str">
        <f t="shared" si="219"/>
        <v xml:space="preserve">N733KP  </v>
      </c>
      <c r="BC768">
        <v>1</v>
      </c>
      <c r="BE768">
        <v>0</v>
      </c>
      <c r="BF768">
        <v>0</v>
      </c>
      <c r="BG768">
        <v>0</v>
      </c>
      <c r="BH768">
        <v>3425</v>
      </c>
      <c r="BI768">
        <v>1</v>
      </c>
      <c r="BJ768">
        <v>1</v>
      </c>
      <c r="BK768">
        <v>0</v>
      </c>
      <c r="BL768">
        <v>0</v>
      </c>
      <c r="BO768">
        <v>0</v>
      </c>
      <c r="BP768">
        <v>0</v>
      </c>
      <c r="BW768" t="str">
        <f>"22:12:40.818"</f>
        <v>22:12:40.818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364</v>
      </c>
      <c r="CR768">
        <v>0</v>
      </c>
      <c r="CW768">
        <v>1393185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"03/24/2022 22:12:41.747"</f>
        <v>03/24/2022 22:12:41.747</v>
      </c>
      <c r="C769" t="str">
        <f t="shared" si="217"/>
        <v>FFDFD3C0</v>
      </c>
      <c r="D769" t="s">
        <v>120</v>
      </c>
      <c r="E769">
        <v>14</v>
      </c>
      <c r="F769">
        <v>1014</v>
      </c>
      <c r="G769" t="s">
        <v>121</v>
      </c>
      <c r="J769" t="s">
        <v>122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 t="shared" ref="S769:T772" si="230">"22:12:41.000"</f>
        <v>22:12:41.000</v>
      </c>
      <c r="T769" t="str">
        <f t="shared" si="230"/>
        <v>22:12:41.000</v>
      </c>
      <c r="U769" t="str">
        <f t="shared" si="212"/>
        <v>A9D71F</v>
      </c>
      <c r="V769">
        <v>0</v>
      </c>
      <c r="W769">
        <v>0</v>
      </c>
      <c r="X769">
        <v>2</v>
      </c>
      <c r="Z769">
        <v>1</v>
      </c>
      <c r="AA769">
        <v>7</v>
      </c>
      <c r="AB769">
        <v>3</v>
      </c>
      <c r="AC769">
        <v>0</v>
      </c>
      <c r="AD769">
        <v>9</v>
      </c>
      <c r="AE769">
        <v>0</v>
      </c>
      <c r="AF769">
        <v>3</v>
      </c>
      <c r="AG769">
        <v>1</v>
      </c>
      <c r="AH769">
        <v>0</v>
      </c>
      <c r="AI769" t="s">
        <v>431</v>
      </c>
      <c r="AJ769">
        <v>33.173195999999997</v>
      </c>
      <c r="AK769" t="s">
        <v>432</v>
      </c>
      <c r="AL769">
        <v>-97.738236999999998</v>
      </c>
      <c r="AM769">
        <v>25</v>
      </c>
      <c r="AN769">
        <v>3400</v>
      </c>
      <c r="AO769" t="s">
        <v>118</v>
      </c>
      <c r="AP769">
        <v>52</v>
      </c>
      <c r="AQ769">
        <v>-82</v>
      </c>
      <c r="AR769">
        <v>384</v>
      </c>
      <c r="AZ769">
        <v>1200</v>
      </c>
      <c r="BA769">
        <v>1</v>
      </c>
      <c r="BB769" t="str">
        <f t="shared" si="219"/>
        <v xml:space="preserve">N733KP  </v>
      </c>
      <c r="BC769">
        <v>1</v>
      </c>
      <c r="BE769">
        <v>0</v>
      </c>
      <c r="BF769">
        <v>0</v>
      </c>
      <c r="BG769">
        <v>0</v>
      </c>
      <c r="BH769">
        <v>3425</v>
      </c>
      <c r="BI769">
        <v>1</v>
      </c>
      <c r="BJ769">
        <v>1</v>
      </c>
      <c r="BK769">
        <v>0</v>
      </c>
      <c r="BL769">
        <v>0</v>
      </c>
      <c r="BO769">
        <v>0</v>
      </c>
      <c r="BP769">
        <v>0</v>
      </c>
      <c r="BW769" t="str">
        <f>"22:12:41.597"</f>
        <v>22:12:41.597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364</v>
      </c>
      <c r="CR769">
        <v>0</v>
      </c>
      <c r="CW769">
        <v>1393274</v>
      </c>
      <c r="CY769">
        <v>1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"03/24/2022 22:12:41.794"</f>
        <v>03/24/2022 22:12:41.794</v>
      </c>
      <c r="C770" t="str">
        <f t="shared" si="217"/>
        <v>FFDFD3C0</v>
      </c>
      <c r="D770" t="s">
        <v>113</v>
      </c>
      <c r="E770">
        <v>24</v>
      </c>
      <c r="F770">
        <v>2024</v>
      </c>
      <c r="G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 t="shared" si="230"/>
        <v>22:12:41.000</v>
      </c>
      <c r="T770" t="str">
        <f t="shared" si="230"/>
        <v>22:12:41.000</v>
      </c>
      <c r="U770" t="str">
        <f t="shared" ref="U770:U833" si="231">"A9D71F"</f>
        <v>A9D71F</v>
      </c>
      <c r="V770">
        <v>0</v>
      </c>
      <c r="W770">
        <v>0</v>
      </c>
      <c r="X770">
        <v>2</v>
      </c>
      <c r="Z770">
        <v>1</v>
      </c>
      <c r="AA770">
        <v>7</v>
      </c>
      <c r="AB770">
        <v>3</v>
      </c>
      <c r="AC770">
        <v>0</v>
      </c>
      <c r="AD770">
        <v>9</v>
      </c>
      <c r="AE770">
        <v>0</v>
      </c>
      <c r="AF770">
        <v>3</v>
      </c>
      <c r="AG770">
        <v>1</v>
      </c>
      <c r="AH770">
        <v>0</v>
      </c>
      <c r="AI770" t="s">
        <v>431</v>
      </c>
      <c r="AJ770">
        <v>33.173195999999997</v>
      </c>
      <c r="AK770" t="s">
        <v>432</v>
      </c>
      <c r="AL770">
        <v>-97.738236999999998</v>
      </c>
      <c r="AM770">
        <v>25</v>
      </c>
      <c r="AN770">
        <v>3400</v>
      </c>
      <c r="AO770" t="s">
        <v>118</v>
      </c>
      <c r="AP770">
        <v>52</v>
      </c>
      <c r="AQ770">
        <v>-82</v>
      </c>
      <c r="AR770">
        <v>384</v>
      </c>
      <c r="AZ770">
        <v>1200</v>
      </c>
      <c r="BA770">
        <v>1</v>
      </c>
      <c r="BB770" t="str">
        <f t="shared" si="219"/>
        <v xml:space="preserve">N733KP  </v>
      </c>
      <c r="BC770">
        <v>1</v>
      </c>
      <c r="BE770">
        <v>0</v>
      </c>
      <c r="BF770">
        <v>0</v>
      </c>
      <c r="BG770">
        <v>0</v>
      </c>
      <c r="BH770">
        <v>3425</v>
      </c>
      <c r="BI770">
        <v>1</v>
      </c>
      <c r="BJ770">
        <v>1</v>
      </c>
      <c r="BK770">
        <v>0</v>
      </c>
      <c r="BL770">
        <v>0</v>
      </c>
      <c r="BO770">
        <v>0</v>
      </c>
      <c r="BP770">
        <v>0</v>
      </c>
      <c r="BW770" t="str">
        <f>"22:12:41.597"</f>
        <v>22:12:41.597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364</v>
      </c>
      <c r="CR770">
        <v>0</v>
      </c>
      <c r="CW770">
        <v>1393274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"03/24/2022 22:12:41.794"</f>
        <v>03/24/2022 22:12:41.794</v>
      </c>
      <c r="C771" t="str">
        <f t="shared" si="217"/>
        <v>FFDFD3C0</v>
      </c>
      <c r="D771" t="s">
        <v>123</v>
      </c>
      <c r="E771">
        <v>8</v>
      </c>
      <c r="H771">
        <v>31</v>
      </c>
      <c r="I771" t="s">
        <v>124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 t="shared" si="230"/>
        <v>22:12:41.000</v>
      </c>
      <c r="T771" t="str">
        <f t="shared" si="230"/>
        <v>22:12:41.000</v>
      </c>
      <c r="U771" t="str">
        <f t="shared" si="231"/>
        <v>A9D71F</v>
      </c>
      <c r="V771">
        <v>0</v>
      </c>
      <c r="W771">
        <v>0</v>
      </c>
      <c r="X771">
        <v>2</v>
      </c>
      <c r="Z771">
        <v>1</v>
      </c>
      <c r="AA771">
        <v>7</v>
      </c>
      <c r="AB771">
        <v>3</v>
      </c>
      <c r="AC771">
        <v>0</v>
      </c>
      <c r="AD771">
        <v>9</v>
      </c>
      <c r="AE771">
        <v>0</v>
      </c>
      <c r="AF771">
        <v>3</v>
      </c>
      <c r="AG771">
        <v>1</v>
      </c>
      <c r="AH771">
        <v>0</v>
      </c>
      <c r="AI771" t="s">
        <v>431</v>
      </c>
      <c r="AJ771">
        <v>33.173195999999997</v>
      </c>
      <c r="AK771" t="s">
        <v>432</v>
      </c>
      <c r="AL771">
        <v>-97.738236999999998</v>
      </c>
      <c r="AM771">
        <v>25</v>
      </c>
      <c r="AN771">
        <v>3400</v>
      </c>
      <c r="AO771" t="s">
        <v>118</v>
      </c>
      <c r="AP771">
        <v>52</v>
      </c>
      <c r="AQ771">
        <v>-82</v>
      </c>
      <c r="AR771">
        <v>384</v>
      </c>
      <c r="AZ771">
        <v>1200</v>
      </c>
      <c r="BA771">
        <v>1</v>
      </c>
      <c r="BB771" t="str">
        <f t="shared" si="219"/>
        <v xml:space="preserve">N733KP  </v>
      </c>
      <c r="BC771">
        <v>1</v>
      </c>
      <c r="BE771">
        <v>0</v>
      </c>
      <c r="BF771">
        <v>0</v>
      </c>
      <c r="BG771">
        <v>0</v>
      </c>
      <c r="BH771">
        <v>3425</v>
      </c>
      <c r="BI771">
        <v>1</v>
      </c>
      <c r="BJ771">
        <v>1</v>
      </c>
      <c r="BK771">
        <v>0</v>
      </c>
      <c r="BL771">
        <v>0</v>
      </c>
      <c r="BO771">
        <v>0</v>
      </c>
      <c r="BP771">
        <v>0</v>
      </c>
      <c r="BW771" t="str">
        <f>"22:12:41.597"</f>
        <v>22:12:41.597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364</v>
      </c>
      <c r="CR771">
        <v>0</v>
      </c>
      <c r="CW771">
        <v>1393274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"03/24/2022 22:12:41.794"</f>
        <v>03/24/2022 22:12:41.794</v>
      </c>
      <c r="C772" t="str">
        <f t="shared" si="217"/>
        <v>FFDFD3C0</v>
      </c>
      <c r="D772" t="s">
        <v>126</v>
      </c>
      <c r="E772">
        <v>3</v>
      </c>
      <c r="H772">
        <v>160</v>
      </c>
      <c r="I772" t="s">
        <v>121</v>
      </c>
      <c r="J772" t="s">
        <v>127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 t="shared" si="230"/>
        <v>22:12:41.000</v>
      </c>
      <c r="T772" t="str">
        <f t="shared" si="230"/>
        <v>22:12:41.000</v>
      </c>
      <c r="U772" t="str">
        <f t="shared" si="231"/>
        <v>A9D71F</v>
      </c>
      <c r="V772">
        <v>0</v>
      </c>
      <c r="W772">
        <v>0</v>
      </c>
      <c r="X772">
        <v>2</v>
      </c>
      <c r="Z772">
        <v>1</v>
      </c>
      <c r="AA772">
        <v>7</v>
      </c>
      <c r="AB772">
        <v>3</v>
      </c>
      <c r="AC772">
        <v>0</v>
      </c>
      <c r="AD772">
        <v>9</v>
      </c>
      <c r="AE772">
        <v>0</v>
      </c>
      <c r="AF772">
        <v>3</v>
      </c>
      <c r="AG772">
        <v>1</v>
      </c>
      <c r="AH772">
        <v>0</v>
      </c>
      <c r="AI772" t="s">
        <v>431</v>
      </c>
      <c r="AJ772">
        <v>33.173195999999997</v>
      </c>
      <c r="AK772" t="s">
        <v>432</v>
      </c>
      <c r="AL772">
        <v>-97.738236999999998</v>
      </c>
      <c r="AM772">
        <v>25</v>
      </c>
      <c r="AN772">
        <v>3400</v>
      </c>
      <c r="AO772" t="s">
        <v>118</v>
      </c>
      <c r="AP772">
        <v>52</v>
      </c>
      <c r="AQ772">
        <v>-82</v>
      </c>
      <c r="AR772">
        <v>384</v>
      </c>
      <c r="AZ772">
        <v>1200</v>
      </c>
      <c r="BA772">
        <v>1</v>
      </c>
      <c r="BB772" t="str">
        <f t="shared" si="219"/>
        <v xml:space="preserve">N733KP  </v>
      </c>
      <c r="BC772">
        <v>1</v>
      </c>
      <c r="BE772">
        <v>0</v>
      </c>
      <c r="BF772">
        <v>0</v>
      </c>
      <c r="BG772">
        <v>0</v>
      </c>
      <c r="BH772">
        <v>3425</v>
      </c>
      <c r="BI772">
        <v>1</v>
      </c>
      <c r="BJ772">
        <v>1</v>
      </c>
      <c r="BK772">
        <v>0</v>
      </c>
      <c r="BL772">
        <v>0</v>
      </c>
      <c r="BO772">
        <v>0</v>
      </c>
      <c r="BP772">
        <v>0</v>
      </c>
      <c r="BW772" t="str">
        <f>"22:12:41.597"</f>
        <v>22:12:41.597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364</v>
      </c>
      <c r="CR772">
        <v>0</v>
      </c>
      <c r="CW772">
        <v>1393274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"03/24/2022 22:12:42.810"</f>
        <v>03/24/2022 22:12:42.810</v>
      </c>
      <c r="C773" t="str">
        <f t="shared" si="217"/>
        <v>FFDFD3C0</v>
      </c>
      <c r="D773" t="s">
        <v>120</v>
      </c>
      <c r="E773">
        <v>14</v>
      </c>
      <c r="F773">
        <v>1014</v>
      </c>
      <c r="G773" t="s">
        <v>121</v>
      </c>
      <c r="J773" t="s">
        <v>122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 t="shared" ref="S773:T776" si="232">"22:12:42.000"</f>
        <v>22:12:42.000</v>
      </c>
      <c r="T773" t="str">
        <f t="shared" si="232"/>
        <v>22:12:42.000</v>
      </c>
      <c r="U773" t="str">
        <f t="shared" si="231"/>
        <v>A9D71F</v>
      </c>
      <c r="V773">
        <v>0</v>
      </c>
      <c r="W773">
        <v>0</v>
      </c>
      <c r="X773">
        <v>2</v>
      </c>
      <c r="Z773">
        <v>1</v>
      </c>
      <c r="AA773">
        <v>7</v>
      </c>
      <c r="AB773">
        <v>3</v>
      </c>
      <c r="AC773">
        <v>0</v>
      </c>
      <c r="AD773">
        <v>9</v>
      </c>
      <c r="AE773">
        <v>0</v>
      </c>
      <c r="AF773">
        <v>3</v>
      </c>
      <c r="AG773">
        <v>1</v>
      </c>
      <c r="AH773">
        <v>0</v>
      </c>
      <c r="AI773" t="s">
        <v>433</v>
      </c>
      <c r="AJ773">
        <v>33.172832</v>
      </c>
      <c r="AK773" t="s">
        <v>434</v>
      </c>
      <c r="AL773">
        <v>-97.737958000000006</v>
      </c>
      <c r="AM773">
        <v>25</v>
      </c>
      <c r="AN773">
        <v>3400</v>
      </c>
      <c r="AO773" t="s">
        <v>118</v>
      </c>
      <c r="AP773">
        <v>54</v>
      </c>
      <c r="AQ773">
        <v>-84</v>
      </c>
      <c r="AR773">
        <v>192</v>
      </c>
      <c r="AZ773">
        <v>1200</v>
      </c>
      <c r="BA773">
        <v>1</v>
      </c>
      <c r="BB773" t="str">
        <f t="shared" si="219"/>
        <v xml:space="preserve">N733KP  </v>
      </c>
      <c r="BC773">
        <v>1</v>
      </c>
      <c r="BE773">
        <v>0</v>
      </c>
      <c r="BF773">
        <v>0</v>
      </c>
      <c r="BG773">
        <v>0</v>
      </c>
      <c r="BH773">
        <v>3425</v>
      </c>
      <c r="BI773">
        <v>1</v>
      </c>
      <c r="BJ773">
        <v>1</v>
      </c>
      <c r="BK773">
        <v>0</v>
      </c>
      <c r="BL773">
        <v>0</v>
      </c>
      <c r="BO773">
        <v>0</v>
      </c>
      <c r="BP773">
        <v>0</v>
      </c>
      <c r="BW773" t="str">
        <f>"22:12:42.640"</f>
        <v>22:12:42.640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364</v>
      </c>
      <c r="CR773">
        <v>0</v>
      </c>
      <c r="CW773">
        <v>1393414</v>
      </c>
      <c r="CY773">
        <v>1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"03/24/2022 22:12:42.825"</f>
        <v>03/24/2022 22:12:42.825</v>
      </c>
      <c r="C774" t="str">
        <f t="shared" si="217"/>
        <v>FFDFD3C0</v>
      </c>
      <c r="D774" t="s">
        <v>113</v>
      </c>
      <c r="E774">
        <v>24</v>
      </c>
      <c r="F774">
        <v>2024</v>
      </c>
      <c r="G774" t="s">
        <v>114</v>
      </c>
      <c r="J774" t="s">
        <v>115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 t="shared" si="232"/>
        <v>22:12:42.000</v>
      </c>
      <c r="T774" t="str">
        <f t="shared" si="232"/>
        <v>22:12:42.000</v>
      </c>
      <c r="U774" t="str">
        <f t="shared" si="231"/>
        <v>A9D71F</v>
      </c>
      <c r="V774">
        <v>0</v>
      </c>
      <c r="W774">
        <v>0</v>
      </c>
      <c r="X774">
        <v>2</v>
      </c>
      <c r="Z774">
        <v>1</v>
      </c>
      <c r="AA774">
        <v>7</v>
      </c>
      <c r="AB774">
        <v>3</v>
      </c>
      <c r="AC774">
        <v>0</v>
      </c>
      <c r="AD774">
        <v>9</v>
      </c>
      <c r="AE774">
        <v>0</v>
      </c>
      <c r="AF774">
        <v>3</v>
      </c>
      <c r="AG774">
        <v>1</v>
      </c>
      <c r="AH774">
        <v>0</v>
      </c>
      <c r="AI774" t="s">
        <v>433</v>
      </c>
      <c r="AJ774">
        <v>33.172832</v>
      </c>
      <c r="AK774" t="s">
        <v>434</v>
      </c>
      <c r="AL774">
        <v>-97.737958000000006</v>
      </c>
      <c r="AM774">
        <v>25</v>
      </c>
      <c r="AN774">
        <v>3400</v>
      </c>
      <c r="AO774" t="s">
        <v>118</v>
      </c>
      <c r="AP774">
        <v>54</v>
      </c>
      <c r="AQ774">
        <v>-84</v>
      </c>
      <c r="AR774">
        <v>192</v>
      </c>
      <c r="AZ774">
        <v>1200</v>
      </c>
      <c r="BA774">
        <v>1</v>
      </c>
      <c r="BB774" t="str">
        <f t="shared" si="219"/>
        <v xml:space="preserve">N733KP  </v>
      </c>
      <c r="BC774">
        <v>1</v>
      </c>
      <c r="BE774">
        <v>0</v>
      </c>
      <c r="BF774">
        <v>0</v>
      </c>
      <c r="BG774">
        <v>0</v>
      </c>
      <c r="BH774">
        <v>3425</v>
      </c>
      <c r="BI774">
        <v>1</v>
      </c>
      <c r="BJ774">
        <v>1</v>
      </c>
      <c r="BK774">
        <v>0</v>
      </c>
      <c r="BL774">
        <v>0</v>
      </c>
      <c r="BO774">
        <v>0</v>
      </c>
      <c r="BP774">
        <v>0</v>
      </c>
      <c r="BW774" t="str">
        <f>"22:12:42.640"</f>
        <v>22:12:42.640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364</v>
      </c>
      <c r="CR774">
        <v>0</v>
      </c>
      <c r="CW774">
        <v>1393414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"03/24/2022 22:12:42.825"</f>
        <v>03/24/2022 22:12:42.825</v>
      </c>
      <c r="C775" t="str">
        <f t="shared" si="217"/>
        <v>FFDFD3C0</v>
      </c>
      <c r="D775" t="s">
        <v>123</v>
      </c>
      <c r="E775">
        <v>8</v>
      </c>
      <c r="H775">
        <v>31</v>
      </c>
      <c r="I775" t="s">
        <v>124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 t="shared" si="232"/>
        <v>22:12:42.000</v>
      </c>
      <c r="T775" t="str">
        <f t="shared" si="232"/>
        <v>22:12:42.000</v>
      </c>
      <c r="U775" t="str">
        <f t="shared" si="231"/>
        <v>A9D71F</v>
      </c>
      <c r="V775">
        <v>0</v>
      </c>
      <c r="W775">
        <v>0</v>
      </c>
      <c r="X775">
        <v>2</v>
      </c>
      <c r="Z775">
        <v>1</v>
      </c>
      <c r="AA775">
        <v>7</v>
      </c>
      <c r="AB775">
        <v>3</v>
      </c>
      <c r="AC775">
        <v>0</v>
      </c>
      <c r="AD775">
        <v>9</v>
      </c>
      <c r="AE775">
        <v>0</v>
      </c>
      <c r="AF775">
        <v>3</v>
      </c>
      <c r="AG775">
        <v>1</v>
      </c>
      <c r="AH775">
        <v>0</v>
      </c>
      <c r="AI775" t="s">
        <v>433</v>
      </c>
      <c r="AJ775">
        <v>33.172832</v>
      </c>
      <c r="AK775" t="s">
        <v>434</v>
      </c>
      <c r="AL775">
        <v>-97.737958000000006</v>
      </c>
      <c r="AM775">
        <v>25</v>
      </c>
      <c r="AN775">
        <v>3400</v>
      </c>
      <c r="AO775" t="s">
        <v>118</v>
      </c>
      <c r="AP775">
        <v>54</v>
      </c>
      <c r="AQ775">
        <v>-84</v>
      </c>
      <c r="AR775">
        <v>192</v>
      </c>
      <c r="AZ775">
        <v>1200</v>
      </c>
      <c r="BA775">
        <v>1</v>
      </c>
      <c r="BB775" t="str">
        <f t="shared" si="219"/>
        <v xml:space="preserve">N733KP  </v>
      </c>
      <c r="BC775">
        <v>1</v>
      </c>
      <c r="BE775">
        <v>0</v>
      </c>
      <c r="BF775">
        <v>0</v>
      </c>
      <c r="BG775">
        <v>0</v>
      </c>
      <c r="BH775">
        <v>3425</v>
      </c>
      <c r="BI775">
        <v>1</v>
      </c>
      <c r="BJ775">
        <v>1</v>
      </c>
      <c r="BK775">
        <v>0</v>
      </c>
      <c r="BL775">
        <v>0</v>
      </c>
      <c r="BO775">
        <v>0</v>
      </c>
      <c r="BP775">
        <v>0</v>
      </c>
      <c r="BW775" t="str">
        <f>"22:12:42.640"</f>
        <v>22:12:42.640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364</v>
      </c>
      <c r="CR775">
        <v>0</v>
      </c>
      <c r="CW775">
        <v>1393414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"03/24/2022 22:12:42.841"</f>
        <v>03/24/2022 22:12:42.841</v>
      </c>
      <c r="C776" t="str">
        <f t="shared" si="217"/>
        <v>FFDFD3C0</v>
      </c>
      <c r="D776" t="s">
        <v>126</v>
      </c>
      <c r="E776">
        <v>3</v>
      </c>
      <c r="H776">
        <v>160</v>
      </c>
      <c r="I776" t="s">
        <v>121</v>
      </c>
      <c r="J776" t="s">
        <v>127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 t="shared" si="232"/>
        <v>22:12:42.000</v>
      </c>
      <c r="T776" t="str">
        <f t="shared" si="232"/>
        <v>22:12:42.000</v>
      </c>
      <c r="U776" t="str">
        <f t="shared" si="231"/>
        <v>A9D71F</v>
      </c>
      <c r="V776">
        <v>0</v>
      </c>
      <c r="W776">
        <v>0</v>
      </c>
      <c r="X776">
        <v>2</v>
      </c>
      <c r="Z776">
        <v>1</v>
      </c>
      <c r="AA776">
        <v>7</v>
      </c>
      <c r="AB776">
        <v>3</v>
      </c>
      <c r="AC776">
        <v>0</v>
      </c>
      <c r="AD776">
        <v>9</v>
      </c>
      <c r="AE776">
        <v>0</v>
      </c>
      <c r="AF776">
        <v>3</v>
      </c>
      <c r="AG776">
        <v>1</v>
      </c>
      <c r="AH776">
        <v>0</v>
      </c>
      <c r="AI776" t="s">
        <v>433</v>
      </c>
      <c r="AJ776">
        <v>33.172832</v>
      </c>
      <c r="AK776" t="s">
        <v>434</v>
      </c>
      <c r="AL776">
        <v>-97.737958000000006</v>
      </c>
      <c r="AM776">
        <v>25</v>
      </c>
      <c r="AN776">
        <v>3400</v>
      </c>
      <c r="AO776" t="s">
        <v>118</v>
      </c>
      <c r="AP776">
        <v>54</v>
      </c>
      <c r="AQ776">
        <v>-84</v>
      </c>
      <c r="AR776">
        <v>192</v>
      </c>
      <c r="AZ776">
        <v>1200</v>
      </c>
      <c r="BA776">
        <v>1</v>
      </c>
      <c r="BB776" t="str">
        <f t="shared" si="219"/>
        <v xml:space="preserve">N733KP  </v>
      </c>
      <c r="BC776">
        <v>1</v>
      </c>
      <c r="BE776">
        <v>0</v>
      </c>
      <c r="BF776">
        <v>0</v>
      </c>
      <c r="BG776">
        <v>0</v>
      </c>
      <c r="BH776">
        <v>3425</v>
      </c>
      <c r="BI776">
        <v>1</v>
      </c>
      <c r="BJ776">
        <v>1</v>
      </c>
      <c r="BK776">
        <v>0</v>
      </c>
      <c r="BL776">
        <v>0</v>
      </c>
      <c r="BO776">
        <v>0</v>
      </c>
      <c r="BP776">
        <v>0</v>
      </c>
      <c r="BW776" t="str">
        <f>"22:12:42.640"</f>
        <v>22:12:42.640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364</v>
      </c>
      <c r="CR776">
        <v>0</v>
      </c>
      <c r="CW776">
        <v>1393414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"03/24/2022 22:12:43.984"</f>
        <v>03/24/2022 22:12:43.984</v>
      </c>
      <c r="C777" t="str">
        <f t="shared" si="217"/>
        <v>FFDFD3C0</v>
      </c>
      <c r="D777" t="s">
        <v>113</v>
      </c>
      <c r="E777">
        <v>24</v>
      </c>
      <c r="F777">
        <v>2024</v>
      </c>
      <c r="G777" t="s">
        <v>114</v>
      </c>
      <c r="J777" t="s">
        <v>115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 t="shared" ref="S777:T780" si="233">"22:12:43.000"</f>
        <v>22:12:43.000</v>
      </c>
      <c r="T777" t="str">
        <f t="shared" si="233"/>
        <v>22:12:43.000</v>
      </c>
      <c r="U777" t="str">
        <f t="shared" si="231"/>
        <v>A9D71F</v>
      </c>
      <c r="V777">
        <v>0</v>
      </c>
      <c r="W777">
        <v>0</v>
      </c>
      <c r="X777">
        <v>2</v>
      </c>
      <c r="Z777">
        <v>1</v>
      </c>
      <c r="AA777">
        <v>8</v>
      </c>
      <c r="AB777">
        <v>3</v>
      </c>
      <c r="AC777">
        <v>0</v>
      </c>
      <c r="AD777">
        <v>9</v>
      </c>
      <c r="AE777">
        <v>0</v>
      </c>
      <c r="AF777">
        <v>3</v>
      </c>
      <c r="AG777">
        <v>1</v>
      </c>
      <c r="AH777">
        <v>0</v>
      </c>
      <c r="AI777" t="s">
        <v>131</v>
      </c>
      <c r="AJ777">
        <v>33.172423999999999</v>
      </c>
      <c r="AK777" t="s">
        <v>435</v>
      </c>
      <c r="AL777">
        <v>-97.737657999999996</v>
      </c>
      <c r="AM777">
        <v>25</v>
      </c>
      <c r="AN777">
        <v>3400</v>
      </c>
      <c r="AO777" t="s">
        <v>118</v>
      </c>
      <c r="AP777">
        <v>54</v>
      </c>
      <c r="AQ777">
        <v>-85</v>
      </c>
      <c r="AR777">
        <v>64</v>
      </c>
      <c r="AZ777">
        <v>1200</v>
      </c>
      <c r="BA777">
        <v>1</v>
      </c>
      <c r="BB777" t="str">
        <f t="shared" si="219"/>
        <v xml:space="preserve">N733KP  </v>
      </c>
      <c r="BC777">
        <v>1</v>
      </c>
      <c r="BE777">
        <v>0</v>
      </c>
      <c r="BF777">
        <v>0</v>
      </c>
      <c r="BG777">
        <v>0</v>
      </c>
      <c r="BH777">
        <v>3450</v>
      </c>
      <c r="BI777">
        <v>1</v>
      </c>
      <c r="BJ777">
        <v>1</v>
      </c>
      <c r="BK777">
        <v>0</v>
      </c>
      <c r="BL777">
        <v>0</v>
      </c>
      <c r="BO777">
        <v>0</v>
      </c>
      <c r="BP777">
        <v>0</v>
      </c>
      <c r="BW777" t="str">
        <f>"22:12:43.826"</f>
        <v>22:12:43.826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364</v>
      </c>
      <c r="CR777">
        <v>0</v>
      </c>
      <c r="CW777">
        <v>1393567</v>
      </c>
      <c r="CY777">
        <v>1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"03/24/2022 22:12:43.984"</f>
        <v>03/24/2022 22:12:43.984</v>
      </c>
      <c r="C778" t="str">
        <f t="shared" si="217"/>
        <v>FFDFD3C0</v>
      </c>
      <c r="D778" t="s">
        <v>126</v>
      </c>
      <c r="E778">
        <v>3</v>
      </c>
      <c r="H778">
        <v>160</v>
      </c>
      <c r="I778" t="s">
        <v>121</v>
      </c>
      <c r="J778" t="s">
        <v>127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 t="shared" si="233"/>
        <v>22:12:43.000</v>
      </c>
      <c r="T778" t="str">
        <f t="shared" si="233"/>
        <v>22:12:43.000</v>
      </c>
      <c r="U778" t="str">
        <f t="shared" si="231"/>
        <v>A9D71F</v>
      </c>
      <c r="V778">
        <v>0</v>
      </c>
      <c r="W778">
        <v>0</v>
      </c>
      <c r="X778">
        <v>2</v>
      </c>
      <c r="Z778">
        <v>1</v>
      </c>
      <c r="AA778">
        <v>8</v>
      </c>
      <c r="AB778">
        <v>3</v>
      </c>
      <c r="AC778">
        <v>0</v>
      </c>
      <c r="AD778">
        <v>9</v>
      </c>
      <c r="AE778">
        <v>0</v>
      </c>
      <c r="AF778">
        <v>3</v>
      </c>
      <c r="AG778">
        <v>1</v>
      </c>
      <c r="AH778">
        <v>0</v>
      </c>
      <c r="AI778" t="s">
        <v>131</v>
      </c>
      <c r="AJ778">
        <v>33.172423999999999</v>
      </c>
      <c r="AK778" t="s">
        <v>435</v>
      </c>
      <c r="AL778">
        <v>-97.737657999999996</v>
      </c>
      <c r="AM778">
        <v>25</v>
      </c>
      <c r="AN778">
        <v>3400</v>
      </c>
      <c r="AO778" t="s">
        <v>118</v>
      </c>
      <c r="AP778">
        <v>54</v>
      </c>
      <c r="AQ778">
        <v>-85</v>
      </c>
      <c r="AR778">
        <v>64</v>
      </c>
      <c r="AZ778">
        <v>1200</v>
      </c>
      <c r="BA778">
        <v>1</v>
      </c>
      <c r="BB778" t="str">
        <f t="shared" si="219"/>
        <v xml:space="preserve">N733KP  </v>
      </c>
      <c r="BC778">
        <v>1</v>
      </c>
      <c r="BE778">
        <v>0</v>
      </c>
      <c r="BF778">
        <v>0</v>
      </c>
      <c r="BG778">
        <v>0</v>
      </c>
      <c r="BH778">
        <v>3450</v>
      </c>
      <c r="BI778">
        <v>1</v>
      </c>
      <c r="BJ778">
        <v>1</v>
      </c>
      <c r="BK778">
        <v>0</v>
      </c>
      <c r="BL778">
        <v>0</v>
      </c>
      <c r="BO778">
        <v>0</v>
      </c>
      <c r="BP778">
        <v>0</v>
      </c>
      <c r="BW778" t="str">
        <f>"22:12:43.826"</f>
        <v>22:12:43.826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364</v>
      </c>
      <c r="CR778">
        <v>0</v>
      </c>
      <c r="CW778">
        <v>1393567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"03/24/2022 22:12:44.062"</f>
        <v>03/24/2022 22:12:44.062</v>
      </c>
      <c r="C779" t="str">
        <f t="shared" si="217"/>
        <v>FFDFD3C0</v>
      </c>
      <c r="D779" t="s">
        <v>120</v>
      </c>
      <c r="E779">
        <v>14</v>
      </c>
      <c r="F779">
        <v>1014</v>
      </c>
      <c r="G779" t="s">
        <v>121</v>
      </c>
      <c r="J779" t="s">
        <v>122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 t="shared" si="233"/>
        <v>22:12:43.000</v>
      </c>
      <c r="T779" t="str">
        <f t="shared" si="233"/>
        <v>22:12:43.000</v>
      </c>
      <c r="U779" t="str">
        <f t="shared" si="231"/>
        <v>A9D71F</v>
      </c>
      <c r="V779">
        <v>0</v>
      </c>
      <c r="W779">
        <v>0</v>
      </c>
      <c r="X779">
        <v>2</v>
      </c>
      <c r="Z779">
        <v>1</v>
      </c>
      <c r="AA779">
        <v>8</v>
      </c>
      <c r="AB779">
        <v>3</v>
      </c>
      <c r="AC779">
        <v>0</v>
      </c>
      <c r="AD779">
        <v>9</v>
      </c>
      <c r="AE779">
        <v>0</v>
      </c>
      <c r="AF779">
        <v>3</v>
      </c>
      <c r="AG779">
        <v>1</v>
      </c>
      <c r="AH779">
        <v>0</v>
      </c>
      <c r="AI779" t="s">
        <v>131</v>
      </c>
      <c r="AJ779">
        <v>33.172423999999999</v>
      </c>
      <c r="AK779" t="s">
        <v>435</v>
      </c>
      <c r="AL779">
        <v>-97.737657999999996</v>
      </c>
      <c r="AM779">
        <v>25</v>
      </c>
      <c r="AN779">
        <v>3400</v>
      </c>
      <c r="AO779" t="s">
        <v>118</v>
      </c>
      <c r="AP779">
        <v>54</v>
      </c>
      <c r="AQ779">
        <v>-85</v>
      </c>
      <c r="AR779">
        <v>64</v>
      </c>
      <c r="AZ779">
        <v>1200</v>
      </c>
      <c r="BA779">
        <v>1</v>
      </c>
      <c r="BB779" t="str">
        <f t="shared" si="219"/>
        <v xml:space="preserve">N733KP  </v>
      </c>
      <c r="BC779">
        <v>1</v>
      </c>
      <c r="BE779">
        <v>0</v>
      </c>
      <c r="BF779">
        <v>0</v>
      </c>
      <c r="BG779">
        <v>0</v>
      </c>
      <c r="BH779">
        <v>3450</v>
      </c>
      <c r="BI779">
        <v>1</v>
      </c>
      <c r="BJ779">
        <v>1</v>
      </c>
      <c r="BK779">
        <v>0</v>
      </c>
      <c r="BL779">
        <v>0</v>
      </c>
      <c r="BO779">
        <v>0</v>
      </c>
      <c r="BP779">
        <v>0</v>
      </c>
      <c r="BW779" t="str">
        <f>"22:12:43.826"</f>
        <v>22:12:43.826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364</v>
      </c>
      <c r="CR779">
        <v>0</v>
      </c>
      <c r="CW779">
        <v>1393567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"03/24/2022 22:12:44.062"</f>
        <v>03/24/2022 22:12:44.062</v>
      </c>
      <c r="C780" t="str">
        <f t="shared" si="217"/>
        <v>FFDFD3C0</v>
      </c>
      <c r="D780" t="s">
        <v>123</v>
      </c>
      <c r="E780">
        <v>8</v>
      </c>
      <c r="H780">
        <v>31</v>
      </c>
      <c r="I780" t="s">
        <v>124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 t="shared" si="233"/>
        <v>22:12:43.000</v>
      </c>
      <c r="T780" t="str">
        <f t="shared" si="233"/>
        <v>22:12:43.000</v>
      </c>
      <c r="U780" t="str">
        <f t="shared" si="231"/>
        <v>A9D71F</v>
      </c>
      <c r="V780">
        <v>0</v>
      </c>
      <c r="W780">
        <v>0</v>
      </c>
      <c r="X780">
        <v>2</v>
      </c>
      <c r="Z780">
        <v>1</v>
      </c>
      <c r="AA780">
        <v>8</v>
      </c>
      <c r="AB780">
        <v>3</v>
      </c>
      <c r="AC780">
        <v>0</v>
      </c>
      <c r="AD780">
        <v>9</v>
      </c>
      <c r="AE780">
        <v>0</v>
      </c>
      <c r="AF780">
        <v>3</v>
      </c>
      <c r="AG780">
        <v>1</v>
      </c>
      <c r="AH780">
        <v>0</v>
      </c>
      <c r="AI780" t="s">
        <v>131</v>
      </c>
      <c r="AJ780">
        <v>33.172423999999999</v>
      </c>
      <c r="AK780" t="s">
        <v>435</v>
      </c>
      <c r="AL780">
        <v>-97.737657999999996</v>
      </c>
      <c r="AM780">
        <v>25</v>
      </c>
      <c r="AN780">
        <v>3400</v>
      </c>
      <c r="AO780" t="s">
        <v>118</v>
      </c>
      <c r="AP780">
        <v>54</v>
      </c>
      <c r="AQ780">
        <v>-85</v>
      </c>
      <c r="AR780">
        <v>64</v>
      </c>
      <c r="AZ780">
        <v>1200</v>
      </c>
      <c r="BA780">
        <v>1</v>
      </c>
      <c r="BB780" t="str">
        <f t="shared" si="219"/>
        <v xml:space="preserve">N733KP  </v>
      </c>
      <c r="BC780">
        <v>1</v>
      </c>
      <c r="BE780">
        <v>0</v>
      </c>
      <c r="BF780">
        <v>0</v>
      </c>
      <c r="BG780">
        <v>0</v>
      </c>
      <c r="BH780">
        <v>3450</v>
      </c>
      <c r="BI780">
        <v>1</v>
      </c>
      <c r="BJ780">
        <v>1</v>
      </c>
      <c r="BK780">
        <v>0</v>
      </c>
      <c r="BL780">
        <v>0</v>
      </c>
      <c r="BO780">
        <v>0</v>
      </c>
      <c r="BP780">
        <v>0</v>
      </c>
      <c r="BW780" t="str">
        <f>"22:12:43.826"</f>
        <v>22:12:43.826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364</v>
      </c>
      <c r="CR780">
        <v>0</v>
      </c>
      <c r="CW780">
        <v>1393567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"03/24/2022 22:12:44.437"</f>
        <v>03/24/2022 22:12:44.437</v>
      </c>
      <c r="C781" t="str">
        <f t="shared" si="217"/>
        <v>FFDFD3C0</v>
      </c>
      <c r="D781" t="s">
        <v>120</v>
      </c>
      <c r="E781">
        <v>14</v>
      </c>
      <c r="F781">
        <v>1014</v>
      </c>
      <c r="G781" t="s">
        <v>121</v>
      </c>
      <c r="J781" t="s">
        <v>122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 t="shared" ref="S781:T784" si="234">"22:12:44.000"</f>
        <v>22:12:44.000</v>
      </c>
      <c r="T781" t="str">
        <f t="shared" si="234"/>
        <v>22:12:44.000</v>
      </c>
      <c r="U781" t="str">
        <f t="shared" si="231"/>
        <v>A9D71F</v>
      </c>
      <c r="V781">
        <v>0</v>
      </c>
      <c r="W781">
        <v>0</v>
      </c>
      <c r="X781">
        <v>2</v>
      </c>
      <c r="Z781">
        <v>1</v>
      </c>
      <c r="AA781">
        <v>8</v>
      </c>
      <c r="AB781">
        <v>3</v>
      </c>
      <c r="AC781">
        <v>0</v>
      </c>
      <c r="AD781">
        <v>9</v>
      </c>
      <c r="AE781">
        <v>0</v>
      </c>
      <c r="AF781">
        <v>3</v>
      </c>
      <c r="AG781">
        <v>1</v>
      </c>
      <c r="AH781">
        <v>0</v>
      </c>
      <c r="AI781" t="s">
        <v>436</v>
      </c>
      <c r="AJ781">
        <v>33.172038000000001</v>
      </c>
      <c r="AK781" t="s">
        <v>437</v>
      </c>
      <c r="AL781">
        <v>-97.737292999999994</v>
      </c>
      <c r="AM781">
        <v>25</v>
      </c>
      <c r="AN781">
        <v>3400</v>
      </c>
      <c r="AO781" t="s">
        <v>118</v>
      </c>
      <c r="AP781">
        <v>55</v>
      </c>
      <c r="AQ781">
        <v>-86</v>
      </c>
      <c r="AR781">
        <v>0</v>
      </c>
      <c r="AZ781">
        <v>1200</v>
      </c>
      <c r="BA781">
        <v>1</v>
      </c>
      <c r="BB781" t="str">
        <f t="shared" si="219"/>
        <v xml:space="preserve">N733KP  </v>
      </c>
      <c r="BC781">
        <v>1</v>
      </c>
      <c r="BE781">
        <v>0</v>
      </c>
      <c r="BF781">
        <v>0</v>
      </c>
      <c r="BG781">
        <v>0</v>
      </c>
      <c r="BH781">
        <v>3450</v>
      </c>
      <c r="BI781">
        <v>1</v>
      </c>
      <c r="BJ781">
        <v>1</v>
      </c>
      <c r="BK781">
        <v>0</v>
      </c>
      <c r="BL781">
        <v>0</v>
      </c>
      <c r="BO781">
        <v>0</v>
      </c>
      <c r="BP781">
        <v>0</v>
      </c>
      <c r="BW781" t="str">
        <f>"22:12:44.260"</f>
        <v>22:12:44.260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364</v>
      </c>
      <c r="CR781">
        <v>0</v>
      </c>
      <c r="CW781">
        <v>1393615</v>
      </c>
      <c r="CY781">
        <v>1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"03/24/2022 22:12:44.452"</f>
        <v>03/24/2022 22:12:44.452</v>
      </c>
      <c r="C782" t="str">
        <f t="shared" si="217"/>
        <v>FFDFD3C0</v>
      </c>
      <c r="D782" t="s">
        <v>113</v>
      </c>
      <c r="E782">
        <v>24</v>
      </c>
      <c r="F782">
        <v>2024</v>
      </c>
      <c r="G782" t="s">
        <v>114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 t="shared" si="234"/>
        <v>22:12:44.000</v>
      </c>
      <c r="T782" t="str">
        <f t="shared" si="234"/>
        <v>22:12:44.000</v>
      </c>
      <c r="U782" t="str">
        <f t="shared" si="231"/>
        <v>A9D71F</v>
      </c>
      <c r="V782">
        <v>0</v>
      </c>
      <c r="W782">
        <v>0</v>
      </c>
      <c r="X782">
        <v>2</v>
      </c>
      <c r="Z782">
        <v>1</v>
      </c>
      <c r="AA782">
        <v>8</v>
      </c>
      <c r="AB782">
        <v>3</v>
      </c>
      <c r="AC782">
        <v>0</v>
      </c>
      <c r="AD782">
        <v>9</v>
      </c>
      <c r="AE782">
        <v>0</v>
      </c>
      <c r="AF782">
        <v>3</v>
      </c>
      <c r="AG782">
        <v>1</v>
      </c>
      <c r="AH782">
        <v>0</v>
      </c>
      <c r="AI782" t="s">
        <v>436</v>
      </c>
      <c r="AJ782">
        <v>33.172038000000001</v>
      </c>
      <c r="AK782" t="s">
        <v>437</v>
      </c>
      <c r="AL782">
        <v>-97.737292999999994</v>
      </c>
      <c r="AM782">
        <v>25</v>
      </c>
      <c r="AN782">
        <v>3400</v>
      </c>
      <c r="AO782" t="s">
        <v>118</v>
      </c>
      <c r="AP782">
        <v>55</v>
      </c>
      <c r="AQ782">
        <v>-86</v>
      </c>
      <c r="AR782">
        <v>0</v>
      </c>
      <c r="AZ782">
        <v>1200</v>
      </c>
      <c r="BA782">
        <v>1</v>
      </c>
      <c r="BB782" t="str">
        <f t="shared" si="219"/>
        <v xml:space="preserve">N733KP  </v>
      </c>
      <c r="BC782">
        <v>1</v>
      </c>
      <c r="BE782">
        <v>0</v>
      </c>
      <c r="BF782">
        <v>0</v>
      </c>
      <c r="BG782">
        <v>0</v>
      </c>
      <c r="BH782">
        <v>3450</v>
      </c>
      <c r="BI782">
        <v>1</v>
      </c>
      <c r="BJ782">
        <v>1</v>
      </c>
      <c r="BK782">
        <v>0</v>
      </c>
      <c r="BL782">
        <v>0</v>
      </c>
      <c r="BO782">
        <v>0</v>
      </c>
      <c r="BP782">
        <v>0</v>
      </c>
      <c r="BW782" t="str">
        <f>"22:12:44.260"</f>
        <v>22:12:44.260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364</v>
      </c>
      <c r="CR782">
        <v>0</v>
      </c>
      <c r="CW782">
        <v>1393615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"03/24/2022 22:12:44.452"</f>
        <v>03/24/2022 22:12:44.452</v>
      </c>
      <c r="C783" t="str">
        <f t="shared" si="217"/>
        <v>FFDFD3C0</v>
      </c>
      <c r="D783" t="s">
        <v>126</v>
      </c>
      <c r="E783">
        <v>3</v>
      </c>
      <c r="H783">
        <v>160</v>
      </c>
      <c r="I783" t="s">
        <v>121</v>
      </c>
      <c r="J783" t="s">
        <v>127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 t="shared" si="234"/>
        <v>22:12:44.000</v>
      </c>
      <c r="T783" t="str">
        <f t="shared" si="234"/>
        <v>22:12:44.000</v>
      </c>
      <c r="U783" t="str">
        <f t="shared" si="231"/>
        <v>A9D71F</v>
      </c>
      <c r="V783">
        <v>0</v>
      </c>
      <c r="W783">
        <v>0</v>
      </c>
      <c r="X783">
        <v>2</v>
      </c>
      <c r="Z783">
        <v>1</v>
      </c>
      <c r="AA783">
        <v>8</v>
      </c>
      <c r="AB783">
        <v>3</v>
      </c>
      <c r="AC783">
        <v>0</v>
      </c>
      <c r="AD783">
        <v>9</v>
      </c>
      <c r="AE783">
        <v>0</v>
      </c>
      <c r="AF783">
        <v>3</v>
      </c>
      <c r="AG783">
        <v>1</v>
      </c>
      <c r="AH783">
        <v>0</v>
      </c>
      <c r="AI783" t="s">
        <v>436</v>
      </c>
      <c r="AJ783">
        <v>33.172038000000001</v>
      </c>
      <c r="AK783" t="s">
        <v>437</v>
      </c>
      <c r="AL783">
        <v>-97.737292999999994</v>
      </c>
      <c r="AM783">
        <v>25</v>
      </c>
      <c r="AN783">
        <v>3400</v>
      </c>
      <c r="AO783" t="s">
        <v>118</v>
      </c>
      <c r="AP783">
        <v>55</v>
      </c>
      <c r="AQ783">
        <v>-86</v>
      </c>
      <c r="AR783">
        <v>0</v>
      </c>
      <c r="AZ783">
        <v>1200</v>
      </c>
      <c r="BA783">
        <v>1</v>
      </c>
      <c r="BB783" t="str">
        <f t="shared" si="219"/>
        <v xml:space="preserve">N733KP  </v>
      </c>
      <c r="BC783">
        <v>1</v>
      </c>
      <c r="BE783">
        <v>0</v>
      </c>
      <c r="BF783">
        <v>0</v>
      </c>
      <c r="BG783">
        <v>0</v>
      </c>
      <c r="BH783">
        <v>3450</v>
      </c>
      <c r="BI783">
        <v>1</v>
      </c>
      <c r="BJ783">
        <v>1</v>
      </c>
      <c r="BK783">
        <v>0</v>
      </c>
      <c r="BL783">
        <v>0</v>
      </c>
      <c r="BO783">
        <v>0</v>
      </c>
      <c r="BP783">
        <v>0</v>
      </c>
      <c r="BW783" t="str">
        <f>"22:12:44.260"</f>
        <v>22:12:44.260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364</v>
      </c>
      <c r="CR783">
        <v>0</v>
      </c>
      <c r="CW783">
        <v>1393615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"03/24/2022 22:12:44.452"</f>
        <v>03/24/2022 22:12:44.452</v>
      </c>
      <c r="C784" t="str">
        <f t="shared" si="217"/>
        <v>FFDFD3C0</v>
      </c>
      <c r="D784" t="s">
        <v>123</v>
      </c>
      <c r="E784">
        <v>8</v>
      </c>
      <c r="H784">
        <v>31</v>
      </c>
      <c r="I784" t="s">
        <v>124</v>
      </c>
      <c r="J784" t="s">
        <v>125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 t="shared" si="234"/>
        <v>22:12:44.000</v>
      </c>
      <c r="T784" t="str">
        <f t="shared" si="234"/>
        <v>22:12:44.000</v>
      </c>
      <c r="U784" t="str">
        <f t="shared" si="231"/>
        <v>A9D71F</v>
      </c>
      <c r="V784">
        <v>0</v>
      </c>
      <c r="W784">
        <v>0</v>
      </c>
      <c r="X784">
        <v>2</v>
      </c>
      <c r="Z784">
        <v>1</v>
      </c>
      <c r="AA784">
        <v>8</v>
      </c>
      <c r="AB784">
        <v>3</v>
      </c>
      <c r="AC784">
        <v>0</v>
      </c>
      <c r="AD784">
        <v>9</v>
      </c>
      <c r="AE784">
        <v>0</v>
      </c>
      <c r="AF784">
        <v>3</v>
      </c>
      <c r="AG784">
        <v>1</v>
      </c>
      <c r="AH784">
        <v>0</v>
      </c>
      <c r="AI784" t="s">
        <v>436</v>
      </c>
      <c r="AJ784">
        <v>33.172038000000001</v>
      </c>
      <c r="AK784" t="s">
        <v>437</v>
      </c>
      <c r="AL784">
        <v>-97.737292999999994</v>
      </c>
      <c r="AM784">
        <v>25</v>
      </c>
      <c r="AN784">
        <v>3400</v>
      </c>
      <c r="AO784" t="s">
        <v>118</v>
      </c>
      <c r="AP784">
        <v>55</v>
      </c>
      <c r="AQ784">
        <v>-86</v>
      </c>
      <c r="AR784">
        <v>0</v>
      </c>
      <c r="AZ784">
        <v>1200</v>
      </c>
      <c r="BA784">
        <v>1</v>
      </c>
      <c r="BB784" t="str">
        <f t="shared" si="219"/>
        <v xml:space="preserve">N733KP  </v>
      </c>
      <c r="BC784">
        <v>1</v>
      </c>
      <c r="BE784">
        <v>0</v>
      </c>
      <c r="BF784">
        <v>0</v>
      </c>
      <c r="BG784">
        <v>0</v>
      </c>
      <c r="BH784">
        <v>3450</v>
      </c>
      <c r="BI784">
        <v>1</v>
      </c>
      <c r="BJ784">
        <v>1</v>
      </c>
      <c r="BK784">
        <v>0</v>
      </c>
      <c r="BL784">
        <v>0</v>
      </c>
      <c r="BO784">
        <v>0</v>
      </c>
      <c r="BP784">
        <v>0</v>
      </c>
      <c r="BW784" t="str">
        <f>"22:12:44.260"</f>
        <v>22:12:44.260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364</v>
      </c>
      <c r="CR784">
        <v>0</v>
      </c>
      <c r="CW784">
        <v>1393615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"03/24/2022 22:12:45.596"</f>
        <v>03/24/2022 22:12:45.596</v>
      </c>
      <c r="C785" t="str">
        <f t="shared" si="217"/>
        <v>FFDFD3C0</v>
      </c>
      <c r="D785" t="s">
        <v>123</v>
      </c>
      <c r="E785">
        <v>8</v>
      </c>
      <c r="H785">
        <v>31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 t="shared" ref="S785:T788" si="235">"22:12:45.000"</f>
        <v>22:12:45.000</v>
      </c>
      <c r="T785" t="str">
        <f t="shared" si="235"/>
        <v>22:12:45.000</v>
      </c>
      <c r="U785" t="str">
        <f t="shared" si="231"/>
        <v>A9D71F</v>
      </c>
      <c r="V785">
        <v>0</v>
      </c>
      <c r="W785">
        <v>0</v>
      </c>
      <c r="X785">
        <v>2</v>
      </c>
      <c r="Z785">
        <v>1</v>
      </c>
      <c r="AA785">
        <v>8</v>
      </c>
      <c r="AB785">
        <v>3</v>
      </c>
      <c r="AC785">
        <v>0</v>
      </c>
      <c r="AD785">
        <v>9</v>
      </c>
      <c r="AE785">
        <v>0</v>
      </c>
      <c r="AF785">
        <v>3</v>
      </c>
      <c r="AG785">
        <v>1</v>
      </c>
      <c r="AH785">
        <v>0</v>
      </c>
      <c r="AI785" t="s">
        <v>438</v>
      </c>
      <c r="AJ785">
        <v>33.17163</v>
      </c>
      <c r="AK785" t="s">
        <v>439</v>
      </c>
      <c r="AL785">
        <v>-97.736992999999998</v>
      </c>
      <c r="AM785">
        <v>25</v>
      </c>
      <c r="AN785">
        <v>3400</v>
      </c>
      <c r="AO785" t="s">
        <v>118</v>
      </c>
      <c r="AP785">
        <v>55</v>
      </c>
      <c r="AQ785">
        <v>-87</v>
      </c>
      <c r="AR785">
        <v>-64</v>
      </c>
      <c r="AZ785">
        <v>1200</v>
      </c>
      <c r="BA785">
        <v>1</v>
      </c>
      <c r="BB785" t="str">
        <f t="shared" si="219"/>
        <v xml:space="preserve">N733KP  </v>
      </c>
      <c r="BC785">
        <v>1</v>
      </c>
      <c r="BE785">
        <v>0</v>
      </c>
      <c r="BF785">
        <v>0</v>
      </c>
      <c r="BG785">
        <v>0</v>
      </c>
      <c r="BH785">
        <v>3450</v>
      </c>
      <c r="BI785">
        <v>1</v>
      </c>
      <c r="BJ785">
        <v>1</v>
      </c>
      <c r="BK785">
        <v>0</v>
      </c>
      <c r="BL785">
        <v>0</v>
      </c>
      <c r="BO785">
        <v>0</v>
      </c>
      <c r="BP785">
        <v>0</v>
      </c>
      <c r="BW785" t="str">
        <f>"22:12:45.454"</f>
        <v>22:12:45.454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364</v>
      </c>
      <c r="CR785">
        <v>0</v>
      </c>
      <c r="CW785">
        <v>1393766</v>
      </c>
      <c r="CY785">
        <v>1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"03/24/2022 22:12:45.612"</f>
        <v>03/24/2022 22:12:45.612</v>
      </c>
      <c r="C786" t="str">
        <f t="shared" si="217"/>
        <v>FFDFD3C0</v>
      </c>
      <c r="D786" t="s">
        <v>113</v>
      </c>
      <c r="E786">
        <v>24</v>
      </c>
      <c r="F786">
        <v>2024</v>
      </c>
      <c r="G786" t="s">
        <v>114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 t="shared" si="235"/>
        <v>22:12:45.000</v>
      </c>
      <c r="T786" t="str">
        <f t="shared" si="235"/>
        <v>22:12:45.000</v>
      </c>
      <c r="U786" t="str">
        <f t="shared" si="231"/>
        <v>A9D71F</v>
      </c>
      <c r="V786">
        <v>0</v>
      </c>
      <c r="W786">
        <v>0</v>
      </c>
      <c r="X786">
        <v>2</v>
      </c>
      <c r="Z786">
        <v>1</v>
      </c>
      <c r="AA786">
        <v>8</v>
      </c>
      <c r="AB786">
        <v>3</v>
      </c>
      <c r="AC786">
        <v>0</v>
      </c>
      <c r="AD786">
        <v>9</v>
      </c>
      <c r="AE786">
        <v>0</v>
      </c>
      <c r="AF786">
        <v>3</v>
      </c>
      <c r="AG786">
        <v>1</v>
      </c>
      <c r="AH786">
        <v>0</v>
      </c>
      <c r="AI786" t="s">
        <v>438</v>
      </c>
      <c r="AJ786">
        <v>33.17163</v>
      </c>
      <c r="AK786" t="s">
        <v>439</v>
      </c>
      <c r="AL786">
        <v>-97.736992999999998</v>
      </c>
      <c r="AM786">
        <v>25</v>
      </c>
      <c r="AN786">
        <v>3400</v>
      </c>
      <c r="AO786" t="s">
        <v>118</v>
      </c>
      <c r="AP786">
        <v>55</v>
      </c>
      <c r="AQ786">
        <v>-87</v>
      </c>
      <c r="AR786">
        <v>-64</v>
      </c>
      <c r="AZ786">
        <v>1200</v>
      </c>
      <c r="BA786">
        <v>1</v>
      </c>
      <c r="BB786" t="str">
        <f t="shared" si="219"/>
        <v xml:space="preserve">N733KP  </v>
      </c>
      <c r="BC786">
        <v>1</v>
      </c>
      <c r="BE786">
        <v>0</v>
      </c>
      <c r="BF786">
        <v>0</v>
      </c>
      <c r="BG786">
        <v>0</v>
      </c>
      <c r="BH786">
        <v>3450</v>
      </c>
      <c r="BI786">
        <v>1</v>
      </c>
      <c r="BJ786">
        <v>1</v>
      </c>
      <c r="BK786">
        <v>0</v>
      </c>
      <c r="BL786">
        <v>0</v>
      </c>
      <c r="BO786">
        <v>0</v>
      </c>
      <c r="BP786">
        <v>0</v>
      </c>
      <c r="BW786" t="str">
        <f>"22:12:45.454"</f>
        <v>22:12:45.454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364</v>
      </c>
      <c r="CR786">
        <v>0</v>
      </c>
      <c r="CW786">
        <v>1393766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"03/24/2022 22:12:45.612"</f>
        <v>03/24/2022 22:12:45.612</v>
      </c>
      <c r="C787" t="str">
        <f t="shared" si="217"/>
        <v>FFDFD3C0</v>
      </c>
      <c r="D787" t="s">
        <v>126</v>
      </c>
      <c r="E787">
        <v>3</v>
      </c>
      <c r="H787">
        <v>160</v>
      </c>
      <c r="I787" t="s">
        <v>121</v>
      </c>
      <c r="J787" t="s">
        <v>127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 t="shared" si="235"/>
        <v>22:12:45.000</v>
      </c>
      <c r="T787" t="str">
        <f t="shared" si="235"/>
        <v>22:12:45.000</v>
      </c>
      <c r="U787" t="str">
        <f t="shared" si="231"/>
        <v>A9D71F</v>
      </c>
      <c r="V787">
        <v>0</v>
      </c>
      <c r="W787">
        <v>0</v>
      </c>
      <c r="X787">
        <v>2</v>
      </c>
      <c r="Z787">
        <v>1</v>
      </c>
      <c r="AA787">
        <v>8</v>
      </c>
      <c r="AB787">
        <v>3</v>
      </c>
      <c r="AC787">
        <v>0</v>
      </c>
      <c r="AD787">
        <v>9</v>
      </c>
      <c r="AE787">
        <v>0</v>
      </c>
      <c r="AF787">
        <v>3</v>
      </c>
      <c r="AG787">
        <v>1</v>
      </c>
      <c r="AH787">
        <v>0</v>
      </c>
      <c r="AI787" t="s">
        <v>438</v>
      </c>
      <c r="AJ787">
        <v>33.17163</v>
      </c>
      <c r="AK787" t="s">
        <v>439</v>
      </c>
      <c r="AL787">
        <v>-97.736992999999998</v>
      </c>
      <c r="AM787">
        <v>25</v>
      </c>
      <c r="AN787">
        <v>3400</v>
      </c>
      <c r="AO787" t="s">
        <v>118</v>
      </c>
      <c r="AP787">
        <v>55</v>
      </c>
      <c r="AQ787">
        <v>-87</v>
      </c>
      <c r="AR787">
        <v>-64</v>
      </c>
      <c r="AZ787">
        <v>1200</v>
      </c>
      <c r="BA787">
        <v>1</v>
      </c>
      <c r="BB787" t="str">
        <f t="shared" si="219"/>
        <v xml:space="preserve">N733KP  </v>
      </c>
      <c r="BC787">
        <v>1</v>
      </c>
      <c r="BE787">
        <v>0</v>
      </c>
      <c r="BF787">
        <v>0</v>
      </c>
      <c r="BG787">
        <v>0</v>
      </c>
      <c r="BH787">
        <v>3450</v>
      </c>
      <c r="BI787">
        <v>1</v>
      </c>
      <c r="BJ787">
        <v>1</v>
      </c>
      <c r="BK787">
        <v>0</v>
      </c>
      <c r="BL787">
        <v>0</v>
      </c>
      <c r="BO787">
        <v>0</v>
      </c>
      <c r="BP787">
        <v>0</v>
      </c>
      <c r="BW787" t="str">
        <f>"22:12:45.454"</f>
        <v>22:12:45.454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364</v>
      </c>
      <c r="CR787">
        <v>0</v>
      </c>
      <c r="CW787">
        <v>1393766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"03/24/2022 22:12:45.643"</f>
        <v>03/24/2022 22:12:45.643</v>
      </c>
      <c r="C788" t="str">
        <f t="shared" si="217"/>
        <v>FFDFD3C0</v>
      </c>
      <c r="D788" t="s">
        <v>120</v>
      </c>
      <c r="E788">
        <v>14</v>
      </c>
      <c r="F788">
        <v>1014</v>
      </c>
      <c r="G788" t="s">
        <v>121</v>
      </c>
      <c r="J788" t="s">
        <v>122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 t="shared" si="235"/>
        <v>22:12:45.000</v>
      </c>
      <c r="T788" t="str">
        <f t="shared" si="235"/>
        <v>22:12:45.000</v>
      </c>
      <c r="U788" t="str">
        <f t="shared" si="231"/>
        <v>A9D71F</v>
      </c>
      <c r="V788">
        <v>0</v>
      </c>
      <c r="W788">
        <v>0</v>
      </c>
      <c r="X788">
        <v>2</v>
      </c>
      <c r="Z788">
        <v>1</v>
      </c>
      <c r="AA788">
        <v>8</v>
      </c>
      <c r="AB788">
        <v>3</v>
      </c>
      <c r="AC788">
        <v>0</v>
      </c>
      <c r="AD788">
        <v>9</v>
      </c>
      <c r="AE788">
        <v>0</v>
      </c>
      <c r="AF788">
        <v>3</v>
      </c>
      <c r="AG788">
        <v>1</v>
      </c>
      <c r="AH788">
        <v>0</v>
      </c>
      <c r="AI788" t="s">
        <v>438</v>
      </c>
      <c r="AJ788">
        <v>33.17163</v>
      </c>
      <c r="AK788" t="s">
        <v>439</v>
      </c>
      <c r="AL788">
        <v>-97.736992999999998</v>
      </c>
      <c r="AM788">
        <v>25</v>
      </c>
      <c r="AN788">
        <v>3400</v>
      </c>
      <c r="AO788" t="s">
        <v>118</v>
      </c>
      <c r="AP788">
        <v>55</v>
      </c>
      <c r="AQ788">
        <v>-87</v>
      </c>
      <c r="AR788">
        <v>-64</v>
      </c>
      <c r="AZ788">
        <v>1200</v>
      </c>
      <c r="BA788">
        <v>1</v>
      </c>
      <c r="BB788" t="str">
        <f t="shared" si="219"/>
        <v xml:space="preserve">N733KP  </v>
      </c>
      <c r="BC788">
        <v>1</v>
      </c>
      <c r="BE788">
        <v>0</v>
      </c>
      <c r="BF788">
        <v>0</v>
      </c>
      <c r="BG788">
        <v>0</v>
      </c>
      <c r="BH788">
        <v>3450</v>
      </c>
      <c r="BI788">
        <v>1</v>
      </c>
      <c r="BJ788">
        <v>1</v>
      </c>
      <c r="BK788">
        <v>0</v>
      </c>
      <c r="BL788">
        <v>0</v>
      </c>
      <c r="BO788">
        <v>0</v>
      </c>
      <c r="BP788">
        <v>0</v>
      </c>
      <c r="BW788" t="str">
        <f>"22:12:45.454"</f>
        <v>22:12:45.454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364</v>
      </c>
      <c r="CR788">
        <v>0</v>
      </c>
      <c r="CW788">
        <v>1393766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"03/24/2022 22:12:46.691"</f>
        <v>03/24/2022 22:12:46.691</v>
      </c>
      <c r="C789" t="str">
        <f t="shared" si="217"/>
        <v>FFDFD3C0</v>
      </c>
      <c r="D789" t="s">
        <v>123</v>
      </c>
      <c r="E789">
        <v>8</v>
      </c>
      <c r="H789">
        <v>31</v>
      </c>
      <c r="I789" t="s">
        <v>124</v>
      </c>
      <c r="J789" t="s">
        <v>125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 t="shared" ref="S789:T792" si="236">"22:12:46.000"</f>
        <v>22:12:46.000</v>
      </c>
      <c r="T789" t="str">
        <f t="shared" si="236"/>
        <v>22:12:46.000</v>
      </c>
      <c r="U789" t="str">
        <f t="shared" si="231"/>
        <v>A9D71F</v>
      </c>
      <c r="V789">
        <v>0</v>
      </c>
      <c r="W789">
        <v>0</v>
      </c>
      <c r="X789">
        <v>2</v>
      </c>
      <c r="Z789">
        <v>1</v>
      </c>
      <c r="AA789">
        <v>8</v>
      </c>
      <c r="AB789">
        <v>3</v>
      </c>
      <c r="AC789">
        <v>0</v>
      </c>
      <c r="AD789">
        <v>9</v>
      </c>
      <c r="AE789">
        <v>0</v>
      </c>
      <c r="AF789">
        <v>3</v>
      </c>
      <c r="AG789">
        <v>1</v>
      </c>
      <c r="AH789">
        <v>0</v>
      </c>
      <c r="AI789" t="s">
        <v>440</v>
      </c>
      <c r="AJ789">
        <v>33.171201000000003</v>
      </c>
      <c r="AK789" t="s">
        <v>441</v>
      </c>
      <c r="AL789">
        <v>-97.736671000000001</v>
      </c>
      <c r="AM789">
        <v>25</v>
      </c>
      <c r="AN789">
        <v>3400</v>
      </c>
      <c r="AO789" t="s">
        <v>118</v>
      </c>
      <c r="AP789">
        <v>56</v>
      </c>
      <c r="AQ789">
        <v>-88</v>
      </c>
      <c r="AR789">
        <v>-192</v>
      </c>
      <c r="AZ789">
        <v>1200</v>
      </c>
      <c r="BA789">
        <v>1</v>
      </c>
      <c r="BB789" t="str">
        <f t="shared" si="219"/>
        <v xml:space="preserve">N733KP  </v>
      </c>
      <c r="BC789">
        <v>1</v>
      </c>
      <c r="BE789">
        <v>0</v>
      </c>
      <c r="BF789">
        <v>0</v>
      </c>
      <c r="BG789">
        <v>0</v>
      </c>
      <c r="BH789">
        <v>3400</v>
      </c>
      <c r="BI789">
        <v>1</v>
      </c>
      <c r="BJ789">
        <v>1</v>
      </c>
      <c r="BK789">
        <v>0</v>
      </c>
      <c r="BL789">
        <v>0</v>
      </c>
      <c r="BO789">
        <v>0</v>
      </c>
      <c r="BP789">
        <v>0</v>
      </c>
      <c r="BW789" t="str">
        <f>"22:12:46.478"</f>
        <v>22:12:46.478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364</v>
      </c>
      <c r="CR789">
        <v>0</v>
      </c>
      <c r="CW789">
        <v>1393883</v>
      </c>
      <c r="CY789">
        <v>1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"03/24/2022 22:12:46.691"</f>
        <v>03/24/2022 22:12:46.691</v>
      </c>
      <c r="C790" t="str">
        <f t="shared" ref="C790:C853" si="237">"FFDFD3C0"</f>
        <v>FFDFD3C0</v>
      </c>
      <c r="D790" t="s">
        <v>113</v>
      </c>
      <c r="E790">
        <v>24</v>
      </c>
      <c r="F790">
        <v>2024</v>
      </c>
      <c r="G790" t="s">
        <v>114</v>
      </c>
      <c r="J790" t="s">
        <v>115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 t="shared" si="236"/>
        <v>22:12:46.000</v>
      </c>
      <c r="T790" t="str">
        <f t="shared" si="236"/>
        <v>22:12:46.000</v>
      </c>
      <c r="U790" t="str">
        <f t="shared" si="231"/>
        <v>A9D71F</v>
      </c>
      <c r="V790">
        <v>0</v>
      </c>
      <c r="W790">
        <v>0</v>
      </c>
      <c r="X790">
        <v>2</v>
      </c>
      <c r="Z790">
        <v>1</v>
      </c>
      <c r="AA790">
        <v>8</v>
      </c>
      <c r="AB790">
        <v>3</v>
      </c>
      <c r="AC790">
        <v>0</v>
      </c>
      <c r="AD790">
        <v>9</v>
      </c>
      <c r="AE790">
        <v>0</v>
      </c>
      <c r="AF790">
        <v>3</v>
      </c>
      <c r="AG790">
        <v>1</v>
      </c>
      <c r="AH790">
        <v>0</v>
      </c>
      <c r="AI790" t="s">
        <v>440</v>
      </c>
      <c r="AJ790">
        <v>33.171201000000003</v>
      </c>
      <c r="AK790" t="s">
        <v>441</v>
      </c>
      <c r="AL790">
        <v>-97.736671000000001</v>
      </c>
      <c r="AM790">
        <v>25</v>
      </c>
      <c r="AN790">
        <v>3400</v>
      </c>
      <c r="AO790" t="s">
        <v>118</v>
      </c>
      <c r="AP790">
        <v>56</v>
      </c>
      <c r="AQ790">
        <v>-88</v>
      </c>
      <c r="AR790">
        <v>-192</v>
      </c>
      <c r="AZ790">
        <v>1200</v>
      </c>
      <c r="BA790">
        <v>1</v>
      </c>
      <c r="BB790" t="str">
        <f t="shared" ref="BB790:BB853" si="238">"N733KP  "</f>
        <v xml:space="preserve">N733KP  </v>
      </c>
      <c r="BC790">
        <v>1</v>
      </c>
      <c r="BE790">
        <v>0</v>
      </c>
      <c r="BF790">
        <v>0</v>
      </c>
      <c r="BG790">
        <v>0</v>
      </c>
      <c r="BH790">
        <v>3400</v>
      </c>
      <c r="BI790">
        <v>1</v>
      </c>
      <c r="BJ790">
        <v>1</v>
      </c>
      <c r="BK790">
        <v>0</v>
      </c>
      <c r="BL790">
        <v>0</v>
      </c>
      <c r="BO790">
        <v>0</v>
      </c>
      <c r="BP790">
        <v>0</v>
      </c>
      <c r="BW790" t="str">
        <f>"22:12:46.478"</f>
        <v>22:12:46.478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364</v>
      </c>
      <c r="CR790">
        <v>0</v>
      </c>
      <c r="CW790">
        <v>1393883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"03/24/2022 22:12:46.691"</f>
        <v>03/24/2022 22:12:46.691</v>
      </c>
      <c r="C791" t="str">
        <f t="shared" si="237"/>
        <v>FFDFD3C0</v>
      </c>
      <c r="D791" t="s">
        <v>126</v>
      </c>
      <c r="E791">
        <v>3</v>
      </c>
      <c r="H791">
        <v>160</v>
      </c>
      <c r="I791" t="s">
        <v>121</v>
      </c>
      <c r="J791" t="s">
        <v>127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 t="shared" si="236"/>
        <v>22:12:46.000</v>
      </c>
      <c r="T791" t="str">
        <f t="shared" si="236"/>
        <v>22:12:46.000</v>
      </c>
      <c r="U791" t="str">
        <f t="shared" si="231"/>
        <v>A9D71F</v>
      </c>
      <c r="V791">
        <v>0</v>
      </c>
      <c r="W791">
        <v>0</v>
      </c>
      <c r="X791">
        <v>2</v>
      </c>
      <c r="Z791">
        <v>1</v>
      </c>
      <c r="AA791">
        <v>8</v>
      </c>
      <c r="AB791">
        <v>3</v>
      </c>
      <c r="AC791">
        <v>0</v>
      </c>
      <c r="AD791">
        <v>9</v>
      </c>
      <c r="AE791">
        <v>0</v>
      </c>
      <c r="AF791">
        <v>3</v>
      </c>
      <c r="AG791">
        <v>1</v>
      </c>
      <c r="AH791">
        <v>0</v>
      </c>
      <c r="AI791" t="s">
        <v>440</v>
      </c>
      <c r="AJ791">
        <v>33.171201000000003</v>
      </c>
      <c r="AK791" t="s">
        <v>441</v>
      </c>
      <c r="AL791">
        <v>-97.736671000000001</v>
      </c>
      <c r="AM791">
        <v>25</v>
      </c>
      <c r="AN791">
        <v>3400</v>
      </c>
      <c r="AO791" t="s">
        <v>118</v>
      </c>
      <c r="AP791">
        <v>56</v>
      </c>
      <c r="AQ791">
        <v>-88</v>
      </c>
      <c r="AR791">
        <v>-192</v>
      </c>
      <c r="AZ791">
        <v>1200</v>
      </c>
      <c r="BA791">
        <v>1</v>
      </c>
      <c r="BB791" t="str">
        <f t="shared" si="238"/>
        <v xml:space="preserve">N733KP  </v>
      </c>
      <c r="BC791">
        <v>1</v>
      </c>
      <c r="BE791">
        <v>0</v>
      </c>
      <c r="BF791">
        <v>0</v>
      </c>
      <c r="BG791">
        <v>0</v>
      </c>
      <c r="BH791">
        <v>3400</v>
      </c>
      <c r="BI791">
        <v>1</v>
      </c>
      <c r="BJ791">
        <v>1</v>
      </c>
      <c r="BK791">
        <v>0</v>
      </c>
      <c r="BL791">
        <v>0</v>
      </c>
      <c r="BO791">
        <v>0</v>
      </c>
      <c r="BP791">
        <v>0</v>
      </c>
      <c r="BW791" t="str">
        <f>"22:12:46.478"</f>
        <v>22:12:46.478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364</v>
      </c>
      <c r="CR791">
        <v>0</v>
      </c>
      <c r="CW791">
        <v>1393883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"03/24/2022 22:12:46.707"</f>
        <v>03/24/2022 22:12:46.707</v>
      </c>
      <c r="C792" t="str">
        <f t="shared" si="237"/>
        <v>FFDFD3C0</v>
      </c>
      <c r="D792" t="s">
        <v>120</v>
      </c>
      <c r="E792">
        <v>14</v>
      </c>
      <c r="F792">
        <v>1014</v>
      </c>
      <c r="G792" t="s">
        <v>121</v>
      </c>
      <c r="J792" t="s">
        <v>122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 t="shared" si="236"/>
        <v>22:12:46.000</v>
      </c>
      <c r="T792" t="str">
        <f t="shared" si="236"/>
        <v>22:12:46.000</v>
      </c>
      <c r="U792" t="str">
        <f t="shared" si="231"/>
        <v>A9D71F</v>
      </c>
      <c r="V792">
        <v>0</v>
      </c>
      <c r="W792">
        <v>0</v>
      </c>
      <c r="X792">
        <v>2</v>
      </c>
      <c r="Z792">
        <v>1</v>
      </c>
      <c r="AA792">
        <v>8</v>
      </c>
      <c r="AB792">
        <v>3</v>
      </c>
      <c r="AC792">
        <v>0</v>
      </c>
      <c r="AD792">
        <v>9</v>
      </c>
      <c r="AE792">
        <v>0</v>
      </c>
      <c r="AF792">
        <v>3</v>
      </c>
      <c r="AG792">
        <v>1</v>
      </c>
      <c r="AH792">
        <v>0</v>
      </c>
      <c r="AI792" t="s">
        <v>440</v>
      </c>
      <c r="AJ792">
        <v>33.171201000000003</v>
      </c>
      <c r="AK792" t="s">
        <v>441</v>
      </c>
      <c r="AL792">
        <v>-97.736671000000001</v>
      </c>
      <c r="AM792">
        <v>25</v>
      </c>
      <c r="AN792">
        <v>3400</v>
      </c>
      <c r="AO792" t="s">
        <v>118</v>
      </c>
      <c r="AP792">
        <v>56</v>
      </c>
      <c r="AQ792">
        <v>-88</v>
      </c>
      <c r="AR792">
        <v>-192</v>
      </c>
      <c r="AZ792">
        <v>1200</v>
      </c>
      <c r="BA792">
        <v>1</v>
      </c>
      <c r="BB792" t="str">
        <f t="shared" si="238"/>
        <v xml:space="preserve">N733KP  </v>
      </c>
      <c r="BC792">
        <v>1</v>
      </c>
      <c r="BE792">
        <v>0</v>
      </c>
      <c r="BF792">
        <v>0</v>
      </c>
      <c r="BG792">
        <v>0</v>
      </c>
      <c r="BH792">
        <v>3400</v>
      </c>
      <c r="BI792">
        <v>1</v>
      </c>
      <c r="BJ792">
        <v>1</v>
      </c>
      <c r="BK792">
        <v>0</v>
      </c>
      <c r="BL792">
        <v>0</v>
      </c>
      <c r="BO792">
        <v>0</v>
      </c>
      <c r="BP792">
        <v>0</v>
      </c>
      <c r="BW792" t="str">
        <f>"22:12:46.478"</f>
        <v>22:12:46.478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364</v>
      </c>
      <c r="CR792">
        <v>0</v>
      </c>
      <c r="CW792">
        <v>1393883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"03/24/2022 22:12:47.926"</f>
        <v>03/24/2022 22:12:47.926</v>
      </c>
      <c r="C793" t="str">
        <f t="shared" si="237"/>
        <v>FFDFD3C0</v>
      </c>
      <c r="D793" t="s">
        <v>123</v>
      </c>
      <c r="E793">
        <v>8</v>
      </c>
      <c r="H793">
        <v>31</v>
      </c>
      <c r="I793" t="s">
        <v>124</v>
      </c>
      <c r="J793" t="s">
        <v>125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 t="shared" ref="S793:T796" si="239">"22:12:47.000"</f>
        <v>22:12:47.000</v>
      </c>
      <c r="T793" t="str">
        <f t="shared" si="239"/>
        <v>22:12:47.000</v>
      </c>
      <c r="U793" t="str">
        <f t="shared" si="231"/>
        <v>A9D71F</v>
      </c>
      <c r="V793">
        <v>0</v>
      </c>
      <c r="W793">
        <v>0</v>
      </c>
      <c r="X793">
        <v>2</v>
      </c>
      <c r="Z793">
        <v>1</v>
      </c>
      <c r="AA793">
        <v>8</v>
      </c>
      <c r="AB793">
        <v>3</v>
      </c>
      <c r="AC793">
        <v>0</v>
      </c>
      <c r="AD793">
        <v>9</v>
      </c>
      <c r="AE793">
        <v>0</v>
      </c>
      <c r="AF793">
        <v>3</v>
      </c>
      <c r="AG793">
        <v>1</v>
      </c>
      <c r="AH793">
        <v>0</v>
      </c>
      <c r="AI793" t="s">
        <v>442</v>
      </c>
      <c r="AJ793">
        <v>33.170814999999997</v>
      </c>
      <c r="AK793" t="s">
        <v>443</v>
      </c>
      <c r="AL793">
        <v>-97.736371000000005</v>
      </c>
      <c r="AM793">
        <v>25</v>
      </c>
      <c r="AN793">
        <v>3400</v>
      </c>
      <c r="AO793" t="s">
        <v>118</v>
      </c>
      <c r="AP793">
        <v>55</v>
      </c>
      <c r="AQ793">
        <v>-88</v>
      </c>
      <c r="AR793">
        <v>-320</v>
      </c>
      <c r="AZ793">
        <v>1200</v>
      </c>
      <c r="BA793">
        <v>1</v>
      </c>
      <c r="BB793" t="str">
        <f t="shared" si="238"/>
        <v xml:space="preserve">N733KP  </v>
      </c>
      <c r="BC793">
        <v>1</v>
      </c>
      <c r="BE793">
        <v>0</v>
      </c>
      <c r="BF793">
        <v>0</v>
      </c>
      <c r="BG793">
        <v>0</v>
      </c>
      <c r="BH793">
        <v>3400</v>
      </c>
      <c r="BI793">
        <v>1</v>
      </c>
      <c r="BJ793">
        <v>1</v>
      </c>
      <c r="BK793">
        <v>0</v>
      </c>
      <c r="BL793">
        <v>0</v>
      </c>
      <c r="BO793">
        <v>0</v>
      </c>
      <c r="BP793">
        <v>0</v>
      </c>
      <c r="BW793" t="str">
        <f>"22:12:47.679"</f>
        <v>22:12:47.679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364</v>
      </c>
      <c r="CR793">
        <v>0</v>
      </c>
      <c r="CW793">
        <v>1394028</v>
      </c>
      <c r="CY793">
        <v>1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"03/24/2022 22:12:47.926"</f>
        <v>03/24/2022 22:12:47.926</v>
      </c>
      <c r="C794" t="str">
        <f t="shared" si="237"/>
        <v>FFDFD3C0</v>
      </c>
      <c r="D794" t="s">
        <v>126</v>
      </c>
      <c r="E794">
        <v>3</v>
      </c>
      <c r="H794">
        <v>160</v>
      </c>
      <c r="I794" t="s">
        <v>121</v>
      </c>
      <c r="J794" t="s">
        <v>127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 t="shared" si="239"/>
        <v>22:12:47.000</v>
      </c>
      <c r="T794" t="str">
        <f t="shared" si="239"/>
        <v>22:12:47.000</v>
      </c>
      <c r="U794" t="str">
        <f t="shared" si="231"/>
        <v>A9D71F</v>
      </c>
      <c r="V794">
        <v>0</v>
      </c>
      <c r="W794">
        <v>0</v>
      </c>
      <c r="X794">
        <v>2</v>
      </c>
      <c r="Z794">
        <v>1</v>
      </c>
      <c r="AA794">
        <v>8</v>
      </c>
      <c r="AB794">
        <v>3</v>
      </c>
      <c r="AC794">
        <v>0</v>
      </c>
      <c r="AD794">
        <v>9</v>
      </c>
      <c r="AE794">
        <v>0</v>
      </c>
      <c r="AF794">
        <v>3</v>
      </c>
      <c r="AG794">
        <v>1</v>
      </c>
      <c r="AH794">
        <v>0</v>
      </c>
      <c r="AI794" t="s">
        <v>442</v>
      </c>
      <c r="AJ794">
        <v>33.170814999999997</v>
      </c>
      <c r="AK794" t="s">
        <v>443</v>
      </c>
      <c r="AL794">
        <v>-97.736371000000005</v>
      </c>
      <c r="AM794">
        <v>25</v>
      </c>
      <c r="AN794">
        <v>3400</v>
      </c>
      <c r="AO794" t="s">
        <v>118</v>
      </c>
      <c r="AP794">
        <v>55</v>
      </c>
      <c r="AQ794">
        <v>-88</v>
      </c>
      <c r="AR794">
        <v>-320</v>
      </c>
      <c r="AZ794">
        <v>1200</v>
      </c>
      <c r="BA794">
        <v>1</v>
      </c>
      <c r="BB794" t="str">
        <f t="shared" si="238"/>
        <v xml:space="preserve">N733KP  </v>
      </c>
      <c r="BC794">
        <v>1</v>
      </c>
      <c r="BE794">
        <v>0</v>
      </c>
      <c r="BF794">
        <v>0</v>
      </c>
      <c r="BG794">
        <v>0</v>
      </c>
      <c r="BH794">
        <v>3400</v>
      </c>
      <c r="BI794">
        <v>1</v>
      </c>
      <c r="BJ794">
        <v>1</v>
      </c>
      <c r="BK794">
        <v>0</v>
      </c>
      <c r="BL794">
        <v>0</v>
      </c>
      <c r="BO794">
        <v>0</v>
      </c>
      <c r="BP794">
        <v>0</v>
      </c>
      <c r="BW794" t="str">
        <f>"22:12:47.679"</f>
        <v>22:12:47.679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364</v>
      </c>
      <c r="CR794">
        <v>0</v>
      </c>
      <c r="CW794">
        <v>1394028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"03/24/2022 22:12:47.926"</f>
        <v>03/24/2022 22:12:47.926</v>
      </c>
      <c r="C795" t="str">
        <f t="shared" si="237"/>
        <v>FFDFD3C0</v>
      </c>
      <c r="D795" t="s">
        <v>120</v>
      </c>
      <c r="E795">
        <v>14</v>
      </c>
      <c r="F795">
        <v>1014</v>
      </c>
      <c r="G795" t="s">
        <v>121</v>
      </c>
      <c r="J795" t="s">
        <v>122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 t="shared" si="239"/>
        <v>22:12:47.000</v>
      </c>
      <c r="T795" t="str">
        <f t="shared" si="239"/>
        <v>22:12:47.000</v>
      </c>
      <c r="U795" t="str">
        <f t="shared" si="231"/>
        <v>A9D71F</v>
      </c>
      <c r="V795">
        <v>0</v>
      </c>
      <c r="W795">
        <v>0</v>
      </c>
      <c r="X795">
        <v>2</v>
      </c>
      <c r="Z795">
        <v>1</v>
      </c>
      <c r="AA795">
        <v>8</v>
      </c>
      <c r="AB795">
        <v>3</v>
      </c>
      <c r="AC795">
        <v>0</v>
      </c>
      <c r="AD795">
        <v>9</v>
      </c>
      <c r="AE795">
        <v>0</v>
      </c>
      <c r="AF795">
        <v>3</v>
      </c>
      <c r="AG795">
        <v>1</v>
      </c>
      <c r="AH795">
        <v>0</v>
      </c>
      <c r="AI795" t="s">
        <v>442</v>
      </c>
      <c r="AJ795">
        <v>33.170814999999997</v>
      </c>
      <c r="AK795" t="s">
        <v>443</v>
      </c>
      <c r="AL795">
        <v>-97.736371000000005</v>
      </c>
      <c r="AM795">
        <v>25</v>
      </c>
      <c r="AN795">
        <v>3400</v>
      </c>
      <c r="AO795" t="s">
        <v>118</v>
      </c>
      <c r="AP795">
        <v>55</v>
      </c>
      <c r="AQ795">
        <v>-88</v>
      </c>
      <c r="AR795">
        <v>-320</v>
      </c>
      <c r="AZ795">
        <v>1200</v>
      </c>
      <c r="BA795">
        <v>1</v>
      </c>
      <c r="BB795" t="str">
        <f t="shared" si="238"/>
        <v xml:space="preserve">N733KP  </v>
      </c>
      <c r="BC795">
        <v>1</v>
      </c>
      <c r="BE795">
        <v>0</v>
      </c>
      <c r="BF795">
        <v>0</v>
      </c>
      <c r="BG795">
        <v>0</v>
      </c>
      <c r="BH795">
        <v>3400</v>
      </c>
      <c r="BI795">
        <v>1</v>
      </c>
      <c r="BJ795">
        <v>1</v>
      </c>
      <c r="BK795">
        <v>0</v>
      </c>
      <c r="BL795">
        <v>0</v>
      </c>
      <c r="BO795">
        <v>0</v>
      </c>
      <c r="BP795">
        <v>0</v>
      </c>
      <c r="BW795" t="str">
        <f>"22:12:47.679"</f>
        <v>22:12:47.679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364</v>
      </c>
      <c r="CR795">
        <v>0</v>
      </c>
      <c r="CW795">
        <v>1394028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"03/24/2022 22:12:47.926"</f>
        <v>03/24/2022 22:12:47.926</v>
      </c>
      <c r="C796" t="str">
        <f t="shared" si="237"/>
        <v>FFDFD3C0</v>
      </c>
      <c r="D796" t="s">
        <v>113</v>
      </c>
      <c r="E796">
        <v>24</v>
      </c>
      <c r="F796">
        <v>2024</v>
      </c>
      <c r="G796" t="s">
        <v>114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 t="shared" si="239"/>
        <v>22:12:47.000</v>
      </c>
      <c r="T796" t="str">
        <f t="shared" si="239"/>
        <v>22:12:47.000</v>
      </c>
      <c r="U796" t="str">
        <f t="shared" si="231"/>
        <v>A9D71F</v>
      </c>
      <c r="V796">
        <v>0</v>
      </c>
      <c r="W796">
        <v>0</v>
      </c>
      <c r="X796">
        <v>2</v>
      </c>
      <c r="Z796">
        <v>1</v>
      </c>
      <c r="AA796">
        <v>8</v>
      </c>
      <c r="AB796">
        <v>3</v>
      </c>
      <c r="AC796">
        <v>0</v>
      </c>
      <c r="AD796">
        <v>9</v>
      </c>
      <c r="AE796">
        <v>0</v>
      </c>
      <c r="AF796">
        <v>3</v>
      </c>
      <c r="AG796">
        <v>1</v>
      </c>
      <c r="AH796">
        <v>0</v>
      </c>
      <c r="AI796" t="s">
        <v>442</v>
      </c>
      <c r="AJ796">
        <v>33.170814999999997</v>
      </c>
      <c r="AK796" t="s">
        <v>443</v>
      </c>
      <c r="AL796">
        <v>-97.736371000000005</v>
      </c>
      <c r="AM796">
        <v>25</v>
      </c>
      <c r="AN796">
        <v>3400</v>
      </c>
      <c r="AO796" t="s">
        <v>118</v>
      </c>
      <c r="AP796">
        <v>55</v>
      </c>
      <c r="AQ796">
        <v>-88</v>
      </c>
      <c r="AR796">
        <v>-320</v>
      </c>
      <c r="AZ796">
        <v>1200</v>
      </c>
      <c r="BA796">
        <v>1</v>
      </c>
      <c r="BB796" t="str">
        <f t="shared" si="238"/>
        <v xml:space="preserve">N733KP  </v>
      </c>
      <c r="BC796">
        <v>1</v>
      </c>
      <c r="BE796">
        <v>0</v>
      </c>
      <c r="BF796">
        <v>0</v>
      </c>
      <c r="BG796">
        <v>0</v>
      </c>
      <c r="BH796">
        <v>3400</v>
      </c>
      <c r="BI796">
        <v>1</v>
      </c>
      <c r="BJ796">
        <v>1</v>
      </c>
      <c r="BK796">
        <v>0</v>
      </c>
      <c r="BL796">
        <v>0</v>
      </c>
      <c r="BO796">
        <v>0</v>
      </c>
      <c r="BP796">
        <v>0</v>
      </c>
      <c r="BW796" t="str">
        <f>"22:12:47.679"</f>
        <v>22:12:47.679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364</v>
      </c>
      <c r="CR796">
        <v>0</v>
      </c>
      <c r="CW796">
        <v>1394028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"03/24/2022 22:12:49.084"</f>
        <v>03/24/2022 22:12:49.084</v>
      </c>
      <c r="C797" t="str">
        <f t="shared" si="237"/>
        <v>FFDFD3C0</v>
      </c>
      <c r="D797" t="s">
        <v>113</v>
      </c>
      <c r="E797">
        <v>24</v>
      </c>
      <c r="F797">
        <v>2024</v>
      </c>
      <c r="G797" t="s">
        <v>114</v>
      </c>
      <c r="J797" t="s">
        <v>115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 t="shared" ref="S797:T800" si="240">"22:12:48.000"</f>
        <v>22:12:48.000</v>
      </c>
      <c r="T797" t="str">
        <f t="shared" si="240"/>
        <v>22:12:48.000</v>
      </c>
      <c r="U797" t="str">
        <f t="shared" si="231"/>
        <v>A9D71F</v>
      </c>
      <c r="V797">
        <v>0</v>
      </c>
      <c r="W797">
        <v>0</v>
      </c>
      <c r="X797">
        <v>2</v>
      </c>
      <c r="Z797">
        <v>1</v>
      </c>
      <c r="AA797">
        <v>8</v>
      </c>
      <c r="AB797">
        <v>3</v>
      </c>
      <c r="AC797">
        <v>0</v>
      </c>
      <c r="AD797">
        <v>9</v>
      </c>
      <c r="AE797">
        <v>0</v>
      </c>
      <c r="AF797">
        <v>3</v>
      </c>
      <c r="AG797">
        <v>1</v>
      </c>
      <c r="AH797">
        <v>0</v>
      </c>
      <c r="AI797" t="s">
        <v>444</v>
      </c>
      <c r="AJ797">
        <v>33.170363999999999</v>
      </c>
      <c r="AK797" t="s">
        <v>445</v>
      </c>
      <c r="AL797">
        <v>-97.736048999999994</v>
      </c>
      <c r="AM797">
        <v>25</v>
      </c>
      <c r="AN797">
        <v>3400</v>
      </c>
      <c r="AO797" t="s">
        <v>118</v>
      </c>
      <c r="AP797">
        <v>55</v>
      </c>
      <c r="AQ797">
        <v>-88</v>
      </c>
      <c r="AR797">
        <v>-320</v>
      </c>
      <c r="AZ797">
        <v>1200</v>
      </c>
      <c r="BA797">
        <v>1</v>
      </c>
      <c r="BB797" t="str">
        <f t="shared" si="238"/>
        <v xml:space="preserve">N733KP  </v>
      </c>
      <c r="BC797">
        <v>1</v>
      </c>
      <c r="BE797">
        <v>0</v>
      </c>
      <c r="BF797">
        <v>0</v>
      </c>
      <c r="BG797">
        <v>0</v>
      </c>
      <c r="BH797">
        <v>3400</v>
      </c>
      <c r="BI797">
        <v>1</v>
      </c>
      <c r="BJ797">
        <v>1</v>
      </c>
      <c r="BK797">
        <v>0</v>
      </c>
      <c r="BL797">
        <v>0</v>
      </c>
      <c r="BO797">
        <v>0</v>
      </c>
      <c r="BP797">
        <v>0</v>
      </c>
      <c r="BW797" t="str">
        <f>"22:12:48.894"</f>
        <v>22:12:48.894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3</v>
      </c>
      <c r="CP797" t="s">
        <v>119</v>
      </c>
      <c r="CQ797">
        <v>365</v>
      </c>
      <c r="CR797">
        <v>0</v>
      </c>
      <c r="CW797">
        <v>11436650</v>
      </c>
      <c r="CY797">
        <v>1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"03/24/2022 22:12:49.209"</f>
        <v>03/24/2022 22:12:49.209</v>
      </c>
      <c r="C798" t="str">
        <f t="shared" si="237"/>
        <v>FFDFD3C0</v>
      </c>
      <c r="D798" t="s">
        <v>123</v>
      </c>
      <c r="E798">
        <v>8</v>
      </c>
      <c r="H798">
        <v>31</v>
      </c>
      <c r="I798" t="s">
        <v>124</v>
      </c>
      <c r="J798" t="s">
        <v>125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 t="shared" si="240"/>
        <v>22:12:48.000</v>
      </c>
      <c r="T798" t="str">
        <f t="shared" si="240"/>
        <v>22:12:48.000</v>
      </c>
      <c r="U798" t="str">
        <f t="shared" si="231"/>
        <v>A9D71F</v>
      </c>
      <c r="V798">
        <v>0</v>
      </c>
      <c r="W798">
        <v>0</v>
      </c>
      <c r="X798">
        <v>2</v>
      </c>
      <c r="Z798">
        <v>1</v>
      </c>
      <c r="AA798">
        <v>8</v>
      </c>
      <c r="AB798">
        <v>3</v>
      </c>
      <c r="AC798">
        <v>0</v>
      </c>
      <c r="AD798">
        <v>9</v>
      </c>
      <c r="AE798">
        <v>0</v>
      </c>
      <c r="AF798">
        <v>3</v>
      </c>
      <c r="AG798">
        <v>1</v>
      </c>
      <c r="AH798">
        <v>0</v>
      </c>
      <c r="AI798" t="s">
        <v>444</v>
      </c>
      <c r="AJ798">
        <v>33.170363999999999</v>
      </c>
      <c r="AK798" t="s">
        <v>445</v>
      </c>
      <c r="AL798">
        <v>-97.736048999999994</v>
      </c>
      <c r="AM798">
        <v>25</v>
      </c>
      <c r="AN798">
        <v>3400</v>
      </c>
      <c r="AO798" t="s">
        <v>118</v>
      </c>
      <c r="AP798">
        <v>55</v>
      </c>
      <c r="AQ798">
        <v>-88</v>
      </c>
      <c r="AR798">
        <v>-320</v>
      </c>
      <c r="AZ798">
        <v>1200</v>
      </c>
      <c r="BA798">
        <v>1</v>
      </c>
      <c r="BB798" t="str">
        <f t="shared" si="238"/>
        <v xml:space="preserve">N733KP  </v>
      </c>
      <c r="BC798">
        <v>1</v>
      </c>
      <c r="BE798">
        <v>0</v>
      </c>
      <c r="BF798">
        <v>0</v>
      </c>
      <c r="BG798">
        <v>0</v>
      </c>
      <c r="BH798">
        <v>3400</v>
      </c>
      <c r="BI798">
        <v>1</v>
      </c>
      <c r="BJ798">
        <v>1</v>
      </c>
      <c r="BK798">
        <v>0</v>
      </c>
      <c r="BL798">
        <v>0</v>
      </c>
      <c r="BO798">
        <v>0</v>
      </c>
      <c r="BP798">
        <v>0</v>
      </c>
      <c r="BW798" t="str">
        <f>"22:12:48.894"</f>
        <v>22:12:48.894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3</v>
      </c>
      <c r="CP798" t="s">
        <v>119</v>
      </c>
      <c r="CQ798">
        <v>365</v>
      </c>
      <c r="CR798">
        <v>0</v>
      </c>
      <c r="CW798">
        <v>11436650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"03/24/2022 22:12:49.209"</f>
        <v>03/24/2022 22:12:49.209</v>
      </c>
      <c r="C799" t="str">
        <f t="shared" si="237"/>
        <v>FFDFD3C0</v>
      </c>
      <c r="D799" t="s">
        <v>126</v>
      </c>
      <c r="E799">
        <v>3</v>
      </c>
      <c r="H799">
        <v>160</v>
      </c>
      <c r="I799" t="s">
        <v>121</v>
      </c>
      <c r="J799" t="s">
        <v>127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 t="shared" si="240"/>
        <v>22:12:48.000</v>
      </c>
      <c r="T799" t="str">
        <f t="shared" si="240"/>
        <v>22:12:48.000</v>
      </c>
      <c r="U799" t="str">
        <f t="shared" si="231"/>
        <v>A9D71F</v>
      </c>
      <c r="V799">
        <v>0</v>
      </c>
      <c r="W799">
        <v>0</v>
      </c>
      <c r="X799">
        <v>2</v>
      </c>
      <c r="Z799">
        <v>1</v>
      </c>
      <c r="AA799">
        <v>8</v>
      </c>
      <c r="AB799">
        <v>3</v>
      </c>
      <c r="AC799">
        <v>0</v>
      </c>
      <c r="AD799">
        <v>9</v>
      </c>
      <c r="AE799">
        <v>0</v>
      </c>
      <c r="AF799">
        <v>3</v>
      </c>
      <c r="AG799">
        <v>1</v>
      </c>
      <c r="AH799">
        <v>0</v>
      </c>
      <c r="AI799" t="s">
        <v>444</v>
      </c>
      <c r="AJ799">
        <v>33.170363999999999</v>
      </c>
      <c r="AK799" t="s">
        <v>445</v>
      </c>
      <c r="AL799">
        <v>-97.736048999999994</v>
      </c>
      <c r="AM799">
        <v>25</v>
      </c>
      <c r="AN799">
        <v>3400</v>
      </c>
      <c r="AO799" t="s">
        <v>118</v>
      </c>
      <c r="AP799">
        <v>55</v>
      </c>
      <c r="AQ799">
        <v>-88</v>
      </c>
      <c r="AR799">
        <v>-320</v>
      </c>
      <c r="AZ799">
        <v>1200</v>
      </c>
      <c r="BA799">
        <v>1</v>
      </c>
      <c r="BB799" t="str">
        <f t="shared" si="238"/>
        <v xml:space="preserve">N733KP  </v>
      </c>
      <c r="BC799">
        <v>1</v>
      </c>
      <c r="BE799">
        <v>0</v>
      </c>
      <c r="BF799">
        <v>0</v>
      </c>
      <c r="BG799">
        <v>0</v>
      </c>
      <c r="BH799">
        <v>3400</v>
      </c>
      <c r="BI799">
        <v>1</v>
      </c>
      <c r="BJ799">
        <v>1</v>
      </c>
      <c r="BK799">
        <v>0</v>
      </c>
      <c r="BL799">
        <v>0</v>
      </c>
      <c r="BO799">
        <v>0</v>
      </c>
      <c r="BP799">
        <v>0</v>
      </c>
      <c r="BW799" t="str">
        <f>"22:12:48.894"</f>
        <v>22:12:48.894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3</v>
      </c>
      <c r="CP799" t="s">
        <v>119</v>
      </c>
      <c r="CQ799">
        <v>365</v>
      </c>
      <c r="CR799">
        <v>0</v>
      </c>
      <c r="CW799">
        <v>11436650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"03/24/2022 22:12:49.209"</f>
        <v>03/24/2022 22:12:49.209</v>
      </c>
      <c r="C800" t="str">
        <f t="shared" si="237"/>
        <v>FFDFD3C0</v>
      </c>
      <c r="D800" t="s">
        <v>120</v>
      </c>
      <c r="E800">
        <v>14</v>
      </c>
      <c r="F800">
        <v>1014</v>
      </c>
      <c r="G800" t="s">
        <v>121</v>
      </c>
      <c r="J800" t="s">
        <v>122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 t="shared" si="240"/>
        <v>22:12:48.000</v>
      </c>
      <c r="T800" t="str">
        <f t="shared" si="240"/>
        <v>22:12:48.000</v>
      </c>
      <c r="U800" t="str">
        <f t="shared" si="231"/>
        <v>A9D71F</v>
      </c>
      <c r="V800">
        <v>0</v>
      </c>
      <c r="W800">
        <v>0</v>
      </c>
      <c r="X800">
        <v>2</v>
      </c>
      <c r="Z800">
        <v>1</v>
      </c>
      <c r="AA800">
        <v>8</v>
      </c>
      <c r="AB800">
        <v>3</v>
      </c>
      <c r="AC800">
        <v>0</v>
      </c>
      <c r="AD800">
        <v>9</v>
      </c>
      <c r="AE800">
        <v>0</v>
      </c>
      <c r="AF800">
        <v>3</v>
      </c>
      <c r="AG800">
        <v>1</v>
      </c>
      <c r="AH800">
        <v>0</v>
      </c>
      <c r="AI800" t="s">
        <v>444</v>
      </c>
      <c r="AJ800">
        <v>33.170363999999999</v>
      </c>
      <c r="AK800" t="s">
        <v>445</v>
      </c>
      <c r="AL800">
        <v>-97.736048999999994</v>
      </c>
      <c r="AM800">
        <v>25</v>
      </c>
      <c r="AN800">
        <v>3400</v>
      </c>
      <c r="AO800" t="s">
        <v>118</v>
      </c>
      <c r="AP800">
        <v>55</v>
      </c>
      <c r="AQ800">
        <v>-88</v>
      </c>
      <c r="AR800">
        <v>-320</v>
      </c>
      <c r="AZ800">
        <v>1200</v>
      </c>
      <c r="BA800">
        <v>1</v>
      </c>
      <c r="BB800" t="str">
        <f t="shared" si="238"/>
        <v xml:space="preserve">N733KP  </v>
      </c>
      <c r="BC800">
        <v>1</v>
      </c>
      <c r="BE800">
        <v>0</v>
      </c>
      <c r="BF800">
        <v>0</v>
      </c>
      <c r="BG800">
        <v>0</v>
      </c>
      <c r="BH800">
        <v>3400</v>
      </c>
      <c r="BI800">
        <v>1</v>
      </c>
      <c r="BJ800">
        <v>1</v>
      </c>
      <c r="BK800">
        <v>0</v>
      </c>
      <c r="BL800">
        <v>0</v>
      </c>
      <c r="BO800">
        <v>0</v>
      </c>
      <c r="BP800">
        <v>0</v>
      </c>
      <c r="BW800" t="str">
        <f>"22:12:48.894"</f>
        <v>22:12:48.894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3</v>
      </c>
      <c r="CP800" t="s">
        <v>119</v>
      </c>
      <c r="CQ800">
        <v>365</v>
      </c>
      <c r="CR800">
        <v>0</v>
      </c>
      <c r="CW800">
        <v>11436650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"03/24/2022 22:12:49.912"</f>
        <v>03/24/2022 22:12:49.912</v>
      </c>
      <c r="C801" t="str">
        <f t="shared" si="237"/>
        <v>FFDFD3C0</v>
      </c>
      <c r="D801" t="s">
        <v>123</v>
      </c>
      <c r="E801">
        <v>8</v>
      </c>
      <c r="H801">
        <v>31</v>
      </c>
      <c r="I801" t="s">
        <v>124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 t="shared" ref="S801:T804" si="241">"22:12:49.000"</f>
        <v>22:12:49.000</v>
      </c>
      <c r="T801" t="str">
        <f t="shared" si="241"/>
        <v>22:12:49.000</v>
      </c>
      <c r="U801" t="str">
        <f t="shared" si="231"/>
        <v>A9D71F</v>
      </c>
      <c r="V801">
        <v>0</v>
      </c>
      <c r="W801">
        <v>0</v>
      </c>
      <c r="X801">
        <v>2</v>
      </c>
      <c r="Z801">
        <v>1</v>
      </c>
      <c r="AA801">
        <v>8</v>
      </c>
      <c r="AB801">
        <v>3</v>
      </c>
      <c r="AC801">
        <v>0</v>
      </c>
      <c r="AD801">
        <v>9</v>
      </c>
      <c r="AE801">
        <v>0</v>
      </c>
      <c r="AF801">
        <v>3</v>
      </c>
      <c r="AG801">
        <v>1</v>
      </c>
      <c r="AH801">
        <v>0</v>
      </c>
      <c r="AI801" t="s">
        <v>446</v>
      </c>
      <c r="AJ801">
        <v>33.169978</v>
      </c>
      <c r="AK801" t="s">
        <v>447</v>
      </c>
      <c r="AL801">
        <v>-97.735748000000001</v>
      </c>
      <c r="AM801">
        <v>25</v>
      </c>
      <c r="AN801">
        <v>3400</v>
      </c>
      <c r="AO801" t="s">
        <v>118</v>
      </c>
      <c r="AP801">
        <v>55</v>
      </c>
      <c r="AQ801">
        <v>-87</v>
      </c>
      <c r="AR801">
        <v>-320</v>
      </c>
      <c r="AZ801">
        <v>1200</v>
      </c>
      <c r="BA801">
        <v>1</v>
      </c>
      <c r="BB801" t="str">
        <f t="shared" si="238"/>
        <v xml:space="preserve">N733KP  </v>
      </c>
      <c r="BC801">
        <v>1</v>
      </c>
      <c r="BE801">
        <v>0</v>
      </c>
      <c r="BF801">
        <v>0</v>
      </c>
      <c r="BG801">
        <v>0</v>
      </c>
      <c r="BH801">
        <v>3400</v>
      </c>
      <c r="BI801">
        <v>1</v>
      </c>
      <c r="BJ801">
        <v>1</v>
      </c>
      <c r="BK801">
        <v>0</v>
      </c>
      <c r="BL801">
        <v>0</v>
      </c>
      <c r="BO801">
        <v>0</v>
      </c>
      <c r="BP801">
        <v>0</v>
      </c>
      <c r="BW801" t="str">
        <f>"22:12:49.702"</f>
        <v>22:12:49.702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364</v>
      </c>
      <c r="CR801">
        <v>0</v>
      </c>
      <c r="CW801">
        <v>1394277</v>
      </c>
      <c r="CY801">
        <v>1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"03/24/2022 22:12:49.912"</f>
        <v>03/24/2022 22:12:49.912</v>
      </c>
      <c r="C802" t="str">
        <f t="shared" si="237"/>
        <v>FFDFD3C0</v>
      </c>
      <c r="D802" t="s">
        <v>120</v>
      </c>
      <c r="E802">
        <v>14</v>
      </c>
      <c r="F802">
        <v>1014</v>
      </c>
      <c r="G802" t="s">
        <v>121</v>
      </c>
      <c r="J802" t="s">
        <v>122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 t="shared" si="241"/>
        <v>22:12:49.000</v>
      </c>
      <c r="T802" t="str">
        <f t="shared" si="241"/>
        <v>22:12:49.000</v>
      </c>
      <c r="U802" t="str">
        <f t="shared" si="231"/>
        <v>A9D71F</v>
      </c>
      <c r="V802">
        <v>0</v>
      </c>
      <c r="W802">
        <v>0</v>
      </c>
      <c r="X802">
        <v>2</v>
      </c>
      <c r="Z802">
        <v>1</v>
      </c>
      <c r="AA802">
        <v>8</v>
      </c>
      <c r="AB802">
        <v>3</v>
      </c>
      <c r="AC802">
        <v>0</v>
      </c>
      <c r="AD802">
        <v>9</v>
      </c>
      <c r="AE802">
        <v>0</v>
      </c>
      <c r="AF802">
        <v>3</v>
      </c>
      <c r="AG802">
        <v>1</v>
      </c>
      <c r="AH802">
        <v>0</v>
      </c>
      <c r="AI802" t="s">
        <v>446</v>
      </c>
      <c r="AJ802">
        <v>33.169978</v>
      </c>
      <c r="AK802" t="s">
        <v>447</v>
      </c>
      <c r="AL802">
        <v>-97.735748000000001</v>
      </c>
      <c r="AM802">
        <v>25</v>
      </c>
      <c r="AN802">
        <v>3400</v>
      </c>
      <c r="AO802" t="s">
        <v>118</v>
      </c>
      <c r="AP802">
        <v>55</v>
      </c>
      <c r="AQ802">
        <v>-87</v>
      </c>
      <c r="AR802">
        <v>-320</v>
      </c>
      <c r="AZ802">
        <v>1200</v>
      </c>
      <c r="BA802">
        <v>1</v>
      </c>
      <c r="BB802" t="str">
        <f t="shared" si="238"/>
        <v xml:space="preserve">N733KP  </v>
      </c>
      <c r="BC802">
        <v>1</v>
      </c>
      <c r="BE802">
        <v>0</v>
      </c>
      <c r="BF802">
        <v>0</v>
      </c>
      <c r="BG802">
        <v>0</v>
      </c>
      <c r="BH802">
        <v>3400</v>
      </c>
      <c r="BI802">
        <v>1</v>
      </c>
      <c r="BJ802">
        <v>1</v>
      </c>
      <c r="BK802">
        <v>0</v>
      </c>
      <c r="BL802">
        <v>0</v>
      </c>
      <c r="BO802">
        <v>0</v>
      </c>
      <c r="BP802">
        <v>0</v>
      </c>
      <c r="BW802" t="str">
        <f>"22:12:49.702"</f>
        <v>22:12:49.702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364</v>
      </c>
      <c r="CR802">
        <v>0</v>
      </c>
      <c r="CW802">
        <v>1394277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"03/24/2022 22:12:49.912"</f>
        <v>03/24/2022 22:12:49.912</v>
      </c>
      <c r="C803" t="str">
        <f t="shared" si="237"/>
        <v>FFDFD3C0</v>
      </c>
      <c r="D803" t="s">
        <v>126</v>
      </c>
      <c r="E803">
        <v>3</v>
      </c>
      <c r="H803">
        <v>160</v>
      </c>
      <c r="I803" t="s">
        <v>121</v>
      </c>
      <c r="J803" t="s">
        <v>127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 t="shared" si="241"/>
        <v>22:12:49.000</v>
      </c>
      <c r="T803" t="str">
        <f t="shared" si="241"/>
        <v>22:12:49.000</v>
      </c>
      <c r="U803" t="str">
        <f t="shared" si="231"/>
        <v>A9D71F</v>
      </c>
      <c r="V803">
        <v>0</v>
      </c>
      <c r="W803">
        <v>0</v>
      </c>
      <c r="X803">
        <v>2</v>
      </c>
      <c r="Z803">
        <v>1</v>
      </c>
      <c r="AA803">
        <v>8</v>
      </c>
      <c r="AB803">
        <v>3</v>
      </c>
      <c r="AC803">
        <v>0</v>
      </c>
      <c r="AD803">
        <v>9</v>
      </c>
      <c r="AE803">
        <v>0</v>
      </c>
      <c r="AF803">
        <v>3</v>
      </c>
      <c r="AG803">
        <v>1</v>
      </c>
      <c r="AH803">
        <v>0</v>
      </c>
      <c r="AI803" t="s">
        <v>446</v>
      </c>
      <c r="AJ803">
        <v>33.169978</v>
      </c>
      <c r="AK803" t="s">
        <v>447</v>
      </c>
      <c r="AL803">
        <v>-97.735748000000001</v>
      </c>
      <c r="AM803">
        <v>25</v>
      </c>
      <c r="AN803">
        <v>3400</v>
      </c>
      <c r="AO803" t="s">
        <v>118</v>
      </c>
      <c r="AP803">
        <v>55</v>
      </c>
      <c r="AQ803">
        <v>-87</v>
      </c>
      <c r="AR803">
        <v>-320</v>
      </c>
      <c r="AZ803">
        <v>1200</v>
      </c>
      <c r="BA803">
        <v>1</v>
      </c>
      <c r="BB803" t="str">
        <f t="shared" si="238"/>
        <v xml:space="preserve">N733KP  </v>
      </c>
      <c r="BC803">
        <v>1</v>
      </c>
      <c r="BE803">
        <v>0</v>
      </c>
      <c r="BF803">
        <v>0</v>
      </c>
      <c r="BG803">
        <v>0</v>
      </c>
      <c r="BH803">
        <v>3400</v>
      </c>
      <c r="BI803">
        <v>1</v>
      </c>
      <c r="BJ803">
        <v>1</v>
      </c>
      <c r="BK803">
        <v>0</v>
      </c>
      <c r="BL803">
        <v>0</v>
      </c>
      <c r="BO803">
        <v>0</v>
      </c>
      <c r="BP803">
        <v>0</v>
      </c>
      <c r="BW803" t="str">
        <f>"22:12:49.702"</f>
        <v>22:12:49.702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364</v>
      </c>
      <c r="CR803">
        <v>0</v>
      </c>
      <c r="CW803">
        <v>1394277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"03/24/2022 22:12:49.912"</f>
        <v>03/24/2022 22:12:49.912</v>
      </c>
      <c r="C804" t="str">
        <f t="shared" si="237"/>
        <v>FFDFD3C0</v>
      </c>
      <c r="D804" t="s">
        <v>113</v>
      </c>
      <c r="E804">
        <v>24</v>
      </c>
      <c r="F804">
        <v>2024</v>
      </c>
      <c r="G804" t="s">
        <v>114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 t="shared" si="241"/>
        <v>22:12:49.000</v>
      </c>
      <c r="T804" t="str">
        <f t="shared" si="241"/>
        <v>22:12:49.000</v>
      </c>
      <c r="U804" t="str">
        <f t="shared" si="231"/>
        <v>A9D71F</v>
      </c>
      <c r="V804">
        <v>0</v>
      </c>
      <c r="W804">
        <v>0</v>
      </c>
      <c r="X804">
        <v>2</v>
      </c>
      <c r="Z804">
        <v>1</v>
      </c>
      <c r="AA804">
        <v>8</v>
      </c>
      <c r="AB804">
        <v>3</v>
      </c>
      <c r="AC804">
        <v>0</v>
      </c>
      <c r="AD804">
        <v>9</v>
      </c>
      <c r="AE804">
        <v>0</v>
      </c>
      <c r="AF804">
        <v>3</v>
      </c>
      <c r="AG804">
        <v>1</v>
      </c>
      <c r="AH804">
        <v>0</v>
      </c>
      <c r="AI804" t="s">
        <v>446</v>
      </c>
      <c r="AJ804">
        <v>33.169978</v>
      </c>
      <c r="AK804" t="s">
        <v>447</v>
      </c>
      <c r="AL804">
        <v>-97.735748000000001</v>
      </c>
      <c r="AM804">
        <v>25</v>
      </c>
      <c r="AN804">
        <v>3400</v>
      </c>
      <c r="AO804" t="s">
        <v>118</v>
      </c>
      <c r="AP804">
        <v>55</v>
      </c>
      <c r="AQ804">
        <v>-87</v>
      </c>
      <c r="AR804">
        <v>-320</v>
      </c>
      <c r="AZ804">
        <v>1200</v>
      </c>
      <c r="BA804">
        <v>1</v>
      </c>
      <c r="BB804" t="str">
        <f t="shared" si="238"/>
        <v xml:space="preserve">N733KP  </v>
      </c>
      <c r="BC804">
        <v>1</v>
      </c>
      <c r="BE804">
        <v>0</v>
      </c>
      <c r="BF804">
        <v>0</v>
      </c>
      <c r="BG804">
        <v>0</v>
      </c>
      <c r="BH804">
        <v>3400</v>
      </c>
      <c r="BI804">
        <v>1</v>
      </c>
      <c r="BJ804">
        <v>1</v>
      </c>
      <c r="BK804">
        <v>0</v>
      </c>
      <c r="BL804">
        <v>0</v>
      </c>
      <c r="BO804">
        <v>0</v>
      </c>
      <c r="BP804">
        <v>0</v>
      </c>
      <c r="BW804" t="str">
        <f>"22:12:49.702"</f>
        <v>22:12:49.702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364</v>
      </c>
      <c r="CR804">
        <v>0</v>
      </c>
      <c r="CW804">
        <v>1394277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"03/24/2022 22:12:50.881"</f>
        <v>03/24/2022 22:12:50.881</v>
      </c>
      <c r="C805" t="str">
        <f t="shared" si="237"/>
        <v>FFDFD3C0</v>
      </c>
      <c r="D805" t="s">
        <v>126</v>
      </c>
      <c r="E805">
        <v>3</v>
      </c>
      <c r="H805">
        <v>160</v>
      </c>
      <c r="I805" t="s">
        <v>121</v>
      </c>
      <c r="J805" t="s">
        <v>127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 t="shared" ref="S805:T808" si="242">"22:12:50.000"</f>
        <v>22:12:50.000</v>
      </c>
      <c r="T805" t="str">
        <f t="shared" si="242"/>
        <v>22:12:50.000</v>
      </c>
      <c r="U805" t="str">
        <f t="shared" si="231"/>
        <v>A9D71F</v>
      </c>
      <c r="V805">
        <v>0</v>
      </c>
      <c r="W805">
        <v>0</v>
      </c>
      <c r="X805">
        <v>2</v>
      </c>
      <c r="Z805">
        <v>1</v>
      </c>
      <c r="AA805">
        <v>8</v>
      </c>
      <c r="AB805">
        <v>3</v>
      </c>
      <c r="AC805">
        <v>0</v>
      </c>
      <c r="AD805">
        <v>9</v>
      </c>
      <c r="AE805">
        <v>0</v>
      </c>
      <c r="AF805">
        <v>3</v>
      </c>
      <c r="AG805">
        <v>1</v>
      </c>
      <c r="AH805">
        <v>0</v>
      </c>
      <c r="AI805" t="s">
        <v>448</v>
      </c>
      <c r="AJ805">
        <v>33.169590999999997</v>
      </c>
      <c r="AK805" t="s">
        <v>449</v>
      </c>
      <c r="AL805">
        <v>-97.735468999999995</v>
      </c>
      <c r="AM805">
        <v>25</v>
      </c>
      <c r="AN805">
        <v>3400</v>
      </c>
      <c r="AO805" t="s">
        <v>118</v>
      </c>
      <c r="AP805">
        <v>56</v>
      </c>
      <c r="AQ805">
        <v>-87</v>
      </c>
      <c r="AR805">
        <v>-256</v>
      </c>
      <c r="AZ805">
        <v>1200</v>
      </c>
      <c r="BA805">
        <v>1</v>
      </c>
      <c r="BB805" t="str">
        <f t="shared" si="238"/>
        <v xml:space="preserve">N733KP  </v>
      </c>
      <c r="BC805">
        <v>1</v>
      </c>
      <c r="BE805">
        <v>0</v>
      </c>
      <c r="BF805">
        <v>0</v>
      </c>
      <c r="BG805">
        <v>0</v>
      </c>
      <c r="BH805">
        <v>3400</v>
      </c>
      <c r="BI805">
        <v>1</v>
      </c>
      <c r="BJ805">
        <v>1</v>
      </c>
      <c r="BK805">
        <v>0</v>
      </c>
      <c r="BL805">
        <v>0</v>
      </c>
      <c r="BO805">
        <v>0</v>
      </c>
      <c r="BP805">
        <v>0</v>
      </c>
      <c r="BW805" t="str">
        <f>"22:12:50.707"</f>
        <v>22:12:50.707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364</v>
      </c>
      <c r="CR805">
        <v>0</v>
      </c>
      <c r="CW805">
        <v>1394395</v>
      </c>
      <c r="CY805">
        <v>1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"03/24/2022 22:12:50.881"</f>
        <v>03/24/2022 22:12:50.881</v>
      </c>
      <c r="C806" t="str">
        <f t="shared" si="237"/>
        <v>FFDFD3C0</v>
      </c>
      <c r="D806" t="s">
        <v>120</v>
      </c>
      <c r="E806">
        <v>14</v>
      </c>
      <c r="F806">
        <v>1014</v>
      </c>
      <c r="G806" t="s">
        <v>121</v>
      </c>
      <c r="J806" t="s">
        <v>122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 t="shared" si="242"/>
        <v>22:12:50.000</v>
      </c>
      <c r="T806" t="str">
        <f t="shared" si="242"/>
        <v>22:12:50.000</v>
      </c>
      <c r="U806" t="str">
        <f t="shared" si="231"/>
        <v>A9D71F</v>
      </c>
      <c r="V806">
        <v>0</v>
      </c>
      <c r="W806">
        <v>0</v>
      </c>
      <c r="X806">
        <v>2</v>
      </c>
      <c r="Z806">
        <v>1</v>
      </c>
      <c r="AA806">
        <v>8</v>
      </c>
      <c r="AB806">
        <v>3</v>
      </c>
      <c r="AC806">
        <v>0</v>
      </c>
      <c r="AD806">
        <v>9</v>
      </c>
      <c r="AE806">
        <v>0</v>
      </c>
      <c r="AF806">
        <v>3</v>
      </c>
      <c r="AG806">
        <v>1</v>
      </c>
      <c r="AH806">
        <v>0</v>
      </c>
      <c r="AI806" t="s">
        <v>448</v>
      </c>
      <c r="AJ806">
        <v>33.169590999999997</v>
      </c>
      <c r="AK806" t="s">
        <v>449</v>
      </c>
      <c r="AL806">
        <v>-97.735468999999995</v>
      </c>
      <c r="AM806">
        <v>25</v>
      </c>
      <c r="AN806">
        <v>3400</v>
      </c>
      <c r="AO806" t="s">
        <v>118</v>
      </c>
      <c r="AP806">
        <v>56</v>
      </c>
      <c r="AQ806">
        <v>-87</v>
      </c>
      <c r="AR806">
        <v>-256</v>
      </c>
      <c r="AZ806">
        <v>1200</v>
      </c>
      <c r="BA806">
        <v>1</v>
      </c>
      <c r="BB806" t="str">
        <f t="shared" si="238"/>
        <v xml:space="preserve">N733KP  </v>
      </c>
      <c r="BC806">
        <v>1</v>
      </c>
      <c r="BE806">
        <v>0</v>
      </c>
      <c r="BF806">
        <v>0</v>
      </c>
      <c r="BG806">
        <v>0</v>
      </c>
      <c r="BH806">
        <v>3400</v>
      </c>
      <c r="BI806">
        <v>1</v>
      </c>
      <c r="BJ806">
        <v>1</v>
      </c>
      <c r="BK806">
        <v>0</v>
      </c>
      <c r="BL806">
        <v>0</v>
      </c>
      <c r="BO806">
        <v>0</v>
      </c>
      <c r="BP806">
        <v>0</v>
      </c>
      <c r="BW806" t="str">
        <f>"22:12:50.707"</f>
        <v>22:12:50.707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364</v>
      </c>
      <c r="CR806">
        <v>0</v>
      </c>
      <c r="CW806">
        <v>1394395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"03/24/2022 22:12:50.881"</f>
        <v>03/24/2022 22:12:50.881</v>
      </c>
      <c r="C807" t="str">
        <f t="shared" si="237"/>
        <v>FFDFD3C0</v>
      </c>
      <c r="D807" t="s">
        <v>113</v>
      </c>
      <c r="E807">
        <v>24</v>
      </c>
      <c r="F807">
        <v>2024</v>
      </c>
      <c r="G807" t="s">
        <v>114</v>
      </c>
      <c r="J807" t="s">
        <v>115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 t="shared" si="242"/>
        <v>22:12:50.000</v>
      </c>
      <c r="T807" t="str">
        <f t="shared" si="242"/>
        <v>22:12:50.000</v>
      </c>
      <c r="U807" t="str">
        <f t="shared" si="231"/>
        <v>A9D71F</v>
      </c>
      <c r="V807">
        <v>0</v>
      </c>
      <c r="W807">
        <v>0</v>
      </c>
      <c r="X807">
        <v>2</v>
      </c>
      <c r="Z807">
        <v>1</v>
      </c>
      <c r="AA807">
        <v>8</v>
      </c>
      <c r="AB807">
        <v>3</v>
      </c>
      <c r="AC807">
        <v>0</v>
      </c>
      <c r="AD807">
        <v>9</v>
      </c>
      <c r="AE807">
        <v>0</v>
      </c>
      <c r="AF807">
        <v>3</v>
      </c>
      <c r="AG807">
        <v>1</v>
      </c>
      <c r="AH807">
        <v>0</v>
      </c>
      <c r="AI807" t="s">
        <v>448</v>
      </c>
      <c r="AJ807">
        <v>33.169590999999997</v>
      </c>
      <c r="AK807" t="s">
        <v>449</v>
      </c>
      <c r="AL807">
        <v>-97.735468999999995</v>
      </c>
      <c r="AM807">
        <v>25</v>
      </c>
      <c r="AN807">
        <v>3400</v>
      </c>
      <c r="AO807" t="s">
        <v>118</v>
      </c>
      <c r="AP807">
        <v>56</v>
      </c>
      <c r="AQ807">
        <v>-87</v>
      </c>
      <c r="AR807">
        <v>-256</v>
      </c>
      <c r="AZ807">
        <v>1200</v>
      </c>
      <c r="BA807">
        <v>1</v>
      </c>
      <c r="BB807" t="str">
        <f t="shared" si="238"/>
        <v xml:space="preserve">N733KP  </v>
      </c>
      <c r="BC807">
        <v>1</v>
      </c>
      <c r="BE807">
        <v>0</v>
      </c>
      <c r="BF807">
        <v>0</v>
      </c>
      <c r="BG807">
        <v>0</v>
      </c>
      <c r="BH807">
        <v>3400</v>
      </c>
      <c r="BI807">
        <v>1</v>
      </c>
      <c r="BJ807">
        <v>1</v>
      </c>
      <c r="BK807">
        <v>0</v>
      </c>
      <c r="BL807">
        <v>0</v>
      </c>
      <c r="BO807">
        <v>0</v>
      </c>
      <c r="BP807">
        <v>0</v>
      </c>
      <c r="BW807" t="str">
        <f>"22:12:50.707"</f>
        <v>22:12:50.707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364</v>
      </c>
      <c r="CR807">
        <v>0</v>
      </c>
      <c r="CW807">
        <v>1394395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"03/24/2022 22:12:50.928"</f>
        <v>03/24/2022 22:12:50.928</v>
      </c>
      <c r="C808" t="str">
        <f t="shared" si="237"/>
        <v>FFDFD3C0</v>
      </c>
      <c r="D808" t="s">
        <v>123</v>
      </c>
      <c r="E808">
        <v>8</v>
      </c>
      <c r="H808">
        <v>31</v>
      </c>
      <c r="I808" t="s">
        <v>124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 t="shared" si="242"/>
        <v>22:12:50.000</v>
      </c>
      <c r="T808" t="str">
        <f t="shared" si="242"/>
        <v>22:12:50.000</v>
      </c>
      <c r="U808" t="str">
        <f t="shared" si="231"/>
        <v>A9D71F</v>
      </c>
      <c r="V808">
        <v>0</v>
      </c>
      <c r="W808">
        <v>0</v>
      </c>
      <c r="X808">
        <v>2</v>
      </c>
      <c r="Z808">
        <v>1</v>
      </c>
      <c r="AA808">
        <v>8</v>
      </c>
      <c r="AB808">
        <v>3</v>
      </c>
      <c r="AC808">
        <v>0</v>
      </c>
      <c r="AD808">
        <v>9</v>
      </c>
      <c r="AE808">
        <v>0</v>
      </c>
      <c r="AF808">
        <v>3</v>
      </c>
      <c r="AG808">
        <v>1</v>
      </c>
      <c r="AH808">
        <v>0</v>
      </c>
      <c r="AI808" t="s">
        <v>448</v>
      </c>
      <c r="AJ808">
        <v>33.169590999999997</v>
      </c>
      <c r="AK808" t="s">
        <v>449</v>
      </c>
      <c r="AL808">
        <v>-97.735468999999995</v>
      </c>
      <c r="AM808">
        <v>25</v>
      </c>
      <c r="AN808">
        <v>3400</v>
      </c>
      <c r="AO808" t="s">
        <v>118</v>
      </c>
      <c r="AP808">
        <v>56</v>
      </c>
      <c r="AQ808">
        <v>-87</v>
      </c>
      <c r="AR808">
        <v>-256</v>
      </c>
      <c r="AZ808">
        <v>1200</v>
      </c>
      <c r="BA808">
        <v>1</v>
      </c>
      <c r="BB808" t="str">
        <f t="shared" si="238"/>
        <v xml:space="preserve">N733KP  </v>
      </c>
      <c r="BC808">
        <v>1</v>
      </c>
      <c r="BE808">
        <v>0</v>
      </c>
      <c r="BF808">
        <v>0</v>
      </c>
      <c r="BG808">
        <v>0</v>
      </c>
      <c r="BH808">
        <v>3400</v>
      </c>
      <c r="BI808">
        <v>1</v>
      </c>
      <c r="BJ808">
        <v>1</v>
      </c>
      <c r="BK808">
        <v>0</v>
      </c>
      <c r="BL808">
        <v>0</v>
      </c>
      <c r="BO808">
        <v>0</v>
      </c>
      <c r="BP808">
        <v>0</v>
      </c>
      <c r="BW808" t="str">
        <f>"22:12:50.707"</f>
        <v>22:12:50.707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364</v>
      </c>
      <c r="CR808">
        <v>0</v>
      </c>
      <c r="CW808">
        <v>1394395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"03/24/2022 22:12:51.491"</f>
        <v>03/24/2022 22:12:51.491</v>
      </c>
      <c r="C809" t="str">
        <f t="shared" si="237"/>
        <v>FFDFD3C0</v>
      </c>
      <c r="D809" t="s">
        <v>113</v>
      </c>
      <c r="E809">
        <v>24</v>
      </c>
      <c r="F809">
        <v>2024</v>
      </c>
      <c r="G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 t="shared" ref="S809:T812" si="243">"22:12:51.000"</f>
        <v>22:12:51.000</v>
      </c>
      <c r="T809" t="str">
        <f t="shared" si="243"/>
        <v>22:12:51.000</v>
      </c>
      <c r="U809" t="str">
        <f t="shared" si="231"/>
        <v>A9D71F</v>
      </c>
      <c r="V809">
        <v>0</v>
      </c>
      <c r="W809">
        <v>0</v>
      </c>
      <c r="X809">
        <v>2</v>
      </c>
      <c r="Z809">
        <v>1</v>
      </c>
      <c r="AA809">
        <v>7</v>
      </c>
      <c r="AB809">
        <v>3</v>
      </c>
      <c r="AC809">
        <v>0</v>
      </c>
      <c r="AD809">
        <v>9</v>
      </c>
      <c r="AE809">
        <v>0</v>
      </c>
      <c r="AF809">
        <v>3</v>
      </c>
      <c r="AG809">
        <v>1</v>
      </c>
      <c r="AH809">
        <v>0</v>
      </c>
      <c r="AI809" t="s">
        <v>450</v>
      </c>
      <c r="AJ809">
        <v>33.169184000000001</v>
      </c>
      <c r="AK809" t="s">
        <v>451</v>
      </c>
      <c r="AL809">
        <v>-97.735168999999999</v>
      </c>
      <c r="AM809">
        <v>25</v>
      </c>
      <c r="AN809">
        <v>3400</v>
      </c>
      <c r="AO809" t="s">
        <v>118</v>
      </c>
      <c r="AP809">
        <v>56</v>
      </c>
      <c r="AQ809">
        <v>-86</v>
      </c>
      <c r="AR809">
        <v>-192</v>
      </c>
      <c r="AZ809">
        <v>1200</v>
      </c>
      <c r="BA809">
        <v>1</v>
      </c>
      <c r="BB809" t="str">
        <f t="shared" si="238"/>
        <v xml:space="preserve">N733KP  </v>
      </c>
      <c r="BC809">
        <v>1</v>
      </c>
      <c r="BE809">
        <v>0</v>
      </c>
      <c r="BF809">
        <v>0</v>
      </c>
      <c r="BG809">
        <v>0</v>
      </c>
      <c r="BH809">
        <v>3375</v>
      </c>
      <c r="BI809">
        <v>1</v>
      </c>
      <c r="BJ809">
        <v>1</v>
      </c>
      <c r="BK809">
        <v>0</v>
      </c>
      <c r="BL809">
        <v>0</v>
      </c>
      <c r="BO809">
        <v>0</v>
      </c>
      <c r="BP809">
        <v>0</v>
      </c>
      <c r="BW809" t="str">
        <f>"22:12:51.322"</f>
        <v>22:12:51.322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364</v>
      </c>
      <c r="CR809">
        <v>0</v>
      </c>
      <c r="CW809">
        <v>1394460</v>
      </c>
      <c r="CY809">
        <v>1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"03/24/2022 22:12:51.522"</f>
        <v>03/24/2022 22:12:51.522</v>
      </c>
      <c r="C810" t="str">
        <f t="shared" si="237"/>
        <v>FFDFD3C0</v>
      </c>
      <c r="D810" t="s">
        <v>123</v>
      </c>
      <c r="E810">
        <v>8</v>
      </c>
      <c r="H810">
        <v>31</v>
      </c>
      <c r="I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 t="shared" si="243"/>
        <v>22:12:51.000</v>
      </c>
      <c r="T810" t="str">
        <f t="shared" si="243"/>
        <v>22:12:51.000</v>
      </c>
      <c r="U810" t="str">
        <f t="shared" si="231"/>
        <v>A9D71F</v>
      </c>
      <c r="V810">
        <v>0</v>
      </c>
      <c r="W810">
        <v>0</v>
      </c>
      <c r="X810">
        <v>2</v>
      </c>
      <c r="Z810">
        <v>1</v>
      </c>
      <c r="AA810">
        <v>7</v>
      </c>
      <c r="AB810">
        <v>3</v>
      </c>
      <c r="AC810">
        <v>0</v>
      </c>
      <c r="AD810">
        <v>9</v>
      </c>
      <c r="AE810">
        <v>0</v>
      </c>
      <c r="AF810">
        <v>3</v>
      </c>
      <c r="AG810">
        <v>1</v>
      </c>
      <c r="AH810">
        <v>0</v>
      </c>
      <c r="AI810" t="s">
        <v>450</v>
      </c>
      <c r="AJ810">
        <v>33.169184000000001</v>
      </c>
      <c r="AK810" t="s">
        <v>451</v>
      </c>
      <c r="AL810">
        <v>-97.735168999999999</v>
      </c>
      <c r="AM810">
        <v>25</v>
      </c>
      <c r="AN810">
        <v>3400</v>
      </c>
      <c r="AO810" t="s">
        <v>118</v>
      </c>
      <c r="AP810">
        <v>56</v>
      </c>
      <c r="AQ810">
        <v>-86</v>
      </c>
      <c r="AR810">
        <v>-192</v>
      </c>
      <c r="AZ810">
        <v>1200</v>
      </c>
      <c r="BA810">
        <v>1</v>
      </c>
      <c r="BB810" t="str">
        <f t="shared" si="238"/>
        <v xml:space="preserve">N733KP  </v>
      </c>
      <c r="BC810">
        <v>1</v>
      </c>
      <c r="BE810">
        <v>0</v>
      </c>
      <c r="BF810">
        <v>0</v>
      </c>
      <c r="BG810">
        <v>0</v>
      </c>
      <c r="BH810">
        <v>3375</v>
      </c>
      <c r="BI810">
        <v>1</v>
      </c>
      <c r="BJ810">
        <v>1</v>
      </c>
      <c r="BK810">
        <v>0</v>
      </c>
      <c r="BL810">
        <v>0</v>
      </c>
      <c r="BO810">
        <v>0</v>
      </c>
      <c r="BP810">
        <v>0</v>
      </c>
      <c r="BW810" t="str">
        <f>"22:12:51.322"</f>
        <v>22:12:51.322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364</v>
      </c>
      <c r="CR810">
        <v>0</v>
      </c>
      <c r="CW810">
        <v>1394460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"03/24/2022 22:12:51.522"</f>
        <v>03/24/2022 22:12:51.522</v>
      </c>
      <c r="C811" t="str">
        <f t="shared" si="237"/>
        <v>FFDFD3C0</v>
      </c>
      <c r="D811" t="s">
        <v>126</v>
      </c>
      <c r="E811">
        <v>3</v>
      </c>
      <c r="H811">
        <v>160</v>
      </c>
      <c r="I811" t="s">
        <v>121</v>
      </c>
      <c r="J811" t="s">
        <v>127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 t="shared" si="243"/>
        <v>22:12:51.000</v>
      </c>
      <c r="T811" t="str">
        <f t="shared" si="243"/>
        <v>22:12:51.000</v>
      </c>
      <c r="U811" t="str">
        <f t="shared" si="231"/>
        <v>A9D71F</v>
      </c>
      <c r="V811">
        <v>0</v>
      </c>
      <c r="W811">
        <v>0</v>
      </c>
      <c r="X811">
        <v>2</v>
      </c>
      <c r="Z811">
        <v>1</v>
      </c>
      <c r="AA811">
        <v>7</v>
      </c>
      <c r="AB811">
        <v>3</v>
      </c>
      <c r="AC811">
        <v>0</v>
      </c>
      <c r="AD811">
        <v>9</v>
      </c>
      <c r="AE811">
        <v>0</v>
      </c>
      <c r="AF811">
        <v>3</v>
      </c>
      <c r="AG811">
        <v>1</v>
      </c>
      <c r="AH811">
        <v>0</v>
      </c>
      <c r="AI811" t="s">
        <v>450</v>
      </c>
      <c r="AJ811">
        <v>33.169184000000001</v>
      </c>
      <c r="AK811" t="s">
        <v>451</v>
      </c>
      <c r="AL811">
        <v>-97.735168999999999</v>
      </c>
      <c r="AM811">
        <v>25</v>
      </c>
      <c r="AN811">
        <v>3400</v>
      </c>
      <c r="AO811" t="s">
        <v>118</v>
      </c>
      <c r="AP811">
        <v>56</v>
      </c>
      <c r="AQ811">
        <v>-86</v>
      </c>
      <c r="AR811">
        <v>-192</v>
      </c>
      <c r="AZ811">
        <v>1200</v>
      </c>
      <c r="BA811">
        <v>1</v>
      </c>
      <c r="BB811" t="str">
        <f t="shared" si="238"/>
        <v xml:space="preserve">N733KP  </v>
      </c>
      <c r="BC811">
        <v>1</v>
      </c>
      <c r="BE811">
        <v>0</v>
      </c>
      <c r="BF811">
        <v>0</v>
      </c>
      <c r="BG811">
        <v>0</v>
      </c>
      <c r="BH811">
        <v>3375</v>
      </c>
      <c r="BI811">
        <v>1</v>
      </c>
      <c r="BJ811">
        <v>1</v>
      </c>
      <c r="BK811">
        <v>0</v>
      </c>
      <c r="BL811">
        <v>0</v>
      </c>
      <c r="BO811">
        <v>0</v>
      </c>
      <c r="BP811">
        <v>0</v>
      </c>
      <c r="BW811" t="str">
        <f>"22:12:51.322"</f>
        <v>22:12:51.322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364</v>
      </c>
      <c r="CR811">
        <v>0</v>
      </c>
      <c r="CW811">
        <v>1394460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"03/24/2022 22:12:51.522"</f>
        <v>03/24/2022 22:12:51.522</v>
      </c>
      <c r="C812" t="str">
        <f t="shared" si="237"/>
        <v>FFDFD3C0</v>
      </c>
      <c r="D812" t="s">
        <v>120</v>
      </c>
      <c r="E812">
        <v>14</v>
      </c>
      <c r="F812">
        <v>1014</v>
      </c>
      <c r="G812" t="s">
        <v>121</v>
      </c>
      <c r="J812" t="s">
        <v>122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 t="shared" si="243"/>
        <v>22:12:51.000</v>
      </c>
      <c r="T812" t="str">
        <f t="shared" si="243"/>
        <v>22:12:51.000</v>
      </c>
      <c r="U812" t="str">
        <f t="shared" si="231"/>
        <v>A9D71F</v>
      </c>
      <c r="V812">
        <v>0</v>
      </c>
      <c r="W812">
        <v>0</v>
      </c>
      <c r="X812">
        <v>2</v>
      </c>
      <c r="Z812">
        <v>1</v>
      </c>
      <c r="AA812">
        <v>7</v>
      </c>
      <c r="AB812">
        <v>3</v>
      </c>
      <c r="AC812">
        <v>0</v>
      </c>
      <c r="AD812">
        <v>9</v>
      </c>
      <c r="AE812">
        <v>0</v>
      </c>
      <c r="AF812">
        <v>3</v>
      </c>
      <c r="AG812">
        <v>1</v>
      </c>
      <c r="AH812">
        <v>0</v>
      </c>
      <c r="AI812" t="s">
        <v>450</v>
      </c>
      <c r="AJ812">
        <v>33.169184000000001</v>
      </c>
      <c r="AK812" t="s">
        <v>451</v>
      </c>
      <c r="AL812">
        <v>-97.735168999999999</v>
      </c>
      <c r="AM812">
        <v>25</v>
      </c>
      <c r="AN812">
        <v>3400</v>
      </c>
      <c r="AO812" t="s">
        <v>118</v>
      </c>
      <c r="AP812">
        <v>56</v>
      </c>
      <c r="AQ812">
        <v>-86</v>
      </c>
      <c r="AR812">
        <v>-192</v>
      </c>
      <c r="AZ812">
        <v>1200</v>
      </c>
      <c r="BA812">
        <v>1</v>
      </c>
      <c r="BB812" t="str">
        <f t="shared" si="238"/>
        <v xml:space="preserve">N733KP  </v>
      </c>
      <c r="BC812">
        <v>1</v>
      </c>
      <c r="BE812">
        <v>0</v>
      </c>
      <c r="BF812">
        <v>0</v>
      </c>
      <c r="BG812">
        <v>0</v>
      </c>
      <c r="BH812">
        <v>3375</v>
      </c>
      <c r="BI812">
        <v>1</v>
      </c>
      <c r="BJ812">
        <v>1</v>
      </c>
      <c r="BK812">
        <v>0</v>
      </c>
      <c r="BL812">
        <v>0</v>
      </c>
      <c r="BO812">
        <v>0</v>
      </c>
      <c r="BP812">
        <v>0</v>
      </c>
      <c r="BW812" t="str">
        <f>"22:12:51.322"</f>
        <v>22:12:51.322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364</v>
      </c>
      <c r="CR812">
        <v>0</v>
      </c>
      <c r="CW812">
        <v>1394460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"03/24/2022 22:12:52.882"</f>
        <v>03/24/2022 22:12:52.882</v>
      </c>
      <c r="C813" t="str">
        <f t="shared" si="237"/>
        <v>FFDFD3C0</v>
      </c>
      <c r="D813" t="s">
        <v>126</v>
      </c>
      <c r="E813">
        <v>3</v>
      </c>
      <c r="H813">
        <v>160</v>
      </c>
      <c r="I813" t="s">
        <v>121</v>
      </c>
      <c r="J813" t="s">
        <v>127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 t="shared" ref="S813:T816" si="244">"22:12:52.000"</f>
        <v>22:12:52.000</v>
      </c>
      <c r="T813" t="str">
        <f t="shared" si="244"/>
        <v>22:12:52.000</v>
      </c>
      <c r="U813" t="str">
        <f t="shared" si="231"/>
        <v>A9D71F</v>
      </c>
      <c r="V813">
        <v>0</v>
      </c>
      <c r="W813">
        <v>0</v>
      </c>
      <c r="X813">
        <v>2</v>
      </c>
      <c r="Z813">
        <v>1</v>
      </c>
      <c r="AA813">
        <v>7</v>
      </c>
      <c r="AB813">
        <v>3</v>
      </c>
      <c r="AC813">
        <v>0</v>
      </c>
      <c r="AD813">
        <v>9</v>
      </c>
      <c r="AE813">
        <v>0</v>
      </c>
      <c r="AF813">
        <v>3</v>
      </c>
      <c r="AG813">
        <v>1</v>
      </c>
      <c r="AH813">
        <v>0</v>
      </c>
      <c r="AI813" t="s">
        <v>452</v>
      </c>
      <c r="AJ813">
        <v>33.168776000000001</v>
      </c>
      <c r="AK813" t="s">
        <v>453</v>
      </c>
      <c r="AL813">
        <v>-97.734869000000003</v>
      </c>
      <c r="AM813">
        <v>25</v>
      </c>
      <c r="AN813">
        <v>3400</v>
      </c>
      <c r="AO813" t="s">
        <v>118</v>
      </c>
      <c r="AP813">
        <v>57</v>
      </c>
      <c r="AQ813">
        <v>-87</v>
      </c>
      <c r="AR813">
        <v>-192</v>
      </c>
      <c r="AZ813">
        <v>1200</v>
      </c>
      <c r="BA813">
        <v>1</v>
      </c>
      <c r="BB813" t="str">
        <f t="shared" si="238"/>
        <v xml:space="preserve">N733KP  </v>
      </c>
      <c r="BC813">
        <v>1</v>
      </c>
      <c r="BE813">
        <v>0</v>
      </c>
      <c r="BF813">
        <v>0</v>
      </c>
      <c r="BG813">
        <v>0</v>
      </c>
      <c r="BH813">
        <v>3375</v>
      </c>
      <c r="BI813">
        <v>1</v>
      </c>
      <c r="BJ813">
        <v>1</v>
      </c>
      <c r="BK813">
        <v>0</v>
      </c>
      <c r="BL813">
        <v>0</v>
      </c>
      <c r="BO813">
        <v>0</v>
      </c>
      <c r="BP813">
        <v>0</v>
      </c>
      <c r="BW813" t="str">
        <f>"22:12:52.718"</f>
        <v>22:12:52.718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364</v>
      </c>
      <c r="CR813">
        <v>0</v>
      </c>
      <c r="CW813">
        <v>1394637</v>
      </c>
      <c r="CY813">
        <v>1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"03/24/2022 22:12:52.945"</f>
        <v>03/24/2022 22:12:52.945</v>
      </c>
      <c r="C814" t="str">
        <f t="shared" si="237"/>
        <v>FFDFD3C0</v>
      </c>
      <c r="D814" t="s">
        <v>120</v>
      </c>
      <c r="E814">
        <v>14</v>
      </c>
      <c r="F814">
        <v>1014</v>
      </c>
      <c r="G814" t="s">
        <v>121</v>
      </c>
      <c r="J814" t="s">
        <v>122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 t="shared" si="244"/>
        <v>22:12:52.000</v>
      </c>
      <c r="T814" t="str">
        <f t="shared" si="244"/>
        <v>22:12:52.000</v>
      </c>
      <c r="U814" t="str">
        <f t="shared" si="231"/>
        <v>A9D71F</v>
      </c>
      <c r="V814">
        <v>0</v>
      </c>
      <c r="W814">
        <v>0</v>
      </c>
      <c r="X814">
        <v>2</v>
      </c>
      <c r="Z814">
        <v>1</v>
      </c>
      <c r="AA814">
        <v>7</v>
      </c>
      <c r="AB814">
        <v>3</v>
      </c>
      <c r="AC814">
        <v>0</v>
      </c>
      <c r="AD814">
        <v>9</v>
      </c>
      <c r="AE814">
        <v>0</v>
      </c>
      <c r="AF814">
        <v>3</v>
      </c>
      <c r="AG814">
        <v>1</v>
      </c>
      <c r="AH814">
        <v>0</v>
      </c>
      <c r="AI814" t="s">
        <v>452</v>
      </c>
      <c r="AJ814">
        <v>33.168776000000001</v>
      </c>
      <c r="AK814" t="s">
        <v>453</v>
      </c>
      <c r="AL814">
        <v>-97.734869000000003</v>
      </c>
      <c r="AM814">
        <v>25</v>
      </c>
      <c r="AN814">
        <v>3400</v>
      </c>
      <c r="AO814" t="s">
        <v>118</v>
      </c>
      <c r="AP814">
        <v>57</v>
      </c>
      <c r="AQ814">
        <v>-87</v>
      </c>
      <c r="AR814">
        <v>-192</v>
      </c>
      <c r="AZ814">
        <v>1200</v>
      </c>
      <c r="BA814">
        <v>1</v>
      </c>
      <c r="BB814" t="str">
        <f t="shared" si="238"/>
        <v xml:space="preserve">N733KP  </v>
      </c>
      <c r="BC814">
        <v>1</v>
      </c>
      <c r="BE814">
        <v>0</v>
      </c>
      <c r="BF814">
        <v>0</v>
      </c>
      <c r="BG814">
        <v>0</v>
      </c>
      <c r="BH814">
        <v>3375</v>
      </c>
      <c r="BI814">
        <v>1</v>
      </c>
      <c r="BJ814">
        <v>1</v>
      </c>
      <c r="BK814">
        <v>0</v>
      </c>
      <c r="BL814">
        <v>0</v>
      </c>
      <c r="BO814">
        <v>0</v>
      </c>
      <c r="BP814">
        <v>0</v>
      </c>
      <c r="BW814" t="str">
        <f>"22:12:52.718"</f>
        <v>22:12:52.718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364</v>
      </c>
      <c r="CR814">
        <v>0</v>
      </c>
      <c r="CW814">
        <v>1394637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"03/24/2022 22:12:52.945"</f>
        <v>03/24/2022 22:12:52.945</v>
      </c>
      <c r="C815" t="str">
        <f t="shared" si="237"/>
        <v>FFDFD3C0</v>
      </c>
      <c r="D815" t="s">
        <v>113</v>
      </c>
      <c r="E815">
        <v>24</v>
      </c>
      <c r="F815">
        <v>2024</v>
      </c>
      <c r="G815" t="s">
        <v>114</v>
      </c>
      <c r="J815" t="s">
        <v>115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 t="shared" si="244"/>
        <v>22:12:52.000</v>
      </c>
      <c r="T815" t="str">
        <f t="shared" si="244"/>
        <v>22:12:52.000</v>
      </c>
      <c r="U815" t="str">
        <f t="shared" si="231"/>
        <v>A9D71F</v>
      </c>
      <c r="V815">
        <v>0</v>
      </c>
      <c r="W815">
        <v>0</v>
      </c>
      <c r="X815">
        <v>2</v>
      </c>
      <c r="Z815">
        <v>1</v>
      </c>
      <c r="AA815">
        <v>7</v>
      </c>
      <c r="AB815">
        <v>3</v>
      </c>
      <c r="AC815">
        <v>0</v>
      </c>
      <c r="AD815">
        <v>9</v>
      </c>
      <c r="AE815">
        <v>0</v>
      </c>
      <c r="AF815">
        <v>3</v>
      </c>
      <c r="AG815">
        <v>1</v>
      </c>
      <c r="AH815">
        <v>0</v>
      </c>
      <c r="AI815" t="s">
        <v>452</v>
      </c>
      <c r="AJ815">
        <v>33.168776000000001</v>
      </c>
      <c r="AK815" t="s">
        <v>453</v>
      </c>
      <c r="AL815">
        <v>-97.734869000000003</v>
      </c>
      <c r="AM815">
        <v>25</v>
      </c>
      <c r="AN815">
        <v>3400</v>
      </c>
      <c r="AO815" t="s">
        <v>118</v>
      </c>
      <c r="AP815">
        <v>57</v>
      </c>
      <c r="AQ815">
        <v>-87</v>
      </c>
      <c r="AR815">
        <v>-192</v>
      </c>
      <c r="AZ815">
        <v>1200</v>
      </c>
      <c r="BA815">
        <v>1</v>
      </c>
      <c r="BB815" t="str">
        <f t="shared" si="238"/>
        <v xml:space="preserve">N733KP  </v>
      </c>
      <c r="BC815">
        <v>1</v>
      </c>
      <c r="BE815">
        <v>0</v>
      </c>
      <c r="BF815">
        <v>0</v>
      </c>
      <c r="BG815">
        <v>0</v>
      </c>
      <c r="BH815">
        <v>3375</v>
      </c>
      <c r="BI815">
        <v>1</v>
      </c>
      <c r="BJ815">
        <v>1</v>
      </c>
      <c r="BK815">
        <v>0</v>
      </c>
      <c r="BL815">
        <v>0</v>
      </c>
      <c r="BO815">
        <v>0</v>
      </c>
      <c r="BP815">
        <v>0</v>
      </c>
      <c r="BW815" t="str">
        <f>"22:12:52.718"</f>
        <v>22:12:52.718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364</v>
      </c>
      <c r="CR815">
        <v>0</v>
      </c>
      <c r="CW815">
        <v>1394637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"03/24/2022 22:12:52.961"</f>
        <v>03/24/2022 22:12:52.961</v>
      </c>
      <c r="C816" t="str">
        <f t="shared" si="237"/>
        <v>FFDFD3C0</v>
      </c>
      <c r="D816" t="s">
        <v>123</v>
      </c>
      <c r="E816">
        <v>8</v>
      </c>
      <c r="H816">
        <v>31</v>
      </c>
      <c r="I816" t="s">
        <v>124</v>
      </c>
      <c r="J816" t="s">
        <v>125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 t="shared" si="244"/>
        <v>22:12:52.000</v>
      </c>
      <c r="T816" t="str">
        <f t="shared" si="244"/>
        <v>22:12:52.000</v>
      </c>
      <c r="U816" t="str">
        <f t="shared" si="231"/>
        <v>A9D71F</v>
      </c>
      <c r="V816">
        <v>0</v>
      </c>
      <c r="W816">
        <v>0</v>
      </c>
      <c r="X816">
        <v>2</v>
      </c>
      <c r="Z816">
        <v>1</v>
      </c>
      <c r="AA816">
        <v>7</v>
      </c>
      <c r="AB816">
        <v>3</v>
      </c>
      <c r="AC816">
        <v>0</v>
      </c>
      <c r="AD816">
        <v>9</v>
      </c>
      <c r="AE816">
        <v>0</v>
      </c>
      <c r="AF816">
        <v>3</v>
      </c>
      <c r="AG816">
        <v>1</v>
      </c>
      <c r="AH816">
        <v>0</v>
      </c>
      <c r="AI816" t="s">
        <v>452</v>
      </c>
      <c r="AJ816">
        <v>33.168776000000001</v>
      </c>
      <c r="AK816" t="s">
        <v>453</v>
      </c>
      <c r="AL816">
        <v>-97.734869000000003</v>
      </c>
      <c r="AM816">
        <v>25</v>
      </c>
      <c r="AN816">
        <v>3400</v>
      </c>
      <c r="AO816" t="s">
        <v>118</v>
      </c>
      <c r="AP816">
        <v>57</v>
      </c>
      <c r="AQ816">
        <v>-87</v>
      </c>
      <c r="AR816">
        <v>-192</v>
      </c>
      <c r="AZ816">
        <v>1200</v>
      </c>
      <c r="BA816">
        <v>1</v>
      </c>
      <c r="BB816" t="str">
        <f t="shared" si="238"/>
        <v xml:space="preserve">N733KP  </v>
      </c>
      <c r="BC816">
        <v>1</v>
      </c>
      <c r="BE816">
        <v>0</v>
      </c>
      <c r="BF816">
        <v>0</v>
      </c>
      <c r="BG816">
        <v>0</v>
      </c>
      <c r="BH816">
        <v>3375</v>
      </c>
      <c r="BI816">
        <v>1</v>
      </c>
      <c r="BJ816">
        <v>1</v>
      </c>
      <c r="BK816">
        <v>0</v>
      </c>
      <c r="BL816">
        <v>0</v>
      </c>
      <c r="BO816">
        <v>0</v>
      </c>
      <c r="BP816">
        <v>0</v>
      </c>
      <c r="BW816" t="str">
        <f>"22:12:52.718"</f>
        <v>22:12:52.718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364</v>
      </c>
      <c r="CR816">
        <v>0</v>
      </c>
      <c r="CW816">
        <v>1394637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"03/24/2022 22:12:53.494"</f>
        <v>03/24/2022 22:12:53.494</v>
      </c>
      <c r="C817" t="str">
        <f t="shared" si="237"/>
        <v>FFDFD3C0</v>
      </c>
      <c r="D817" t="s">
        <v>126</v>
      </c>
      <c r="E817">
        <v>3</v>
      </c>
      <c r="H817">
        <v>160</v>
      </c>
      <c r="I817" t="s">
        <v>121</v>
      </c>
      <c r="J817" t="s">
        <v>127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 t="shared" ref="S817:T819" si="245">"22:12:53.000"</f>
        <v>22:12:53.000</v>
      </c>
      <c r="T817" t="str">
        <f t="shared" si="245"/>
        <v>22:12:53.000</v>
      </c>
      <c r="U817" t="str">
        <f t="shared" si="231"/>
        <v>A9D71F</v>
      </c>
      <c r="V817">
        <v>0</v>
      </c>
      <c r="W817">
        <v>0</v>
      </c>
      <c r="X817">
        <v>2</v>
      </c>
      <c r="Z817">
        <v>1</v>
      </c>
      <c r="AA817">
        <v>7</v>
      </c>
      <c r="AB817">
        <v>3</v>
      </c>
      <c r="AC817">
        <v>0</v>
      </c>
      <c r="AD817">
        <v>9</v>
      </c>
      <c r="AE817">
        <v>0</v>
      </c>
      <c r="AF817">
        <v>3</v>
      </c>
      <c r="AG817">
        <v>1</v>
      </c>
      <c r="AH817">
        <v>0</v>
      </c>
      <c r="AI817" t="s">
        <v>454</v>
      </c>
      <c r="AJ817">
        <v>33.168368000000001</v>
      </c>
      <c r="AK817" t="s">
        <v>455</v>
      </c>
      <c r="AL817">
        <v>-97.734525000000005</v>
      </c>
      <c r="AM817">
        <v>25</v>
      </c>
      <c r="AN817">
        <v>3400</v>
      </c>
      <c r="AO817" t="s">
        <v>118</v>
      </c>
      <c r="AP817">
        <v>57</v>
      </c>
      <c r="AQ817">
        <v>-87</v>
      </c>
      <c r="AR817">
        <v>-192</v>
      </c>
      <c r="AZ817">
        <v>1200</v>
      </c>
      <c r="BA817">
        <v>1</v>
      </c>
      <c r="BB817" t="str">
        <f t="shared" si="238"/>
        <v xml:space="preserve">N733KP  </v>
      </c>
      <c r="BC817">
        <v>1</v>
      </c>
      <c r="BE817">
        <v>0</v>
      </c>
      <c r="BF817">
        <v>0</v>
      </c>
      <c r="BG817">
        <v>0</v>
      </c>
      <c r="BH817">
        <v>3375</v>
      </c>
      <c r="BI817">
        <v>1</v>
      </c>
      <c r="BJ817">
        <v>1</v>
      </c>
      <c r="BK817">
        <v>0</v>
      </c>
      <c r="BL817">
        <v>0</v>
      </c>
      <c r="BO817">
        <v>0</v>
      </c>
      <c r="BP817">
        <v>0</v>
      </c>
      <c r="BW817" t="str">
        <f>"22:12:53.341"</f>
        <v>22:12:53.341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2</v>
      </c>
      <c r="CP817" t="s">
        <v>119</v>
      </c>
      <c r="CQ817">
        <v>439</v>
      </c>
      <c r="CR817">
        <v>0</v>
      </c>
      <c r="CW817">
        <v>11498957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"03/24/2022 22:12:53.557"</f>
        <v>03/24/2022 22:12:53.557</v>
      </c>
      <c r="C818" t="str">
        <f t="shared" si="237"/>
        <v>FFDFD3C0</v>
      </c>
      <c r="D818" t="s">
        <v>113</v>
      </c>
      <c r="E818">
        <v>24</v>
      </c>
      <c r="F818">
        <v>2024</v>
      </c>
      <c r="G818" t="s">
        <v>114</v>
      </c>
      <c r="J818" t="s">
        <v>115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 t="shared" si="245"/>
        <v>22:12:53.000</v>
      </c>
      <c r="T818" t="str">
        <f t="shared" si="245"/>
        <v>22:12:53.000</v>
      </c>
      <c r="U818" t="str">
        <f t="shared" si="231"/>
        <v>A9D71F</v>
      </c>
      <c r="V818">
        <v>0</v>
      </c>
      <c r="W818">
        <v>0</v>
      </c>
      <c r="X818">
        <v>2</v>
      </c>
      <c r="Z818">
        <v>1</v>
      </c>
      <c r="AA818">
        <v>7</v>
      </c>
      <c r="AB818">
        <v>3</v>
      </c>
      <c r="AC818">
        <v>0</v>
      </c>
      <c r="AD818">
        <v>9</v>
      </c>
      <c r="AE818">
        <v>0</v>
      </c>
      <c r="AF818">
        <v>3</v>
      </c>
      <c r="AG818">
        <v>1</v>
      </c>
      <c r="AH818">
        <v>0</v>
      </c>
      <c r="AI818" t="s">
        <v>454</v>
      </c>
      <c r="AJ818">
        <v>33.168368000000001</v>
      </c>
      <c r="AK818" t="s">
        <v>455</v>
      </c>
      <c r="AL818">
        <v>-97.734525000000005</v>
      </c>
      <c r="AM818">
        <v>25</v>
      </c>
      <c r="AN818">
        <v>3400</v>
      </c>
      <c r="AO818" t="s">
        <v>118</v>
      </c>
      <c r="AP818">
        <v>57</v>
      </c>
      <c r="AQ818">
        <v>-87</v>
      </c>
      <c r="AR818">
        <v>-192</v>
      </c>
      <c r="AZ818">
        <v>1200</v>
      </c>
      <c r="BA818">
        <v>1</v>
      </c>
      <c r="BB818" t="str">
        <f t="shared" si="238"/>
        <v xml:space="preserve">N733KP  </v>
      </c>
      <c r="BC818">
        <v>1</v>
      </c>
      <c r="BE818">
        <v>0</v>
      </c>
      <c r="BF818">
        <v>0</v>
      </c>
      <c r="BG818">
        <v>0</v>
      </c>
      <c r="BH818">
        <v>3375</v>
      </c>
      <c r="BI818">
        <v>1</v>
      </c>
      <c r="BJ818">
        <v>1</v>
      </c>
      <c r="BK818">
        <v>0</v>
      </c>
      <c r="BL818">
        <v>0</v>
      </c>
      <c r="BO818">
        <v>0</v>
      </c>
      <c r="BP818">
        <v>0</v>
      </c>
      <c r="BW818" t="str">
        <f>"22:12:53.341"</f>
        <v>22:12:53.341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2</v>
      </c>
      <c r="CP818" t="s">
        <v>119</v>
      </c>
      <c r="CQ818">
        <v>439</v>
      </c>
      <c r="CR818">
        <v>0</v>
      </c>
      <c r="CW818">
        <v>11498957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"03/24/2022 22:12:53.557"</f>
        <v>03/24/2022 22:12:53.557</v>
      </c>
      <c r="C819" t="str">
        <f t="shared" si="237"/>
        <v>FFDFD3C0</v>
      </c>
      <c r="D819" t="s">
        <v>120</v>
      </c>
      <c r="E819">
        <v>14</v>
      </c>
      <c r="F819">
        <v>1014</v>
      </c>
      <c r="G819" t="s">
        <v>121</v>
      </c>
      <c r="J819" t="s">
        <v>122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 t="shared" si="245"/>
        <v>22:12:53.000</v>
      </c>
      <c r="T819" t="str">
        <f t="shared" si="245"/>
        <v>22:12:53.000</v>
      </c>
      <c r="U819" t="str">
        <f t="shared" si="231"/>
        <v>A9D71F</v>
      </c>
      <c r="V819">
        <v>0</v>
      </c>
      <c r="W819">
        <v>0</v>
      </c>
      <c r="X819">
        <v>2</v>
      </c>
      <c r="Z819">
        <v>1</v>
      </c>
      <c r="AA819">
        <v>7</v>
      </c>
      <c r="AB819">
        <v>3</v>
      </c>
      <c r="AC819">
        <v>0</v>
      </c>
      <c r="AD819">
        <v>9</v>
      </c>
      <c r="AE819">
        <v>0</v>
      </c>
      <c r="AF819">
        <v>3</v>
      </c>
      <c r="AG819">
        <v>1</v>
      </c>
      <c r="AH819">
        <v>0</v>
      </c>
      <c r="AI819" t="s">
        <v>454</v>
      </c>
      <c r="AJ819">
        <v>33.168368000000001</v>
      </c>
      <c r="AK819" t="s">
        <v>455</v>
      </c>
      <c r="AL819">
        <v>-97.734525000000005</v>
      </c>
      <c r="AM819">
        <v>25</v>
      </c>
      <c r="AN819">
        <v>3400</v>
      </c>
      <c r="AO819" t="s">
        <v>118</v>
      </c>
      <c r="AP819">
        <v>57</v>
      </c>
      <c r="AQ819">
        <v>-87</v>
      </c>
      <c r="AR819">
        <v>-192</v>
      </c>
      <c r="AZ819">
        <v>1200</v>
      </c>
      <c r="BA819">
        <v>1</v>
      </c>
      <c r="BB819" t="str">
        <f t="shared" si="238"/>
        <v xml:space="preserve">N733KP  </v>
      </c>
      <c r="BC819">
        <v>1</v>
      </c>
      <c r="BE819">
        <v>0</v>
      </c>
      <c r="BF819">
        <v>0</v>
      </c>
      <c r="BG819">
        <v>0</v>
      </c>
      <c r="BH819">
        <v>3375</v>
      </c>
      <c r="BI819">
        <v>1</v>
      </c>
      <c r="BJ819">
        <v>1</v>
      </c>
      <c r="BK819">
        <v>0</v>
      </c>
      <c r="BL819">
        <v>0</v>
      </c>
      <c r="BO819">
        <v>0</v>
      </c>
      <c r="BP819">
        <v>0</v>
      </c>
      <c r="BW819" t="str">
        <f>"22:12:53.341"</f>
        <v>22:12:53.341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2</v>
      </c>
      <c r="CP819" t="s">
        <v>119</v>
      </c>
      <c r="CQ819">
        <v>439</v>
      </c>
      <c r="CR819">
        <v>0</v>
      </c>
      <c r="CW819">
        <v>11498957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"03/24/2022 22:12:54.510"</f>
        <v>03/24/2022 22:12:54.510</v>
      </c>
      <c r="C820" t="str">
        <f t="shared" si="237"/>
        <v>FFDFD3C0</v>
      </c>
      <c r="D820" t="s">
        <v>123</v>
      </c>
      <c r="E820">
        <v>8</v>
      </c>
      <c r="H820">
        <v>31</v>
      </c>
      <c r="I820" t="s">
        <v>124</v>
      </c>
      <c r="J820" t="s">
        <v>125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 t="shared" ref="S820:T823" si="246">"22:12:54.000"</f>
        <v>22:12:54.000</v>
      </c>
      <c r="T820" t="str">
        <f t="shared" si="246"/>
        <v>22:12:54.000</v>
      </c>
      <c r="U820" t="str">
        <f t="shared" si="231"/>
        <v>A9D71F</v>
      </c>
      <c r="V820">
        <v>0</v>
      </c>
      <c r="W820">
        <v>0</v>
      </c>
      <c r="X820">
        <v>2</v>
      </c>
      <c r="Z820">
        <v>1</v>
      </c>
      <c r="AA820">
        <v>7</v>
      </c>
      <c r="AB820">
        <v>3</v>
      </c>
      <c r="AC820">
        <v>0</v>
      </c>
      <c r="AD820">
        <v>9</v>
      </c>
      <c r="AE820">
        <v>0</v>
      </c>
      <c r="AF820">
        <v>3</v>
      </c>
      <c r="AG820">
        <v>1</v>
      </c>
      <c r="AH820">
        <v>0</v>
      </c>
      <c r="AI820" t="s">
        <v>456</v>
      </c>
      <c r="AJ820">
        <v>33.167982000000002</v>
      </c>
      <c r="AK820" t="s">
        <v>457</v>
      </c>
      <c r="AL820">
        <v>-97.734224999999995</v>
      </c>
      <c r="AM820">
        <v>25</v>
      </c>
      <c r="AN820">
        <v>3400</v>
      </c>
      <c r="AO820" t="s">
        <v>118</v>
      </c>
      <c r="AP820">
        <v>57</v>
      </c>
      <c r="AQ820">
        <v>-86</v>
      </c>
      <c r="AR820">
        <v>-64</v>
      </c>
      <c r="AZ820">
        <v>1200</v>
      </c>
      <c r="BA820">
        <v>1</v>
      </c>
      <c r="BB820" t="str">
        <f t="shared" si="238"/>
        <v xml:space="preserve">N733KP  </v>
      </c>
      <c r="BC820">
        <v>1</v>
      </c>
      <c r="BE820">
        <v>0</v>
      </c>
      <c r="BF820">
        <v>0</v>
      </c>
      <c r="BG820">
        <v>0</v>
      </c>
      <c r="BH820">
        <v>3375</v>
      </c>
      <c r="BI820">
        <v>1</v>
      </c>
      <c r="BJ820">
        <v>1</v>
      </c>
      <c r="BK820">
        <v>0</v>
      </c>
      <c r="BL820">
        <v>0</v>
      </c>
      <c r="BO820">
        <v>0</v>
      </c>
      <c r="BP820">
        <v>0</v>
      </c>
      <c r="BW820" t="str">
        <f>"22:12:54.328"</f>
        <v>22:12:54.328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364</v>
      </c>
      <c r="CR820">
        <v>0</v>
      </c>
      <c r="CW820">
        <v>1394867</v>
      </c>
      <c r="CY820">
        <v>1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"03/24/2022 22:12:54.541"</f>
        <v>03/24/2022 22:12:54.541</v>
      </c>
      <c r="C821" t="str">
        <f t="shared" si="237"/>
        <v>FFDFD3C0</v>
      </c>
      <c r="D821" t="s">
        <v>126</v>
      </c>
      <c r="E821">
        <v>3</v>
      </c>
      <c r="H821">
        <v>160</v>
      </c>
      <c r="I821" t="s">
        <v>121</v>
      </c>
      <c r="J821" t="s">
        <v>127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 t="shared" si="246"/>
        <v>22:12:54.000</v>
      </c>
      <c r="T821" t="str">
        <f t="shared" si="246"/>
        <v>22:12:54.000</v>
      </c>
      <c r="U821" t="str">
        <f t="shared" si="231"/>
        <v>A9D71F</v>
      </c>
      <c r="V821">
        <v>0</v>
      </c>
      <c r="W821">
        <v>0</v>
      </c>
      <c r="X821">
        <v>2</v>
      </c>
      <c r="Z821">
        <v>1</v>
      </c>
      <c r="AA821">
        <v>7</v>
      </c>
      <c r="AB821">
        <v>3</v>
      </c>
      <c r="AC821">
        <v>0</v>
      </c>
      <c r="AD821">
        <v>9</v>
      </c>
      <c r="AE821">
        <v>0</v>
      </c>
      <c r="AF821">
        <v>3</v>
      </c>
      <c r="AG821">
        <v>1</v>
      </c>
      <c r="AH821">
        <v>0</v>
      </c>
      <c r="AI821" t="s">
        <v>456</v>
      </c>
      <c r="AJ821">
        <v>33.167982000000002</v>
      </c>
      <c r="AK821" t="s">
        <v>457</v>
      </c>
      <c r="AL821">
        <v>-97.734224999999995</v>
      </c>
      <c r="AM821">
        <v>25</v>
      </c>
      <c r="AN821">
        <v>3400</v>
      </c>
      <c r="AO821" t="s">
        <v>118</v>
      </c>
      <c r="AP821">
        <v>57</v>
      </c>
      <c r="AQ821">
        <v>-86</v>
      </c>
      <c r="AR821">
        <v>-64</v>
      </c>
      <c r="AZ821">
        <v>1200</v>
      </c>
      <c r="BA821">
        <v>1</v>
      </c>
      <c r="BB821" t="str">
        <f t="shared" si="238"/>
        <v xml:space="preserve">N733KP  </v>
      </c>
      <c r="BC821">
        <v>1</v>
      </c>
      <c r="BE821">
        <v>0</v>
      </c>
      <c r="BF821">
        <v>0</v>
      </c>
      <c r="BG821">
        <v>0</v>
      </c>
      <c r="BH821">
        <v>3375</v>
      </c>
      <c r="BI821">
        <v>1</v>
      </c>
      <c r="BJ821">
        <v>1</v>
      </c>
      <c r="BK821">
        <v>0</v>
      </c>
      <c r="BL821">
        <v>0</v>
      </c>
      <c r="BO821">
        <v>0</v>
      </c>
      <c r="BP821">
        <v>0</v>
      </c>
      <c r="BW821" t="str">
        <f>"22:12:54.328"</f>
        <v>22:12:54.328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364</v>
      </c>
      <c r="CR821">
        <v>0</v>
      </c>
      <c r="CW821">
        <v>1394867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"03/24/2022 22:12:54.541"</f>
        <v>03/24/2022 22:12:54.541</v>
      </c>
      <c r="C822" t="str">
        <f t="shared" si="237"/>
        <v>FFDFD3C0</v>
      </c>
      <c r="D822" t="s">
        <v>113</v>
      </c>
      <c r="E822">
        <v>24</v>
      </c>
      <c r="F822">
        <v>2024</v>
      </c>
      <c r="G822" t="s">
        <v>114</v>
      </c>
      <c r="J822" t="s">
        <v>115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 t="shared" si="246"/>
        <v>22:12:54.000</v>
      </c>
      <c r="T822" t="str">
        <f t="shared" si="246"/>
        <v>22:12:54.000</v>
      </c>
      <c r="U822" t="str">
        <f t="shared" si="231"/>
        <v>A9D71F</v>
      </c>
      <c r="V822">
        <v>0</v>
      </c>
      <c r="W822">
        <v>0</v>
      </c>
      <c r="X822">
        <v>2</v>
      </c>
      <c r="Z822">
        <v>1</v>
      </c>
      <c r="AA822">
        <v>7</v>
      </c>
      <c r="AB822">
        <v>3</v>
      </c>
      <c r="AC822">
        <v>0</v>
      </c>
      <c r="AD822">
        <v>9</v>
      </c>
      <c r="AE822">
        <v>0</v>
      </c>
      <c r="AF822">
        <v>3</v>
      </c>
      <c r="AG822">
        <v>1</v>
      </c>
      <c r="AH822">
        <v>0</v>
      </c>
      <c r="AI822" t="s">
        <v>456</v>
      </c>
      <c r="AJ822">
        <v>33.167982000000002</v>
      </c>
      <c r="AK822" t="s">
        <v>457</v>
      </c>
      <c r="AL822">
        <v>-97.734224999999995</v>
      </c>
      <c r="AM822">
        <v>25</v>
      </c>
      <c r="AN822">
        <v>3400</v>
      </c>
      <c r="AO822" t="s">
        <v>118</v>
      </c>
      <c r="AP822">
        <v>57</v>
      </c>
      <c r="AQ822">
        <v>-86</v>
      </c>
      <c r="AR822">
        <v>-64</v>
      </c>
      <c r="AZ822">
        <v>1200</v>
      </c>
      <c r="BA822">
        <v>1</v>
      </c>
      <c r="BB822" t="str">
        <f t="shared" si="238"/>
        <v xml:space="preserve">N733KP  </v>
      </c>
      <c r="BC822">
        <v>1</v>
      </c>
      <c r="BE822">
        <v>0</v>
      </c>
      <c r="BF822">
        <v>0</v>
      </c>
      <c r="BG822">
        <v>0</v>
      </c>
      <c r="BH822">
        <v>3375</v>
      </c>
      <c r="BI822">
        <v>1</v>
      </c>
      <c r="BJ822">
        <v>1</v>
      </c>
      <c r="BK822">
        <v>0</v>
      </c>
      <c r="BL822">
        <v>0</v>
      </c>
      <c r="BO822">
        <v>0</v>
      </c>
      <c r="BP822">
        <v>0</v>
      </c>
      <c r="BW822" t="str">
        <f>"22:12:54.328"</f>
        <v>22:12:54.328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364</v>
      </c>
      <c r="CR822">
        <v>0</v>
      </c>
      <c r="CW822">
        <v>1394867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"03/24/2022 22:12:54.541"</f>
        <v>03/24/2022 22:12:54.541</v>
      </c>
      <c r="C823" t="str">
        <f t="shared" si="237"/>
        <v>FFDFD3C0</v>
      </c>
      <c r="D823" t="s">
        <v>120</v>
      </c>
      <c r="E823">
        <v>14</v>
      </c>
      <c r="F823">
        <v>1014</v>
      </c>
      <c r="G823" t="s">
        <v>121</v>
      </c>
      <c r="J823" t="s">
        <v>122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 t="shared" si="246"/>
        <v>22:12:54.000</v>
      </c>
      <c r="T823" t="str">
        <f t="shared" si="246"/>
        <v>22:12:54.000</v>
      </c>
      <c r="U823" t="str">
        <f t="shared" si="231"/>
        <v>A9D71F</v>
      </c>
      <c r="V823">
        <v>0</v>
      </c>
      <c r="W823">
        <v>0</v>
      </c>
      <c r="X823">
        <v>2</v>
      </c>
      <c r="Z823">
        <v>1</v>
      </c>
      <c r="AA823">
        <v>7</v>
      </c>
      <c r="AB823">
        <v>3</v>
      </c>
      <c r="AC823">
        <v>0</v>
      </c>
      <c r="AD823">
        <v>9</v>
      </c>
      <c r="AE823">
        <v>0</v>
      </c>
      <c r="AF823">
        <v>3</v>
      </c>
      <c r="AG823">
        <v>1</v>
      </c>
      <c r="AH823">
        <v>0</v>
      </c>
      <c r="AI823" t="s">
        <v>456</v>
      </c>
      <c r="AJ823">
        <v>33.167982000000002</v>
      </c>
      <c r="AK823" t="s">
        <v>457</v>
      </c>
      <c r="AL823">
        <v>-97.734224999999995</v>
      </c>
      <c r="AM823">
        <v>25</v>
      </c>
      <c r="AN823">
        <v>3400</v>
      </c>
      <c r="AO823" t="s">
        <v>118</v>
      </c>
      <c r="AP823">
        <v>57</v>
      </c>
      <c r="AQ823">
        <v>-86</v>
      </c>
      <c r="AR823">
        <v>-64</v>
      </c>
      <c r="AZ823">
        <v>1200</v>
      </c>
      <c r="BA823">
        <v>1</v>
      </c>
      <c r="BB823" t="str">
        <f t="shared" si="238"/>
        <v xml:space="preserve">N733KP  </v>
      </c>
      <c r="BC823">
        <v>1</v>
      </c>
      <c r="BE823">
        <v>0</v>
      </c>
      <c r="BF823">
        <v>0</v>
      </c>
      <c r="BG823">
        <v>0</v>
      </c>
      <c r="BH823">
        <v>3375</v>
      </c>
      <c r="BI823">
        <v>1</v>
      </c>
      <c r="BJ823">
        <v>1</v>
      </c>
      <c r="BK823">
        <v>0</v>
      </c>
      <c r="BL823">
        <v>0</v>
      </c>
      <c r="BO823">
        <v>0</v>
      </c>
      <c r="BP823">
        <v>0</v>
      </c>
      <c r="BW823" t="str">
        <f>"22:12:54.328"</f>
        <v>22:12:54.328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364</v>
      </c>
      <c r="CR823">
        <v>0</v>
      </c>
      <c r="CW823">
        <v>1394867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"03/24/2022 22:12:55.916"</f>
        <v>03/24/2022 22:12:55.916</v>
      </c>
      <c r="C824" t="str">
        <f t="shared" si="237"/>
        <v>FFDFD3C0</v>
      </c>
      <c r="D824" t="s">
        <v>123</v>
      </c>
      <c r="E824">
        <v>8</v>
      </c>
      <c r="H824">
        <v>31</v>
      </c>
      <c r="I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 t="shared" ref="S824:T827" si="247">"22:12:55.000"</f>
        <v>22:12:55.000</v>
      </c>
      <c r="T824" t="str">
        <f t="shared" si="247"/>
        <v>22:12:55.000</v>
      </c>
      <c r="U824" t="str">
        <f t="shared" si="231"/>
        <v>A9D71F</v>
      </c>
      <c r="V824">
        <v>0</v>
      </c>
      <c r="W824">
        <v>0</v>
      </c>
      <c r="X824">
        <v>2</v>
      </c>
      <c r="Z824">
        <v>1</v>
      </c>
      <c r="AA824">
        <v>7</v>
      </c>
      <c r="AB824">
        <v>3</v>
      </c>
      <c r="AC824">
        <v>0</v>
      </c>
      <c r="AD824">
        <v>9</v>
      </c>
      <c r="AE824">
        <v>0</v>
      </c>
      <c r="AF824">
        <v>3</v>
      </c>
      <c r="AG824">
        <v>1</v>
      </c>
      <c r="AH824">
        <v>0</v>
      </c>
      <c r="AI824" t="s">
        <v>458</v>
      </c>
      <c r="AJ824">
        <v>33.167596000000003</v>
      </c>
      <c r="AK824" t="s">
        <v>459</v>
      </c>
      <c r="AL824">
        <v>-97.733946000000003</v>
      </c>
      <c r="AM824">
        <v>25</v>
      </c>
      <c r="AN824">
        <v>3400</v>
      </c>
      <c r="AO824" t="s">
        <v>118</v>
      </c>
      <c r="AP824">
        <v>59</v>
      </c>
      <c r="AQ824">
        <v>-87</v>
      </c>
      <c r="AR824">
        <v>64</v>
      </c>
      <c r="AZ824">
        <v>1200</v>
      </c>
      <c r="BA824">
        <v>1</v>
      </c>
      <c r="BB824" t="str">
        <f t="shared" si="238"/>
        <v xml:space="preserve">N733KP  </v>
      </c>
      <c r="BC824">
        <v>1</v>
      </c>
      <c r="BE824">
        <v>0</v>
      </c>
      <c r="BF824">
        <v>0</v>
      </c>
      <c r="BG824">
        <v>0</v>
      </c>
      <c r="BH824">
        <v>3375</v>
      </c>
      <c r="BI824">
        <v>1</v>
      </c>
      <c r="BJ824">
        <v>1</v>
      </c>
      <c r="BK824">
        <v>0</v>
      </c>
      <c r="BL824">
        <v>0</v>
      </c>
      <c r="BO824">
        <v>0</v>
      </c>
      <c r="BP824">
        <v>0</v>
      </c>
      <c r="BW824" t="str">
        <f>"22:12:55.733"</f>
        <v>22:12:55.733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364</v>
      </c>
      <c r="CR824">
        <v>0</v>
      </c>
      <c r="CW824">
        <v>1395094</v>
      </c>
      <c r="CY824">
        <v>1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"03/24/2022 22:12:55.916"</f>
        <v>03/24/2022 22:12:55.916</v>
      </c>
      <c r="C825" t="str">
        <f t="shared" si="237"/>
        <v>FFDFD3C0</v>
      </c>
      <c r="D825" t="s">
        <v>126</v>
      </c>
      <c r="E825">
        <v>3</v>
      </c>
      <c r="H825">
        <v>160</v>
      </c>
      <c r="I825" t="s">
        <v>121</v>
      </c>
      <c r="J825" t="s">
        <v>127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 t="shared" si="247"/>
        <v>22:12:55.000</v>
      </c>
      <c r="T825" t="str">
        <f t="shared" si="247"/>
        <v>22:12:55.000</v>
      </c>
      <c r="U825" t="str">
        <f t="shared" si="231"/>
        <v>A9D71F</v>
      </c>
      <c r="V825">
        <v>0</v>
      </c>
      <c r="W825">
        <v>0</v>
      </c>
      <c r="X825">
        <v>2</v>
      </c>
      <c r="Z825">
        <v>1</v>
      </c>
      <c r="AA825">
        <v>7</v>
      </c>
      <c r="AB825">
        <v>3</v>
      </c>
      <c r="AC825">
        <v>0</v>
      </c>
      <c r="AD825">
        <v>9</v>
      </c>
      <c r="AE825">
        <v>0</v>
      </c>
      <c r="AF825">
        <v>3</v>
      </c>
      <c r="AG825">
        <v>1</v>
      </c>
      <c r="AH825">
        <v>0</v>
      </c>
      <c r="AI825" t="s">
        <v>458</v>
      </c>
      <c r="AJ825">
        <v>33.167596000000003</v>
      </c>
      <c r="AK825" t="s">
        <v>459</v>
      </c>
      <c r="AL825">
        <v>-97.733946000000003</v>
      </c>
      <c r="AM825">
        <v>25</v>
      </c>
      <c r="AN825">
        <v>3400</v>
      </c>
      <c r="AO825" t="s">
        <v>118</v>
      </c>
      <c r="AP825">
        <v>59</v>
      </c>
      <c r="AQ825">
        <v>-87</v>
      </c>
      <c r="AR825">
        <v>64</v>
      </c>
      <c r="AZ825">
        <v>1200</v>
      </c>
      <c r="BA825">
        <v>1</v>
      </c>
      <c r="BB825" t="str">
        <f t="shared" si="238"/>
        <v xml:space="preserve">N733KP  </v>
      </c>
      <c r="BC825">
        <v>1</v>
      </c>
      <c r="BE825">
        <v>0</v>
      </c>
      <c r="BF825">
        <v>0</v>
      </c>
      <c r="BG825">
        <v>0</v>
      </c>
      <c r="BH825">
        <v>3375</v>
      </c>
      <c r="BI825">
        <v>1</v>
      </c>
      <c r="BJ825">
        <v>1</v>
      </c>
      <c r="BK825">
        <v>0</v>
      </c>
      <c r="BL825">
        <v>0</v>
      </c>
      <c r="BO825">
        <v>0</v>
      </c>
      <c r="BP825">
        <v>0</v>
      </c>
      <c r="BW825" t="str">
        <f>"22:12:55.733"</f>
        <v>22:12:55.733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364</v>
      </c>
      <c r="CR825">
        <v>0</v>
      </c>
      <c r="CW825">
        <v>1395094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"03/24/2022 22:12:55.932"</f>
        <v>03/24/2022 22:12:55.932</v>
      </c>
      <c r="C826" t="str">
        <f t="shared" si="237"/>
        <v>FFDFD3C0</v>
      </c>
      <c r="D826" t="s">
        <v>113</v>
      </c>
      <c r="E826">
        <v>24</v>
      </c>
      <c r="F826">
        <v>2024</v>
      </c>
      <c r="G826" t="s">
        <v>114</v>
      </c>
      <c r="J826" t="s">
        <v>115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 t="shared" si="247"/>
        <v>22:12:55.000</v>
      </c>
      <c r="T826" t="str">
        <f t="shared" si="247"/>
        <v>22:12:55.000</v>
      </c>
      <c r="U826" t="str">
        <f t="shared" si="231"/>
        <v>A9D71F</v>
      </c>
      <c r="V826">
        <v>0</v>
      </c>
      <c r="W826">
        <v>0</v>
      </c>
      <c r="X826">
        <v>2</v>
      </c>
      <c r="Z826">
        <v>1</v>
      </c>
      <c r="AA826">
        <v>7</v>
      </c>
      <c r="AB826">
        <v>3</v>
      </c>
      <c r="AC826">
        <v>0</v>
      </c>
      <c r="AD826">
        <v>9</v>
      </c>
      <c r="AE826">
        <v>0</v>
      </c>
      <c r="AF826">
        <v>3</v>
      </c>
      <c r="AG826">
        <v>1</v>
      </c>
      <c r="AH826">
        <v>0</v>
      </c>
      <c r="AI826" t="s">
        <v>458</v>
      </c>
      <c r="AJ826">
        <v>33.167596000000003</v>
      </c>
      <c r="AK826" t="s">
        <v>459</v>
      </c>
      <c r="AL826">
        <v>-97.733946000000003</v>
      </c>
      <c r="AM826">
        <v>25</v>
      </c>
      <c r="AN826">
        <v>3400</v>
      </c>
      <c r="AO826" t="s">
        <v>118</v>
      </c>
      <c r="AP826">
        <v>59</v>
      </c>
      <c r="AQ826">
        <v>-87</v>
      </c>
      <c r="AR826">
        <v>64</v>
      </c>
      <c r="AZ826">
        <v>1200</v>
      </c>
      <c r="BA826">
        <v>1</v>
      </c>
      <c r="BB826" t="str">
        <f t="shared" si="238"/>
        <v xml:space="preserve">N733KP  </v>
      </c>
      <c r="BC826">
        <v>1</v>
      </c>
      <c r="BE826">
        <v>0</v>
      </c>
      <c r="BF826">
        <v>0</v>
      </c>
      <c r="BG826">
        <v>0</v>
      </c>
      <c r="BH826">
        <v>3375</v>
      </c>
      <c r="BI826">
        <v>1</v>
      </c>
      <c r="BJ826">
        <v>1</v>
      </c>
      <c r="BK826">
        <v>0</v>
      </c>
      <c r="BL826">
        <v>0</v>
      </c>
      <c r="BO826">
        <v>0</v>
      </c>
      <c r="BP826">
        <v>0</v>
      </c>
      <c r="BW826" t="str">
        <f>"22:12:55.733"</f>
        <v>22:12:55.733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364</v>
      </c>
      <c r="CR826">
        <v>0</v>
      </c>
      <c r="CW826">
        <v>1395094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"03/24/2022 22:12:55.932"</f>
        <v>03/24/2022 22:12:55.932</v>
      </c>
      <c r="C827" t="str">
        <f t="shared" si="237"/>
        <v>FFDFD3C0</v>
      </c>
      <c r="D827" t="s">
        <v>120</v>
      </c>
      <c r="E827">
        <v>14</v>
      </c>
      <c r="F827">
        <v>1014</v>
      </c>
      <c r="G827" t="s">
        <v>121</v>
      </c>
      <c r="J827" t="s">
        <v>122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 t="shared" si="247"/>
        <v>22:12:55.000</v>
      </c>
      <c r="T827" t="str">
        <f t="shared" si="247"/>
        <v>22:12:55.000</v>
      </c>
      <c r="U827" t="str">
        <f t="shared" si="231"/>
        <v>A9D71F</v>
      </c>
      <c r="V827">
        <v>0</v>
      </c>
      <c r="W827">
        <v>0</v>
      </c>
      <c r="X827">
        <v>2</v>
      </c>
      <c r="Z827">
        <v>1</v>
      </c>
      <c r="AA827">
        <v>7</v>
      </c>
      <c r="AB827">
        <v>3</v>
      </c>
      <c r="AC827">
        <v>0</v>
      </c>
      <c r="AD827">
        <v>9</v>
      </c>
      <c r="AE827">
        <v>0</v>
      </c>
      <c r="AF827">
        <v>3</v>
      </c>
      <c r="AG827">
        <v>1</v>
      </c>
      <c r="AH827">
        <v>0</v>
      </c>
      <c r="AI827" t="s">
        <v>458</v>
      </c>
      <c r="AJ827">
        <v>33.167596000000003</v>
      </c>
      <c r="AK827" t="s">
        <v>459</v>
      </c>
      <c r="AL827">
        <v>-97.733946000000003</v>
      </c>
      <c r="AM827">
        <v>25</v>
      </c>
      <c r="AN827">
        <v>3400</v>
      </c>
      <c r="AO827" t="s">
        <v>118</v>
      </c>
      <c r="AP827">
        <v>59</v>
      </c>
      <c r="AQ827">
        <v>-87</v>
      </c>
      <c r="AR827">
        <v>64</v>
      </c>
      <c r="AZ827">
        <v>1200</v>
      </c>
      <c r="BA827">
        <v>1</v>
      </c>
      <c r="BB827" t="str">
        <f t="shared" si="238"/>
        <v xml:space="preserve">N733KP  </v>
      </c>
      <c r="BC827">
        <v>1</v>
      </c>
      <c r="BE827">
        <v>0</v>
      </c>
      <c r="BF827">
        <v>0</v>
      </c>
      <c r="BG827">
        <v>0</v>
      </c>
      <c r="BH827">
        <v>3375</v>
      </c>
      <c r="BI827">
        <v>1</v>
      </c>
      <c r="BJ827">
        <v>1</v>
      </c>
      <c r="BK827">
        <v>0</v>
      </c>
      <c r="BL827">
        <v>0</v>
      </c>
      <c r="BO827">
        <v>0</v>
      </c>
      <c r="BP827">
        <v>0</v>
      </c>
      <c r="BW827" t="str">
        <f>"22:12:55.733"</f>
        <v>22:12:55.733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364</v>
      </c>
      <c r="CR827">
        <v>0</v>
      </c>
      <c r="CW827">
        <v>1395094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"03/24/2022 22:12:56.904"</f>
        <v>03/24/2022 22:12:56.904</v>
      </c>
      <c r="C828" t="str">
        <f t="shared" si="237"/>
        <v>FFDFD3C0</v>
      </c>
      <c r="D828" t="s">
        <v>123</v>
      </c>
      <c r="E828">
        <v>8</v>
      </c>
      <c r="H828">
        <v>31</v>
      </c>
      <c r="I828" t="s">
        <v>124</v>
      </c>
      <c r="J828" t="s">
        <v>125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 t="shared" ref="S828:T831" si="248">"22:12:56.000"</f>
        <v>22:12:56.000</v>
      </c>
      <c r="T828" t="str">
        <f t="shared" si="248"/>
        <v>22:12:56.000</v>
      </c>
      <c r="U828" t="str">
        <f t="shared" si="231"/>
        <v>A9D71F</v>
      </c>
      <c r="V828">
        <v>0</v>
      </c>
      <c r="W828">
        <v>0</v>
      </c>
      <c r="X828">
        <v>2</v>
      </c>
      <c r="Z828">
        <v>1</v>
      </c>
      <c r="AA828">
        <v>7</v>
      </c>
      <c r="AB828">
        <v>3</v>
      </c>
      <c r="AC828">
        <v>0</v>
      </c>
      <c r="AD828">
        <v>9</v>
      </c>
      <c r="AE828">
        <v>0</v>
      </c>
      <c r="AF828">
        <v>3</v>
      </c>
      <c r="AG828">
        <v>1</v>
      </c>
      <c r="AH828">
        <v>0</v>
      </c>
      <c r="AI828" t="s">
        <v>460</v>
      </c>
      <c r="AJ828">
        <v>33.167188000000003</v>
      </c>
      <c r="AK828" t="s">
        <v>461</v>
      </c>
      <c r="AL828">
        <v>-97.733603000000002</v>
      </c>
      <c r="AM828">
        <v>25</v>
      </c>
      <c r="AN828">
        <v>3400</v>
      </c>
      <c r="AO828" t="s">
        <v>118</v>
      </c>
      <c r="AP828">
        <v>59</v>
      </c>
      <c r="AQ828">
        <v>-87</v>
      </c>
      <c r="AR828">
        <v>128</v>
      </c>
      <c r="AZ828">
        <v>1200</v>
      </c>
      <c r="BA828">
        <v>1</v>
      </c>
      <c r="BB828" t="str">
        <f t="shared" si="238"/>
        <v xml:space="preserve">N733KP  </v>
      </c>
      <c r="BC828">
        <v>1</v>
      </c>
      <c r="BE828">
        <v>0</v>
      </c>
      <c r="BF828">
        <v>0</v>
      </c>
      <c r="BG828">
        <v>0</v>
      </c>
      <c r="BH828">
        <v>3400</v>
      </c>
      <c r="BI828">
        <v>1</v>
      </c>
      <c r="BJ828">
        <v>1</v>
      </c>
      <c r="BK828">
        <v>0</v>
      </c>
      <c r="BL828">
        <v>0</v>
      </c>
      <c r="BO828">
        <v>0</v>
      </c>
      <c r="BP828">
        <v>0</v>
      </c>
      <c r="BW828" t="str">
        <f>"22:12:56.710"</f>
        <v>22:12:56.710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364</v>
      </c>
      <c r="CR828">
        <v>0</v>
      </c>
      <c r="CW828">
        <v>1395233</v>
      </c>
      <c r="CY828">
        <v>1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"03/24/2022 22:12:56.935"</f>
        <v>03/24/2022 22:12:56.935</v>
      </c>
      <c r="C829" t="str">
        <f t="shared" si="237"/>
        <v>FFDFD3C0</v>
      </c>
      <c r="D829" t="s">
        <v>126</v>
      </c>
      <c r="E829">
        <v>3</v>
      </c>
      <c r="H829">
        <v>160</v>
      </c>
      <c r="I829" t="s">
        <v>121</v>
      </c>
      <c r="J829" t="s">
        <v>127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 t="shared" si="248"/>
        <v>22:12:56.000</v>
      </c>
      <c r="T829" t="str">
        <f t="shared" si="248"/>
        <v>22:12:56.000</v>
      </c>
      <c r="U829" t="str">
        <f t="shared" si="231"/>
        <v>A9D71F</v>
      </c>
      <c r="V829">
        <v>0</v>
      </c>
      <c r="W829">
        <v>0</v>
      </c>
      <c r="X829">
        <v>2</v>
      </c>
      <c r="Z829">
        <v>1</v>
      </c>
      <c r="AA829">
        <v>7</v>
      </c>
      <c r="AB829">
        <v>3</v>
      </c>
      <c r="AC829">
        <v>0</v>
      </c>
      <c r="AD829">
        <v>9</v>
      </c>
      <c r="AE829">
        <v>0</v>
      </c>
      <c r="AF829">
        <v>3</v>
      </c>
      <c r="AG829">
        <v>1</v>
      </c>
      <c r="AH829">
        <v>0</v>
      </c>
      <c r="AI829" t="s">
        <v>460</v>
      </c>
      <c r="AJ829">
        <v>33.167188000000003</v>
      </c>
      <c r="AK829" t="s">
        <v>461</v>
      </c>
      <c r="AL829">
        <v>-97.733603000000002</v>
      </c>
      <c r="AM829">
        <v>25</v>
      </c>
      <c r="AN829">
        <v>3400</v>
      </c>
      <c r="AO829" t="s">
        <v>118</v>
      </c>
      <c r="AP829">
        <v>59</v>
      </c>
      <c r="AQ829">
        <v>-87</v>
      </c>
      <c r="AR829">
        <v>128</v>
      </c>
      <c r="AZ829">
        <v>1200</v>
      </c>
      <c r="BA829">
        <v>1</v>
      </c>
      <c r="BB829" t="str">
        <f t="shared" si="238"/>
        <v xml:space="preserve">N733KP  </v>
      </c>
      <c r="BC829">
        <v>1</v>
      </c>
      <c r="BE829">
        <v>0</v>
      </c>
      <c r="BF829">
        <v>0</v>
      </c>
      <c r="BG829">
        <v>0</v>
      </c>
      <c r="BH829">
        <v>3400</v>
      </c>
      <c r="BI829">
        <v>1</v>
      </c>
      <c r="BJ829">
        <v>1</v>
      </c>
      <c r="BK829">
        <v>0</v>
      </c>
      <c r="BL829">
        <v>0</v>
      </c>
      <c r="BO829">
        <v>0</v>
      </c>
      <c r="BP829">
        <v>0</v>
      </c>
      <c r="BW829" t="str">
        <f>"22:12:56.710"</f>
        <v>22:12:56.710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364</v>
      </c>
      <c r="CR829">
        <v>0</v>
      </c>
      <c r="CW829">
        <v>1395233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"03/24/2022 22:12:56.935"</f>
        <v>03/24/2022 22:12:56.935</v>
      </c>
      <c r="C830" t="str">
        <f t="shared" si="237"/>
        <v>FFDFD3C0</v>
      </c>
      <c r="D830" t="s">
        <v>113</v>
      </c>
      <c r="E830">
        <v>24</v>
      </c>
      <c r="F830">
        <v>2024</v>
      </c>
      <c r="G830" t="s">
        <v>114</v>
      </c>
      <c r="J830" t="s">
        <v>115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 t="shared" si="248"/>
        <v>22:12:56.000</v>
      </c>
      <c r="T830" t="str">
        <f t="shared" si="248"/>
        <v>22:12:56.000</v>
      </c>
      <c r="U830" t="str">
        <f t="shared" si="231"/>
        <v>A9D71F</v>
      </c>
      <c r="V830">
        <v>0</v>
      </c>
      <c r="W830">
        <v>0</v>
      </c>
      <c r="X830">
        <v>2</v>
      </c>
      <c r="Z830">
        <v>1</v>
      </c>
      <c r="AA830">
        <v>7</v>
      </c>
      <c r="AB830">
        <v>3</v>
      </c>
      <c r="AC830">
        <v>0</v>
      </c>
      <c r="AD830">
        <v>9</v>
      </c>
      <c r="AE830">
        <v>0</v>
      </c>
      <c r="AF830">
        <v>3</v>
      </c>
      <c r="AG830">
        <v>1</v>
      </c>
      <c r="AH830">
        <v>0</v>
      </c>
      <c r="AI830" t="s">
        <v>460</v>
      </c>
      <c r="AJ830">
        <v>33.167188000000003</v>
      </c>
      <c r="AK830" t="s">
        <v>461</v>
      </c>
      <c r="AL830">
        <v>-97.733603000000002</v>
      </c>
      <c r="AM830">
        <v>25</v>
      </c>
      <c r="AN830">
        <v>3400</v>
      </c>
      <c r="AO830" t="s">
        <v>118</v>
      </c>
      <c r="AP830">
        <v>59</v>
      </c>
      <c r="AQ830">
        <v>-87</v>
      </c>
      <c r="AR830">
        <v>128</v>
      </c>
      <c r="AZ830">
        <v>1200</v>
      </c>
      <c r="BA830">
        <v>1</v>
      </c>
      <c r="BB830" t="str">
        <f t="shared" si="238"/>
        <v xml:space="preserve">N733KP  </v>
      </c>
      <c r="BC830">
        <v>1</v>
      </c>
      <c r="BE830">
        <v>0</v>
      </c>
      <c r="BF830">
        <v>0</v>
      </c>
      <c r="BG830">
        <v>0</v>
      </c>
      <c r="BH830">
        <v>3400</v>
      </c>
      <c r="BI830">
        <v>1</v>
      </c>
      <c r="BJ830">
        <v>1</v>
      </c>
      <c r="BK830">
        <v>0</v>
      </c>
      <c r="BL830">
        <v>0</v>
      </c>
      <c r="BO830">
        <v>0</v>
      </c>
      <c r="BP830">
        <v>0</v>
      </c>
      <c r="BW830" t="str">
        <f>"22:12:56.710"</f>
        <v>22:12:56.710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364</v>
      </c>
      <c r="CR830">
        <v>0</v>
      </c>
      <c r="CW830">
        <v>1395233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"03/24/2022 22:12:56.935"</f>
        <v>03/24/2022 22:12:56.935</v>
      </c>
      <c r="C831" t="str">
        <f t="shared" si="237"/>
        <v>FFDFD3C0</v>
      </c>
      <c r="D831" t="s">
        <v>120</v>
      </c>
      <c r="E831">
        <v>14</v>
      </c>
      <c r="F831">
        <v>1014</v>
      </c>
      <c r="G831" t="s">
        <v>121</v>
      </c>
      <c r="J831" t="s">
        <v>122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 t="shared" si="248"/>
        <v>22:12:56.000</v>
      </c>
      <c r="T831" t="str">
        <f t="shared" si="248"/>
        <v>22:12:56.000</v>
      </c>
      <c r="U831" t="str">
        <f t="shared" si="231"/>
        <v>A9D71F</v>
      </c>
      <c r="V831">
        <v>0</v>
      </c>
      <c r="W831">
        <v>0</v>
      </c>
      <c r="X831">
        <v>2</v>
      </c>
      <c r="Z831">
        <v>1</v>
      </c>
      <c r="AA831">
        <v>7</v>
      </c>
      <c r="AB831">
        <v>3</v>
      </c>
      <c r="AC831">
        <v>0</v>
      </c>
      <c r="AD831">
        <v>9</v>
      </c>
      <c r="AE831">
        <v>0</v>
      </c>
      <c r="AF831">
        <v>3</v>
      </c>
      <c r="AG831">
        <v>1</v>
      </c>
      <c r="AH831">
        <v>0</v>
      </c>
      <c r="AI831" t="s">
        <v>460</v>
      </c>
      <c r="AJ831">
        <v>33.167188000000003</v>
      </c>
      <c r="AK831" t="s">
        <v>461</v>
      </c>
      <c r="AL831">
        <v>-97.733603000000002</v>
      </c>
      <c r="AM831">
        <v>25</v>
      </c>
      <c r="AN831">
        <v>3400</v>
      </c>
      <c r="AO831" t="s">
        <v>118</v>
      </c>
      <c r="AP831">
        <v>59</v>
      </c>
      <c r="AQ831">
        <v>-87</v>
      </c>
      <c r="AR831">
        <v>128</v>
      </c>
      <c r="AZ831">
        <v>1200</v>
      </c>
      <c r="BA831">
        <v>1</v>
      </c>
      <c r="BB831" t="str">
        <f t="shared" si="238"/>
        <v xml:space="preserve">N733KP  </v>
      </c>
      <c r="BC831">
        <v>1</v>
      </c>
      <c r="BE831">
        <v>0</v>
      </c>
      <c r="BF831">
        <v>0</v>
      </c>
      <c r="BG831">
        <v>0</v>
      </c>
      <c r="BH831">
        <v>3400</v>
      </c>
      <c r="BI831">
        <v>1</v>
      </c>
      <c r="BJ831">
        <v>1</v>
      </c>
      <c r="BK831">
        <v>0</v>
      </c>
      <c r="BL831">
        <v>0</v>
      </c>
      <c r="BO831">
        <v>0</v>
      </c>
      <c r="BP831">
        <v>0</v>
      </c>
      <c r="BW831" t="str">
        <f>"22:12:56.710"</f>
        <v>22:12:56.710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364</v>
      </c>
      <c r="CR831">
        <v>0</v>
      </c>
      <c r="CW831">
        <v>1395233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"03/24/2022 22:12:58.201"</f>
        <v>03/24/2022 22:12:58.201</v>
      </c>
      <c r="C832" t="str">
        <f t="shared" si="237"/>
        <v>FFDFD3C0</v>
      </c>
      <c r="D832" t="s">
        <v>126</v>
      </c>
      <c r="E832">
        <v>3</v>
      </c>
      <c r="H832">
        <v>160</v>
      </c>
      <c r="I832" t="s">
        <v>121</v>
      </c>
      <c r="J832" t="s">
        <v>127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 t="shared" ref="S832:T835" si="249">"22:12:57.000"</f>
        <v>22:12:57.000</v>
      </c>
      <c r="T832" t="str">
        <f t="shared" si="249"/>
        <v>22:12:57.000</v>
      </c>
      <c r="U832" t="str">
        <f t="shared" si="231"/>
        <v>A9D71F</v>
      </c>
      <c r="V832">
        <v>0</v>
      </c>
      <c r="W832">
        <v>0</v>
      </c>
      <c r="X832">
        <v>2</v>
      </c>
      <c r="Z832">
        <v>1</v>
      </c>
      <c r="AA832">
        <v>7</v>
      </c>
      <c r="AB832">
        <v>3</v>
      </c>
      <c r="AC832">
        <v>0</v>
      </c>
      <c r="AD832">
        <v>9</v>
      </c>
      <c r="AE832">
        <v>0</v>
      </c>
      <c r="AF832">
        <v>3</v>
      </c>
      <c r="AG832">
        <v>1</v>
      </c>
      <c r="AH832">
        <v>0</v>
      </c>
      <c r="AI832" t="s">
        <v>462</v>
      </c>
      <c r="AJ832">
        <v>33.166780000000003</v>
      </c>
      <c r="AK832" t="s">
        <v>463</v>
      </c>
      <c r="AL832">
        <v>-97.733281000000005</v>
      </c>
      <c r="AM832">
        <v>25</v>
      </c>
      <c r="AN832">
        <v>3400</v>
      </c>
      <c r="AO832" t="s">
        <v>118</v>
      </c>
      <c r="AP832">
        <v>58</v>
      </c>
      <c r="AQ832">
        <v>-85</v>
      </c>
      <c r="AR832">
        <v>256</v>
      </c>
      <c r="AZ832">
        <v>1200</v>
      </c>
      <c r="BA832">
        <v>1</v>
      </c>
      <c r="BB832" t="str">
        <f t="shared" si="238"/>
        <v xml:space="preserve">N733KP  </v>
      </c>
      <c r="BC832">
        <v>1</v>
      </c>
      <c r="BE832">
        <v>0</v>
      </c>
      <c r="BF832">
        <v>0</v>
      </c>
      <c r="BG832">
        <v>0</v>
      </c>
      <c r="BH832">
        <v>3400</v>
      </c>
      <c r="BI832">
        <v>1</v>
      </c>
      <c r="BJ832">
        <v>1</v>
      </c>
      <c r="BK832">
        <v>0</v>
      </c>
      <c r="BL832">
        <v>0</v>
      </c>
      <c r="BO832">
        <v>0</v>
      </c>
      <c r="BP832">
        <v>0</v>
      </c>
      <c r="BW832" t="str">
        <f>"22:12:57.923"</f>
        <v>22:12:57.923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364</v>
      </c>
      <c r="CR832">
        <v>0</v>
      </c>
      <c r="CW832">
        <v>1395433</v>
      </c>
      <c r="CY832">
        <v>1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"03/24/2022 22:12:58.201"</f>
        <v>03/24/2022 22:12:58.201</v>
      </c>
      <c r="C833" t="str">
        <f t="shared" si="237"/>
        <v>FFDFD3C0</v>
      </c>
      <c r="D833" t="s">
        <v>113</v>
      </c>
      <c r="E833">
        <v>24</v>
      </c>
      <c r="F833">
        <v>2024</v>
      </c>
      <c r="G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 t="shared" si="249"/>
        <v>22:12:57.000</v>
      </c>
      <c r="T833" t="str">
        <f t="shared" si="249"/>
        <v>22:12:57.000</v>
      </c>
      <c r="U833" t="str">
        <f t="shared" si="231"/>
        <v>A9D71F</v>
      </c>
      <c r="V833">
        <v>0</v>
      </c>
      <c r="W833">
        <v>0</v>
      </c>
      <c r="X833">
        <v>2</v>
      </c>
      <c r="Z833">
        <v>1</v>
      </c>
      <c r="AA833">
        <v>7</v>
      </c>
      <c r="AB833">
        <v>3</v>
      </c>
      <c r="AC833">
        <v>0</v>
      </c>
      <c r="AD833">
        <v>9</v>
      </c>
      <c r="AE833">
        <v>0</v>
      </c>
      <c r="AF833">
        <v>3</v>
      </c>
      <c r="AG833">
        <v>1</v>
      </c>
      <c r="AH833">
        <v>0</v>
      </c>
      <c r="AI833" t="s">
        <v>462</v>
      </c>
      <c r="AJ833">
        <v>33.166780000000003</v>
      </c>
      <c r="AK833" t="s">
        <v>463</v>
      </c>
      <c r="AL833">
        <v>-97.733281000000005</v>
      </c>
      <c r="AM833">
        <v>25</v>
      </c>
      <c r="AN833">
        <v>3400</v>
      </c>
      <c r="AO833" t="s">
        <v>118</v>
      </c>
      <c r="AP833">
        <v>58</v>
      </c>
      <c r="AQ833">
        <v>-85</v>
      </c>
      <c r="AR833">
        <v>256</v>
      </c>
      <c r="AZ833">
        <v>1200</v>
      </c>
      <c r="BA833">
        <v>1</v>
      </c>
      <c r="BB833" t="str">
        <f t="shared" si="238"/>
        <v xml:space="preserve">N733KP  </v>
      </c>
      <c r="BC833">
        <v>1</v>
      </c>
      <c r="BE833">
        <v>0</v>
      </c>
      <c r="BF833">
        <v>0</v>
      </c>
      <c r="BG833">
        <v>0</v>
      </c>
      <c r="BH833">
        <v>3400</v>
      </c>
      <c r="BI833">
        <v>1</v>
      </c>
      <c r="BJ833">
        <v>1</v>
      </c>
      <c r="BK833">
        <v>0</v>
      </c>
      <c r="BL833">
        <v>0</v>
      </c>
      <c r="BO833">
        <v>0</v>
      </c>
      <c r="BP833">
        <v>0</v>
      </c>
      <c r="BW833" t="str">
        <f>"22:12:57.923"</f>
        <v>22:12:57.923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364</v>
      </c>
      <c r="CR833">
        <v>0</v>
      </c>
      <c r="CW833">
        <v>1395433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"03/24/2022 22:12:58.201"</f>
        <v>03/24/2022 22:12:58.201</v>
      </c>
      <c r="C834" t="str">
        <f t="shared" si="237"/>
        <v>FFDFD3C0</v>
      </c>
      <c r="D834" t="s">
        <v>120</v>
      </c>
      <c r="E834">
        <v>14</v>
      </c>
      <c r="F834">
        <v>1014</v>
      </c>
      <c r="G834" t="s">
        <v>121</v>
      </c>
      <c r="J834" t="s">
        <v>122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 t="shared" si="249"/>
        <v>22:12:57.000</v>
      </c>
      <c r="T834" t="str">
        <f t="shared" si="249"/>
        <v>22:12:57.000</v>
      </c>
      <c r="U834" t="str">
        <f t="shared" ref="U834:U897" si="250">"A9D71F"</f>
        <v>A9D71F</v>
      </c>
      <c r="V834">
        <v>0</v>
      </c>
      <c r="W834">
        <v>0</v>
      </c>
      <c r="X834">
        <v>2</v>
      </c>
      <c r="Z834">
        <v>1</v>
      </c>
      <c r="AA834">
        <v>7</v>
      </c>
      <c r="AB834">
        <v>3</v>
      </c>
      <c r="AC834">
        <v>0</v>
      </c>
      <c r="AD834">
        <v>9</v>
      </c>
      <c r="AE834">
        <v>0</v>
      </c>
      <c r="AF834">
        <v>3</v>
      </c>
      <c r="AG834">
        <v>1</v>
      </c>
      <c r="AH834">
        <v>0</v>
      </c>
      <c r="AI834" t="s">
        <v>462</v>
      </c>
      <c r="AJ834">
        <v>33.166780000000003</v>
      </c>
      <c r="AK834" t="s">
        <v>463</v>
      </c>
      <c r="AL834">
        <v>-97.733281000000005</v>
      </c>
      <c r="AM834">
        <v>25</v>
      </c>
      <c r="AN834">
        <v>3400</v>
      </c>
      <c r="AO834" t="s">
        <v>118</v>
      </c>
      <c r="AP834">
        <v>58</v>
      </c>
      <c r="AQ834">
        <v>-85</v>
      </c>
      <c r="AR834">
        <v>256</v>
      </c>
      <c r="AZ834">
        <v>1200</v>
      </c>
      <c r="BA834">
        <v>1</v>
      </c>
      <c r="BB834" t="str">
        <f t="shared" si="238"/>
        <v xml:space="preserve">N733KP  </v>
      </c>
      <c r="BC834">
        <v>1</v>
      </c>
      <c r="BE834">
        <v>0</v>
      </c>
      <c r="BF834">
        <v>0</v>
      </c>
      <c r="BG834">
        <v>0</v>
      </c>
      <c r="BH834">
        <v>3400</v>
      </c>
      <c r="BI834">
        <v>1</v>
      </c>
      <c r="BJ834">
        <v>1</v>
      </c>
      <c r="BK834">
        <v>0</v>
      </c>
      <c r="BL834">
        <v>0</v>
      </c>
      <c r="BO834">
        <v>0</v>
      </c>
      <c r="BP834">
        <v>0</v>
      </c>
      <c r="BW834" t="str">
        <f>"22:12:57.923"</f>
        <v>22:12:57.923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364</v>
      </c>
      <c r="CR834">
        <v>0</v>
      </c>
      <c r="CW834">
        <v>1395433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"03/24/2022 22:12:58.201"</f>
        <v>03/24/2022 22:12:58.201</v>
      </c>
      <c r="C835" t="str">
        <f t="shared" si="237"/>
        <v>FFDFD3C0</v>
      </c>
      <c r="D835" t="s">
        <v>123</v>
      </c>
      <c r="E835">
        <v>8</v>
      </c>
      <c r="H835">
        <v>31</v>
      </c>
      <c r="I835" t="s">
        <v>124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 t="shared" si="249"/>
        <v>22:12:57.000</v>
      </c>
      <c r="T835" t="str">
        <f t="shared" si="249"/>
        <v>22:12:57.000</v>
      </c>
      <c r="U835" t="str">
        <f t="shared" si="250"/>
        <v>A9D71F</v>
      </c>
      <c r="V835">
        <v>0</v>
      </c>
      <c r="W835">
        <v>0</v>
      </c>
      <c r="X835">
        <v>2</v>
      </c>
      <c r="Z835">
        <v>1</v>
      </c>
      <c r="AA835">
        <v>7</v>
      </c>
      <c r="AB835">
        <v>3</v>
      </c>
      <c r="AC835">
        <v>0</v>
      </c>
      <c r="AD835">
        <v>9</v>
      </c>
      <c r="AE835">
        <v>0</v>
      </c>
      <c r="AF835">
        <v>3</v>
      </c>
      <c r="AG835">
        <v>1</v>
      </c>
      <c r="AH835">
        <v>0</v>
      </c>
      <c r="AI835" t="s">
        <v>462</v>
      </c>
      <c r="AJ835">
        <v>33.166780000000003</v>
      </c>
      <c r="AK835" t="s">
        <v>463</v>
      </c>
      <c r="AL835">
        <v>-97.733281000000005</v>
      </c>
      <c r="AM835">
        <v>25</v>
      </c>
      <c r="AN835">
        <v>3400</v>
      </c>
      <c r="AO835" t="s">
        <v>118</v>
      </c>
      <c r="AP835">
        <v>58</v>
      </c>
      <c r="AQ835">
        <v>-85</v>
      </c>
      <c r="AR835">
        <v>256</v>
      </c>
      <c r="AZ835">
        <v>1200</v>
      </c>
      <c r="BA835">
        <v>1</v>
      </c>
      <c r="BB835" t="str">
        <f t="shared" si="238"/>
        <v xml:space="preserve">N733KP  </v>
      </c>
      <c r="BC835">
        <v>1</v>
      </c>
      <c r="BE835">
        <v>0</v>
      </c>
      <c r="BF835">
        <v>0</v>
      </c>
      <c r="BG835">
        <v>0</v>
      </c>
      <c r="BH835">
        <v>3400</v>
      </c>
      <c r="BI835">
        <v>1</v>
      </c>
      <c r="BJ835">
        <v>1</v>
      </c>
      <c r="BK835">
        <v>0</v>
      </c>
      <c r="BL835">
        <v>0</v>
      </c>
      <c r="BO835">
        <v>0</v>
      </c>
      <c r="BP835">
        <v>0</v>
      </c>
      <c r="BW835" t="str">
        <f>"22:12:57.923"</f>
        <v>22:12:57.923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364</v>
      </c>
      <c r="CR835">
        <v>0</v>
      </c>
      <c r="CW835">
        <v>1395433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"03/24/2022 22:12:58.743"</f>
        <v>03/24/2022 22:12:58.743</v>
      </c>
      <c r="C836" t="str">
        <f t="shared" si="237"/>
        <v>FFDFD3C0</v>
      </c>
      <c r="D836" t="s">
        <v>126</v>
      </c>
      <c r="E836">
        <v>3</v>
      </c>
      <c r="H836">
        <v>160</v>
      </c>
      <c r="I836" t="s">
        <v>121</v>
      </c>
      <c r="J836" t="s">
        <v>127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 t="shared" ref="S836:T839" si="251">"22:12:58.000"</f>
        <v>22:12:58.000</v>
      </c>
      <c r="T836" t="str">
        <f t="shared" si="251"/>
        <v>22:12:58.000</v>
      </c>
      <c r="U836" t="str">
        <f t="shared" si="250"/>
        <v>A9D71F</v>
      </c>
      <c r="V836">
        <v>0</v>
      </c>
      <c r="W836">
        <v>0</v>
      </c>
      <c r="X836">
        <v>2</v>
      </c>
      <c r="Z836">
        <v>1</v>
      </c>
      <c r="AA836">
        <v>7</v>
      </c>
      <c r="AB836">
        <v>3</v>
      </c>
      <c r="AC836">
        <v>0</v>
      </c>
      <c r="AD836">
        <v>9</v>
      </c>
      <c r="AE836">
        <v>0</v>
      </c>
      <c r="AF836">
        <v>3</v>
      </c>
      <c r="AG836">
        <v>1</v>
      </c>
      <c r="AH836">
        <v>0</v>
      </c>
      <c r="AI836" t="s">
        <v>464</v>
      </c>
      <c r="AJ836">
        <v>33.166393999999997</v>
      </c>
      <c r="AK836" t="s">
        <v>465</v>
      </c>
      <c r="AL836">
        <v>-97.732958999999994</v>
      </c>
      <c r="AM836">
        <v>25</v>
      </c>
      <c r="AN836">
        <v>3400</v>
      </c>
      <c r="AO836" t="s">
        <v>118</v>
      </c>
      <c r="AP836">
        <v>58</v>
      </c>
      <c r="AQ836">
        <v>-85</v>
      </c>
      <c r="AR836">
        <v>320</v>
      </c>
      <c r="AZ836">
        <v>1200</v>
      </c>
      <c r="BA836">
        <v>1</v>
      </c>
      <c r="BB836" t="str">
        <f t="shared" si="238"/>
        <v xml:space="preserve">N733KP  </v>
      </c>
      <c r="BC836">
        <v>1</v>
      </c>
      <c r="BE836">
        <v>0</v>
      </c>
      <c r="BF836">
        <v>0</v>
      </c>
      <c r="BG836">
        <v>0</v>
      </c>
      <c r="BH836">
        <v>3400</v>
      </c>
      <c r="BI836">
        <v>1</v>
      </c>
      <c r="BJ836">
        <v>1</v>
      </c>
      <c r="BK836">
        <v>0</v>
      </c>
      <c r="BL836">
        <v>0</v>
      </c>
      <c r="BO836">
        <v>0</v>
      </c>
      <c r="BP836">
        <v>0</v>
      </c>
      <c r="BW836" t="str">
        <f>"22:12:58.492"</f>
        <v>22:12:58.492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364</v>
      </c>
      <c r="CR836">
        <v>0</v>
      </c>
      <c r="CW836">
        <v>1395525</v>
      </c>
      <c r="CY836">
        <v>1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"03/24/2022 22:12:58.743"</f>
        <v>03/24/2022 22:12:58.743</v>
      </c>
      <c r="C837" t="str">
        <f t="shared" si="237"/>
        <v>FFDFD3C0</v>
      </c>
      <c r="D837" t="s">
        <v>113</v>
      </c>
      <c r="E837">
        <v>24</v>
      </c>
      <c r="F837">
        <v>2024</v>
      </c>
      <c r="G837" t="s">
        <v>114</v>
      </c>
      <c r="J837" t="s">
        <v>115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 t="shared" si="251"/>
        <v>22:12:58.000</v>
      </c>
      <c r="T837" t="str">
        <f t="shared" si="251"/>
        <v>22:12:58.000</v>
      </c>
      <c r="U837" t="str">
        <f t="shared" si="250"/>
        <v>A9D71F</v>
      </c>
      <c r="V837">
        <v>0</v>
      </c>
      <c r="W837">
        <v>0</v>
      </c>
      <c r="X837">
        <v>2</v>
      </c>
      <c r="Z837">
        <v>1</v>
      </c>
      <c r="AA837">
        <v>7</v>
      </c>
      <c r="AB837">
        <v>3</v>
      </c>
      <c r="AC837">
        <v>0</v>
      </c>
      <c r="AD837">
        <v>9</v>
      </c>
      <c r="AE837">
        <v>0</v>
      </c>
      <c r="AF837">
        <v>3</v>
      </c>
      <c r="AG837">
        <v>1</v>
      </c>
      <c r="AH837">
        <v>0</v>
      </c>
      <c r="AI837" t="s">
        <v>464</v>
      </c>
      <c r="AJ837">
        <v>33.166393999999997</v>
      </c>
      <c r="AK837" t="s">
        <v>465</v>
      </c>
      <c r="AL837">
        <v>-97.732958999999994</v>
      </c>
      <c r="AM837">
        <v>25</v>
      </c>
      <c r="AN837">
        <v>3400</v>
      </c>
      <c r="AO837" t="s">
        <v>118</v>
      </c>
      <c r="AP837">
        <v>58</v>
      </c>
      <c r="AQ837">
        <v>-85</v>
      </c>
      <c r="AR837">
        <v>320</v>
      </c>
      <c r="AZ837">
        <v>1200</v>
      </c>
      <c r="BA837">
        <v>1</v>
      </c>
      <c r="BB837" t="str">
        <f t="shared" si="238"/>
        <v xml:space="preserve">N733KP  </v>
      </c>
      <c r="BC837">
        <v>1</v>
      </c>
      <c r="BE837">
        <v>0</v>
      </c>
      <c r="BF837">
        <v>0</v>
      </c>
      <c r="BG837">
        <v>0</v>
      </c>
      <c r="BH837">
        <v>3400</v>
      </c>
      <c r="BI837">
        <v>1</v>
      </c>
      <c r="BJ837">
        <v>1</v>
      </c>
      <c r="BK837">
        <v>0</v>
      </c>
      <c r="BL837">
        <v>0</v>
      </c>
      <c r="BO837">
        <v>0</v>
      </c>
      <c r="BP837">
        <v>0</v>
      </c>
      <c r="BW837" t="str">
        <f>"22:12:58.492"</f>
        <v>22:12:58.492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364</v>
      </c>
      <c r="CR837">
        <v>0</v>
      </c>
      <c r="CW837">
        <v>1395525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"03/24/2022 22:12:58.743"</f>
        <v>03/24/2022 22:12:58.743</v>
      </c>
      <c r="C838" t="str">
        <f t="shared" si="237"/>
        <v>FFDFD3C0</v>
      </c>
      <c r="D838" t="s">
        <v>120</v>
      </c>
      <c r="E838">
        <v>14</v>
      </c>
      <c r="F838">
        <v>1014</v>
      </c>
      <c r="G838" t="s">
        <v>121</v>
      </c>
      <c r="J838" t="s">
        <v>122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 t="shared" si="251"/>
        <v>22:12:58.000</v>
      </c>
      <c r="T838" t="str">
        <f t="shared" si="251"/>
        <v>22:12:58.000</v>
      </c>
      <c r="U838" t="str">
        <f t="shared" si="250"/>
        <v>A9D71F</v>
      </c>
      <c r="V838">
        <v>0</v>
      </c>
      <c r="W838">
        <v>0</v>
      </c>
      <c r="X838">
        <v>2</v>
      </c>
      <c r="Z838">
        <v>1</v>
      </c>
      <c r="AA838">
        <v>7</v>
      </c>
      <c r="AB838">
        <v>3</v>
      </c>
      <c r="AC838">
        <v>0</v>
      </c>
      <c r="AD838">
        <v>9</v>
      </c>
      <c r="AE838">
        <v>0</v>
      </c>
      <c r="AF838">
        <v>3</v>
      </c>
      <c r="AG838">
        <v>1</v>
      </c>
      <c r="AH838">
        <v>0</v>
      </c>
      <c r="AI838" t="s">
        <v>464</v>
      </c>
      <c r="AJ838">
        <v>33.166393999999997</v>
      </c>
      <c r="AK838" t="s">
        <v>465</v>
      </c>
      <c r="AL838">
        <v>-97.732958999999994</v>
      </c>
      <c r="AM838">
        <v>25</v>
      </c>
      <c r="AN838">
        <v>3400</v>
      </c>
      <c r="AO838" t="s">
        <v>118</v>
      </c>
      <c r="AP838">
        <v>58</v>
      </c>
      <c r="AQ838">
        <v>-85</v>
      </c>
      <c r="AR838">
        <v>320</v>
      </c>
      <c r="AZ838">
        <v>1200</v>
      </c>
      <c r="BA838">
        <v>1</v>
      </c>
      <c r="BB838" t="str">
        <f t="shared" si="238"/>
        <v xml:space="preserve">N733KP  </v>
      </c>
      <c r="BC838">
        <v>1</v>
      </c>
      <c r="BE838">
        <v>0</v>
      </c>
      <c r="BF838">
        <v>0</v>
      </c>
      <c r="BG838">
        <v>0</v>
      </c>
      <c r="BH838">
        <v>3400</v>
      </c>
      <c r="BI838">
        <v>1</v>
      </c>
      <c r="BJ838">
        <v>1</v>
      </c>
      <c r="BK838">
        <v>0</v>
      </c>
      <c r="BL838">
        <v>0</v>
      </c>
      <c r="BO838">
        <v>0</v>
      </c>
      <c r="BP838">
        <v>0</v>
      </c>
      <c r="BW838" t="str">
        <f>"22:12:58.492"</f>
        <v>22:12:58.492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364</v>
      </c>
      <c r="CR838">
        <v>0</v>
      </c>
      <c r="CW838">
        <v>1395525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"03/24/2022 22:12:58.743"</f>
        <v>03/24/2022 22:12:58.743</v>
      </c>
      <c r="C839" t="str">
        <f t="shared" si="237"/>
        <v>FFDFD3C0</v>
      </c>
      <c r="D839" t="s">
        <v>123</v>
      </c>
      <c r="E839">
        <v>8</v>
      </c>
      <c r="H839">
        <v>31</v>
      </c>
      <c r="I839" t="s">
        <v>124</v>
      </c>
      <c r="J839" t="s">
        <v>125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 t="shared" si="251"/>
        <v>22:12:58.000</v>
      </c>
      <c r="T839" t="str">
        <f t="shared" si="251"/>
        <v>22:12:58.000</v>
      </c>
      <c r="U839" t="str">
        <f t="shared" si="250"/>
        <v>A9D71F</v>
      </c>
      <c r="V839">
        <v>0</v>
      </c>
      <c r="W839">
        <v>0</v>
      </c>
      <c r="X839">
        <v>2</v>
      </c>
      <c r="Z839">
        <v>1</v>
      </c>
      <c r="AA839">
        <v>7</v>
      </c>
      <c r="AB839">
        <v>3</v>
      </c>
      <c r="AC839">
        <v>0</v>
      </c>
      <c r="AD839">
        <v>9</v>
      </c>
      <c r="AE839">
        <v>0</v>
      </c>
      <c r="AF839">
        <v>3</v>
      </c>
      <c r="AG839">
        <v>1</v>
      </c>
      <c r="AH839">
        <v>0</v>
      </c>
      <c r="AI839" t="s">
        <v>464</v>
      </c>
      <c r="AJ839">
        <v>33.166393999999997</v>
      </c>
      <c r="AK839" t="s">
        <v>465</v>
      </c>
      <c r="AL839">
        <v>-97.732958999999994</v>
      </c>
      <c r="AM839">
        <v>25</v>
      </c>
      <c r="AN839">
        <v>3400</v>
      </c>
      <c r="AO839" t="s">
        <v>118</v>
      </c>
      <c r="AP839">
        <v>58</v>
      </c>
      <c r="AQ839">
        <v>-85</v>
      </c>
      <c r="AR839">
        <v>320</v>
      </c>
      <c r="AZ839">
        <v>1200</v>
      </c>
      <c r="BA839">
        <v>1</v>
      </c>
      <c r="BB839" t="str">
        <f t="shared" si="238"/>
        <v xml:space="preserve">N733KP  </v>
      </c>
      <c r="BC839">
        <v>1</v>
      </c>
      <c r="BE839">
        <v>0</v>
      </c>
      <c r="BF839">
        <v>0</v>
      </c>
      <c r="BG839">
        <v>0</v>
      </c>
      <c r="BH839">
        <v>3400</v>
      </c>
      <c r="BI839">
        <v>1</v>
      </c>
      <c r="BJ839">
        <v>1</v>
      </c>
      <c r="BK839">
        <v>0</v>
      </c>
      <c r="BL839">
        <v>0</v>
      </c>
      <c r="BO839">
        <v>0</v>
      </c>
      <c r="BP839">
        <v>0</v>
      </c>
      <c r="BW839" t="str">
        <f>"22:12:58.492"</f>
        <v>22:12:58.492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364</v>
      </c>
      <c r="CR839">
        <v>0</v>
      </c>
      <c r="CW839">
        <v>1395525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"03/24/2022 22:13:00.182"</f>
        <v>03/24/2022 22:13:00.182</v>
      </c>
      <c r="C840" t="str">
        <f t="shared" si="237"/>
        <v>FFDFD3C0</v>
      </c>
      <c r="D840" t="s">
        <v>113</v>
      </c>
      <c r="E840">
        <v>24</v>
      </c>
      <c r="F840">
        <v>2024</v>
      </c>
      <c r="G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 t="shared" ref="S840:T843" si="252">"22:12:59.000"</f>
        <v>22:12:59.000</v>
      </c>
      <c r="T840" t="str">
        <f t="shared" si="252"/>
        <v>22:12:59.000</v>
      </c>
      <c r="U840" t="str">
        <f t="shared" si="250"/>
        <v>A9D71F</v>
      </c>
      <c r="V840">
        <v>0</v>
      </c>
      <c r="W840">
        <v>0</v>
      </c>
      <c r="X840">
        <v>2</v>
      </c>
      <c r="Z840">
        <v>1</v>
      </c>
      <c r="AA840">
        <v>7</v>
      </c>
      <c r="AB840">
        <v>3</v>
      </c>
      <c r="AC840">
        <v>0</v>
      </c>
      <c r="AD840">
        <v>9</v>
      </c>
      <c r="AE840">
        <v>0</v>
      </c>
      <c r="AF840">
        <v>3</v>
      </c>
      <c r="AG840">
        <v>1</v>
      </c>
      <c r="AH840">
        <v>0</v>
      </c>
      <c r="AI840" t="s">
        <v>466</v>
      </c>
      <c r="AJ840">
        <v>33.165965</v>
      </c>
      <c r="AK840" t="s">
        <v>467</v>
      </c>
      <c r="AL840">
        <v>-97.732614999999996</v>
      </c>
      <c r="AM840">
        <v>25</v>
      </c>
      <c r="AN840">
        <v>3500</v>
      </c>
      <c r="AO840" t="s">
        <v>118</v>
      </c>
      <c r="AP840">
        <v>59</v>
      </c>
      <c r="AQ840">
        <v>-86</v>
      </c>
      <c r="AR840">
        <v>384</v>
      </c>
      <c r="AZ840">
        <v>1200</v>
      </c>
      <c r="BA840">
        <v>1</v>
      </c>
      <c r="BB840" t="str">
        <f t="shared" si="238"/>
        <v xml:space="preserve">N733KP  </v>
      </c>
      <c r="BC840">
        <v>1</v>
      </c>
      <c r="BE840">
        <v>0</v>
      </c>
      <c r="BF840">
        <v>0</v>
      </c>
      <c r="BG840">
        <v>0</v>
      </c>
      <c r="BH840">
        <v>3400</v>
      </c>
      <c r="BI840">
        <v>1</v>
      </c>
      <c r="BJ840">
        <v>1</v>
      </c>
      <c r="BK840">
        <v>0</v>
      </c>
      <c r="BL840">
        <v>0</v>
      </c>
      <c r="BO840">
        <v>0</v>
      </c>
      <c r="BP840">
        <v>0</v>
      </c>
      <c r="BW840" t="str">
        <f>"22:12:59.912"</f>
        <v>22:12:59.912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364</v>
      </c>
      <c r="CR840">
        <v>0</v>
      </c>
      <c r="CW840">
        <v>1395763</v>
      </c>
      <c r="CY840">
        <v>1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"03/24/2022 22:13:00.182"</f>
        <v>03/24/2022 22:13:00.182</v>
      </c>
      <c r="C841" t="str">
        <f t="shared" si="237"/>
        <v>FFDFD3C0</v>
      </c>
      <c r="D841" t="s">
        <v>123</v>
      </c>
      <c r="E841">
        <v>8</v>
      </c>
      <c r="H841">
        <v>31</v>
      </c>
      <c r="I841" t="s">
        <v>124</v>
      </c>
      <c r="J841" t="s">
        <v>125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 t="shared" si="252"/>
        <v>22:12:59.000</v>
      </c>
      <c r="T841" t="str">
        <f t="shared" si="252"/>
        <v>22:12:59.000</v>
      </c>
      <c r="U841" t="str">
        <f t="shared" si="250"/>
        <v>A9D71F</v>
      </c>
      <c r="V841">
        <v>0</v>
      </c>
      <c r="W841">
        <v>0</v>
      </c>
      <c r="X841">
        <v>2</v>
      </c>
      <c r="Z841">
        <v>1</v>
      </c>
      <c r="AA841">
        <v>7</v>
      </c>
      <c r="AB841">
        <v>3</v>
      </c>
      <c r="AC841">
        <v>0</v>
      </c>
      <c r="AD841">
        <v>9</v>
      </c>
      <c r="AE841">
        <v>0</v>
      </c>
      <c r="AF841">
        <v>3</v>
      </c>
      <c r="AG841">
        <v>1</v>
      </c>
      <c r="AH841">
        <v>0</v>
      </c>
      <c r="AI841" t="s">
        <v>466</v>
      </c>
      <c r="AJ841">
        <v>33.165965</v>
      </c>
      <c r="AK841" t="s">
        <v>467</v>
      </c>
      <c r="AL841">
        <v>-97.732614999999996</v>
      </c>
      <c r="AM841">
        <v>25</v>
      </c>
      <c r="AN841">
        <v>3500</v>
      </c>
      <c r="AO841" t="s">
        <v>118</v>
      </c>
      <c r="AP841">
        <v>59</v>
      </c>
      <c r="AQ841">
        <v>-86</v>
      </c>
      <c r="AR841">
        <v>384</v>
      </c>
      <c r="AZ841">
        <v>1200</v>
      </c>
      <c r="BA841">
        <v>1</v>
      </c>
      <c r="BB841" t="str">
        <f t="shared" si="238"/>
        <v xml:space="preserve">N733KP  </v>
      </c>
      <c r="BC841">
        <v>1</v>
      </c>
      <c r="BE841">
        <v>0</v>
      </c>
      <c r="BF841">
        <v>0</v>
      </c>
      <c r="BG841">
        <v>0</v>
      </c>
      <c r="BH841">
        <v>3400</v>
      </c>
      <c r="BI841">
        <v>1</v>
      </c>
      <c r="BJ841">
        <v>1</v>
      </c>
      <c r="BK841">
        <v>0</v>
      </c>
      <c r="BL841">
        <v>0</v>
      </c>
      <c r="BO841">
        <v>0</v>
      </c>
      <c r="BP841">
        <v>0</v>
      </c>
      <c r="BW841" t="str">
        <f>"22:12:59.912"</f>
        <v>22:12:59.912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364</v>
      </c>
      <c r="CR841">
        <v>0</v>
      </c>
      <c r="CW841">
        <v>1395763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"03/24/2022 22:13:00.182"</f>
        <v>03/24/2022 22:13:00.182</v>
      </c>
      <c r="C842" t="str">
        <f t="shared" si="237"/>
        <v>FFDFD3C0</v>
      </c>
      <c r="D842" t="s">
        <v>120</v>
      </c>
      <c r="E842">
        <v>14</v>
      </c>
      <c r="F842">
        <v>1014</v>
      </c>
      <c r="G842" t="s">
        <v>121</v>
      </c>
      <c r="J842" t="s">
        <v>122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 t="shared" si="252"/>
        <v>22:12:59.000</v>
      </c>
      <c r="T842" t="str">
        <f t="shared" si="252"/>
        <v>22:12:59.000</v>
      </c>
      <c r="U842" t="str">
        <f t="shared" si="250"/>
        <v>A9D71F</v>
      </c>
      <c r="V842">
        <v>0</v>
      </c>
      <c r="W842">
        <v>0</v>
      </c>
      <c r="X842">
        <v>2</v>
      </c>
      <c r="Z842">
        <v>1</v>
      </c>
      <c r="AA842">
        <v>7</v>
      </c>
      <c r="AB842">
        <v>3</v>
      </c>
      <c r="AC842">
        <v>0</v>
      </c>
      <c r="AD842">
        <v>9</v>
      </c>
      <c r="AE842">
        <v>0</v>
      </c>
      <c r="AF842">
        <v>3</v>
      </c>
      <c r="AG842">
        <v>1</v>
      </c>
      <c r="AH842">
        <v>0</v>
      </c>
      <c r="AI842" t="s">
        <v>466</v>
      </c>
      <c r="AJ842">
        <v>33.165965</v>
      </c>
      <c r="AK842" t="s">
        <v>467</v>
      </c>
      <c r="AL842">
        <v>-97.732614999999996</v>
      </c>
      <c r="AM842">
        <v>25</v>
      </c>
      <c r="AN842">
        <v>3500</v>
      </c>
      <c r="AO842" t="s">
        <v>118</v>
      </c>
      <c r="AP842">
        <v>59</v>
      </c>
      <c r="AQ842">
        <v>-86</v>
      </c>
      <c r="AR842">
        <v>384</v>
      </c>
      <c r="AZ842">
        <v>1200</v>
      </c>
      <c r="BA842">
        <v>1</v>
      </c>
      <c r="BB842" t="str">
        <f t="shared" si="238"/>
        <v xml:space="preserve">N733KP  </v>
      </c>
      <c r="BC842">
        <v>1</v>
      </c>
      <c r="BE842">
        <v>0</v>
      </c>
      <c r="BF842">
        <v>0</v>
      </c>
      <c r="BG842">
        <v>0</v>
      </c>
      <c r="BH842">
        <v>3400</v>
      </c>
      <c r="BI842">
        <v>1</v>
      </c>
      <c r="BJ842">
        <v>1</v>
      </c>
      <c r="BK842">
        <v>0</v>
      </c>
      <c r="BL842">
        <v>0</v>
      </c>
      <c r="BO842">
        <v>0</v>
      </c>
      <c r="BP842">
        <v>0</v>
      </c>
      <c r="BW842" t="str">
        <f>"22:12:59.912"</f>
        <v>22:12:59.912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364</v>
      </c>
      <c r="CR842">
        <v>0</v>
      </c>
      <c r="CW842">
        <v>1395763</v>
      </c>
      <c r="CY842">
        <v>1</v>
      </c>
      <c r="CZ842">
        <v>0</v>
      </c>
      <c r="DA842">
        <v>1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"03/24/2022 22:13:00.197"</f>
        <v>03/24/2022 22:13:00.197</v>
      </c>
      <c r="C843" t="str">
        <f t="shared" si="237"/>
        <v>FFDFD3C0</v>
      </c>
      <c r="D843" t="s">
        <v>126</v>
      </c>
      <c r="E843">
        <v>3</v>
      </c>
      <c r="H843">
        <v>160</v>
      </c>
      <c r="I843" t="s">
        <v>121</v>
      </c>
      <c r="J843" t="s">
        <v>127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 t="shared" si="252"/>
        <v>22:12:59.000</v>
      </c>
      <c r="T843" t="str">
        <f t="shared" si="252"/>
        <v>22:12:59.000</v>
      </c>
      <c r="U843" t="str">
        <f t="shared" si="250"/>
        <v>A9D71F</v>
      </c>
      <c r="V843">
        <v>0</v>
      </c>
      <c r="W843">
        <v>0</v>
      </c>
      <c r="X843">
        <v>2</v>
      </c>
      <c r="Z843">
        <v>1</v>
      </c>
      <c r="AA843">
        <v>7</v>
      </c>
      <c r="AB843">
        <v>3</v>
      </c>
      <c r="AC843">
        <v>0</v>
      </c>
      <c r="AD843">
        <v>9</v>
      </c>
      <c r="AE843">
        <v>0</v>
      </c>
      <c r="AF843">
        <v>3</v>
      </c>
      <c r="AG843">
        <v>1</v>
      </c>
      <c r="AH843">
        <v>0</v>
      </c>
      <c r="AI843" t="s">
        <v>466</v>
      </c>
      <c r="AJ843">
        <v>33.165965</v>
      </c>
      <c r="AK843" t="s">
        <v>467</v>
      </c>
      <c r="AL843">
        <v>-97.732614999999996</v>
      </c>
      <c r="AM843">
        <v>25</v>
      </c>
      <c r="AN843">
        <v>3500</v>
      </c>
      <c r="AO843" t="s">
        <v>118</v>
      </c>
      <c r="AP843">
        <v>59</v>
      </c>
      <c r="AQ843">
        <v>-86</v>
      </c>
      <c r="AR843">
        <v>384</v>
      </c>
      <c r="AZ843">
        <v>1200</v>
      </c>
      <c r="BA843">
        <v>1</v>
      </c>
      <c r="BB843" t="str">
        <f t="shared" si="238"/>
        <v xml:space="preserve">N733KP  </v>
      </c>
      <c r="BC843">
        <v>1</v>
      </c>
      <c r="BE843">
        <v>0</v>
      </c>
      <c r="BF843">
        <v>0</v>
      </c>
      <c r="BG843">
        <v>0</v>
      </c>
      <c r="BH843">
        <v>3400</v>
      </c>
      <c r="BI843">
        <v>1</v>
      </c>
      <c r="BJ843">
        <v>1</v>
      </c>
      <c r="BK843">
        <v>0</v>
      </c>
      <c r="BL843">
        <v>0</v>
      </c>
      <c r="BO843">
        <v>0</v>
      </c>
      <c r="BP843">
        <v>0</v>
      </c>
      <c r="BW843" t="str">
        <f>"22:12:59.912"</f>
        <v>22:12:59.912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364</v>
      </c>
      <c r="CR843">
        <v>0</v>
      </c>
      <c r="CW843">
        <v>1395763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"03/24/2022 22:13:00.697"</f>
        <v>03/24/2022 22:13:00.697</v>
      </c>
      <c r="C844" t="str">
        <f t="shared" si="237"/>
        <v>FFDFD3C0</v>
      </c>
      <c r="D844" t="s">
        <v>126</v>
      </c>
      <c r="E844">
        <v>3</v>
      </c>
      <c r="H844">
        <v>160</v>
      </c>
      <c r="I844" t="s">
        <v>121</v>
      </c>
      <c r="J844" t="s">
        <v>127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 t="shared" ref="S844:T847" si="253">"22:13:00.000"</f>
        <v>22:13:00.000</v>
      </c>
      <c r="T844" t="str">
        <f t="shared" si="253"/>
        <v>22:13:00.000</v>
      </c>
      <c r="U844" t="str">
        <f t="shared" si="250"/>
        <v>A9D71F</v>
      </c>
      <c r="V844">
        <v>0</v>
      </c>
      <c r="W844">
        <v>0</v>
      </c>
      <c r="X844">
        <v>2</v>
      </c>
      <c r="Z844">
        <v>1</v>
      </c>
      <c r="AA844">
        <v>7</v>
      </c>
      <c r="AB844">
        <v>3</v>
      </c>
      <c r="AC844">
        <v>0</v>
      </c>
      <c r="AD844">
        <v>9</v>
      </c>
      <c r="AE844">
        <v>0</v>
      </c>
      <c r="AF844">
        <v>3</v>
      </c>
      <c r="AG844">
        <v>1</v>
      </c>
      <c r="AH844">
        <v>0</v>
      </c>
      <c r="AI844" t="s">
        <v>468</v>
      </c>
      <c r="AJ844">
        <v>33.165599999999998</v>
      </c>
      <c r="AK844" t="s">
        <v>469</v>
      </c>
      <c r="AL844">
        <v>-97.732315</v>
      </c>
      <c r="AM844">
        <v>25</v>
      </c>
      <c r="AN844">
        <v>3500</v>
      </c>
      <c r="AO844" t="s">
        <v>118</v>
      </c>
      <c r="AP844">
        <v>57</v>
      </c>
      <c r="AQ844">
        <v>-85</v>
      </c>
      <c r="AR844">
        <v>384</v>
      </c>
      <c r="AZ844">
        <v>1200</v>
      </c>
      <c r="BA844">
        <v>1</v>
      </c>
      <c r="BB844" t="str">
        <f t="shared" si="238"/>
        <v xml:space="preserve">N733KP  </v>
      </c>
      <c r="BC844">
        <v>1</v>
      </c>
      <c r="BE844">
        <v>0</v>
      </c>
      <c r="BF844">
        <v>0</v>
      </c>
      <c r="BG844">
        <v>0</v>
      </c>
      <c r="BH844">
        <v>3400</v>
      </c>
      <c r="BI844">
        <v>1</v>
      </c>
      <c r="BJ844">
        <v>1</v>
      </c>
      <c r="BK844">
        <v>0</v>
      </c>
      <c r="BL844">
        <v>0</v>
      </c>
      <c r="BO844">
        <v>0</v>
      </c>
      <c r="BP844">
        <v>0</v>
      </c>
      <c r="BW844" t="str">
        <f>"22:13:00.471"</f>
        <v>22:13:00.471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364</v>
      </c>
      <c r="CR844">
        <v>0</v>
      </c>
      <c r="CW844">
        <v>1395849</v>
      </c>
      <c r="CY844">
        <v>1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"03/24/2022 22:13:00.697"</f>
        <v>03/24/2022 22:13:00.697</v>
      </c>
      <c r="C845" t="str">
        <f t="shared" si="237"/>
        <v>FFDFD3C0</v>
      </c>
      <c r="D845" t="s">
        <v>113</v>
      </c>
      <c r="E845">
        <v>24</v>
      </c>
      <c r="F845">
        <v>2024</v>
      </c>
      <c r="G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 t="shared" si="253"/>
        <v>22:13:00.000</v>
      </c>
      <c r="T845" t="str">
        <f t="shared" si="253"/>
        <v>22:13:00.000</v>
      </c>
      <c r="U845" t="str">
        <f t="shared" si="250"/>
        <v>A9D71F</v>
      </c>
      <c r="V845">
        <v>0</v>
      </c>
      <c r="W845">
        <v>0</v>
      </c>
      <c r="X845">
        <v>2</v>
      </c>
      <c r="Z845">
        <v>1</v>
      </c>
      <c r="AA845">
        <v>7</v>
      </c>
      <c r="AB845">
        <v>3</v>
      </c>
      <c r="AC845">
        <v>0</v>
      </c>
      <c r="AD845">
        <v>9</v>
      </c>
      <c r="AE845">
        <v>0</v>
      </c>
      <c r="AF845">
        <v>3</v>
      </c>
      <c r="AG845">
        <v>1</v>
      </c>
      <c r="AH845">
        <v>0</v>
      </c>
      <c r="AI845" t="s">
        <v>468</v>
      </c>
      <c r="AJ845">
        <v>33.165599999999998</v>
      </c>
      <c r="AK845" t="s">
        <v>469</v>
      </c>
      <c r="AL845">
        <v>-97.732315</v>
      </c>
      <c r="AM845">
        <v>25</v>
      </c>
      <c r="AN845">
        <v>3500</v>
      </c>
      <c r="AO845" t="s">
        <v>118</v>
      </c>
      <c r="AP845">
        <v>57</v>
      </c>
      <c r="AQ845">
        <v>-85</v>
      </c>
      <c r="AR845">
        <v>384</v>
      </c>
      <c r="AZ845">
        <v>1200</v>
      </c>
      <c r="BA845">
        <v>1</v>
      </c>
      <c r="BB845" t="str">
        <f t="shared" si="238"/>
        <v xml:space="preserve">N733KP  </v>
      </c>
      <c r="BC845">
        <v>1</v>
      </c>
      <c r="BE845">
        <v>0</v>
      </c>
      <c r="BF845">
        <v>0</v>
      </c>
      <c r="BG845">
        <v>0</v>
      </c>
      <c r="BH845">
        <v>3400</v>
      </c>
      <c r="BI845">
        <v>1</v>
      </c>
      <c r="BJ845">
        <v>1</v>
      </c>
      <c r="BK845">
        <v>0</v>
      </c>
      <c r="BL845">
        <v>0</v>
      </c>
      <c r="BO845">
        <v>0</v>
      </c>
      <c r="BP845">
        <v>0</v>
      </c>
      <c r="BW845" t="str">
        <f>"22:13:00.471"</f>
        <v>22:13:00.471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364</v>
      </c>
      <c r="CR845">
        <v>0</v>
      </c>
      <c r="CW845">
        <v>1395849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"03/24/2022 22:13:00.697"</f>
        <v>03/24/2022 22:13:00.697</v>
      </c>
      <c r="C846" t="str">
        <f t="shared" si="237"/>
        <v>FFDFD3C0</v>
      </c>
      <c r="D846" t="s">
        <v>123</v>
      </c>
      <c r="E846">
        <v>8</v>
      </c>
      <c r="H846">
        <v>31</v>
      </c>
      <c r="I846" t="s">
        <v>124</v>
      </c>
      <c r="J846" t="s">
        <v>125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 t="shared" si="253"/>
        <v>22:13:00.000</v>
      </c>
      <c r="T846" t="str">
        <f t="shared" si="253"/>
        <v>22:13:00.000</v>
      </c>
      <c r="U846" t="str">
        <f t="shared" si="250"/>
        <v>A9D71F</v>
      </c>
      <c r="V846">
        <v>0</v>
      </c>
      <c r="W846">
        <v>0</v>
      </c>
      <c r="X846">
        <v>2</v>
      </c>
      <c r="Z846">
        <v>1</v>
      </c>
      <c r="AA846">
        <v>7</v>
      </c>
      <c r="AB846">
        <v>3</v>
      </c>
      <c r="AC846">
        <v>0</v>
      </c>
      <c r="AD846">
        <v>9</v>
      </c>
      <c r="AE846">
        <v>0</v>
      </c>
      <c r="AF846">
        <v>3</v>
      </c>
      <c r="AG846">
        <v>1</v>
      </c>
      <c r="AH846">
        <v>0</v>
      </c>
      <c r="AI846" t="s">
        <v>468</v>
      </c>
      <c r="AJ846">
        <v>33.165599999999998</v>
      </c>
      <c r="AK846" t="s">
        <v>469</v>
      </c>
      <c r="AL846">
        <v>-97.732315</v>
      </c>
      <c r="AM846">
        <v>25</v>
      </c>
      <c r="AN846">
        <v>3500</v>
      </c>
      <c r="AO846" t="s">
        <v>118</v>
      </c>
      <c r="AP846">
        <v>57</v>
      </c>
      <c r="AQ846">
        <v>-85</v>
      </c>
      <c r="AR846">
        <v>384</v>
      </c>
      <c r="AZ846">
        <v>1200</v>
      </c>
      <c r="BA846">
        <v>1</v>
      </c>
      <c r="BB846" t="str">
        <f t="shared" si="238"/>
        <v xml:space="preserve">N733KP  </v>
      </c>
      <c r="BC846">
        <v>1</v>
      </c>
      <c r="BE846">
        <v>0</v>
      </c>
      <c r="BF846">
        <v>0</v>
      </c>
      <c r="BG846">
        <v>0</v>
      </c>
      <c r="BH846">
        <v>3400</v>
      </c>
      <c r="BI846">
        <v>1</v>
      </c>
      <c r="BJ846">
        <v>1</v>
      </c>
      <c r="BK846">
        <v>0</v>
      </c>
      <c r="BL846">
        <v>0</v>
      </c>
      <c r="BO846">
        <v>0</v>
      </c>
      <c r="BP846">
        <v>0</v>
      </c>
      <c r="BW846" t="str">
        <f>"22:13:00.471"</f>
        <v>22:13:00.471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364</v>
      </c>
      <c r="CR846">
        <v>0</v>
      </c>
      <c r="CW846">
        <v>1395849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"03/24/2022 22:13:00.697"</f>
        <v>03/24/2022 22:13:00.697</v>
      </c>
      <c r="C847" t="str">
        <f t="shared" si="237"/>
        <v>FFDFD3C0</v>
      </c>
      <c r="D847" t="s">
        <v>120</v>
      </c>
      <c r="E847">
        <v>14</v>
      </c>
      <c r="F847">
        <v>1014</v>
      </c>
      <c r="G847" t="s">
        <v>121</v>
      </c>
      <c r="J847" t="s">
        <v>122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 t="shared" si="253"/>
        <v>22:13:00.000</v>
      </c>
      <c r="T847" t="str">
        <f t="shared" si="253"/>
        <v>22:13:00.000</v>
      </c>
      <c r="U847" t="str">
        <f t="shared" si="250"/>
        <v>A9D71F</v>
      </c>
      <c r="V847">
        <v>0</v>
      </c>
      <c r="W847">
        <v>0</v>
      </c>
      <c r="X847">
        <v>2</v>
      </c>
      <c r="Z847">
        <v>1</v>
      </c>
      <c r="AA847">
        <v>7</v>
      </c>
      <c r="AB847">
        <v>3</v>
      </c>
      <c r="AC847">
        <v>0</v>
      </c>
      <c r="AD847">
        <v>9</v>
      </c>
      <c r="AE847">
        <v>0</v>
      </c>
      <c r="AF847">
        <v>3</v>
      </c>
      <c r="AG847">
        <v>1</v>
      </c>
      <c r="AH847">
        <v>0</v>
      </c>
      <c r="AI847" t="s">
        <v>468</v>
      </c>
      <c r="AJ847">
        <v>33.165599999999998</v>
      </c>
      <c r="AK847" t="s">
        <v>469</v>
      </c>
      <c r="AL847">
        <v>-97.732315</v>
      </c>
      <c r="AM847">
        <v>25</v>
      </c>
      <c r="AN847">
        <v>3500</v>
      </c>
      <c r="AO847" t="s">
        <v>118</v>
      </c>
      <c r="AP847">
        <v>57</v>
      </c>
      <c r="AQ847">
        <v>-85</v>
      </c>
      <c r="AR847">
        <v>384</v>
      </c>
      <c r="AZ847">
        <v>1200</v>
      </c>
      <c r="BA847">
        <v>1</v>
      </c>
      <c r="BB847" t="str">
        <f t="shared" si="238"/>
        <v xml:space="preserve">N733KP  </v>
      </c>
      <c r="BC847">
        <v>1</v>
      </c>
      <c r="BE847">
        <v>0</v>
      </c>
      <c r="BF847">
        <v>0</v>
      </c>
      <c r="BG847">
        <v>0</v>
      </c>
      <c r="BH847">
        <v>3400</v>
      </c>
      <c r="BI847">
        <v>1</v>
      </c>
      <c r="BJ847">
        <v>1</v>
      </c>
      <c r="BK847">
        <v>0</v>
      </c>
      <c r="BL847">
        <v>0</v>
      </c>
      <c r="BO847">
        <v>0</v>
      </c>
      <c r="BP847">
        <v>0</v>
      </c>
      <c r="BW847" t="str">
        <f>"22:13:00.471"</f>
        <v>22:13:00.471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364</v>
      </c>
      <c r="CR847">
        <v>0</v>
      </c>
      <c r="CW847">
        <v>1395849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"03/24/2022 22:13:01.902"</f>
        <v>03/24/2022 22:13:01.902</v>
      </c>
      <c r="C848" t="str">
        <f t="shared" si="237"/>
        <v>FFDFD3C0</v>
      </c>
      <c r="D848" t="s">
        <v>126</v>
      </c>
      <c r="E848">
        <v>3</v>
      </c>
      <c r="H848">
        <v>160</v>
      </c>
      <c r="I848" t="s">
        <v>121</v>
      </c>
      <c r="J848" t="s">
        <v>127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 t="shared" ref="S848:T851" si="254">"22:13:01.000"</f>
        <v>22:13:01.000</v>
      </c>
      <c r="T848" t="str">
        <f t="shared" si="254"/>
        <v>22:13:01.000</v>
      </c>
      <c r="U848" t="str">
        <f t="shared" si="250"/>
        <v>A9D71F</v>
      </c>
      <c r="V848">
        <v>0</v>
      </c>
      <c r="W848">
        <v>0</v>
      </c>
      <c r="X848">
        <v>2</v>
      </c>
      <c r="Z848">
        <v>1</v>
      </c>
      <c r="AA848">
        <v>7</v>
      </c>
      <c r="AB848">
        <v>3</v>
      </c>
      <c r="AC848">
        <v>0</v>
      </c>
      <c r="AD848">
        <v>9</v>
      </c>
      <c r="AE848">
        <v>0</v>
      </c>
      <c r="AF848">
        <v>3</v>
      </c>
      <c r="AG848">
        <v>1</v>
      </c>
      <c r="AH848">
        <v>0</v>
      </c>
      <c r="AI848" t="s">
        <v>470</v>
      </c>
      <c r="AJ848">
        <v>33.165149999999997</v>
      </c>
      <c r="AK848" t="s">
        <v>471</v>
      </c>
      <c r="AL848">
        <v>-97.731971999999999</v>
      </c>
      <c r="AM848">
        <v>25</v>
      </c>
      <c r="AN848">
        <v>3500</v>
      </c>
      <c r="AO848" t="s">
        <v>118</v>
      </c>
      <c r="AP848">
        <v>57</v>
      </c>
      <c r="AQ848">
        <v>-85</v>
      </c>
      <c r="AR848">
        <v>256</v>
      </c>
      <c r="AZ848">
        <v>1200</v>
      </c>
      <c r="BA848">
        <v>1</v>
      </c>
      <c r="BB848" t="str">
        <f t="shared" si="238"/>
        <v xml:space="preserve">N733KP  </v>
      </c>
      <c r="BC848">
        <v>1</v>
      </c>
      <c r="BE848">
        <v>0</v>
      </c>
      <c r="BF848">
        <v>0</v>
      </c>
      <c r="BG848">
        <v>0</v>
      </c>
      <c r="BH848">
        <v>3400</v>
      </c>
      <c r="BI848">
        <v>1</v>
      </c>
      <c r="BJ848">
        <v>1</v>
      </c>
      <c r="BK848">
        <v>0</v>
      </c>
      <c r="BL848">
        <v>0</v>
      </c>
      <c r="BO848">
        <v>0</v>
      </c>
      <c r="BP848">
        <v>0</v>
      </c>
      <c r="BW848" t="str">
        <f>"22:13:01.699"</f>
        <v>22:13:01.699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364</v>
      </c>
      <c r="CR848">
        <v>0</v>
      </c>
      <c r="CW848">
        <v>1396061</v>
      </c>
      <c r="CY848">
        <v>1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"03/24/2022 22:13:01.917"</f>
        <v>03/24/2022 22:13:01.917</v>
      </c>
      <c r="C849" t="str">
        <f t="shared" si="237"/>
        <v>FFDFD3C0</v>
      </c>
      <c r="D849" t="s">
        <v>113</v>
      </c>
      <c r="E849">
        <v>24</v>
      </c>
      <c r="F849">
        <v>2024</v>
      </c>
      <c r="G849" t="s">
        <v>114</v>
      </c>
      <c r="J849" t="s">
        <v>115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 t="shared" si="254"/>
        <v>22:13:01.000</v>
      </c>
      <c r="T849" t="str">
        <f t="shared" si="254"/>
        <v>22:13:01.000</v>
      </c>
      <c r="U849" t="str">
        <f t="shared" si="250"/>
        <v>A9D71F</v>
      </c>
      <c r="V849">
        <v>0</v>
      </c>
      <c r="W849">
        <v>0</v>
      </c>
      <c r="X849">
        <v>2</v>
      </c>
      <c r="Z849">
        <v>1</v>
      </c>
      <c r="AA849">
        <v>7</v>
      </c>
      <c r="AB849">
        <v>3</v>
      </c>
      <c r="AC849">
        <v>0</v>
      </c>
      <c r="AD849">
        <v>9</v>
      </c>
      <c r="AE849">
        <v>0</v>
      </c>
      <c r="AF849">
        <v>3</v>
      </c>
      <c r="AG849">
        <v>1</v>
      </c>
      <c r="AH849">
        <v>0</v>
      </c>
      <c r="AI849" t="s">
        <v>470</v>
      </c>
      <c r="AJ849">
        <v>33.165149999999997</v>
      </c>
      <c r="AK849" t="s">
        <v>471</v>
      </c>
      <c r="AL849">
        <v>-97.731971999999999</v>
      </c>
      <c r="AM849">
        <v>25</v>
      </c>
      <c r="AN849">
        <v>3500</v>
      </c>
      <c r="AO849" t="s">
        <v>118</v>
      </c>
      <c r="AP849">
        <v>57</v>
      </c>
      <c r="AQ849">
        <v>-85</v>
      </c>
      <c r="AR849">
        <v>256</v>
      </c>
      <c r="AZ849">
        <v>1200</v>
      </c>
      <c r="BA849">
        <v>1</v>
      </c>
      <c r="BB849" t="str">
        <f t="shared" si="238"/>
        <v xml:space="preserve">N733KP  </v>
      </c>
      <c r="BC849">
        <v>1</v>
      </c>
      <c r="BE849">
        <v>0</v>
      </c>
      <c r="BF849">
        <v>0</v>
      </c>
      <c r="BG849">
        <v>0</v>
      </c>
      <c r="BH849">
        <v>3400</v>
      </c>
      <c r="BI849">
        <v>1</v>
      </c>
      <c r="BJ849">
        <v>1</v>
      </c>
      <c r="BK849">
        <v>0</v>
      </c>
      <c r="BL849">
        <v>0</v>
      </c>
      <c r="BO849">
        <v>0</v>
      </c>
      <c r="BP849">
        <v>0</v>
      </c>
      <c r="BW849" t="str">
        <f>"22:13:01.699"</f>
        <v>22:13:01.699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364</v>
      </c>
      <c r="CR849">
        <v>0</v>
      </c>
      <c r="CW849">
        <v>1396061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"03/24/2022 22:13:01.917"</f>
        <v>03/24/2022 22:13:01.917</v>
      </c>
      <c r="C850" t="str">
        <f t="shared" si="237"/>
        <v>FFDFD3C0</v>
      </c>
      <c r="D850" t="s">
        <v>123</v>
      </c>
      <c r="E850">
        <v>8</v>
      </c>
      <c r="H850">
        <v>31</v>
      </c>
      <c r="I850" t="s">
        <v>124</v>
      </c>
      <c r="J850" t="s">
        <v>125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 t="shared" si="254"/>
        <v>22:13:01.000</v>
      </c>
      <c r="T850" t="str">
        <f t="shared" si="254"/>
        <v>22:13:01.000</v>
      </c>
      <c r="U850" t="str">
        <f t="shared" si="250"/>
        <v>A9D71F</v>
      </c>
      <c r="V850">
        <v>0</v>
      </c>
      <c r="W850">
        <v>0</v>
      </c>
      <c r="X850">
        <v>2</v>
      </c>
      <c r="Z850">
        <v>1</v>
      </c>
      <c r="AA850">
        <v>7</v>
      </c>
      <c r="AB850">
        <v>3</v>
      </c>
      <c r="AC850">
        <v>0</v>
      </c>
      <c r="AD850">
        <v>9</v>
      </c>
      <c r="AE850">
        <v>0</v>
      </c>
      <c r="AF850">
        <v>3</v>
      </c>
      <c r="AG850">
        <v>1</v>
      </c>
      <c r="AH850">
        <v>0</v>
      </c>
      <c r="AI850" t="s">
        <v>470</v>
      </c>
      <c r="AJ850">
        <v>33.165149999999997</v>
      </c>
      <c r="AK850" t="s">
        <v>471</v>
      </c>
      <c r="AL850">
        <v>-97.731971999999999</v>
      </c>
      <c r="AM850">
        <v>25</v>
      </c>
      <c r="AN850">
        <v>3500</v>
      </c>
      <c r="AO850" t="s">
        <v>118</v>
      </c>
      <c r="AP850">
        <v>57</v>
      </c>
      <c r="AQ850">
        <v>-85</v>
      </c>
      <c r="AR850">
        <v>256</v>
      </c>
      <c r="AZ850">
        <v>1200</v>
      </c>
      <c r="BA850">
        <v>1</v>
      </c>
      <c r="BB850" t="str">
        <f t="shared" si="238"/>
        <v xml:space="preserve">N733KP  </v>
      </c>
      <c r="BC850">
        <v>1</v>
      </c>
      <c r="BE850">
        <v>0</v>
      </c>
      <c r="BF850">
        <v>0</v>
      </c>
      <c r="BG850">
        <v>0</v>
      </c>
      <c r="BH850">
        <v>3400</v>
      </c>
      <c r="BI850">
        <v>1</v>
      </c>
      <c r="BJ850">
        <v>1</v>
      </c>
      <c r="BK850">
        <v>0</v>
      </c>
      <c r="BL850">
        <v>0</v>
      </c>
      <c r="BO850">
        <v>0</v>
      </c>
      <c r="BP850">
        <v>0</v>
      </c>
      <c r="BW850" t="str">
        <f>"22:13:01.699"</f>
        <v>22:13:01.699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364</v>
      </c>
      <c r="CR850">
        <v>0</v>
      </c>
      <c r="CW850">
        <v>1396061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"03/24/2022 22:13:01.917"</f>
        <v>03/24/2022 22:13:01.917</v>
      </c>
      <c r="C851" t="str">
        <f t="shared" si="237"/>
        <v>FFDFD3C0</v>
      </c>
      <c r="D851" t="s">
        <v>120</v>
      </c>
      <c r="E851">
        <v>14</v>
      </c>
      <c r="F851">
        <v>1014</v>
      </c>
      <c r="G851" t="s">
        <v>121</v>
      </c>
      <c r="J851" t="s">
        <v>122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 t="shared" si="254"/>
        <v>22:13:01.000</v>
      </c>
      <c r="T851" t="str">
        <f t="shared" si="254"/>
        <v>22:13:01.000</v>
      </c>
      <c r="U851" t="str">
        <f t="shared" si="250"/>
        <v>A9D71F</v>
      </c>
      <c r="V851">
        <v>0</v>
      </c>
      <c r="W851">
        <v>0</v>
      </c>
      <c r="X851">
        <v>2</v>
      </c>
      <c r="Z851">
        <v>1</v>
      </c>
      <c r="AA851">
        <v>7</v>
      </c>
      <c r="AB851">
        <v>3</v>
      </c>
      <c r="AC851">
        <v>0</v>
      </c>
      <c r="AD851">
        <v>9</v>
      </c>
      <c r="AE851">
        <v>0</v>
      </c>
      <c r="AF851">
        <v>3</v>
      </c>
      <c r="AG851">
        <v>1</v>
      </c>
      <c r="AH851">
        <v>0</v>
      </c>
      <c r="AI851" t="s">
        <v>470</v>
      </c>
      <c r="AJ851">
        <v>33.165149999999997</v>
      </c>
      <c r="AK851" t="s">
        <v>471</v>
      </c>
      <c r="AL851">
        <v>-97.731971999999999</v>
      </c>
      <c r="AM851">
        <v>25</v>
      </c>
      <c r="AN851">
        <v>3500</v>
      </c>
      <c r="AO851" t="s">
        <v>118</v>
      </c>
      <c r="AP851">
        <v>57</v>
      </c>
      <c r="AQ851">
        <v>-85</v>
      </c>
      <c r="AR851">
        <v>256</v>
      </c>
      <c r="AZ851">
        <v>1200</v>
      </c>
      <c r="BA851">
        <v>1</v>
      </c>
      <c r="BB851" t="str">
        <f t="shared" si="238"/>
        <v xml:space="preserve">N733KP  </v>
      </c>
      <c r="BC851">
        <v>1</v>
      </c>
      <c r="BE851">
        <v>0</v>
      </c>
      <c r="BF851">
        <v>0</v>
      </c>
      <c r="BG851">
        <v>0</v>
      </c>
      <c r="BH851">
        <v>3400</v>
      </c>
      <c r="BI851">
        <v>1</v>
      </c>
      <c r="BJ851">
        <v>1</v>
      </c>
      <c r="BK851">
        <v>0</v>
      </c>
      <c r="BL851">
        <v>0</v>
      </c>
      <c r="BO851">
        <v>0</v>
      </c>
      <c r="BP851">
        <v>0</v>
      </c>
      <c r="BW851" t="str">
        <f>"22:13:01.699"</f>
        <v>22:13:01.699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364</v>
      </c>
      <c r="CR851">
        <v>0</v>
      </c>
      <c r="CW851">
        <v>1396061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"03/24/2022 22:13:02.620"</f>
        <v>03/24/2022 22:13:02.620</v>
      </c>
      <c r="C852" t="str">
        <f t="shared" si="237"/>
        <v>FFDFD3C0</v>
      </c>
      <c r="D852" t="s">
        <v>126</v>
      </c>
      <c r="E852">
        <v>3</v>
      </c>
      <c r="H852">
        <v>160</v>
      </c>
      <c r="I852" t="s">
        <v>121</v>
      </c>
      <c r="J852" t="s">
        <v>127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 t="shared" ref="S852:T855" si="255">"22:13:02.000"</f>
        <v>22:13:02.000</v>
      </c>
      <c r="T852" t="str">
        <f t="shared" si="255"/>
        <v>22:13:02.000</v>
      </c>
      <c r="U852" t="str">
        <f t="shared" si="250"/>
        <v>A9D71F</v>
      </c>
      <c r="V852">
        <v>0</v>
      </c>
      <c r="W852">
        <v>0</v>
      </c>
      <c r="X852">
        <v>2</v>
      </c>
      <c r="Z852">
        <v>1</v>
      </c>
      <c r="AA852">
        <v>7</v>
      </c>
      <c r="AB852">
        <v>3</v>
      </c>
      <c r="AC852">
        <v>0</v>
      </c>
      <c r="AD852">
        <v>9</v>
      </c>
      <c r="AE852">
        <v>0</v>
      </c>
      <c r="AF852">
        <v>3</v>
      </c>
      <c r="AG852">
        <v>1</v>
      </c>
      <c r="AH852">
        <v>0</v>
      </c>
      <c r="AI852" t="s">
        <v>472</v>
      </c>
      <c r="AJ852">
        <v>33.164763000000001</v>
      </c>
      <c r="AK852" t="s">
        <v>473</v>
      </c>
      <c r="AL852">
        <v>-97.731650000000002</v>
      </c>
      <c r="AM852">
        <v>25</v>
      </c>
      <c r="AN852">
        <v>3500</v>
      </c>
      <c r="AO852" t="s">
        <v>118</v>
      </c>
      <c r="AP852">
        <v>57</v>
      </c>
      <c r="AQ852">
        <v>-85</v>
      </c>
      <c r="AR852">
        <v>256</v>
      </c>
      <c r="AZ852">
        <v>1200</v>
      </c>
      <c r="BA852">
        <v>1</v>
      </c>
      <c r="BB852" t="str">
        <f t="shared" si="238"/>
        <v xml:space="preserve">N733KP  </v>
      </c>
      <c r="BC852">
        <v>1</v>
      </c>
      <c r="BE852">
        <v>0</v>
      </c>
      <c r="BF852">
        <v>0</v>
      </c>
      <c r="BG852">
        <v>0</v>
      </c>
      <c r="BH852">
        <v>3400</v>
      </c>
      <c r="BI852">
        <v>1</v>
      </c>
      <c r="BJ852">
        <v>1</v>
      </c>
      <c r="BK852">
        <v>0</v>
      </c>
      <c r="BL852">
        <v>0</v>
      </c>
      <c r="BO852">
        <v>0</v>
      </c>
      <c r="BP852">
        <v>0</v>
      </c>
      <c r="BW852" t="str">
        <f>"22:13:02.449"</f>
        <v>22:13:02.449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364</v>
      </c>
      <c r="CR852">
        <v>0</v>
      </c>
      <c r="CW852">
        <v>1396180</v>
      </c>
      <c r="CY852">
        <v>1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"03/24/2022 22:13:02.620"</f>
        <v>03/24/2022 22:13:02.620</v>
      </c>
      <c r="C853" t="str">
        <f t="shared" si="237"/>
        <v>FFDFD3C0</v>
      </c>
      <c r="D853" t="s">
        <v>113</v>
      </c>
      <c r="E853">
        <v>24</v>
      </c>
      <c r="F853">
        <v>2024</v>
      </c>
      <c r="G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 t="shared" si="255"/>
        <v>22:13:02.000</v>
      </c>
      <c r="T853" t="str">
        <f t="shared" si="255"/>
        <v>22:13:02.000</v>
      </c>
      <c r="U853" t="str">
        <f t="shared" si="250"/>
        <v>A9D71F</v>
      </c>
      <c r="V853">
        <v>0</v>
      </c>
      <c r="W853">
        <v>0</v>
      </c>
      <c r="X853">
        <v>2</v>
      </c>
      <c r="Z853">
        <v>1</v>
      </c>
      <c r="AA853">
        <v>7</v>
      </c>
      <c r="AB853">
        <v>3</v>
      </c>
      <c r="AC853">
        <v>0</v>
      </c>
      <c r="AD853">
        <v>9</v>
      </c>
      <c r="AE853">
        <v>0</v>
      </c>
      <c r="AF853">
        <v>3</v>
      </c>
      <c r="AG853">
        <v>1</v>
      </c>
      <c r="AH853">
        <v>0</v>
      </c>
      <c r="AI853" t="s">
        <v>472</v>
      </c>
      <c r="AJ853">
        <v>33.164763000000001</v>
      </c>
      <c r="AK853" t="s">
        <v>473</v>
      </c>
      <c r="AL853">
        <v>-97.731650000000002</v>
      </c>
      <c r="AM853">
        <v>25</v>
      </c>
      <c r="AN853">
        <v>3500</v>
      </c>
      <c r="AO853" t="s">
        <v>118</v>
      </c>
      <c r="AP853">
        <v>57</v>
      </c>
      <c r="AQ853">
        <v>-85</v>
      </c>
      <c r="AR853">
        <v>256</v>
      </c>
      <c r="AZ853">
        <v>1200</v>
      </c>
      <c r="BA853">
        <v>1</v>
      </c>
      <c r="BB853" t="str">
        <f t="shared" si="238"/>
        <v xml:space="preserve">N733KP  </v>
      </c>
      <c r="BC853">
        <v>1</v>
      </c>
      <c r="BE853">
        <v>0</v>
      </c>
      <c r="BF853">
        <v>0</v>
      </c>
      <c r="BG853">
        <v>0</v>
      </c>
      <c r="BH853">
        <v>3400</v>
      </c>
      <c r="BI853">
        <v>1</v>
      </c>
      <c r="BJ853">
        <v>1</v>
      </c>
      <c r="BK853">
        <v>0</v>
      </c>
      <c r="BL853">
        <v>0</v>
      </c>
      <c r="BO853">
        <v>0</v>
      </c>
      <c r="BP853">
        <v>0</v>
      </c>
      <c r="BW853" t="str">
        <f>"22:13:02.449"</f>
        <v>22:13:02.449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364</v>
      </c>
      <c r="CR853">
        <v>0</v>
      </c>
      <c r="CW853">
        <v>1396180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"03/24/2022 22:13:02.620"</f>
        <v>03/24/2022 22:13:02.620</v>
      </c>
      <c r="C854" t="str">
        <f t="shared" ref="C854:C917" si="256">"FFDFD3C0"</f>
        <v>FFDFD3C0</v>
      </c>
      <c r="D854" t="s">
        <v>123</v>
      </c>
      <c r="E854">
        <v>8</v>
      </c>
      <c r="H854">
        <v>31</v>
      </c>
      <c r="I854" t="s">
        <v>124</v>
      </c>
      <c r="J854" t="s">
        <v>125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 t="shared" si="255"/>
        <v>22:13:02.000</v>
      </c>
      <c r="T854" t="str">
        <f t="shared" si="255"/>
        <v>22:13:02.000</v>
      </c>
      <c r="U854" t="str">
        <f t="shared" si="250"/>
        <v>A9D71F</v>
      </c>
      <c r="V854">
        <v>0</v>
      </c>
      <c r="W854">
        <v>0</v>
      </c>
      <c r="X854">
        <v>2</v>
      </c>
      <c r="Z854">
        <v>1</v>
      </c>
      <c r="AA854">
        <v>7</v>
      </c>
      <c r="AB854">
        <v>3</v>
      </c>
      <c r="AC854">
        <v>0</v>
      </c>
      <c r="AD854">
        <v>9</v>
      </c>
      <c r="AE854">
        <v>0</v>
      </c>
      <c r="AF854">
        <v>3</v>
      </c>
      <c r="AG854">
        <v>1</v>
      </c>
      <c r="AH854">
        <v>0</v>
      </c>
      <c r="AI854" t="s">
        <v>472</v>
      </c>
      <c r="AJ854">
        <v>33.164763000000001</v>
      </c>
      <c r="AK854" t="s">
        <v>473</v>
      </c>
      <c r="AL854">
        <v>-97.731650000000002</v>
      </c>
      <c r="AM854">
        <v>25</v>
      </c>
      <c r="AN854">
        <v>3500</v>
      </c>
      <c r="AO854" t="s">
        <v>118</v>
      </c>
      <c r="AP854">
        <v>57</v>
      </c>
      <c r="AQ854">
        <v>-85</v>
      </c>
      <c r="AR854">
        <v>256</v>
      </c>
      <c r="AZ854">
        <v>1200</v>
      </c>
      <c r="BA854">
        <v>1</v>
      </c>
      <c r="BB854" t="str">
        <f t="shared" ref="BB854:BB917" si="257">"N733KP  "</f>
        <v xml:space="preserve">N733KP  </v>
      </c>
      <c r="BC854">
        <v>1</v>
      </c>
      <c r="BE854">
        <v>0</v>
      </c>
      <c r="BF854">
        <v>0</v>
      </c>
      <c r="BG854">
        <v>0</v>
      </c>
      <c r="BH854">
        <v>3400</v>
      </c>
      <c r="BI854">
        <v>1</v>
      </c>
      <c r="BJ854">
        <v>1</v>
      </c>
      <c r="BK854">
        <v>0</v>
      </c>
      <c r="BL854">
        <v>0</v>
      </c>
      <c r="BO854">
        <v>0</v>
      </c>
      <c r="BP854">
        <v>0</v>
      </c>
      <c r="BW854" t="str">
        <f>"22:13:02.449"</f>
        <v>22:13:02.449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364</v>
      </c>
      <c r="CR854">
        <v>0</v>
      </c>
      <c r="CW854">
        <v>1396180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"03/24/2022 22:13:02.683"</f>
        <v>03/24/2022 22:13:02.683</v>
      </c>
      <c r="C855" t="str">
        <f t="shared" si="256"/>
        <v>FFDFD3C0</v>
      </c>
      <c r="D855" t="s">
        <v>120</v>
      </c>
      <c r="E855">
        <v>14</v>
      </c>
      <c r="F855">
        <v>1014</v>
      </c>
      <c r="G855" t="s">
        <v>121</v>
      </c>
      <c r="J855" t="s">
        <v>122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 t="shared" si="255"/>
        <v>22:13:02.000</v>
      </c>
      <c r="T855" t="str">
        <f t="shared" si="255"/>
        <v>22:13:02.000</v>
      </c>
      <c r="U855" t="str">
        <f t="shared" si="250"/>
        <v>A9D71F</v>
      </c>
      <c r="V855">
        <v>0</v>
      </c>
      <c r="W855">
        <v>0</v>
      </c>
      <c r="X855">
        <v>2</v>
      </c>
      <c r="Z855">
        <v>1</v>
      </c>
      <c r="AA855">
        <v>7</v>
      </c>
      <c r="AB855">
        <v>3</v>
      </c>
      <c r="AC855">
        <v>0</v>
      </c>
      <c r="AD855">
        <v>9</v>
      </c>
      <c r="AE855">
        <v>0</v>
      </c>
      <c r="AF855">
        <v>3</v>
      </c>
      <c r="AG855">
        <v>1</v>
      </c>
      <c r="AH855">
        <v>0</v>
      </c>
      <c r="AI855" t="s">
        <v>472</v>
      </c>
      <c r="AJ855">
        <v>33.164763000000001</v>
      </c>
      <c r="AK855" t="s">
        <v>473</v>
      </c>
      <c r="AL855">
        <v>-97.731650000000002</v>
      </c>
      <c r="AM855">
        <v>25</v>
      </c>
      <c r="AN855">
        <v>3500</v>
      </c>
      <c r="AO855" t="s">
        <v>118</v>
      </c>
      <c r="AP855">
        <v>57</v>
      </c>
      <c r="AQ855">
        <v>-85</v>
      </c>
      <c r="AR855">
        <v>256</v>
      </c>
      <c r="AZ855">
        <v>1200</v>
      </c>
      <c r="BA855">
        <v>1</v>
      </c>
      <c r="BB855" t="str">
        <f t="shared" si="257"/>
        <v xml:space="preserve">N733KP  </v>
      </c>
      <c r="BC855">
        <v>1</v>
      </c>
      <c r="BE855">
        <v>0</v>
      </c>
      <c r="BF855">
        <v>0</v>
      </c>
      <c r="BG855">
        <v>0</v>
      </c>
      <c r="BH855">
        <v>3400</v>
      </c>
      <c r="BI855">
        <v>1</v>
      </c>
      <c r="BJ855">
        <v>1</v>
      </c>
      <c r="BK855">
        <v>0</v>
      </c>
      <c r="BL855">
        <v>0</v>
      </c>
      <c r="BO855">
        <v>0</v>
      </c>
      <c r="BP855">
        <v>0</v>
      </c>
      <c r="BW855" t="str">
        <f>"22:13:02.449"</f>
        <v>22:13:02.449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364</v>
      </c>
      <c r="CR855">
        <v>0</v>
      </c>
      <c r="CW855">
        <v>1396180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"03/24/2022 22:13:03.451"</f>
        <v>03/24/2022 22:13:03.451</v>
      </c>
      <c r="C856" t="str">
        <f t="shared" si="256"/>
        <v>FFDFD3C0</v>
      </c>
      <c r="D856" t="s">
        <v>120</v>
      </c>
      <c r="E856">
        <v>14</v>
      </c>
      <c r="F856">
        <v>1014</v>
      </c>
      <c r="G856" t="s">
        <v>121</v>
      </c>
      <c r="J856" t="s">
        <v>122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 t="shared" ref="S856:T859" si="258">"22:13:03.000"</f>
        <v>22:13:03.000</v>
      </c>
      <c r="T856" t="str">
        <f t="shared" si="258"/>
        <v>22:13:03.000</v>
      </c>
      <c r="U856" t="str">
        <f t="shared" si="250"/>
        <v>A9D71F</v>
      </c>
      <c r="V856">
        <v>0</v>
      </c>
      <c r="W856">
        <v>0</v>
      </c>
      <c r="X856">
        <v>2</v>
      </c>
      <c r="Z856">
        <v>1</v>
      </c>
      <c r="AA856">
        <v>7</v>
      </c>
      <c r="AB856">
        <v>3</v>
      </c>
      <c r="AC856">
        <v>0</v>
      </c>
      <c r="AD856">
        <v>9</v>
      </c>
      <c r="AE856">
        <v>0</v>
      </c>
      <c r="AF856">
        <v>3</v>
      </c>
      <c r="AG856">
        <v>1</v>
      </c>
      <c r="AH856">
        <v>0</v>
      </c>
      <c r="AI856" t="s">
        <v>474</v>
      </c>
      <c r="AJ856">
        <v>33.164377000000002</v>
      </c>
      <c r="AK856" t="s">
        <v>475</v>
      </c>
      <c r="AL856">
        <v>-97.731328000000005</v>
      </c>
      <c r="AM856">
        <v>25</v>
      </c>
      <c r="AN856">
        <v>3500</v>
      </c>
      <c r="AO856" t="s">
        <v>118</v>
      </c>
      <c r="AP856">
        <v>57</v>
      </c>
      <c r="AQ856">
        <v>-85</v>
      </c>
      <c r="AR856">
        <v>192</v>
      </c>
      <c r="AZ856">
        <v>1200</v>
      </c>
      <c r="BA856">
        <v>1</v>
      </c>
      <c r="BB856" t="str">
        <f t="shared" si="257"/>
        <v xml:space="preserve">N733KP  </v>
      </c>
      <c r="BC856">
        <v>1</v>
      </c>
      <c r="BE856">
        <v>0</v>
      </c>
      <c r="BF856">
        <v>0</v>
      </c>
      <c r="BG856">
        <v>0</v>
      </c>
      <c r="BH856">
        <v>3400</v>
      </c>
      <c r="BI856">
        <v>1</v>
      </c>
      <c r="BJ856">
        <v>1</v>
      </c>
      <c r="BK856">
        <v>0</v>
      </c>
      <c r="BL856">
        <v>0</v>
      </c>
      <c r="BO856">
        <v>0</v>
      </c>
      <c r="BP856">
        <v>0</v>
      </c>
      <c r="BW856" t="str">
        <f>"22:13:03.284"</f>
        <v>22:13:03.284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364</v>
      </c>
      <c r="CR856">
        <v>0</v>
      </c>
      <c r="CW856">
        <v>1396311</v>
      </c>
      <c r="CY856">
        <v>1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"03/24/2022 22:13:03.482"</f>
        <v>03/24/2022 22:13:03.482</v>
      </c>
      <c r="C857" t="str">
        <f t="shared" si="256"/>
        <v>FFDFD3C0</v>
      </c>
      <c r="D857" t="s">
        <v>126</v>
      </c>
      <c r="E857">
        <v>3</v>
      </c>
      <c r="H857">
        <v>160</v>
      </c>
      <c r="I857" t="s">
        <v>121</v>
      </c>
      <c r="J857" t="s">
        <v>127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 t="shared" si="258"/>
        <v>22:13:03.000</v>
      </c>
      <c r="T857" t="str">
        <f t="shared" si="258"/>
        <v>22:13:03.000</v>
      </c>
      <c r="U857" t="str">
        <f t="shared" si="250"/>
        <v>A9D71F</v>
      </c>
      <c r="V857">
        <v>0</v>
      </c>
      <c r="W857">
        <v>0</v>
      </c>
      <c r="X857">
        <v>2</v>
      </c>
      <c r="Z857">
        <v>1</v>
      </c>
      <c r="AA857">
        <v>7</v>
      </c>
      <c r="AB857">
        <v>3</v>
      </c>
      <c r="AC857">
        <v>0</v>
      </c>
      <c r="AD857">
        <v>9</v>
      </c>
      <c r="AE857">
        <v>0</v>
      </c>
      <c r="AF857">
        <v>3</v>
      </c>
      <c r="AG857">
        <v>1</v>
      </c>
      <c r="AH857">
        <v>0</v>
      </c>
      <c r="AI857" t="s">
        <v>474</v>
      </c>
      <c r="AJ857">
        <v>33.164377000000002</v>
      </c>
      <c r="AK857" t="s">
        <v>475</v>
      </c>
      <c r="AL857">
        <v>-97.731328000000005</v>
      </c>
      <c r="AM857">
        <v>25</v>
      </c>
      <c r="AN857">
        <v>3500</v>
      </c>
      <c r="AO857" t="s">
        <v>118</v>
      </c>
      <c r="AP857">
        <v>57</v>
      </c>
      <c r="AQ857">
        <v>-85</v>
      </c>
      <c r="AR857">
        <v>192</v>
      </c>
      <c r="AZ857">
        <v>1200</v>
      </c>
      <c r="BA857">
        <v>1</v>
      </c>
      <c r="BB857" t="str">
        <f t="shared" si="257"/>
        <v xml:space="preserve">N733KP  </v>
      </c>
      <c r="BC857">
        <v>1</v>
      </c>
      <c r="BE857">
        <v>0</v>
      </c>
      <c r="BF857">
        <v>0</v>
      </c>
      <c r="BG857">
        <v>0</v>
      </c>
      <c r="BH857">
        <v>3400</v>
      </c>
      <c r="BI857">
        <v>1</v>
      </c>
      <c r="BJ857">
        <v>1</v>
      </c>
      <c r="BK857">
        <v>0</v>
      </c>
      <c r="BL857">
        <v>0</v>
      </c>
      <c r="BO857">
        <v>0</v>
      </c>
      <c r="BP857">
        <v>0</v>
      </c>
      <c r="BW857" t="str">
        <f>"22:13:03.284"</f>
        <v>22:13:03.284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364</v>
      </c>
      <c r="CR857">
        <v>0</v>
      </c>
      <c r="CW857">
        <v>1396311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"03/24/2022 22:13:03.482"</f>
        <v>03/24/2022 22:13:03.482</v>
      </c>
      <c r="C858" t="str">
        <f t="shared" si="256"/>
        <v>FFDFD3C0</v>
      </c>
      <c r="D858" t="s">
        <v>113</v>
      </c>
      <c r="E858">
        <v>24</v>
      </c>
      <c r="F858">
        <v>2024</v>
      </c>
      <c r="G858" t="s">
        <v>114</v>
      </c>
      <c r="J858" t="s">
        <v>115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 t="shared" si="258"/>
        <v>22:13:03.000</v>
      </c>
      <c r="T858" t="str">
        <f t="shared" si="258"/>
        <v>22:13:03.000</v>
      </c>
      <c r="U858" t="str">
        <f t="shared" si="250"/>
        <v>A9D71F</v>
      </c>
      <c r="V858">
        <v>0</v>
      </c>
      <c r="W858">
        <v>0</v>
      </c>
      <c r="X858">
        <v>2</v>
      </c>
      <c r="Z858">
        <v>1</v>
      </c>
      <c r="AA858">
        <v>7</v>
      </c>
      <c r="AB858">
        <v>3</v>
      </c>
      <c r="AC858">
        <v>0</v>
      </c>
      <c r="AD858">
        <v>9</v>
      </c>
      <c r="AE858">
        <v>0</v>
      </c>
      <c r="AF858">
        <v>3</v>
      </c>
      <c r="AG858">
        <v>1</v>
      </c>
      <c r="AH858">
        <v>0</v>
      </c>
      <c r="AI858" t="s">
        <v>474</v>
      </c>
      <c r="AJ858">
        <v>33.164377000000002</v>
      </c>
      <c r="AK858" t="s">
        <v>475</v>
      </c>
      <c r="AL858">
        <v>-97.731328000000005</v>
      </c>
      <c r="AM858">
        <v>25</v>
      </c>
      <c r="AN858">
        <v>3500</v>
      </c>
      <c r="AO858" t="s">
        <v>118</v>
      </c>
      <c r="AP858">
        <v>57</v>
      </c>
      <c r="AQ858">
        <v>-85</v>
      </c>
      <c r="AR858">
        <v>192</v>
      </c>
      <c r="AZ858">
        <v>1200</v>
      </c>
      <c r="BA858">
        <v>1</v>
      </c>
      <c r="BB858" t="str">
        <f t="shared" si="257"/>
        <v xml:space="preserve">N733KP  </v>
      </c>
      <c r="BC858">
        <v>1</v>
      </c>
      <c r="BE858">
        <v>0</v>
      </c>
      <c r="BF858">
        <v>0</v>
      </c>
      <c r="BG858">
        <v>0</v>
      </c>
      <c r="BH858">
        <v>3400</v>
      </c>
      <c r="BI858">
        <v>1</v>
      </c>
      <c r="BJ858">
        <v>1</v>
      </c>
      <c r="BK858">
        <v>0</v>
      </c>
      <c r="BL858">
        <v>0</v>
      </c>
      <c r="BO858">
        <v>0</v>
      </c>
      <c r="BP858">
        <v>0</v>
      </c>
      <c r="BW858" t="str">
        <f>"22:13:03.284"</f>
        <v>22:13:03.284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364</v>
      </c>
      <c r="CR858">
        <v>0</v>
      </c>
      <c r="CW858">
        <v>1396311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"03/24/2022 22:13:03.482"</f>
        <v>03/24/2022 22:13:03.482</v>
      </c>
      <c r="C859" t="str">
        <f t="shared" si="256"/>
        <v>FFDFD3C0</v>
      </c>
      <c r="D859" t="s">
        <v>123</v>
      </c>
      <c r="E859">
        <v>8</v>
      </c>
      <c r="H859">
        <v>31</v>
      </c>
      <c r="I859" t="s">
        <v>124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 t="shared" si="258"/>
        <v>22:13:03.000</v>
      </c>
      <c r="T859" t="str">
        <f t="shared" si="258"/>
        <v>22:13:03.000</v>
      </c>
      <c r="U859" t="str">
        <f t="shared" si="250"/>
        <v>A9D71F</v>
      </c>
      <c r="V859">
        <v>0</v>
      </c>
      <c r="W859">
        <v>0</v>
      </c>
      <c r="X859">
        <v>2</v>
      </c>
      <c r="Z859">
        <v>1</v>
      </c>
      <c r="AA859">
        <v>7</v>
      </c>
      <c r="AB859">
        <v>3</v>
      </c>
      <c r="AC859">
        <v>0</v>
      </c>
      <c r="AD859">
        <v>9</v>
      </c>
      <c r="AE859">
        <v>0</v>
      </c>
      <c r="AF859">
        <v>3</v>
      </c>
      <c r="AG859">
        <v>1</v>
      </c>
      <c r="AH859">
        <v>0</v>
      </c>
      <c r="AI859" t="s">
        <v>474</v>
      </c>
      <c r="AJ859">
        <v>33.164377000000002</v>
      </c>
      <c r="AK859" t="s">
        <v>475</v>
      </c>
      <c r="AL859">
        <v>-97.731328000000005</v>
      </c>
      <c r="AM859">
        <v>25</v>
      </c>
      <c r="AN859">
        <v>3500</v>
      </c>
      <c r="AO859" t="s">
        <v>118</v>
      </c>
      <c r="AP859">
        <v>57</v>
      </c>
      <c r="AQ859">
        <v>-85</v>
      </c>
      <c r="AR859">
        <v>192</v>
      </c>
      <c r="AZ859">
        <v>1200</v>
      </c>
      <c r="BA859">
        <v>1</v>
      </c>
      <c r="BB859" t="str">
        <f t="shared" si="257"/>
        <v xml:space="preserve">N733KP  </v>
      </c>
      <c r="BC859">
        <v>1</v>
      </c>
      <c r="BE859">
        <v>0</v>
      </c>
      <c r="BF859">
        <v>0</v>
      </c>
      <c r="BG859">
        <v>0</v>
      </c>
      <c r="BH859">
        <v>3400</v>
      </c>
      <c r="BI859">
        <v>1</v>
      </c>
      <c r="BJ859">
        <v>1</v>
      </c>
      <c r="BK859">
        <v>0</v>
      </c>
      <c r="BL859">
        <v>0</v>
      </c>
      <c r="BO859">
        <v>0</v>
      </c>
      <c r="BP859">
        <v>0</v>
      </c>
      <c r="BW859" t="str">
        <f>"22:13:03.284"</f>
        <v>22:13:03.284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364</v>
      </c>
      <c r="CR859">
        <v>0</v>
      </c>
      <c r="CW859">
        <v>1396311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"03/24/2022 22:13:04.779"</f>
        <v>03/24/2022 22:13:04.779</v>
      </c>
      <c r="C860" t="str">
        <f t="shared" si="256"/>
        <v>FFDFD3C0</v>
      </c>
      <c r="D860" t="s">
        <v>126</v>
      </c>
      <c r="E860">
        <v>3</v>
      </c>
      <c r="H860">
        <v>160</v>
      </c>
      <c r="I860" t="s">
        <v>121</v>
      </c>
      <c r="J860" t="s">
        <v>127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 t="shared" ref="S860:T863" si="259">"22:13:04.000"</f>
        <v>22:13:04.000</v>
      </c>
      <c r="T860" t="str">
        <f t="shared" si="259"/>
        <v>22:13:04.000</v>
      </c>
      <c r="U860" t="str">
        <f t="shared" si="250"/>
        <v>A9D71F</v>
      </c>
      <c r="V860">
        <v>0</v>
      </c>
      <c r="W860">
        <v>0</v>
      </c>
      <c r="X860">
        <v>2</v>
      </c>
      <c r="Z860">
        <v>1</v>
      </c>
      <c r="AA860">
        <v>7</v>
      </c>
      <c r="AB860">
        <v>3</v>
      </c>
      <c r="AC860">
        <v>0</v>
      </c>
      <c r="AD860">
        <v>9</v>
      </c>
      <c r="AE860">
        <v>0</v>
      </c>
      <c r="AF860">
        <v>3</v>
      </c>
      <c r="AG860">
        <v>1</v>
      </c>
      <c r="AH860">
        <v>0</v>
      </c>
      <c r="AI860" t="s">
        <v>476</v>
      </c>
      <c r="AJ860">
        <v>33.163969999999999</v>
      </c>
      <c r="AK860" t="s">
        <v>477</v>
      </c>
      <c r="AL860">
        <v>-97.731005999999994</v>
      </c>
      <c r="AM860">
        <v>25</v>
      </c>
      <c r="AN860">
        <v>3500</v>
      </c>
      <c r="AO860" t="s">
        <v>118</v>
      </c>
      <c r="AP860">
        <v>57</v>
      </c>
      <c r="AQ860">
        <v>-85</v>
      </c>
      <c r="AR860">
        <v>128</v>
      </c>
      <c r="AZ860">
        <v>1200</v>
      </c>
      <c r="BA860">
        <v>1</v>
      </c>
      <c r="BB860" t="str">
        <f t="shared" si="257"/>
        <v xml:space="preserve">N733KP  </v>
      </c>
      <c r="BC860">
        <v>1</v>
      </c>
      <c r="BE860">
        <v>0</v>
      </c>
      <c r="BF860">
        <v>0</v>
      </c>
      <c r="BG860">
        <v>0</v>
      </c>
      <c r="BH860">
        <v>3425</v>
      </c>
      <c r="BI860">
        <v>1</v>
      </c>
      <c r="BJ860">
        <v>1</v>
      </c>
      <c r="BK860">
        <v>0</v>
      </c>
      <c r="BL860">
        <v>0</v>
      </c>
      <c r="BO860">
        <v>0</v>
      </c>
      <c r="BP860">
        <v>0</v>
      </c>
      <c r="BW860" t="str">
        <f>"22:13:04.624"</f>
        <v>22:13:04.624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364</v>
      </c>
      <c r="CR860">
        <v>0</v>
      </c>
      <c r="CW860">
        <v>1396525</v>
      </c>
      <c r="CY860">
        <v>1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"03/24/2022 22:13:04.795"</f>
        <v>03/24/2022 22:13:04.795</v>
      </c>
      <c r="C861" t="str">
        <f t="shared" si="256"/>
        <v>FFDFD3C0</v>
      </c>
      <c r="D861" t="s">
        <v>123</v>
      </c>
      <c r="E861">
        <v>8</v>
      </c>
      <c r="H861">
        <v>31</v>
      </c>
      <c r="I861" t="s">
        <v>124</v>
      </c>
      <c r="J861" t="s">
        <v>125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 t="shared" si="259"/>
        <v>22:13:04.000</v>
      </c>
      <c r="T861" t="str">
        <f t="shared" si="259"/>
        <v>22:13:04.000</v>
      </c>
      <c r="U861" t="str">
        <f t="shared" si="250"/>
        <v>A9D71F</v>
      </c>
      <c r="V861">
        <v>0</v>
      </c>
      <c r="W861">
        <v>0</v>
      </c>
      <c r="X861">
        <v>2</v>
      </c>
      <c r="Z861">
        <v>1</v>
      </c>
      <c r="AA861">
        <v>7</v>
      </c>
      <c r="AB861">
        <v>3</v>
      </c>
      <c r="AC861">
        <v>0</v>
      </c>
      <c r="AD861">
        <v>9</v>
      </c>
      <c r="AE861">
        <v>0</v>
      </c>
      <c r="AF861">
        <v>3</v>
      </c>
      <c r="AG861">
        <v>1</v>
      </c>
      <c r="AH861">
        <v>0</v>
      </c>
      <c r="AI861" t="s">
        <v>476</v>
      </c>
      <c r="AJ861">
        <v>33.163969999999999</v>
      </c>
      <c r="AK861" t="s">
        <v>477</v>
      </c>
      <c r="AL861">
        <v>-97.731005999999994</v>
      </c>
      <c r="AM861">
        <v>25</v>
      </c>
      <c r="AN861">
        <v>3500</v>
      </c>
      <c r="AO861" t="s">
        <v>118</v>
      </c>
      <c r="AP861">
        <v>57</v>
      </c>
      <c r="AQ861">
        <v>-85</v>
      </c>
      <c r="AR861">
        <v>128</v>
      </c>
      <c r="AZ861">
        <v>1200</v>
      </c>
      <c r="BA861">
        <v>1</v>
      </c>
      <c r="BB861" t="str">
        <f t="shared" si="257"/>
        <v xml:space="preserve">N733KP  </v>
      </c>
      <c r="BC861">
        <v>1</v>
      </c>
      <c r="BE861">
        <v>0</v>
      </c>
      <c r="BF861">
        <v>0</v>
      </c>
      <c r="BG861">
        <v>0</v>
      </c>
      <c r="BH861">
        <v>3425</v>
      </c>
      <c r="BI861">
        <v>1</v>
      </c>
      <c r="BJ861">
        <v>1</v>
      </c>
      <c r="BK861">
        <v>0</v>
      </c>
      <c r="BL861">
        <v>0</v>
      </c>
      <c r="BO861">
        <v>0</v>
      </c>
      <c r="BP861">
        <v>0</v>
      </c>
      <c r="BW861" t="str">
        <f>"22:13:04.624"</f>
        <v>22:13:04.624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364</v>
      </c>
      <c r="CR861">
        <v>0</v>
      </c>
      <c r="CW861">
        <v>1396525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"03/24/2022 22:13:04.795"</f>
        <v>03/24/2022 22:13:04.795</v>
      </c>
      <c r="C862" t="str">
        <f t="shared" si="256"/>
        <v>FFDFD3C0</v>
      </c>
      <c r="D862" t="s">
        <v>113</v>
      </c>
      <c r="E862">
        <v>24</v>
      </c>
      <c r="F862">
        <v>2024</v>
      </c>
      <c r="G862" t="s">
        <v>114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 t="shared" si="259"/>
        <v>22:13:04.000</v>
      </c>
      <c r="T862" t="str">
        <f t="shared" si="259"/>
        <v>22:13:04.000</v>
      </c>
      <c r="U862" t="str">
        <f t="shared" si="250"/>
        <v>A9D71F</v>
      </c>
      <c r="V862">
        <v>0</v>
      </c>
      <c r="W862">
        <v>0</v>
      </c>
      <c r="X862">
        <v>2</v>
      </c>
      <c r="Z862">
        <v>1</v>
      </c>
      <c r="AA862">
        <v>7</v>
      </c>
      <c r="AB862">
        <v>3</v>
      </c>
      <c r="AC862">
        <v>0</v>
      </c>
      <c r="AD862">
        <v>9</v>
      </c>
      <c r="AE862">
        <v>0</v>
      </c>
      <c r="AF862">
        <v>3</v>
      </c>
      <c r="AG862">
        <v>1</v>
      </c>
      <c r="AH862">
        <v>0</v>
      </c>
      <c r="AI862" t="s">
        <v>476</v>
      </c>
      <c r="AJ862">
        <v>33.163969999999999</v>
      </c>
      <c r="AK862" t="s">
        <v>477</v>
      </c>
      <c r="AL862">
        <v>-97.731005999999994</v>
      </c>
      <c r="AM862">
        <v>25</v>
      </c>
      <c r="AN862">
        <v>3500</v>
      </c>
      <c r="AO862" t="s">
        <v>118</v>
      </c>
      <c r="AP862">
        <v>57</v>
      </c>
      <c r="AQ862">
        <v>-85</v>
      </c>
      <c r="AR862">
        <v>128</v>
      </c>
      <c r="AZ862">
        <v>1200</v>
      </c>
      <c r="BA862">
        <v>1</v>
      </c>
      <c r="BB862" t="str">
        <f t="shared" si="257"/>
        <v xml:space="preserve">N733KP  </v>
      </c>
      <c r="BC862">
        <v>1</v>
      </c>
      <c r="BE862">
        <v>0</v>
      </c>
      <c r="BF862">
        <v>0</v>
      </c>
      <c r="BG862">
        <v>0</v>
      </c>
      <c r="BH862">
        <v>3425</v>
      </c>
      <c r="BI862">
        <v>1</v>
      </c>
      <c r="BJ862">
        <v>1</v>
      </c>
      <c r="BK862">
        <v>0</v>
      </c>
      <c r="BL862">
        <v>0</v>
      </c>
      <c r="BO862">
        <v>0</v>
      </c>
      <c r="BP862">
        <v>0</v>
      </c>
      <c r="BW862" t="str">
        <f>"22:13:04.624"</f>
        <v>22:13:04.624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364</v>
      </c>
      <c r="CR862">
        <v>0</v>
      </c>
      <c r="CW862">
        <v>1396525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"03/24/2022 22:13:04.810"</f>
        <v>03/24/2022 22:13:04.810</v>
      </c>
      <c r="C863" t="str">
        <f t="shared" si="256"/>
        <v>FFDFD3C0</v>
      </c>
      <c r="D863" t="s">
        <v>120</v>
      </c>
      <c r="E863">
        <v>14</v>
      </c>
      <c r="F863">
        <v>1014</v>
      </c>
      <c r="G863" t="s">
        <v>121</v>
      </c>
      <c r="J863" t="s">
        <v>122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 t="shared" si="259"/>
        <v>22:13:04.000</v>
      </c>
      <c r="T863" t="str">
        <f t="shared" si="259"/>
        <v>22:13:04.000</v>
      </c>
      <c r="U863" t="str">
        <f t="shared" si="250"/>
        <v>A9D71F</v>
      </c>
      <c r="V863">
        <v>0</v>
      </c>
      <c r="W863">
        <v>0</v>
      </c>
      <c r="X863">
        <v>2</v>
      </c>
      <c r="Z863">
        <v>1</v>
      </c>
      <c r="AA863">
        <v>7</v>
      </c>
      <c r="AB863">
        <v>3</v>
      </c>
      <c r="AC863">
        <v>0</v>
      </c>
      <c r="AD863">
        <v>9</v>
      </c>
      <c r="AE863">
        <v>0</v>
      </c>
      <c r="AF863">
        <v>3</v>
      </c>
      <c r="AG863">
        <v>1</v>
      </c>
      <c r="AH863">
        <v>0</v>
      </c>
      <c r="AI863" t="s">
        <v>476</v>
      </c>
      <c r="AJ863">
        <v>33.163969999999999</v>
      </c>
      <c r="AK863" t="s">
        <v>477</v>
      </c>
      <c r="AL863">
        <v>-97.731005999999994</v>
      </c>
      <c r="AM863">
        <v>25</v>
      </c>
      <c r="AN863">
        <v>3500</v>
      </c>
      <c r="AO863" t="s">
        <v>118</v>
      </c>
      <c r="AP863">
        <v>57</v>
      </c>
      <c r="AQ863">
        <v>-85</v>
      </c>
      <c r="AR863">
        <v>128</v>
      </c>
      <c r="AZ863">
        <v>1200</v>
      </c>
      <c r="BA863">
        <v>1</v>
      </c>
      <c r="BB863" t="str">
        <f t="shared" si="257"/>
        <v xml:space="preserve">N733KP  </v>
      </c>
      <c r="BC863">
        <v>1</v>
      </c>
      <c r="BE863">
        <v>0</v>
      </c>
      <c r="BF863">
        <v>0</v>
      </c>
      <c r="BG863">
        <v>0</v>
      </c>
      <c r="BH863">
        <v>3425</v>
      </c>
      <c r="BI863">
        <v>1</v>
      </c>
      <c r="BJ863">
        <v>1</v>
      </c>
      <c r="BK863">
        <v>0</v>
      </c>
      <c r="BL863">
        <v>0</v>
      </c>
      <c r="BO863">
        <v>0</v>
      </c>
      <c r="BP863">
        <v>0</v>
      </c>
      <c r="BW863" t="str">
        <f>"22:13:04.624"</f>
        <v>22:13:04.624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364</v>
      </c>
      <c r="CR863">
        <v>0</v>
      </c>
      <c r="CW863">
        <v>1396525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"03/24/2022 22:13:06.060"</f>
        <v>03/24/2022 22:13:06.060</v>
      </c>
      <c r="C864" t="str">
        <f t="shared" si="256"/>
        <v>FFDFD3C0</v>
      </c>
      <c r="D864" t="s">
        <v>126</v>
      </c>
      <c r="E864">
        <v>3</v>
      </c>
      <c r="H864">
        <v>160</v>
      </c>
      <c r="I864" t="s">
        <v>121</v>
      </c>
      <c r="J864" t="s">
        <v>127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 t="shared" ref="S864:T866" si="260">"22:13:05.000"</f>
        <v>22:13:05.000</v>
      </c>
      <c r="T864" t="str">
        <f t="shared" si="260"/>
        <v>22:13:05.000</v>
      </c>
      <c r="U864" t="str">
        <f t="shared" si="250"/>
        <v>A9D71F</v>
      </c>
      <c r="V864">
        <v>0</v>
      </c>
      <c r="W864">
        <v>0</v>
      </c>
      <c r="X864">
        <v>2</v>
      </c>
      <c r="Z864">
        <v>1</v>
      </c>
      <c r="AA864">
        <v>7</v>
      </c>
      <c r="AB864">
        <v>3</v>
      </c>
      <c r="AC864">
        <v>0</v>
      </c>
      <c r="AD864">
        <v>9</v>
      </c>
      <c r="AE864">
        <v>0</v>
      </c>
      <c r="AF864">
        <v>3</v>
      </c>
      <c r="AG864">
        <v>1</v>
      </c>
      <c r="AH864">
        <v>0</v>
      </c>
      <c r="AI864" t="s">
        <v>478</v>
      </c>
      <c r="AJ864">
        <v>33.163583000000003</v>
      </c>
      <c r="AK864" t="s">
        <v>479</v>
      </c>
      <c r="AL864">
        <v>-97.730683999999997</v>
      </c>
      <c r="AM864">
        <v>25</v>
      </c>
      <c r="AN864">
        <v>3500</v>
      </c>
      <c r="AO864" t="s">
        <v>118</v>
      </c>
      <c r="AP864">
        <v>57</v>
      </c>
      <c r="AQ864">
        <v>-85</v>
      </c>
      <c r="AR864">
        <v>192</v>
      </c>
      <c r="AZ864">
        <v>1200</v>
      </c>
      <c r="BA864">
        <v>1</v>
      </c>
      <c r="BB864" t="str">
        <f t="shared" si="257"/>
        <v xml:space="preserve">N733KP  </v>
      </c>
      <c r="BC864">
        <v>1</v>
      </c>
      <c r="BE864">
        <v>0</v>
      </c>
      <c r="BF864">
        <v>0</v>
      </c>
      <c r="BG864">
        <v>0</v>
      </c>
      <c r="BH864">
        <v>3425</v>
      </c>
      <c r="BI864">
        <v>1</v>
      </c>
      <c r="BJ864">
        <v>1</v>
      </c>
      <c r="BK864">
        <v>0</v>
      </c>
      <c r="BL864">
        <v>0</v>
      </c>
      <c r="BO864">
        <v>0</v>
      </c>
      <c r="BP864">
        <v>0</v>
      </c>
      <c r="BW864" t="str">
        <f>"22:13:05.867"</f>
        <v>22:13:05.867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2</v>
      </c>
      <c r="CP864" t="s">
        <v>119</v>
      </c>
      <c r="CQ864">
        <v>438</v>
      </c>
      <c r="CR864">
        <v>0</v>
      </c>
      <c r="CW864">
        <v>11583519</v>
      </c>
      <c r="CY864">
        <v>1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"03/24/2022 22:13:06.060"</f>
        <v>03/24/2022 22:13:06.060</v>
      </c>
      <c r="C865" t="str">
        <f t="shared" si="256"/>
        <v>FFDFD3C0</v>
      </c>
      <c r="D865" t="s">
        <v>113</v>
      </c>
      <c r="E865">
        <v>24</v>
      </c>
      <c r="F865">
        <v>2024</v>
      </c>
      <c r="G865" t="s">
        <v>114</v>
      </c>
      <c r="J865" t="s">
        <v>115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 t="shared" si="260"/>
        <v>22:13:05.000</v>
      </c>
      <c r="T865" t="str">
        <f t="shared" si="260"/>
        <v>22:13:05.000</v>
      </c>
      <c r="U865" t="str">
        <f t="shared" si="250"/>
        <v>A9D71F</v>
      </c>
      <c r="V865">
        <v>0</v>
      </c>
      <c r="W865">
        <v>0</v>
      </c>
      <c r="X865">
        <v>2</v>
      </c>
      <c r="Z865">
        <v>1</v>
      </c>
      <c r="AA865">
        <v>7</v>
      </c>
      <c r="AB865">
        <v>3</v>
      </c>
      <c r="AC865">
        <v>0</v>
      </c>
      <c r="AD865">
        <v>9</v>
      </c>
      <c r="AE865">
        <v>0</v>
      </c>
      <c r="AF865">
        <v>3</v>
      </c>
      <c r="AG865">
        <v>1</v>
      </c>
      <c r="AH865">
        <v>0</v>
      </c>
      <c r="AI865" t="s">
        <v>478</v>
      </c>
      <c r="AJ865">
        <v>33.163583000000003</v>
      </c>
      <c r="AK865" t="s">
        <v>479</v>
      </c>
      <c r="AL865">
        <v>-97.730683999999997</v>
      </c>
      <c r="AM865">
        <v>25</v>
      </c>
      <c r="AN865">
        <v>3500</v>
      </c>
      <c r="AO865" t="s">
        <v>118</v>
      </c>
      <c r="AP865">
        <v>57</v>
      </c>
      <c r="AQ865">
        <v>-85</v>
      </c>
      <c r="AR865">
        <v>192</v>
      </c>
      <c r="AZ865">
        <v>1200</v>
      </c>
      <c r="BA865">
        <v>1</v>
      </c>
      <c r="BB865" t="str">
        <f t="shared" si="257"/>
        <v xml:space="preserve">N733KP  </v>
      </c>
      <c r="BC865">
        <v>1</v>
      </c>
      <c r="BE865">
        <v>0</v>
      </c>
      <c r="BF865">
        <v>0</v>
      </c>
      <c r="BG865">
        <v>0</v>
      </c>
      <c r="BH865">
        <v>3425</v>
      </c>
      <c r="BI865">
        <v>1</v>
      </c>
      <c r="BJ865">
        <v>1</v>
      </c>
      <c r="BK865">
        <v>0</v>
      </c>
      <c r="BL865">
        <v>0</v>
      </c>
      <c r="BO865">
        <v>0</v>
      </c>
      <c r="BP865">
        <v>0</v>
      </c>
      <c r="BW865" t="str">
        <f>"22:13:05.867"</f>
        <v>22:13:05.867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2</v>
      </c>
      <c r="CP865" t="s">
        <v>119</v>
      </c>
      <c r="CQ865">
        <v>438</v>
      </c>
      <c r="CR865">
        <v>0</v>
      </c>
      <c r="CW865">
        <v>11583519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"03/24/2022 22:13:06.107"</f>
        <v>03/24/2022 22:13:06.107</v>
      </c>
      <c r="C866" t="str">
        <f t="shared" si="256"/>
        <v>FFDFD3C0</v>
      </c>
      <c r="D866" t="s">
        <v>120</v>
      </c>
      <c r="E866">
        <v>14</v>
      </c>
      <c r="F866">
        <v>1014</v>
      </c>
      <c r="G866" t="s">
        <v>121</v>
      </c>
      <c r="J866" t="s">
        <v>122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 t="shared" si="260"/>
        <v>22:13:05.000</v>
      </c>
      <c r="T866" t="str">
        <f t="shared" si="260"/>
        <v>22:13:05.000</v>
      </c>
      <c r="U866" t="str">
        <f t="shared" si="250"/>
        <v>A9D71F</v>
      </c>
      <c r="V866">
        <v>0</v>
      </c>
      <c r="W866">
        <v>0</v>
      </c>
      <c r="X866">
        <v>2</v>
      </c>
      <c r="Z866">
        <v>1</v>
      </c>
      <c r="AA866">
        <v>7</v>
      </c>
      <c r="AB866">
        <v>3</v>
      </c>
      <c r="AC866">
        <v>0</v>
      </c>
      <c r="AD866">
        <v>9</v>
      </c>
      <c r="AE866">
        <v>0</v>
      </c>
      <c r="AF866">
        <v>3</v>
      </c>
      <c r="AG866">
        <v>1</v>
      </c>
      <c r="AH866">
        <v>0</v>
      </c>
      <c r="AI866" t="s">
        <v>478</v>
      </c>
      <c r="AJ866">
        <v>33.163583000000003</v>
      </c>
      <c r="AK866" t="s">
        <v>479</v>
      </c>
      <c r="AL866">
        <v>-97.730683999999997</v>
      </c>
      <c r="AM866">
        <v>25</v>
      </c>
      <c r="AN866">
        <v>3500</v>
      </c>
      <c r="AO866" t="s">
        <v>118</v>
      </c>
      <c r="AP866">
        <v>57</v>
      </c>
      <c r="AQ866">
        <v>-85</v>
      </c>
      <c r="AR866">
        <v>192</v>
      </c>
      <c r="AZ866">
        <v>1200</v>
      </c>
      <c r="BA866">
        <v>1</v>
      </c>
      <c r="BB866" t="str">
        <f t="shared" si="257"/>
        <v xml:space="preserve">N733KP  </v>
      </c>
      <c r="BC866">
        <v>1</v>
      </c>
      <c r="BE866">
        <v>0</v>
      </c>
      <c r="BF866">
        <v>0</v>
      </c>
      <c r="BG866">
        <v>0</v>
      </c>
      <c r="BH866">
        <v>3425</v>
      </c>
      <c r="BI866">
        <v>1</v>
      </c>
      <c r="BJ866">
        <v>1</v>
      </c>
      <c r="BK866">
        <v>0</v>
      </c>
      <c r="BL866">
        <v>0</v>
      </c>
      <c r="BO866">
        <v>0</v>
      </c>
      <c r="BP866">
        <v>0</v>
      </c>
      <c r="BW866" t="str">
        <f>"22:13:05.867"</f>
        <v>22:13:05.867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2</v>
      </c>
      <c r="CP866" t="s">
        <v>119</v>
      </c>
      <c r="CQ866">
        <v>438</v>
      </c>
      <c r="CR866">
        <v>0</v>
      </c>
      <c r="CW866">
        <v>11583519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"03/24/2022 22:13:06.545"</f>
        <v>03/24/2022 22:13:06.545</v>
      </c>
      <c r="C867" t="str">
        <f t="shared" si="256"/>
        <v>FFDFD3C0</v>
      </c>
      <c r="D867" t="s">
        <v>126</v>
      </c>
      <c r="E867">
        <v>3</v>
      </c>
      <c r="H867">
        <v>160</v>
      </c>
      <c r="I867" t="s">
        <v>121</v>
      </c>
      <c r="J867" t="s">
        <v>127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 t="shared" ref="S867:T870" si="261">"22:13:06.000"</f>
        <v>22:13:06.000</v>
      </c>
      <c r="T867" t="str">
        <f t="shared" si="261"/>
        <v>22:13:06.000</v>
      </c>
      <c r="U867" t="str">
        <f t="shared" si="250"/>
        <v>A9D71F</v>
      </c>
      <c r="V867">
        <v>0</v>
      </c>
      <c r="W867">
        <v>0</v>
      </c>
      <c r="X867">
        <v>2</v>
      </c>
      <c r="Z867">
        <v>1</v>
      </c>
      <c r="AA867">
        <v>7</v>
      </c>
      <c r="AB867">
        <v>3</v>
      </c>
      <c r="AC867">
        <v>0</v>
      </c>
      <c r="AD867">
        <v>9</v>
      </c>
      <c r="AE867">
        <v>0</v>
      </c>
      <c r="AF867">
        <v>3</v>
      </c>
      <c r="AG867">
        <v>1</v>
      </c>
      <c r="AH867">
        <v>0</v>
      </c>
      <c r="AI867" t="s">
        <v>480</v>
      </c>
      <c r="AJ867">
        <v>33.163153999999999</v>
      </c>
      <c r="AK867" t="s">
        <v>481</v>
      </c>
      <c r="AL867">
        <v>-97.730340999999996</v>
      </c>
      <c r="AM867">
        <v>25</v>
      </c>
      <c r="AN867">
        <v>3500</v>
      </c>
      <c r="AO867" t="s">
        <v>118</v>
      </c>
      <c r="AP867">
        <v>57</v>
      </c>
      <c r="AQ867">
        <v>-85</v>
      </c>
      <c r="AR867">
        <v>128</v>
      </c>
      <c r="AZ867">
        <v>1200</v>
      </c>
      <c r="BA867">
        <v>1</v>
      </c>
      <c r="BB867" t="str">
        <f t="shared" si="257"/>
        <v xml:space="preserve">N733KP  </v>
      </c>
      <c r="BC867">
        <v>1</v>
      </c>
      <c r="BE867">
        <v>0</v>
      </c>
      <c r="BF867">
        <v>0</v>
      </c>
      <c r="BG867">
        <v>0</v>
      </c>
      <c r="BH867">
        <v>3425</v>
      </c>
      <c r="BI867">
        <v>1</v>
      </c>
      <c r="BJ867">
        <v>1</v>
      </c>
      <c r="BK867">
        <v>0</v>
      </c>
      <c r="BL867">
        <v>0</v>
      </c>
      <c r="BO867">
        <v>0</v>
      </c>
      <c r="BP867">
        <v>0</v>
      </c>
      <c r="BW867" t="str">
        <f>"22:13:06.398"</f>
        <v>22:13:06.398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364</v>
      </c>
      <c r="CR867">
        <v>0</v>
      </c>
      <c r="CW867">
        <v>1396817</v>
      </c>
      <c r="CY867">
        <v>1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"03/24/2022 22:13:06.576"</f>
        <v>03/24/2022 22:13:06.576</v>
      </c>
      <c r="C868" t="str">
        <f t="shared" si="256"/>
        <v>FFDFD3C0</v>
      </c>
      <c r="D868" t="s">
        <v>123</v>
      </c>
      <c r="E868">
        <v>8</v>
      </c>
      <c r="H868">
        <v>31</v>
      </c>
      <c r="I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 t="shared" si="261"/>
        <v>22:13:06.000</v>
      </c>
      <c r="T868" t="str">
        <f t="shared" si="261"/>
        <v>22:13:06.000</v>
      </c>
      <c r="U868" t="str">
        <f t="shared" si="250"/>
        <v>A9D71F</v>
      </c>
      <c r="V868">
        <v>0</v>
      </c>
      <c r="W868">
        <v>0</v>
      </c>
      <c r="X868">
        <v>2</v>
      </c>
      <c r="Z868">
        <v>1</v>
      </c>
      <c r="AA868">
        <v>7</v>
      </c>
      <c r="AB868">
        <v>3</v>
      </c>
      <c r="AC868">
        <v>0</v>
      </c>
      <c r="AD868">
        <v>9</v>
      </c>
      <c r="AE868">
        <v>0</v>
      </c>
      <c r="AF868">
        <v>3</v>
      </c>
      <c r="AG868">
        <v>1</v>
      </c>
      <c r="AH868">
        <v>0</v>
      </c>
      <c r="AI868" t="s">
        <v>480</v>
      </c>
      <c r="AJ868">
        <v>33.163153999999999</v>
      </c>
      <c r="AK868" t="s">
        <v>481</v>
      </c>
      <c r="AL868">
        <v>-97.730340999999996</v>
      </c>
      <c r="AM868">
        <v>25</v>
      </c>
      <c r="AN868">
        <v>3500</v>
      </c>
      <c r="AO868" t="s">
        <v>118</v>
      </c>
      <c r="AP868">
        <v>57</v>
      </c>
      <c r="AQ868">
        <v>-85</v>
      </c>
      <c r="AR868">
        <v>128</v>
      </c>
      <c r="AZ868">
        <v>1200</v>
      </c>
      <c r="BA868">
        <v>1</v>
      </c>
      <c r="BB868" t="str">
        <f t="shared" si="257"/>
        <v xml:space="preserve">N733KP  </v>
      </c>
      <c r="BC868">
        <v>1</v>
      </c>
      <c r="BE868">
        <v>0</v>
      </c>
      <c r="BF868">
        <v>0</v>
      </c>
      <c r="BG868">
        <v>0</v>
      </c>
      <c r="BH868">
        <v>3425</v>
      </c>
      <c r="BI868">
        <v>1</v>
      </c>
      <c r="BJ868">
        <v>1</v>
      </c>
      <c r="BK868">
        <v>0</v>
      </c>
      <c r="BL868">
        <v>0</v>
      </c>
      <c r="BO868">
        <v>0</v>
      </c>
      <c r="BP868">
        <v>0</v>
      </c>
      <c r="BW868" t="str">
        <f>"22:13:06.398"</f>
        <v>22:13:06.398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364</v>
      </c>
      <c r="CR868">
        <v>0</v>
      </c>
      <c r="CW868">
        <v>1396817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"03/24/2022 22:13:06.576"</f>
        <v>03/24/2022 22:13:06.576</v>
      </c>
      <c r="C869" t="str">
        <f t="shared" si="256"/>
        <v>FFDFD3C0</v>
      </c>
      <c r="D869" t="s">
        <v>113</v>
      </c>
      <c r="E869">
        <v>24</v>
      </c>
      <c r="F869">
        <v>2024</v>
      </c>
      <c r="G869" t="s">
        <v>114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 t="shared" si="261"/>
        <v>22:13:06.000</v>
      </c>
      <c r="T869" t="str">
        <f t="shared" si="261"/>
        <v>22:13:06.000</v>
      </c>
      <c r="U869" t="str">
        <f t="shared" si="250"/>
        <v>A9D71F</v>
      </c>
      <c r="V869">
        <v>0</v>
      </c>
      <c r="W869">
        <v>0</v>
      </c>
      <c r="X869">
        <v>2</v>
      </c>
      <c r="Z869">
        <v>1</v>
      </c>
      <c r="AA869">
        <v>7</v>
      </c>
      <c r="AB869">
        <v>3</v>
      </c>
      <c r="AC869">
        <v>0</v>
      </c>
      <c r="AD869">
        <v>9</v>
      </c>
      <c r="AE869">
        <v>0</v>
      </c>
      <c r="AF869">
        <v>3</v>
      </c>
      <c r="AG869">
        <v>1</v>
      </c>
      <c r="AH869">
        <v>0</v>
      </c>
      <c r="AI869" t="s">
        <v>480</v>
      </c>
      <c r="AJ869">
        <v>33.163153999999999</v>
      </c>
      <c r="AK869" t="s">
        <v>481</v>
      </c>
      <c r="AL869">
        <v>-97.730340999999996</v>
      </c>
      <c r="AM869">
        <v>25</v>
      </c>
      <c r="AN869">
        <v>3500</v>
      </c>
      <c r="AO869" t="s">
        <v>118</v>
      </c>
      <c r="AP869">
        <v>57</v>
      </c>
      <c r="AQ869">
        <v>-85</v>
      </c>
      <c r="AR869">
        <v>128</v>
      </c>
      <c r="AZ869">
        <v>1200</v>
      </c>
      <c r="BA869">
        <v>1</v>
      </c>
      <c r="BB869" t="str">
        <f t="shared" si="257"/>
        <v xml:space="preserve">N733KP  </v>
      </c>
      <c r="BC869">
        <v>1</v>
      </c>
      <c r="BE869">
        <v>0</v>
      </c>
      <c r="BF869">
        <v>0</v>
      </c>
      <c r="BG869">
        <v>0</v>
      </c>
      <c r="BH869">
        <v>3425</v>
      </c>
      <c r="BI869">
        <v>1</v>
      </c>
      <c r="BJ869">
        <v>1</v>
      </c>
      <c r="BK869">
        <v>0</v>
      </c>
      <c r="BL869">
        <v>0</v>
      </c>
      <c r="BO869">
        <v>0</v>
      </c>
      <c r="BP869">
        <v>0</v>
      </c>
      <c r="BW869" t="str">
        <f>"22:13:06.398"</f>
        <v>22:13:06.398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364</v>
      </c>
      <c r="CR869">
        <v>0</v>
      </c>
      <c r="CW869">
        <v>1396817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"03/24/2022 22:13:06.623"</f>
        <v>03/24/2022 22:13:06.623</v>
      </c>
      <c r="C870" t="str">
        <f t="shared" si="256"/>
        <v>FFDFD3C0</v>
      </c>
      <c r="D870" t="s">
        <v>120</v>
      </c>
      <c r="E870">
        <v>14</v>
      </c>
      <c r="F870">
        <v>1014</v>
      </c>
      <c r="G870" t="s">
        <v>121</v>
      </c>
      <c r="J870" t="s">
        <v>122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 t="shared" si="261"/>
        <v>22:13:06.000</v>
      </c>
      <c r="T870" t="str">
        <f t="shared" si="261"/>
        <v>22:13:06.000</v>
      </c>
      <c r="U870" t="str">
        <f t="shared" si="250"/>
        <v>A9D71F</v>
      </c>
      <c r="V870">
        <v>0</v>
      </c>
      <c r="W870">
        <v>0</v>
      </c>
      <c r="X870">
        <v>2</v>
      </c>
      <c r="Z870">
        <v>1</v>
      </c>
      <c r="AA870">
        <v>7</v>
      </c>
      <c r="AB870">
        <v>3</v>
      </c>
      <c r="AC870">
        <v>0</v>
      </c>
      <c r="AD870">
        <v>9</v>
      </c>
      <c r="AE870">
        <v>0</v>
      </c>
      <c r="AF870">
        <v>3</v>
      </c>
      <c r="AG870">
        <v>1</v>
      </c>
      <c r="AH870">
        <v>0</v>
      </c>
      <c r="AI870" t="s">
        <v>480</v>
      </c>
      <c r="AJ870">
        <v>33.163153999999999</v>
      </c>
      <c r="AK870" t="s">
        <v>481</v>
      </c>
      <c r="AL870">
        <v>-97.730340999999996</v>
      </c>
      <c r="AM870">
        <v>25</v>
      </c>
      <c r="AN870">
        <v>3500</v>
      </c>
      <c r="AO870" t="s">
        <v>118</v>
      </c>
      <c r="AP870">
        <v>57</v>
      </c>
      <c r="AQ870">
        <v>-85</v>
      </c>
      <c r="AR870">
        <v>128</v>
      </c>
      <c r="AZ870">
        <v>1200</v>
      </c>
      <c r="BA870">
        <v>1</v>
      </c>
      <c r="BB870" t="str">
        <f t="shared" si="257"/>
        <v xml:space="preserve">N733KP  </v>
      </c>
      <c r="BC870">
        <v>1</v>
      </c>
      <c r="BE870">
        <v>0</v>
      </c>
      <c r="BF870">
        <v>0</v>
      </c>
      <c r="BG870">
        <v>0</v>
      </c>
      <c r="BH870">
        <v>3425</v>
      </c>
      <c r="BI870">
        <v>1</v>
      </c>
      <c r="BJ870">
        <v>1</v>
      </c>
      <c r="BK870">
        <v>0</v>
      </c>
      <c r="BL870">
        <v>0</v>
      </c>
      <c r="BO870">
        <v>0</v>
      </c>
      <c r="BP870">
        <v>0</v>
      </c>
      <c r="BW870" t="str">
        <f>"22:13:06.398"</f>
        <v>22:13:06.398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364</v>
      </c>
      <c r="CR870">
        <v>0</v>
      </c>
      <c r="CW870">
        <v>1396817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"03/24/2022 22:13:07.452"</f>
        <v>03/24/2022 22:13:07.452</v>
      </c>
      <c r="C871" t="str">
        <f t="shared" si="256"/>
        <v>FFDFD3C0</v>
      </c>
      <c r="D871" t="s">
        <v>113</v>
      </c>
      <c r="E871">
        <v>24</v>
      </c>
      <c r="F871">
        <v>2024</v>
      </c>
      <c r="G871" t="s">
        <v>114</v>
      </c>
      <c r="J871" t="s">
        <v>115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 t="shared" ref="S871:T874" si="262">"22:13:07.000"</f>
        <v>22:13:07.000</v>
      </c>
      <c r="T871" t="str">
        <f t="shared" si="262"/>
        <v>22:13:07.000</v>
      </c>
      <c r="U871" t="str">
        <f t="shared" si="250"/>
        <v>A9D71F</v>
      </c>
      <c r="V871">
        <v>0</v>
      </c>
      <c r="W871">
        <v>0</v>
      </c>
      <c r="X871">
        <v>2</v>
      </c>
      <c r="Z871">
        <v>1</v>
      </c>
      <c r="AA871">
        <v>7</v>
      </c>
      <c r="AB871">
        <v>3</v>
      </c>
      <c r="AC871">
        <v>0</v>
      </c>
      <c r="AD871">
        <v>9</v>
      </c>
      <c r="AE871">
        <v>0</v>
      </c>
      <c r="AF871">
        <v>3</v>
      </c>
      <c r="AG871">
        <v>1</v>
      </c>
      <c r="AH871">
        <v>0</v>
      </c>
      <c r="AI871" t="s">
        <v>482</v>
      </c>
      <c r="AJ871">
        <v>33.162768</v>
      </c>
      <c r="AK871" t="s">
        <v>483</v>
      </c>
      <c r="AL871">
        <v>-97.730018999999999</v>
      </c>
      <c r="AM871">
        <v>25</v>
      </c>
      <c r="AN871">
        <v>3500</v>
      </c>
      <c r="AO871" t="s">
        <v>118</v>
      </c>
      <c r="AP871">
        <v>56</v>
      </c>
      <c r="AQ871">
        <v>-85</v>
      </c>
      <c r="AR871">
        <v>192</v>
      </c>
      <c r="AZ871">
        <v>1200</v>
      </c>
      <c r="BA871">
        <v>1</v>
      </c>
      <c r="BB871" t="str">
        <f t="shared" si="257"/>
        <v xml:space="preserve">N733KP  </v>
      </c>
      <c r="BC871">
        <v>1</v>
      </c>
      <c r="BE871">
        <v>0</v>
      </c>
      <c r="BF871">
        <v>0</v>
      </c>
      <c r="BG871">
        <v>0</v>
      </c>
      <c r="BH871">
        <v>3425</v>
      </c>
      <c r="BI871">
        <v>1</v>
      </c>
      <c r="BJ871">
        <v>1</v>
      </c>
      <c r="BK871">
        <v>0</v>
      </c>
      <c r="BL871">
        <v>0</v>
      </c>
      <c r="BO871">
        <v>0</v>
      </c>
      <c r="BP871">
        <v>0</v>
      </c>
      <c r="BW871" t="str">
        <f>"22:13:07.249"</f>
        <v>22:13:07.249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6</v>
      </c>
      <c r="CP871" t="s">
        <v>119</v>
      </c>
      <c r="CQ871">
        <v>364</v>
      </c>
      <c r="CR871">
        <v>0</v>
      </c>
      <c r="CW871">
        <v>1396934</v>
      </c>
      <c r="CY871">
        <v>1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"03/24/2022 22:13:07.452"</f>
        <v>03/24/2022 22:13:07.452</v>
      </c>
      <c r="C872" t="str">
        <f t="shared" si="256"/>
        <v>FFDFD3C0</v>
      </c>
      <c r="D872" t="s">
        <v>120</v>
      </c>
      <c r="E872">
        <v>14</v>
      </c>
      <c r="F872">
        <v>1014</v>
      </c>
      <c r="G872" t="s">
        <v>121</v>
      </c>
      <c r="J872" t="s">
        <v>122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 t="shared" si="262"/>
        <v>22:13:07.000</v>
      </c>
      <c r="T872" t="str">
        <f t="shared" si="262"/>
        <v>22:13:07.000</v>
      </c>
      <c r="U872" t="str">
        <f t="shared" si="250"/>
        <v>A9D71F</v>
      </c>
      <c r="V872">
        <v>0</v>
      </c>
      <c r="W872">
        <v>0</v>
      </c>
      <c r="X872">
        <v>2</v>
      </c>
      <c r="Z872">
        <v>1</v>
      </c>
      <c r="AA872">
        <v>7</v>
      </c>
      <c r="AB872">
        <v>3</v>
      </c>
      <c r="AC872">
        <v>0</v>
      </c>
      <c r="AD872">
        <v>9</v>
      </c>
      <c r="AE872">
        <v>0</v>
      </c>
      <c r="AF872">
        <v>3</v>
      </c>
      <c r="AG872">
        <v>1</v>
      </c>
      <c r="AH872">
        <v>0</v>
      </c>
      <c r="AI872" t="s">
        <v>482</v>
      </c>
      <c r="AJ872">
        <v>33.162768</v>
      </c>
      <c r="AK872" t="s">
        <v>483</v>
      </c>
      <c r="AL872">
        <v>-97.730018999999999</v>
      </c>
      <c r="AM872">
        <v>25</v>
      </c>
      <c r="AN872">
        <v>3500</v>
      </c>
      <c r="AO872" t="s">
        <v>118</v>
      </c>
      <c r="AP872">
        <v>56</v>
      </c>
      <c r="AQ872">
        <v>-85</v>
      </c>
      <c r="AR872">
        <v>192</v>
      </c>
      <c r="AZ872">
        <v>1200</v>
      </c>
      <c r="BA872">
        <v>1</v>
      </c>
      <c r="BB872" t="str">
        <f t="shared" si="257"/>
        <v xml:space="preserve">N733KP  </v>
      </c>
      <c r="BC872">
        <v>1</v>
      </c>
      <c r="BE872">
        <v>0</v>
      </c>
      <c r="BF872">
        <v>0</v>
      </c>
      <c r="BG872">
        <v>0</v>
      </c>
      <c r="BH872">
        <v>3425</v>
      </c>
      <c r="BI872">
        <v>1</v>
      </c>
      <c r="BJ872">
        <v>1</v>
      </c>
      <c r="BK872">
        <v>0</v>
      </c>
      <c r="BL872">
        <v>0</v>
      </c>
      <c r="BO872">
        <v>0</v>
      </c>
      <c r="BP872">
        <v>0</v>
      </c>
      <c r="BW872" t="str">
        <f>"22:13:07.249"</f>
        <v>22:13:07.249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6</v>
      </c>
      <c r="CP872" t="s">
        <v>119</v>
      </c>
      <c r="CQ872">
        <v>364</v>
      </c>
      <c r="CR872">
        <v>0</v>
      </c>
      <c r="CW872">
        <v>1396934</v>
      </c>
      <c r="CY872">
        <v>1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"03/24/2022 22:13:07.452"</f>
        <v>03/24/2022 22:13:07.452</v>
      </c>
      <c r="C873" t="str">
        <f t="shared" si="256"/>
        <v>FFDFD3C0</v>
      </c>
      <c r="D873" t="s">
        <v>126</v>
      </c>
      <c r="E873">
        <v>3</v>
      </c>
      <c r="H873">
        <v>160</v>
      </c>
      <c r="I873" t="s">
        <v>121</v>
      </c>
      <c r="J873" t="s">
        <v>127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 t="shared" si="262"/>
        <v>22:13:07.000</v>
      </c>
      <c r="T873" t="str">
        <f t="shared" si="262"/>
        <v>22:13:07.000</v>
      </c>
      <c r="U873" t="str">
        <f t="shared" si="250"/>
        <v>A9D71F</v>
      </c>
      <c r="V873">
        <v>0</v>
      </c>
      <c r="W873">
        <v>0</v>
      </c>
      <c r="X873">
        <v>2</v>
      </c>
      <c r="Z873">
        <v>1</v>
      </c>
      <c r="AA873">
        <v>7</v>
      </c>
      <c r="AB873">
        <v>3</v>
      </c>
      <c r="AC873">
        <v>0</v>
      </c>
      <c r="AD873">
        <v>9</v>
      </c>
      <c r="AE873">
        <v>0</v>
      </c>
      <c r="AF873">
        <v>3</v>
      </c>
      <c r="AG873">
        <v>1</v>
      </c>
      <c r="AH873">
        <v>0</v>
      </c>
      <c r="AI873" t="s">
        <v>482</v>
      </c>
      <c r="AJ873">
        <v>33.162768</v>
      </c>
      <c r="AK873" t="s">
        <v>483</v>
      </c>
      <c r="AL873">
        <v>-97.730018999999999</v>
      </c>
      <c r="AM873">
        <v>25</v>
      </c>
      <c r="AN873">
        <v>3500</v>
      </c>
      <c r="AO873" t="s">
        <v>118</v>
      </c>
      <c r="AP873">
        <v>56</v>
      </c>
      <c r="AQ873">
        <v>-85</v>
      </c>
      <c r="AR873">
        <v>192</v>
      </c>
      <c r="AZ873">
        <v>1200</v>
      </c>
      <c r="BA873">
        <v>1</v>
      </c>
      <c r="BB873" t="str">
        <f t="shared" si="257"/>
        <v xml:space="preserve">N733KP  </v>
      </c>
      <c r="BC873">
        <v>1</v>
      </c>
      <c r="BE873">
        <v>0</v>
      </c>
      <c r="BF873">
        <v>0</v>
      </c>
      <c r="BG873">
        <v>0</v>
      </c>
      <c r="BH873">
        <v>3425</v>
      </c>
      <c r="BI873">
        <v>1</v>
      </c>
      <c r="BJ873">
        <v>1</v>
      </c>
      <c r="BK873">
        <v>0</v>
      </c>
      <c r="BL873">
        <v>0</v>
      </c>
      <c r="BO873">
        <v>0</v>
      </c>
      <c r="BP873">
        <v>0</v>
      </c>
      <c r="BW873" t="str">
        <f>"22:13:07.249"</f>
        <v>22:13:07.249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6</v>
      </c>
      <c r="CP873" t="s">
        <v>119</v>
      </c>
      <c r="CQ873">
        <v>364</v>
      </c>
      <c r="CR873">
        <v>0</v>
      </c>
      <c r="CW873">
        <v>1396934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"03/24/2022 22:13:07.499"</f>
        <v>03/24/2022 22:13:07.499</v>
      </c>
      <c r="C874" t="str">
        <f t="shared" si="256"/>
        <v>FFDFD3C0</v>
      </c>
      <c r="D874" t="s">
        <v>123</v>
      </c>
      <c r="E874">
        <v>8</v>
      </c>
      <c r="H874">
        <v>31</v>
      </c>
      <c r="I874" t="s">
        <v>124</v>
      </c>
      <c r="J874" t="s">
        <v>125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 t="shared" si="262"/>
        <v>22:13:07.000</v>
      </c>
      <c r="T874" t="str">
        <f t="shared" si="262"/>
        <v>22:13:07.000</v>
      </c>
      <c r="U874" t="str">
        <f t="shared" si="250"/>
        <v>A9D71F</v>
      </c>
      <c r="V874">
        <v>0</v>
      </c>
      <c r="W874">
        <v>0</v>
      </c>
      <c r="X874">
        <v>2</v>
      </c>
      <c r="Z874">
        <v>1</v>
      </c>
      <c r="AA874">
        <v>7</v>
      </c>
      <c r="AB874">
        <v>3</v>
      </c>
      <c r="AC874">
        <v>0</v>
      </c>
      <c r="AD874">
        <v>9</v>
      </c>
      <c r="AE874">
        <v>0</v>
      </c>
      <c r="AF874">
        <v>3</v>
      </c>
      <c r="AG874">
        <v>1</v>
      </c>
      <c r="AH874">
        <v>0</v>
      </c>
      <c r="AI874" t="s">
        <v>482</v>
      </c>
      <c r="AJ874">
        <v>33.162768</v>
      </c>
      <c r="AK874" t="s">
        <v>483</v>
      </c>
      <c r="AL874">
        <v>-97.730018999999999</v>
      </c>
      <c r="AM874">
        <v>25</v>
      </c>
      <c r="AN874">
        <v>3500</v>
      </c>
      <c r="AO874" t="s">
        <v>118</v>
      </c>
      <c r="AP874">
        <v>56</v>
      </c>
      <c r="AQ874">
        <v>-85</v>
      </c>
      <c r="AR874">
        <v>192</v>
      </c>
      <c r="AZ874">
        <v>1200</v>
      </c>
      <c r="BA874">
        <v>1</v>
      </c>
      <c r="BB874" t="str">
        <f t="shared" si="257"/>
        <v xml:space="preserve">N733KP  </v>
      </c>
      <c r="BC874">
        <v>1</v>
      </c>
      <c r="BE874">
        <v>0</v>
      </c>
      <c r="BF874">
        <v>0</v>
      </c>
      <c r="BG874">
        <v>0</v>
      </c>
      <c r="BH874">
        <v>3425</v>
      </c>
      <c r="BI874">
        <v>1</v>
      </c>
      <c r="BJ874">
        <v>1</v>
      </c>
      <c r="BK874">
        <v>0</v>
      </c>
      <c r="BL874">
        <v>0</v>
      </c>
      <c r="BO874">
        <v>0</v>
      </c>
      <c r="BP874">
        <v>0</v>
      </c>
      <c r="BW874" t="str">
        <f>"22:13:07.249"</f>
        <v>22:13:07.249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6</v>
      </c>
      <c r="CP874" t="s">
        <v>119</v>
      </c>
      <c r="CQ874">
        <v>364</v>
      </c>
      <c r="CR874">
        <v>0</v>
      </c>
      <c r="CW874">
        <v>1396934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"03/24/2022 22:13:09.283"</f>
        <v>03/24/2022 22:13:09.283</v>
      </c>
      <c r="C875" t="str">
        <f t="shared" si="256"/>
        <v>FFDFD3C0</v>
      </c>
      <c r="D875" t="s">
        <v>120</v>
      </c>
      <c r="E875">
        <v>14</v>
      </c>
      <c r="F875">
        <v>1014</v>
      </c>
      <c r="G875" t="s">
        <v>121</v>
      </c>
      <c r="J875" t="s">
        <v>122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 t="shared" ref="S875:T878" si="263">"22:13:08.000"</f>
        <v>22:13:08.000</v>
      </c>
      <c r="T875" t="str">
        <f t="shared" si="263"/>
        <v>22:13:08.000</v>
      </c>
      <c r="U875" t="str">
        <f t="shared" si="250"/>
        <v>A9D71F</v>
      </c>
      <c r="V875">
        <v>0</v>
      </c>
      <c r="W875">
        <v>0</v>
      </c>
      <c r="X875">
        <v>2</v>
      </c>
      <c r="Z875">
        <v>1</v>
      </c>
      <c r="AA875">
        <v>7</v>
      </c>
      <c r="AB875">
        <v>3</v>
      </c>
      <c r="AC875">
        <v>0</v>
      </c>
      <c r="AD875">
        <v>9</v>
      </c>
      <c r="AE875">
        <v>0</v>
      </c>
      <c r="AF875">
        <v>3</v>
      </c>
      <c r="AG875">
        <v>1</v>
      </c>
      <c r="AH875">
        <v>0</v>
      </c>
      <c r="AI875" t="s">
        <v>484</v>
      </c>
      <c r="AJ875">
        <v>33.16236</v>
      </c>
      <c r="AK875" t="s">
        <v>485</v>
      </c>
      <c r="AL875">
        <v>-97.729719000000003</v>
      </c>
      <c r="AM875">
        <v>25</v>
      </c>
      <c r="AN875">
        <v>3500</v>
      </c>
      <c r="AO875" t="s">
        <v>118</v>
      </c>
      <c r="AP875">
        <v>55</v>
      </c>
      <c r="AQ875">
        <v>-85</v>
      </c>
      <c r="AR875">
        <v>192</v>
      </c>
      <c r="AZ875">
        <v>1200</v>
      </c>
      <c r="BA875">
        <v>1</v>
      </c>
      <c r="BB875" t="str">
        <f t="shared" si="257"/>
        <v xml:space="preserve">N733KP  </v>
      </c>
      <c r="BC875">
        <v>1</v>
      </c>
      <c r="BE875">
        <v>0</v>
      </c>
      <c r="BF875">
        <v>0</v>
      </c>
      <c r="BG875">
        <v>0</v>
      </c>
      <c r="BH875">
        <v>3425</v>
      </c>
      <c r="BI875">
        <v>1</v>
      </c>
      <c r="BJ875">
        <v>1</v>
      </c>
      <c r="BK875">
        <v>0</v>
      </c>
      <c r="BL875">
        <v>0</v>
      </c>
      <c r="BO875">
        <v>0</v>
      </c>
      <c r="BP875">
        <v>0</v>
      </c>
      <c r="BW875" t="str">
        <f>"22:13:08.970"</f>
        <v>22:13:08.970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364</v>
      </c>
      <c r="CR875">
        <v>0</v>
      </c>
      <c r="CW875">
        <v>1397209</v>
      </c>
      <c r="CY875">
        <v>1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"03/24/2022 22:13:09.283"</f>
        <v>03/24/2022 22:13:09.283</v>
      </c>
      <c r="C876" t="str">
        <f t="shared" si="256"/>
        <v>FFDFD3C0</v>
      </c>
      <c r="D876" t="s">
        <v>126</v>
      </c>
      <c r="E876">
        <v>3</v>
      </c>
      <c r="H876">
        <v>160</v>
      </c>
      <c r="I876" t="s">
        <v>121</v>
      </c>
      <c r="J876" t="s">
        <v>127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 t="shared" si="263"/>
        <v>22:13:08.000</v>
      </c>
      <c r="T876" t="str">
        <f t="shared" si="263"/>
        <v>22:13:08.000</v>
      </c>
      <c r="U876" t="str">
        <f t="shared" si="250"/>
        <v>A9D71F</v>
      </c>
      <c r="V876">
        <v>0</v>
      </c>
      <c r="W876">
        <v>0</v>
      </c>
      <c r="X876">
        <v>2</v>
      </c>
      <c r="Z876">
        <v>1</v>
      </c>
      <c r="AA876">
        <v>7</v>
      </c>
      <c r="AB876">
        <v>3</v>
      </c>
      <c r="AC876">
        <v>0</v>
      </c>
      <c r="AD876">
        <v>9</v>
      </c>
      <c r="AE876">
        <v>0</v>
      </c>
      <c r="AF876">
        <v>3</v>
      </c>
      <c r="AG876">
        <v>1</v>
      </c>
      <c r="AH876">
        <v>0</v>
      </c>
      <c r="AI876" t="s">
        <v>484</v>
      </c>
      <c r="AJ876">
        <v>33.16236</v>
      </c>
      <c r="AK876" t="s">
        <v>485</v>
      </c>
      <c r="AL876">
        <v>-97.729719000000003</v>
      </c>
      <c r="AM876">
        <v>25</v>
      </c>
      <c r="AN876">
        <v>3500</v>
      </c>
      <c r="AO876" t="s">
        <v>118</v>
      </c>
      <c r="AP876">
        <v>55</v>
      </c>
      <c r="AQ876">
        <v>-85</v>
      </c>
      <c r="AR876">
        <v>192</v>
      </c>
      <c r="AZ876">
        <v>1200</v>
      </c>
      <c r="BA876">
        <v>1</v>
      </c>
      <c r="BB876" t="str">
        <f t="shared" si="257"/>
        <v xml:space="preserve">N733KP  </v>
      </c>
      <c r="BC876">
        <v>1</v>
      </c>
      <c r="BE876">
        <v>0</v>
      </c>
      <c r="BF876">
        <v>0</v>
      </c>
      <c r="BG876">
        <v>0</v>
      </c>
      <c r="BH876">
        <v>3425</v>
      </c>
      <c r="BI876">
        <v>1</v>
      </c>
      <c r="BJ876">
        <v>1</v>
      </c>
      <c r="BK876">
        <v>0</v>
      </c>
      <c r="BL876">
        <v>0</v>
      </c>
      <c r="BO876">
        <v>0</v>
      </c>
      <c r="BP876">
        <v>0</v>
      </c>
      <c r="BW876" t="str">
        <f>"22:13:08.970"</f>
        <v>22:13:08.970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364</v>
      </c>
      <c r="CR876">
        <v>0</v>
      </c>
      <c r="CW876">
        <v>1397209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"03/24/2022 22:13:09.283"</f>
        <v>03/24/2022 22:13:09.283</v>
      </c>
      <c r="C877" t="str">
        <f t="shared" si="256"/>
        <v>FFDFD3C0</v>
      </c>
      <c r="D877" t="s">
        <v>123</v>
      </c>
      <c r="E877">
        <v>8</v>
      </c>
      <c r="H877">
        <v>31</v>
      </c>
      <c r="I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 t="shared" si="263"/>
        <v>22:13:08.000</v>
      </c>
      <c r="T877" t="str">
        <f t="shared" si="263"/>
        <v>22:13:08.000</v>
      </c>
      <c r="U877" t="str">
        <f t="shared" si="250"/>
        <v>A9D71F</v>
      </c>
      <c r="V877">
        <v>0</v>
      </c>
      <c r="W877">
        <v>0</v>
      </c>
      <c r="X877">
        <v>2</v>
      </c>
      <c r="Z877">
        <v>1</v>
      </c>
      <c r="AA877">
        <v>7</v>
      </c>
      <c r="AB877">
        <v>3</v>
      </c>
      <c r="AC877">
        <v>0</v>
      </c>
      <c r="AD877">
        <v>9</v>
      </c>
      <c r="AE877">
        <v>0</v>
      </c>
      <c r="AF877">
        <v>3</v>
      </c>
      <c r="AG877">
        <v>1</v>
      </c>
      <c r="AH877">
        <v>0</v>
      </c>
      <c r="AI877" t="s">
        <v>484</v>
      </c>
      <c r="AJ877">
        <v>33.16236</v>
      </c>
      <c r="AK877" t="s">
        <v>485</v>
      </c>
      <c r="AL877">
        <v>-97.729719000000003</v>
      </c>
      <c r="AM877">
        <v>25</v>
      </c>
      <c r="AN877">
        <v>3500</v>
      </c>
      <c r="AO877" t="s">
        <v>118</v>
      </c>
      <c r="AP877">
        <v>55</v>
      </c>
      <c r="AQ877">
        <v>-85</v>
      </c>
      <c r="AR877">
        <v>192</v>
      </c>
      <c r="AZ877">
        <v>1200</v>
      </c>
      <c r="BA877">
        <v>1</v>
      </c>
      <c r="BB877" t="str">
        <f t="shared" si="257"/>
        <v xml:space="preserve">N733KP  </v>
      </c>
      <c r="BC877">
        <v>1</v>
      </c>
      <c r="BE877">
        <v>0</v>
      </c>
      <c r="BF877">
        <v>0</v>
      </c>
      <c r="BG877">
        <v>0</v>
      </c>
      <c r="BH877">
        <v>3425</v>
      </c>
      <c r="BI877">
        <v>1</v>
      </c>
      <c r="BJ877">
        <v>1</v>
      </c>
      <c r="BK877">
        <v>0</v>
      </c>
      <c r="BL877">
        <v>0</v>
      </c>
      <c r="BO877">
        <v>0</v>
      </c>
      <c r="BP877">
        <v>0</v>
      </c>
      <c r="BW877" t="str">
        <f>"22:13:08.970"</f>
        <v>22:13:08.970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364</v>
      </c>
      <c r="CR877">
        <v>0</v>
      </c>
      <c r="CW877">
        <v>1397209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"03/24/2022 22:13:09.283"</f>
        <v>03/24/2022 22:13:09.283</v>
      </c>
      <c r="C878" t="str">
        <f t="shared" si="256"/>
        <v>FFDFD3C0</v>
      </c>
      <c r="D878" t="s">
        <v>113</v>
      </c>
      <c r="E878">
        <v>24</v>
      </c>
      <c r="F878">
        <v>2024</v>
      </c>
      <c r="G878" t="s">
        <v>114</v>
      </c>
      <c r="J878" t="s">
        <v>115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 t="shared" si="263"/>
        <v>22:13:08.000</v>
      </c>
      <c r="T878" t="str">
        <f t="shared" si="263"/>
        <v>22:13:08.000</v>
      </c>
      <c r="U878" t="str">
        <f t="shared" si="250"/>
        <v>A9D71F</v>
      </c>
      <c r="V878">
        <v>0</v>
      </c>
      <c r="W878">
        <v>0</v>
      </c>
      <c r="X878">
        <v>2</v>
      </c>
      <c r="Z878">
        <v>1</v>
      </c>
      <c r="AA878">
        <v>7</v>
      </c>
      <c r="AB878">
        <v>3</v>
      </c>
      <c r="AC878">
        <v>0</v>
      </c>
      <c r="AD878">
        <v>9</v>
      </c>
      <c r="AE878">
        <v>0</v>
      </c>
      <c r="AF878">
        <v>3</v>
      </c>
      <c r="AG878">
        <v>1</v>
      </c>
      <c r="AH878">
        <v>0</v>
      </c>
      <c r="AI878" t="s">
        <v>484</v>
      </c>
      <c r="AJ878">
        <v>33.16236</v>
      </c>
      <c r="AK878" t="s">
        <v>485</v>
      </c>
      <c r="AL878">
        <v>-97.729719000000003</v>
      </c>
      <c r="AM878">
        <v>25</v>
      </c>
      <c r="AN878">
        <v>3500</v>
      </c>
      <c r="AO878" t="s">
        <v>118</v>
      </c>
      <c r="AP878">
        <v>55</v>
      </c>
      <c r="AQ878">
        <v>-85</v>
      </c>
      <c r="AR878">
        <v>192</v>
      </c>
      <c r="AZ878">
        <v>1200</v>
      </c>
      <c r="BA878">
        <v>1</v>
      </c>
      <c r="BB878" t="str">
        <f t="shared" si="257"/>
        <v xml:space="preserve">N733KP  </v>
      </c>
      <c r="BC878">
        <v>1</v>
      </c>
      <c r="BE878">
        <v>0</v>
      </c>
      <c r="BF878">
        <v>0</v>
      </c>
      <c r="BG878">
        <v>0</v>
      </c>
      <c r="BH878">
        <v>3425</v>
      </c>
      <c r="BI878">
        <v>1</v>
      </c>
      <c r="BJ878">
        <v>1</v>
      </c>
      <c r="BK878">
        <v>0</v>
      </c>
      <c r="BL878">
        <v>0</v>
      </c>
      <c r="BO878">
        <v>0</v>
      </c>
      <c r="BP878">
        <v>0</v>
      </c>
      <c r="BW878" t="str">
        <f>"22:13:08.970"</f>
        <v>22:13:08.970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364</v>
      </c>
      <c r="CR878">
        <v>0</v>
      </c>
      <c r="CW878">
        <v>1397209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"03/24/2022 22:13:09.517"</f>
        <v>03/24/2022 22:13:09.517</v>
      </c>
      <c r="C879" t="str">
        <f t="shared" si="256"/>
        <v>FFDFD3C0</v>
      </c>
      <c r="D879" t="s">
        <v>126</v>
      </c>
      <c r="E879">
        <v>3</v>
      </c>
      <c r="H879">
        <v>160</v>
      </c>
      <c r="I879" t="s">
        <v>121</v>
      </c>
      <c r="J879" t="s">
        <v>127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 t="shared" ref="S879:T882" si="264">"22:13:09.000"</f>
        <v>22:13:09.000</v>
      </c>
      <c r="T879" t="str">
        <f t="shared" si="264"/>
        <v>22:13:09.000</v>
      </c>
      <c r="U879" t="str">
        <f t="shared" si="250"/>
        <v>A9D71F</v>
      </c>
      <c r="V879">
        <v>0</v>
      </c>
      <c r="W879">
        <v>0</v>
      </c>
      <c r="X879">
        <v>2</v>
      </c>
      <c r="Z879">
        <v>1</v>
      </c>
      <c r="AA879">
        <v>7</v>
      </c>
      <c r="AB879">
        <v>3</v>
      </c>
      <c r="AC879">
        <v>0</v>
      </c>
      <c r="AD879">
        <v>9</v>
      </c>
      <c r="AE879">
        <v>0</v>
      </c>
      <c r="AF879">
        <v>3</v>
      </c>
      <c r="AG879">
        <v>1</v>
      </c>
      <c r="AH879">
        <v>0</v>
      </c>
      <c r="AI879" t="s">
        <v>486</v>
      </c>
      <c r="AJ879">
        <v>33.161974000000001</v>
      </c>
      <c r="AK879" t="s">
        <v>487</v>
      </c>
      <c r="AL879">
        <v>-97.729417999999995</v>
      </c>
      <c r="AM879">
        <v>25</v>
      </c>
      <c r="AN879">
        <v>3500</v>
      </c>
      <c r="AO879" t="s">
        <v>118</v>
      </c>
      <c r="AP879">
        <v>55</v>
      </c>
      <c r="AQ879">
        <v>-84</v>
      </c>
      <c r="AR879">
        <v>192</v>
      </c>
      <c r="AZ879">
        <v>1200</v>
      </c>
      <c r="BA879">
        <v>1</v>
      </c>
      <c r="BB879" t="str">
        <f t="shared" si="257"/>
        <v xml:space="preserve">N733KP  </v>
      </c>
      <c r="BC879">
        <v>1</v>
      </c>
      <c r="BE879">
        <v>0</v>
      </c>
      <c r="BF879">
        <v>0</v>
      </c>
      <c r="BG879">
        <v>0</v>
      </c>
      <c r="BH879">
        <v>3425</v>
      </c>
      <c r="BI879">
        <v>1</v>
      </c>
      <c r="BJ879">
        <v>1</v>
      </c>
      <c r="BK879">
        <v>0</v>
      </c>
      <c r="BL879">
        <v>0</v>
      </c>
      <c r="BO879">
        <v>0</v>
      </c>
      <c r="BP879">
        <v>0</v>
      </c>
      <c r="BW879" t="str">
        <f>"22:13:09.228"</f>
        <v>22:13:09.228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364</v>
      </c>
      <c r="CR879">
        <v>0</v>
      </c>
      <c r="CW879">
        <v>1397242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"03/24/2022 22:13:09.517"</f>
        <v>03/24/2022 22:13:09.517</v>
      </c>
      <c r="C880" t="str">
        <f t="shared" si="256"/>
        <v>FFDFD3C0</v>
      </c>
      <c r="D880" t="s">
        <v>120</v>
      </c>
      <c r="E880">
        <v>14</v>
      </c>
      <c r="F880">
        <v>1014</v>
      </c>
      <c r="G880" t="s">
        <v>121</v>
      </c>
      <c r="J880" t="s">
        <v>122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 t="shared" si="264"/>
        <v>22:13:09.000</v>
      </c>
      <c r="T880" t="str">
        <f t="shared" si="264"/>
        <v>22:13:09.000</v>
      </c>
      <c r="U880" t="str">
        <f t="shared" si="250"/>
        <v>A9D71F</v>
      </c>
      <c r="V880">
        <v>0</v>
      </c>
      <c r="W880">
        <v>0</v>
      </c>
      <c r="X880">
        <v>2</v>
      </c>
      <c r="Z880">
        <v>1</v>
      </c>
      <c r="AA880">
        <v>7</v>
      </c>
      <c r="AB880">
        <v>3</v>
      </c>
      <c r="AC880">
        <v>0</v>
      </c>
      <c r="AD880">
        <v>9</v>
      </c>
      <c r="AE880">
        <v>0</v>
      </c>
      <c r="AF880">
        <v>3</v>
      </c>
      <c r="AG880">
        <v>1</v>
      </c>
      <c r="AH880">
        <v>0</v>
      </c>
      <c r="AI880" t="s">
        <v>486</v>
      </c>
      <c r="AJ880">
        <v>33.161974000000001</v>
      </c>
      <c r="AK880" t="s">
        <v>487</v>
      </c>
      <c r="AL880">
        <v>-97.729417999999995</v>
      </c>
      <c r="AM880">
        <v>25</v>
      </c>
      <c r="AN880">
        <v>3500</v>
      </c>
      <c r="AO880" t="s">
        <v>118</v>
      </c>
      <c r="AP880">
        <v>55</v>
      </c>
      <c r="AQ880">
        <v>-84</v>
      </c>
      <c r="AR880">
        <v>192</v>
      </c>
      <c r="AZ880">
        <v>1200</v>
      </c>
      <c r="BA880">
        <v>1</v>
      </c>
      <c r="BB880" t="str">
        <f t="shared" si="257"/>
        <v xml:space="preserve">N733KP  </v>
      </c>
      <c r="BC880">
        <v>1</v>
      </c>
      <c r="BE880">
        <v>0</v>
      </c>
      <c r="BF880">
        <v>0</v>
      </c>
      <c r="BG880">
        <v>0</v>
      </c>
      <c r="BH880">
        <v>3425</v>
      </c>
      <c r="BI880">
        <v>1</v>
      </c>
      <c r="BJ880">
        <v>1</v>
      </c>
      <c r="BK880">
        <v>0</v>
      </c>
      <c r="BL880">
        <v>0</v>
      </c>
      <c r="BO880">
        <v>0</v>
      </c>
      <c r="BP880">
        <v>0</v>
      </c>
      <c r="BW880" t="str">
        <f>"22:13:09.228"</f>
        <v>22:13:09.228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364</v>
      </c>
      <c r="CR880">
        <v>0</v>
      </c>
      <c r="CW880">
        <v>1397242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"03/24/2022 22:13:09.517"</f>
        <v>03/24/2022 22:13:09.517</v>
      </c>
      <c r="C881" t="str">
        <f t="shared" si="256"/>
        <v>FFDFD3C0</v>
      </c>
      <c r="D881" t="s">
        <v>123</v>
      </c>
      <c r="E881">
        <v>8</v>
      </c>
      <c r="H881">
        <v>31</v>
      </c>
      <c r="I881" t="s">
        <v>124</v>
      </c>
      <c r="J881" t="s">
        <v>125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 t="shared" si="264"/>
        <v>22:13:09.000</v>
      </c>
      <c r="T881" t="str">
        <f t="shared" si="264"/>
        <v>22:13:09.000</v>
      </c>
      <c r="U881" t="str">
        <f t="shared" si="250"/>
        <v>A9D71F</v>
      </c>
      <c r="V881">
        <v>0</v>
      </c>
      <c r="W881">
        <v>0</v>
      </c>
      <c r="X881">
        <v>2</v>
      </c>
      <c r="Z881">
        <v>1</v>
      </c>
      <c r="AA881">
        <v>7</v>
      </c>
      <c r="AB881">
        <v>3</v>
      </c>
      <c r="AC881">
        <v>0</v>
      </c>
      <c r="AD881">
        <v>9</v>
      </c>
      <c r="AE881">
        <v>0</v>
      </c>
      <c r="AF881">
        <v>3</v>
      </c>
      <c r="AG881">
        <v>1</v>
      </c>
      <c r="AH881">
        <v>0</v>
      </c>
      <c r="AI881" t="s">
        <v>486</v>
      </c>
      <c r="AJ881">
        <v>33.161974000000001</v>
      </c>
      <c r="AK881" t="s">
        <v>487</v>
      </c>
      <c r="AL881">
        <v>-97.729417999999995</v>
      </c>
      <c r="AM881">
        <v>25</v>
      </c>
      <c r="AN881">
        <v>3500</v>
      </c>
      <c r="AO881" t="s">
        <v>118</v>
      </c>
      <c r="AP881">
        <v>55</v>
      </c>
      <c r="AQ881">
        <v>-84</v>
      </c>
      <c r="AR881">
        <v>192</v>
      </c>
      <c r="AZ881">
        <v>1200</v>
      </c>
      <c r="BA881">
        <v>1</v>
      </c>
      <c r="BB881" t="str">
        <f t="shared" si="257"/>
        <v xml:space="preserve">N733KP  </v>
      </c>
      <c r="BC881">
        <v>1</v>
      </c>
      <c r="BE881">
        <v>0</v>
      </c>
      <c r="BF881">
        <v>0</v>
      </c>
      <c r="BG881">
        <v>0</v>
      </c>
      <c r="BH881">
        <v>3425</v>
      </c>
      <c r="BI881">
        <v>1</v>
      </c>
      <c r="BJ881">
        <v>1</v>
      </c>
      <c r="BK881">
        <v>0</v>
      </c>
      <c r="BL881">
        <v>0</v>
      </c>
      <c r="BO881">
        <v>0</v>
      </c>
      <c r="BP881">
        <v>0</v>
      </c>
      <c r="BW881" t="str">
        <f>"22:13:09.228"</f>
        <v>22:13:09.228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364</v>
      </c>
      <c r="CR881">
        <v>0</v>
      </c>
      <c r="CW881">
        <v>1397242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"03/24/2022 22:13:09.517"</f>
        <v>03/24/2022 22:13:09.517</v>
      </c>
      <c r="C882" t="str">
        <f t="shared" si="256"/>
        <v>FFDFD3C0</v>
      </c>
      <c r="D882" t="s">
        <v>113</v>
      </c>
      <c r="E882">
        <v>24</v>
      </c>
      <c r="F882">
        <v>2024</v>
      </c>
      <c r="G882" t="s">
        <v>114</v>
      </c>
      <c r="J882" t="s">
        <v>115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 t="shared" si="264"/>
        <v>22:13:09.000</v>
      </c>
      <c r="T882" t="str">
        <f t="shared" si="264"/>
        <v>22:13:09.000</v>
      </c>
      <c r="U882" t="str">
        <f t="shared" si="250"/>
        <v>A9D71F</v>
      </c>
      <c r="V882">
        <v>0</v>
      </c>
      <c r="W882">
        <v>0</v>
      </c>
      <c r="X882">
        <v>2</v>
      </c>
      <c r="Z882">
        <v>1</v>
      </c>
      <c r="AA882">
        <v>7</v>
      </c>
      <c r="AB882">
        <v>3</v>
      </c>
      <c r="AC882">
        <v>0</v>
      </c>
      <c r="AD882">
        <v>9</v>
      </c>
      <c r="AE882">
        <v>0</v>
      </c>
      <c r="AF882">
        <v>3</v>
      </c>
      <c r="AG882">
        <v>1</v>
      </c>
      <c r="AH882">
        <v>0</v>
      </c>
      <c r="AI882" t="s">
        <v>486</v>
      </c>
      <c r="AJ882">
        <v>33.161974000000001</v>
      </c>
      <c r="AK882" t="s">
        <v>487</v>
      </c>
      <c r="AL882">
        <v>-97.729417999999995</v>
      </c>
      <c r="AM882">
        <v>25</v>
      </c>
      <c r="AN882">
        <v>3500</v>
      </c>
      <c r="AO882" t="s">
        <v>118</v>
      </c>
      <c r="AP882">
        <v>55</v>
      </c>
      <c r="AQ882">
        <v>-84</v>
      </c>
      <c r="AR882">
        <v>192</v>
      </c>
      <c r="AZ882">
        <v>1200</v>
      </c>
      <c r="BA882">
        <v>1</v>
      </c>
      <c r="BB882" t="str">
        <f t="shared" si="257"/>
        <v xml:space="preserve">N733KP  </v>
      </c>
      <c r="BC882">
        <v>1</v>
      </c>
      <c r="BE882">
        <v>0</v>
      </c>
      <c r="BF882">
        <v>0</v>
      </c>
      <c r="BG882">
        <v>0</v>
      </c>
      <c r="BH882">
        <v>3425</v>
      </c>
      <c r="BI882">
        <v>1</v>
      </c>
      <c r="BJ882">
        <v>1</v>
      </c>
      <c r="BK882">
        <v>0</v>
      </c>
      <c r="BL882">
        <v>0</v>
      </c>
      <c r="BO882">
        <v>0</v>
      </c>
      <c r="BP882">
        <v>0</v>
      </c>
      <c r="BW882" t="str">
        <f>"22:13:09.228"</f>
        <v>22:13:09.228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364</v>
      </c>
      <c r="CR882">
        <v>0</v>
      </c>
      <c r="CW882">
        <v>1397242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"03/24/2022 22:13:10.517"</f>
        <v>03/24/2022 22:13:10.517</v>
      </c>
      <c r="C883" t="str">
        <f t="shared" si="256"/>
        <v>FFDFD3C0</v>
      </c>
      <c r="D883" t="s">
        <v>120</v>
      </c>
      <c r="E883">
        <v>14</v>
      </c>
      <c r="F883">
        <v>1014</v>
      </c>
      <c r="G883" t="s">
        <v>121</v>
      </c>
      <c r="J883" t="s">
        <v>122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 t="shared" ref="S883:T886" si="265">"22:13:10.000"</f>
        <v>22:13:10.000</v>
      </c>
      <c r="T883" t="str">
        <f t="shared" si="265"/>
        <v>22:13:10.000</v>
      </c>
      <c r="U883" t="str">
        <f t="shared" si="250"/>
        <v>A9D71F</v>
      </c>
      <c r="V883">
        <v>0</v>
      </c>
      <c r="W883">
        <v>0</v>
      </c>
      <c r="X883">
        <v>2</v>
      </c>
      <c r="Z883">
        <v>1</v>
      </c>
      <c r="AA883">
        <v>7</v>
      </c>
      <c r="AB883">
        <v>3</v>
      </c>
      <c r="AC883">
        <v>0</v>
      </c>
      <c r="AD883">
        <v>9</v>
      </c>
      <c r="AE883">
        <v>0</v>
      </c>
      <c r="AF883">
        <v>3</v>
      </c>
      <c r="AG883">
        <v>1</v>
      </c>
      <c r="AH883">
        <v>0</v>
      </c>
      <c r="AI883" t="s">
        <v>488</v>
      </c>
      <c r="AJ883">
        <v>33.161588000000002</v>
      </c>
      <c r="AK883" t="s">
        <v>489</v>
      </c>
      <c r="AL883">
        <v>-97.729139000000004</v>
      </c>
      <c r="AM883">
        <v>25</v>
      </c>
      <c r="AN883">
        <v>3500</v>
      </c>
      <c r="AO883" t="s">
        <v>118</v>
      </c>
      <c r="AP883">
        <v>56</v>
      </c>
      <c r="AQ883">
        <v>-86</v>
      </c>
      <c r="AR883">
        <v>128</v>
      </c>
      <c r="AZ883">
        <v>1200</v>
      </c>
      <c r="BA883">
        <v>1</v>
      </c>
      <c r="BB883" t="str">
        <f t="shared" si="257"/>
        <v xml:space="preserve">N733KP  </v>
      </c>
      <c r="BC883">
        <v>1</v>
      </c>
      <c r="BE883">
        <v>0</v>
      </c>
      <c r="BF883">
        <v>0</v>
      </c>
      <c r="BG883">
        <v>0</v>
      </c>
      <c r="BH883">
        <v>3425</v>
      </c>
      <c r="BI883">
        <v>1</v>
      </c>
      <c r="BJ883">
        <v>1</v>
      </c>
      <c r="BK883">
        <v>0</v>
      </c>
      <c r="BL883">
        <v>0</v>
      </c>
      <c r="BO883">
        <v>0</v>
      </c>
      <c r="BP883">
        <v>0</v>
      </c>
      <c r="BW883" t="str">
        <f>"22:13:10.340"</f>
        <v>22:13:10.340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364</v>
      </c>
      <c r="CR883">
        <v>0</v>
      </c>
      <c r="CW883">
        <v>1397429</v>
      </c>
      <c r="CY883">
        <v>1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"03/24/2022 22:13:10.517"</f>
        <v>03/24/2022 22:13:10.517</v>
      </c>
      <c r="C884" t="str">
        <f t="shared" si="256"/>
        <v>FFDFD3C0</v>
      </c>
      <c r="D884" t="s">
        <v>126</v>
      </c>
      <c r="E884">
        <v>3</v>
      </c>
      <c r="H884">
        <v>160</v>
      </c>
      <c r="I884" t="s">
        <v>121</v>
      </c>
      <c r="J884" t="s">
        <v>127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 t="shared" si="265"/>
        <v>22:13:10.000</v>
      </c>
      <c r="T884" t="str">
        <f t="shared" si="265"/>
        <v>22:13:10.000</v>
      </c>
      <c r="U884" t="str">
        <f t="shared" si="250"/>
        <v>A9D71F</v>
      </c>
      <c r="V884">
        <v>0</v>
      </c>
      <c r="W884">
        <v>0</v>
      </c>
      <c r="X884">
        <v>2</v>
      </c>
      <c r="Z884">
        <v>1</v>
      </c>
      <c r="AA884">
        <v>7</v>
      </c>
      <c r="AB884">
        <v>3</v>
      </c>
      <c r="AC884">
        <v>0</v>
      </c>
      <c r="AD884">
        <v>9</v>
      </c>
      <c r="AE884">
        <v>0</v>
      </c>
      <c r="AF884">
        <v>3</v>
      </c>
      <c r="AG884">
        <v>1</v>
      </c>
      <c r="AH884">
        <v>0</v>
      </c>
      <c r="AI884" t="s">
        <v>488</v>
      </c>
      <c r="AJ884">
        <v>33.161588000000002</v>
      </c>
      <c r="AK884" t="s">
        <v>489</v>
      </c>
      <c r="AL884">
        <v>-97.729139000000004</v>
      </c>
      <c r="AM884">
        <v>25</v>
      </c>
      <c r="AN884">
        <v>3500</v>
      </c>
      <c r="AO884" t="s">
        <v>118</v>
      </c>
      <c r="AP884">
        <v>56</v>
      </c>
      <c r="AQ884">
        <v>-86</v>
      </c>
      <c r="AR884">
        <v>128</v>
      </c>
      <c r="AZ884">
        <v>1200</v>
      </c>
      <c r="BA884">
        <v>1</v>
      </c>
      <c r="BB884" t="str">
        <f t="shared" si="257"/>
        <v xml:space="preserve">N733KP  </v>
      </c>
      <c r="BC884">
        <v>1</v>
      </c>
      <c r="BE884">
        <v>0</v>
      </c>
      <c r="BF884">
        <v>0</v>
      </c>
      <c r="BG884">
        <v>0</v>
      </c>
      <c r="BH884">
        <v>3425</v>
      </c>
      <c r="BI884">
        <v>1</v>
      </c>
      <c r="BJ884">
        <v>1</v>
      </c>
      <c r="BK884">
        <v>0</v>
      </c>
      <c r="BL884">
        <v>0</v>
      </c>
      <c r="BO884">
        <v>0</v>
      </c>
      <c r="BP884">
        <v>0</v>
      </c>
      <c r="BW884" t="str">
        <f>"22:13:10.340"</f>
        <v>22:13:10.340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364</v>
      </c>
      <c r="CR884">
        <v>0</v>
      </c>
      <c r="CW884">
        <v>1397429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"03/24/2022 22:13:10.517"</f>
        <v>03/24/2022 22:13:10.517</v>
      </c>
      <c r="C885" t="str">
        <f t="shared" si="256"/>
        <v>FFDFD3C0</v>
      </c>
      <c r="D885" t="s">
        <v>123</v>
      </c>
      <c r="E885">
        <v>8</v>
      </c>
      <c r="H885">
        <v>31</v>
      </c>
      <c r="I885" t="s">
        <v>124</v>
      </c>
      <c r="J885" t="s">
        <v>125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 t="shared" si="265"/>
        <v>22:13:10.000</v>
      </c>
      <c r="T885" t="str">
        <f t="shared" si="265"/>
        <v>22:13:10.000</v>
      </c>
      <c r="U885" t="str">
        <f t="shared" si="250"/>
        <v>A9D71F</v>
      </c>
      <c r="V885">
        <v>0</v>
      </c>
      <c r="W885">
        <v>0</v>
      </c>
      <c r="X885">
        <v>2</v>
      </c>
      <c r="Z885">
        <v>1</v>
      </c>
      <c r="AA885">
        <v>7</v>
      </c>
      <c r="AB885">
        <v>3</v>
      </c>
      <c r="AC885">
        <v>0</v>
      </c>
      <c r="AD885">
        <v>9</v>
      </c>
      <c r="AE885">
        <v>0</v>
      </c>
      <c r="AF885">
        <v>3</v>
      </c>
      <c r="AG885">
        <v>1</v>
      </c>
      <c r="AH885">
        <v>0</v>
      </c>
      <c r="AI885" t="s">
        <v>488</v>
      </c>
      <c r="AJ885">
        <v>33.161588000000002</v>
      </c>
      <c r="AK885" t="s">
        <v>489</v>
      </c>
      <c r="AL885">
        <v>-97.729139000000004</v>
      </c>
      <c r="AM885">
        <v>25</v>
      </c>
      <c r="AN885">
        <v>3500</v>
      </c>
      <c r="AO885" t="s">
        <v>118</v>
      </c>
      <c r="AP885">
        <v>56</v>
      </c>
      <c r="AQ885">
        <v>-86</v>
      </c>
      <c r="AR885">
        <v>128</v>
      </c>
      <c r="AZ885">
        <v>1200</v>
      </c>
      <c r="BA885">
        <v>1</v>
      </c>
      <c r="BB885" t="str">
        <f t="shared" si="257"/>
        <v xml:space="preserve">N733KP  </v>
      </c>
      <c r="BC885">
        <v>1</v>
      </c>
      <c r="BE885">
        <v>0</v>
      </c>
      <c r="BF885">
        <v>0</v>
      </c>
      <c r="BG885">
        <v>0</v>
      </c>
      <c r="BH885">
        <v>3425</v>
      </c>
      <c r="BI885">
        <v>1</v>
      </c>
      <c r="BJ885">
        <v>1</v>
      </c>
      <c r="BK885">
        <v>0</v>
      </c>
      <c r="BL885">
        <v>0</v>
      </c>
      <c r="BO885">
        <v>0</v>
      </c>
      <c r="BP885">
        <v>0</v>
      </c>
      <c r="BW885" t="str">
        <f>"22:13:10.340"</f>
        <v>22:13:10.340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364</v>
      </c>
      <c r="CR885">
        <v>0</v>
      </c>
      <c r="CW885">
        <v>1397429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"03/24/2022 22:13:10.517"</f>
        <v>03/24/2022 22:13:10.517</v>
      </c>
      <c r="C886" t="str">
        <f t="shared" si="256"/>
        <v>FFDFD3C0</v>
      </c>
      <c r="D886" t="s">
        <v>113</v>
      </c>
      <c r="E886">
        <v>24</v>
      </c>
      <c r="F886">
        <v>2024</v>
      </c>
      <c r="G886" t="s">
        <v>114</v>
      </c>
      <c r="J886" t="s">
        <v>115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 t="shared" si="265"/>
        <v>22:13:10.000</v>
      </c>
      <c r="T886" t="str">
        <f t="shared" si="265"/>
        <v>22:13:10.000</v>
      </c>
      <c r="U886" t="str">
        <f t="shared" si="250"/>
        <v>A9D71F</v>
      </c>
      <c r="V886">
        <v>0</v>
      </c>
      <c r="W886">
        <v>0</v>
      </c>
      <c r="X886">
        <v>2</v>
      </c>
      <c r="Z886">
        <v>1</v>
      </c>
      <c r="AA886">
        <v>7</v>
      </c>
      <c r="AB886">
        <v>3</v>
      </c>
      <c r="AC886">
        <v>0</v>
      </c>
      <c r="AD886">
        <v>9</v>
      </c>
      <c r="AE886">
        <v>0</v>
      </c>
      <c r="AF886">
        <v>3</v>
      </c>
      <c r="AG886">
        <v>1</v>
      </c>
      <c r="AH886">
        <v>0</v>
      </c>
      <c r="AI886" t="s">
        <v>488</v>
      </c>
      <c r="AJ886">
        <v>33.161588000000002</v>
      </c>
      <c r="AK886" t="s">
        <v>489</v>
      </c>
      <c r="AL886">
        <v>-97.729139000000004</v>
      </c>
      <c r="AM886">
        <v>25</v>
      </c>
      <c r="AN886">
        <v>3500</v>
      </c>
      <c r="AO886" t="s">
        <v>118</v>
      </c>
      <c r="AP886">
        <v>56</v>
      </c>
      <c r="AQ886">
        <v>-86</v>
      </c>
      <c r="AR886">
        <v>128</v>
      </c>
      <c r="AZ886">
        <v>1200</v>
      </c>
      <c r="BA886">
        <v>1</v>
      </c>
      <c r="BB886" t="str">
        <f t="shared" si="257"/>
        <v xml:space="preserve">N733KP  </v>
      </c>
      <c r="BC886">
        <v>1</v>
      </c>
      <c r="BE886">
        <v>0</v>
      </c>
      <c r="BF886">
        <v>0</v>
      </c>
      <c r="BG886">
        <v>0</v>
      </c>
      <c r="BH886">
        <v>3425</v>
      </c>
      <c r="BI886">
        <v>1</v>
      </c>
      <c r="BJ886">
        <v>1</v>
      </c>
      <c r="BK886">
        <v>0</v>
      </c>
      <c r="BL886">
        <v>0</v>
      </c>
      <c r="BO886">
        <v>0</v>
      </c>
      <c r="BP886">
        <v>0</v>
      </c>
      <c r="BW886" t="str">
        <f>"22:13:10.340"</f>
        <v>22:13:10.340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364</v>
      </c>
      <c r="CR886">
        <v>0</v>
      </c>
      <c r="CW886">
        <v>1397429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"03/24/2022 22:13:11.815"</f>
        <v>03/24/2022 22:13:11.815</v>
      </c>
      <c r="C887" t="str">
        <f t="shared" si="256"/>
        <v>FFDFD3C0</v>
      </c>
      <c r="D887" t="s">
        <v>123</v>
      </c>
      <c r="E887">
        <v>8</v>
      </c>
      <c r="H887">
        <v>31</v>
      </c>
      <c r="I887" t="s">
        <v>124</v>
      </c>
      <c r="J887" t="s">
        <v>125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 t="shared" ref="S887:T890" si="266">"22:13:11.000"</f>
        <v>22:13:11.000</v>
      </c>
      <c r="T887" t="str">
        <f t="shared" si="266"/>
        <v>22:13:11.000</v>
      </c>
      <c r="U887" t="str">
        <f t="shared" si="250"/>
        <v>A9D71F</v>
      </c>
      <c r="V887">
        <v>0</v>
      </c>
      <c r="W887">
        <v>0</v>
      </c>
      <c r="X887">
        <v>2</v>
      </c>
      <c r="Z887">
        <v>1</v>
      </c>
      <c r="AA887">
        <v>7</v>
      </c>
      <c r="AB887">
        <v>3</v>
      </c>
      <c r="AC887">
        <v>0</v>
      </c>
      <c r="AD887">
        <v>9</v>
      </c>
      <c r="AE887">
        <v>0</v>
      </c>
      <c r="AF887">
        <v>3</v>
      </c>
      <c r="AG887">
        <v>1</v>
      </c>
      <c r="AH887">
        <v>0</v>
      </c>
      <c r="AI887" t="s">
        <v>490</v>
      </c>
      <c r="AJ887">
        <v>33.161180000000002</v>
      </c>
      <c r="AK887" t="s">
        <v>491</v>
      </c>
      <c r="AL887">
        <v>-97.728817000000006</v>
      </c>
      <c r="AM887">
        <v>25</v>
      </c>
      <c r="AN887">
        <v>3500</v>
      </c>
      <c r="AO887" t="s">
        <v>118</v>
      </c>
      <c r="AP887">
        <v>55</v>
      </c>
      <c r="AQ887">
        <v>-86</v>
      </c>
      <c r="AR887">
        <v>0</v>
      </c>
      <c r="AZ887">
        <v>1200</v>
      </c>
      <c r="BA887">
        <v>1</v>
      </c>
      <c r="BB887" t="str">
        <f t="shared" si="257"/>
        <v xml:space="preserve">N733KP  </v>
      </c>
      <c r="BC887">
        <v>1</v>
      </c>
      <c r="BE887">
        <v>0</v>
      </c>
      <c r="BF887">
        <v>0</v>
      </c>
      <c r="BG887">
        <v>0</v>
      </c>
      <c r="BH887">
        <v>3425</v>
      </c>
      <c r="BI887">
        <v>1</v>
      </c>
      <c r="BJ887">
        <v>1</v>
      </c>
      <c r="BK887">
        <v>0</v>
      </c>
      <c r="BL887">
        <v>0</v>
      </c>
      <c r="BO887">
        <v>0</v>
      </c>
      <c r="BP887">
        <v>0</v>
      </c>
      <c r="BW887" t="str">
        <f>"22:13:11.605"</f>
        <v>22:13:11.605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6</v>
      </c>
      <c r="CP887" t="s">
        <v>119</v>
      </c>
      <c r="CQ887">
        <v>364</v>
      </c>
      <c r="CR887">
        <v>0</v>
      </c>
      <c r="CW887">
        <v>1397654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"03/24/2022 22:13:11.815"</f>
        <v>03/24/2022 22:13:11.815</v>
      </c>
      <c r="C888" t="str">
        <f t="shared" si="256"/>
        <v>FFDFD3C0</v>
      </c>
      <c r="D888" t="s">
        <v>113</v>
      </c>
      <c r="E888">
        <v>24</v>
      </c>
      <c r="F888">
        <v>2024</v>
      </c>
      <c r="G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 t="shared" si="266"/>
        <v>22:13:11.000</v>
      </c>
      <c r="T888" t="str">
        <f t="shared" si="266"/>
        <v>22:13:11.000</v>
      </c>
      <c r="U888" t="str">
        <f t="shared" si="250"/>
        <v>A9D71F</v>
      </c>
      <c r="V888">
        <v>0</v>
      </c>
      <c r="W888">
        <v>0</v>
      </c>
      <c r="X888">
        <v>2</v>
      </c>
      <c r="Z888">
        <v>1</v>
      </c>
      <c r="AA888">
        <v>7</v>
      </c>
      <c r="AB888">
        <v>3</v>
      </c>
      <c r="AC888">
        <v>0</v>
      </c>
      <c r="AD888">
        <v>9</v>
      </c>
      <c r="AE888">
        <v>0</v>
      </c>
      <c r="AF888">
        <v>3</v>
      </c>
      <c r="AG888">
        <v>1</v>
      </c>
      <c r="AH888">
        <v>0</v>
      </c>
      <c r="AI888" t="s">
        <v>490</v>
      </c>
      <c r="AJ888">
        <v>33.161180000000002</v>
      </c>
      <c r="AK888" t="s">
        <v>491</v>
      </c>
      <c r="AL888">
        <v>-97.728817000000006</v>
      </c>
      <c r="AM888">
        <v>25</v>
      </c>
      <c r="AN888">
        <v>3500</v>
      </c>
      <c r="AO888" t="s">
        <v>118</v>
      </c>
      <c r="AP888">
        <v>55</v>
      </c>
      <c r="AQ888">
        <v>-86</v>
      </c>
      <c r="AR888">
        <v>0</v>
      </c>
      <c r="AZ888">
        <v>1200</v>
      </c>
      <c r="BA888">
        <v>1</v>
      </c>
      <c r="BB888" t="str">
        <f t="shared" si="257"/>
        <v xml:space="preserve">N733KP  </v>
      </c>
      <c r="BC888">
        <v>1</v>
      </c>
      <c r="BE888">
        <v>0</v>
      </c>
      <c r="BF888">
        <v>0</v>
      </c>
      <c r="BG888">
        <v>0</v>
      </c>
      <c r="BH888">
        <v>3425</v>
      </c>
      <c r="BI888">
        <v>1</v>
      </c>
      <c r="BJ888">
        <v>1</v>
      </c>
      <c r="BK888">
        <v>0</v>
      </c>
      <c r="BL888">
        <v>0</v>
      </c>
      <c r="BO888">
        <v>0</v>
      </c>
      <c r="BP888">
        <v>0</v>
      </c>
      <c r="BW888" t="str">
        <f>"22:13:11.605"</f>
        <v>22:13:11.605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6</v>
      </c>
      <c r="CP888" t="s">
        <v>119</v>
      </c>
      <c r="CQ888">
        <v>364</v>
      </c>
      <c r="CR888">
        <v>0</v>
      </c>
      <c r="CW888">
        <v>1397654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"03/24/2022 22:13:11.815"</f>
        <v>03/24/2022 22:13:11.815</v>
      </c>
      <c r="C889" t="str">
        <f t="shared" si="256"/>
        <v>FFDFD3C0</v>
      </c>
      <c r="D889" t="s">
        <v>126</v>
      </c>
      <c r="E889">
        <v>3</v>
      </c>
      <c r="H889">
        <v>160</v>
      </c>
      <c r="I889" t="s">
        <v>121</v>
      </c>
      <c r="J889" t="s">
        <v>127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 t="shared" si="266"/>
        <v>22:13:11.000</v>
      </c>
      <c r="T889" t="str">
        <f t="shared" si="266"/>
        <v>22:13:11.000</v>
      </c>
      <c r="U889" t="str">
        <f t="shared" si="250"/>
        <v>A9D71F</v>
      </c>
      <c r="V889">
        <v>0</v>
      </c>
      <c r="W889">
        <v>0</v>
      </c>
      <c r="X889">
        <v>2</v>
      </c>
      <c r="Z889">
        <v>1</v>
      </c>
      <c r="AA889">
        <v>7</v>
      </c>
      <c r="AB889">
        <v>3</v>
      </c>
      <c r="AC889">
        <v>0</v>
      </c>
      <c r="AD889">
        <v>9</v>
      </c>
      <c r="AE889">
        <v>0</v>
      </c>
      <c r="AF889">
        <v>3</v>
      </c>
      <c r="AG889">
        <v>1</v>
      </c>
      <c r="AH889">
        <v>0</v>
      </c>
      <c r="AI889" t="s">
        <v>490</v>
      </c>
      <c r="AJ889">
        <v>33.161180000000002</v>
      </c>
      <c r="AK889" t="s">
        <v>491</v>
      </c>
      <c r="AL889">
        <v>-97.728817000000006</v>
      </c>
      <c r="AM889">
        <v>25</v>
      </c>
      <c r="AN889">
        <v>3500</v>
      </c>
      <c r="AO889" t="s">
        <v>118</v>
      </c>
      <c r="AP889">
        <v>55</v>
      </c>
      <c r="AQ889">
        <v>-86</v>
      </c>
      <c r="AR889">
        <v>0</v>
      </c>
      <c r="AZ889">
        <v>1200</v>
      </c>
      <c r="BA889">
        <v>1</v>
      </c>
      <c r="BB889" t="str">
        <f t="shared" si="257"/>
        <v xml:space="preserve">N733KP  </v>
      </c>
      <c r="BC889">
        <v>1</v>
      </c>
      <c r="BE889">
        <v>0</v>
      </c>
      <c r="BF889">
        <v>0</v>
      </c>
      <c r="BG889">
        <v>0</v>
      </c>
      <c r="BH889">
        <v>3425</v>
      </c>
      <c r="BI889">
        <v>1</v>
      </c>
      <c r="BJ889">
        <v>1</v>
      </c>
      <c r="BK889">
        <v>0</v>
      </c>
      <c r="BL889">
        <v>0</v>
      </c>
      <c r="BO889">
        <v>0</v>
      </c>
      <c r="BP889">
        <v>0</v>
      </c>
      <c r="BW889" t="str">
        <f>"22:13:11.605"</f>
        <v>22:13:11.605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6</v>
      </c>
      <c r="CP889" t="s">
        <v>119</v>
      </c>
      <c r="CQ889">
        <v>364</v>
      </c>
      <c r="CR889">
        <v>0</v>
      </c>
      <c r="CW889">
        <v>1397654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"03/24/2022 22:13:11.815"</f>
        <v>03/24/2022 22:13:11.815</v>
      </c>
      <c r="C890" t="str">
        <f t="shared" si="256"/>
        <v>FFDFD3C0</v>
      </c>
      <c r="D890" t="s">
        <v>120</v>
      </c>
      <c r="E890">
        <v>14</v>
      </c>
      <c r="F890">
        <v>1014</v>
      </c>
      <c r="G890" t="s">
        <v>121</v>
      </c>
      <c r="J890" t="s">
        <v>122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 t="shared" si="266"/>
        <v>22:13:11.000</v>
      </c>
      <c r="T890" t="str">
        <f t="shared" si="266"/>
        <v>22:13:11.000</v>
      </c>
      <c r="U890" t="str">
        <f t="shared" si="250"/>
        <v>A9D71F</v>
      </c>
      <c r="V890">
        <v>0</v>
      </c>
      <c r="W890">
        <v>0</v>
      </c>
      <c r="X890">
        <v>2</v>
      </c>
      <c r="Z890">
        <v>1</v>
      </c>
      <c r="AA890">
        <v>7</v>
      </c>
      <c r="AB890">
        <v>3</v>
      </c>
      <c r="AC890">
        <v>0</v>
      </c>
      <c r="AD890">
        <v>9</v>
      </c>
      <c r="AE890">
        <v>0</v>
      </c>
      <c r="AF890">
        <v>3</v>
      </c>
      <c r="AG890">
        <v>1</v>
      </c>
      <c r="AH890">
        <v>0</v>
      </c>
      <c r="AI890" t="s">
        <v>490</v>
      </c>
      <c r="AJ890">
        <v>33.161180000000002</v>
      </c>
      <c r="AK890" t="s">
        <v>491</v>
      </c>
      <c r="AL890">
        <v>-97.728817000000006</v>
      </c>
      <c r="AM890">
        <v>25</v>
      </c>
      <c r="AN890">
        <v>3500</v>
      </c>
      <c r="AO890" t="s">
        <v>118</v>
      </c>
      <c r="AP890">
        <v>55</v>
      </c>
      <c r="AQ890">
        <v>-86</v>
      </c>
      <c r="AR890">
        <v>0</v>
      </c>
      <c r="AZ890">
        <v>1200</v>
      </c>
      <c r="BA890">
        <v>1</v>
      </c>
      <c r="BB890" t="str">
        <f t="shared" si="257"/>
        <v xml:space="preserve">N733KP  </v>
      </c>
      <c r="BC890">
        <v>1</v>
      </c>
      <c r="BE890">
        <v>0</v>
      </c>
      <c r="BF890">
        <v>0</v>
      </c>
      <c r="BG890">
        <v>0</v>
      </c>
      <c r="BH890">
        <v>3425</v>
      </c>
      <c r="BI890">
        <v>1</v>
      </c>
      <c r="BJ890">
        <v>1</v>
      </c>
      <c r="BK890">
        <v>0</v>
      </c>
      <c r="BL890">
        <v>0</v>
      </c>
      <c r="BO890">
        <v>0</v>
      </c>
      <c r="BP890">
        <v>0</v>
      </c>
      <c r="BW890" t="str">
        <f>"22:13:11.605"</f>
        <v>22:13:11.605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6</v>
      </c>
      <c r="CP890" t="s">
        <v>119</v>
      </c>
      <c r="CQ890">
        <v>364</v>
      </c>
      <c r="CR890">
        <v>0</v>
      </c>
      <c r="CW890">
        <v>1397654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"03/24/2022 22:13:13.081"</f>
        <v>03/24/2022 22:13:13.081</v>
      </c>
      <c r="C891" t="str">
        <f t="shared" si="256"/>
        <v>FFDFD3C0</v>
      </c>
      <c r="D891" t="s">
        <v>126</v>
      </c>
      <c r="E891">
        <v>3</v>
      </c>
      <c r="H891">
        <v>160</v>
      </c>
      <c r="I891" t="s">
        <v>121</v>
      </c>
      <c r="J891" t="s">
        <v>127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 t="shared" ref="S891:T894" si="267">"22:13:12.000"</f>
        <v>22:13:12.000</v>
      </c>
      <c r="T891" t="str">
        <f t="shared" si="267"/>
        <v>22:13:12.000</v>
      </c>
      <c r="U891" t="str">
        <f t="shared" si="250"/>
        <v>A9D71F</v>
      </c>
      <c r="V891">
        <v>0</v>
      </c>
      <c r="W891">
        <v>0</v>
      </c>
      <c r="X891">
        <v>2</v>
      </c>
      <c r="Z891">
        <v>1</v>
      </c>
      <c r="AA891">
        <v>7</v>
      </c>
      <c r="AB891">
        <v>3</v>
      </c>
      <c r="AC891">
        <v>0</v>
      </c>
      <c r="AD891">
        <v>9</v>
      </c>
      <c r="AE891">
        <v>0</v>
      </c>
      <c r="AF891">
        <v>3</v>
      </c>
      <c r="AG891">
        <v>1</v>
      </c>
      <c r="AH891">
        <v>0</v>
      </c>
      <c r="AI891" t="s">
        <v>492</v>
      </c>
      <c r="AJ891">
        <v>33.160772000000001</v>
      </c>
      <c r="AK891" t="s">
        <v>493</v>
      </c>
      <c r="AL891">
        <v>-97.728496000000007</v>
      </c>
      <c r="AM891">
        <v>25</v>
      </c>
      <c r="AN891">
        <v>3500</v>
      </c>
      <c r="AO891" t="s">
        <v>118</v>
      </c>
      <c r="AP891">
        <v>56</v>
      </c>
      <c r="AQ891">
        <v>-87</v>
      </c>
      <c r="AR891">
        <v>0</v>
      </c>
      <c r="AZ891">
        <v>1200</v>
      </c>
      <c r="BA891">
        <v>1</v>
      </c>
      <c r="BB891" t="str">
        <f t="shared" si="257"/>
        <v xml:space="preserve">N733KP  </v>
      </c>
      <c r="BC891">
        <v>1</v>
      </c>
      <c r="BE891">
        <v>0</v>
      </c>
      <c r="BF891">
        <v>0</v>
      </c>
      <c r="BG891">
        <v>0</v>
      </c>
      <c r="BH891">
        <v>3450</v>
      </c>
      <c r="BI891">
        <v>1</v>
      </c>
      <c r="BJ891">
        <v>1</v>
      </c>
      <c r="BK891">
        <v>0</v>
      </c>
      <c r="BL891">
        <v>0</v>
      </c>
      <c r="BO891">
        <v>0</v>
      </c>
      <c r="BP891">
        <v>0</v>
      </c>
      <c r="BW891" t="str">
        <f>"22:13:12.908"</f>
        <v>22:13:12.908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364</v>
      </c>
      <c r="CR891">
        <v>0</v>
      </c>
      <c r="CW891">
        <v>1397861</v>
      </c>
      <c r="CY891">
        <v>1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"03/24/2022 22:13:13.081"</f>
        <v>03/24/2022 22:13:13.081</v>
      </c>
      <c r="C892" t="str">
        <f t="shared" si="256"/>
        <v>FFDFD3C0</v>
      </c>
      <c r="D892" t="s">
        <v>120</v>
      </c>
      <c r="E892">
        <v>14</v>
      </c>
      <c r="F892">
        <v>1014</v>
      </c>
      <c r="G892" t="s">
        <v>121</v>
      </c>
      <c r="J892" t="s">
        <v>122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 t="shared" si="267"/>
        <v>22:13:12.000</v>
      </c>
      <c r="T892" t="str">
        <f t="shared" si="267"/>
        <v>22:13:12.000</v>
      </c>
      <c r="U892" t="str">
        <f t="shared" si="250"/>
        <v>A9D71F</v>
      </c>
      <c r="V892">
        <v>0</v>
      </c>
      <c r="W892">
        <v>0</v>
      </c>
      <c r="X892">
        <v>2</v>
      </c>
      <c r="Z892">
        <v>1</v>
      </c>
      <c r="AA892">
        <v>7</v>
      </c>
      <c r="AB892">
        <v>3</v>
      </c>
      <c r="AC892">
        <v>0</v>
      </c>
      <c r="AD892">
        <v>9</v>
      </c>
      <c r="AE892">
        <v>0</v>
      </c>
      <c r="AF892">
        <v>3</v>
      </c>
      <c r="AG892">
        <v>1</v>
      </c>
      <c r="AH892">
        <v>0</v>
      </c>
      <c r="AI892" t="s">
        <v>492</v>
      </c>
      <c r="AJ892">
        <v>33.160772000000001</v>
      </c>
      <c r="AK892" t="s">
        <v>493</v>
      </c>
      <c r="AL892">
        <v>-97.728496000000007</v>
      </c>
      <c r="AM892">
        <v>25</v>
      </c>
      <c r="AN892">
        <v>3500</v>
      </c>
      <c r="AO892" t="s">
        <v>118</v>
      </c>
      <c r="AP892">
        <v>56</v>
      </c>
      <c r="AQ892">
        <v>-87</v>
      </c>
      <c r="AR892">
        <v>0</v>
      </c>
      <c r="AZ892">
        <v>1200</v>
      </c>
      <c r="BA892">
        <v>1</v>
      </c>
      <c r="BB892" t="str">
        <f t="shared" si="257"/>
        <v xml:space="preserve">N733KP  </v>
      </c>
      <c r="BC892">
        <v>1</v>
      </c>
      <c r="BE892">
        <v>0</v>
      </c>
      <c r="BF892">
        <v>0</v>
      </c>
      <c r="BG892">
        <v>0</v>
      </c>
      <c r="BH892">
        <v>3450</v>
      </c>
      <c r="BI892">
        <v>1</v>
      </c>
      <c r="BJ892">
        <v>1</v>
      </c>
      <c r="BK892">
        <v>0</v>
      </c>
      <c r="BL892">
        <v>0</v>
      </c>
      <c r="BO892">
        <v>0</v>
      </c>
      <c r="BP892">
        <v>0</v>
      </c>
      <c r="BW892" t="str">
        <f>"22:13:12.908"</f>
        <v>22:13:12.908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364</v>
      </c>
      <c r="CR892">
        <v>0</v>
      </c>
      <c r="CW892">
        <v>1397861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"03/24/2022 22:13:13.081"</f>
        <v>03/24/2022 22:13:13.081</v>
      </c>
      <c r="C893" t="str">
        <f t="shared" si="256"/>
        <v>FFDFD3C0</v>
      </c>
      <c r="D893" t="s">
        <v>123</v>
      </c>
      <c r="E893">
        <v>8</v>
      </c>
      <c r="H893">
        <v>31</v>
      </c>
      <c r="I893" t="s">
        <v>124</v>
      </c>
      <c r="J893" t="s">
        <v>125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 t="shared" si="267"/>
        <v>22:13:12.000</v>
      </c>
      <c r="T893" t="str">
        <f t="shared" si="267"/>
        <v>22:13:12.000</v>
      </c>
      <c r="U893" t="str">
        <f t="shared" si="250"/>
        <v>A9D71F</v>
      </c>
      <c r="V893">
        <v>0</v>
      </c>
      <c r="W893">
        <v>0</v>
      </c>
      <c r="X893">
        <v>2</v>
      </c>
      <c r="Z893">
        <v>1</v>
      </c>
      <c r="AA893">
        <v>7</v>
      </c>
      <c r="AB893">
        <v>3</v>
      </c>
      <c r="AC893">
        <v>0</v>
      </c>
      <c r="AD893">
        <v>9</v>
      </c>
      <c r="AE893">
        <v>0</v>
      </c>
      <c r="AF893">
        <v>3</v>
      </c>
      <c r="AG893">
        <v>1</v>
      </c>
      <c r="AH893">
        <v>0</v>
      </c>
      <c r="AI893" t="s">
        <v>492</v>
      </c>
      <c r="AJ893">
        <v>33.160772000000001</v>
      </c>
      <c r="AK893" t="s">
        <v>493</v>
      </c>
      <c r="AL893">
        <v>-97.728496000000007</v>
      </c>
      <c r="AM893">
        <v>25</v>
      </c>
      <c r="AN893">
        <v>3500</v>
      </c>
      <c r="AO893" t="s">
        <v>118</v>
      </c>
      <c r="AP893">
        <v>56</v>
      </c>
      <c r="AQ893">
        <v>-87</v>
      </c>
      <c r="AR893">
        <v>0</v>
      </c>
      <c r="AZ893">
        <v>1200</v>
      </c>
      <c r="BA893">
        <v>1</v>
      </c>
      <c r="BB893" t="str">
        <f t="shared" si="257"/>
        <v xml:space="preserve">N733KP  </v>
      </c>
      <c r="BC893">
        <v>1</v>
      </c>
      <c r="BE893">
        <v>0</v>
      </c>
      <c r="BF893">
        <v>0</v>
      </c>
      <c r="BG893">
        <v>0</v>
      </c>
      <c r="BH893">
        <v>3450</v>
      </c>
      <c r="BI893">
        <v>1</v>
      </c>
      <c r="BJ893">
        <v>1</v>
      </c>
      <c r="BK893">
        <v>0</v>
      </c>
      <c r="BL893">
        <v>0</v>
      </c>
      <c r="BO893">
        <v>0</v>
      </c>
      <c r="BP893">
        <v>0</v>
      </c>
      <c r="BW893" t="str">
        <f>"22:13:12.908"</f>
        <v>22:13:12.908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364</v>
      </c>
      <c r="CR893">
        <v>0</v>
      </c>
      <c r="CW893">
        <v>1397861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"03/24/2022 22:13:13.112"</f>
        <v>03/24/2022 22:13:13.112</v>
      </c>
      <c r="C894" t="str">
        <f t="shared" si="256"/>
        <v>FFDFD3C0</v>
      </c>
      <c r="D894" t="s">
        <v>113</v>
      </c>
      <c r="E894">
        <v>24</v>
      </c>
      <c r="F894">
        <v>2024</v>
      </c>
      <c r="G894" t="s">
        <v>114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 t="shared" si="267"/>
        <v>22:13:12.000</v>
      </c>
      <c r="T894" t="str">
        <f t="shared" si="267"/>
        <v>22:13:12.000</v>
      </c>
      <c r="U894" t="str">
        <f t="shared" si="250"/>
        <v>A9D71F</v>
      </c>
      <c r="V894">
        <v>0</v>
      </c>
      <c r="W894">
        <v>0</v>
      </c>
      <c r="X894">
        <v>2</v>
      </c>
      <c r="Z894">
        <v>1</v>
      </c>
      <c r="AA894">
        <v>7</v>
      </c>
      <c r="AB894">
        <v>3</v>
      </c>
      <c r="AC894">
        <v>0</v>
      </c>
      <c r="AD894">
        <v>9</v>
      </c>
      <c r="AE894">
        <v>0</v>
      </c>
      <c r="AF894">
        <v>3</v>
      </c>
      <c r="AG894">
        <v>1</v>
      </c>
      <c r="AH894">
        <v>0</v>
      </c>
      <c r="AI894" t="s">
        <v>492</v>
      </c>
      <c r="AJ894">
        <v>33.160772000000001</v>
      </c>
      <c r="AK894" t="s">
        <v>493</v>
      </c>
      <c r="AL894">
        <v>-97.728496000000007</v>
      </c>
      <c r="AM894">
        <v>25</v>
      </c>
      <c r="AN894">
        <v>3500</v>
      </c>
      <c r="AO894" t="s">
        <v>118</v>
      </c>
      <c r="AP894">
        <v>56</v>
      </c>
      <c r="AQ894">
        <v>-87</v>
      </c>
      <c r="AR894">
        <v>0</v>
      </c>
      <c r="AZ894">
        <v>1200</v>
      </c>
      <c r="BA894">
        <v>1</v>
      </c>
      <c r="BB894" t="str">
        <f t="shared" si="257"/>
        <v xml:space="preserve">N733KP  </v>
      </c>
      <c r="BC894">
        <v>1</v>
      </c>
      <c r="BE894">
        <v>0</v>
      </c>
      <c r="BF894">
        <v>0</v>
      </c>
      <c r="BG894">
        <v>0</v>
      </c>
      <c r="BH894">
        <v>3450</v>
      </c>
      <c r="BI894">
        <v>1</v>
      </c>
      <c r="BJ894">
        <v>1</v>
      </c>
      <c r="BK894">
        <v>0</v>
      </c>
      <c r="BL894">
        <v>0</v>
      </c>
      <c r="BO894">
        <v>0</v>
      </c>
      <c r="BP894">
        <v>0</v>
      </c>
      <c r="BW894" t="str">
        <f>"22:13:12.908"</f>
        <v>22:13:12.908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364</v>
      </c>
      <c r="CR894">
        <v>0</v>
      </c>
      <c r="CW894">
        <v>1397861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"03/24/2022 22:13:14.130"</f>
        <v>03/24/2022 22:13:14.130</v>
      </c>
      <c r="C895" t="str">
        <f t="shared" si="256"/>
        <v>FFDFD3C0</v>
      </c>
      <c r="D895" t="s">
        <v>126</v>
      </c>
      <c r="E895">
        <v>3</v>
      </c>
      <c r="H895">
        <v>160</v>
      </c>
      <c r="I895" t="s">
        <v>121</v>
      </c>
      <c r="J895" t="s">
        <v>127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 t="shared" ref="S895:T898" si="268">"22:13:13.000"</f>
        <v>22:13:13.000</v>
      </c>
      <c r="T895" t="str">
        <f t="shared" si="268"/>
        <v>22:13:13.000</v>
      </c>
      <c r="U895" t="str">
        <f t="shared" si="250"/>
        <v>A9D71F</v>
      </c>
      <c r="V895">
        <v>0</v>
      </c>
      <c r="W895">
        <v>0</v>
      </c>
      <c r="X895">
        <v>2</v>
      </c>
      <c r="Z895">
        <v>1</v>
      </c>
      <c r="AA895">
        <v>7</v>
      </c>
      <c r="AB895">
        <v>3</v>
      </c>
      <c r="AC895">
        <v>0</v>
      </c>
      <c r="AD895">
        <v>9</v>
      </c>
      <c r="AE895">
        <v>0</v>
      </c>
      <c r="AF895">
        <v>3</v>
      </c>
      <c r="AG895">
        <v>1</v>
      </c>
      <c r="AH895">
        <v>0</v>
      </c>
      <c r="AI895" t="s">
        <v>494</v>
      </c>
      <c r="AJ895">
        <v>33.160386000000003</v>
      </c>
      <c r="AK895" t="s">
        <v>495</v>
      </c>
      <c r="AL895">
        <v>-97.728194999999999</v>
      </c>
      <c r="AM895">
        <v>25</v>
      </c>
      <c r="AN895">
        <v>3500</v>
      </c>
      <c r="AO895" t="s">
        <v>118</v>
      </c>
      <c r="AP895">
        <v>54</v>
      </c>
      <c r="AQ895">
        <v>-87</v>
      </c>
      <c r="AR895">
        <v>0</v>
      </c>
      <c r="AZ895">
        <v>1200</v>
      </c>
      <c r="BA895">
        <v>1</v>
      </c>
      <c r="BB895" t="str">
        <f t="shared" si="257"/>
        <v xml:space="preserve">N733KP  </v>
      </c>
      <c r="BC895">
        <v>1</v>
      </c>
      <c r="BE895">
        <v>0</v>
      </c>
      <c r="BF895">
        <v>0</v>
      </c>
      <c r="BG895">
        <v>0</v>
      </c>
      <c r="BH895">
        <v>3450</v>
      </c>
      <c r="BI895">
        <v>1</v>
      </c>
      <c r="BJ895">
        <v>1</v>
      </c>
      <c r="BK895">
        <v>0</v>
      </c>
      <c r="BL895">
        <v>0</v>
      </c>
      <c r="BO895">
        <v>0</v>
      </c>
      <c r="BP895">
        <v>0</v>
      </c>
      <c r="BW895" t="str">
        <f>"22:13:13.980"</f>
        <v>22:13:13.980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364</v>
      </c>
      <c r="CR895">
        <v>0</v>
      </c>
      <c r="CW895">
        <v>1398023</v>
      </c>
      <c r="CY895">
        <v>1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"03/24/2022 22:13:14.146"</f>
        <v>03/24/2022 22:13:14.146</v>
      </c>
      <c r="C896" t="str">
        <f t="shared" si="256"/>
        <v>FFDFD3C0</v>
      </c>
      <c r="D896" t="s">
        <v>120</v>
      </c>
      <c r="E896">
        <v>14</v>
      </c>
      <c r="F896">
        <v>1014</v>
      </c>
      <c r="G896" t="s">
        <v>121</v>
      </c>
      <c r="J896" t="s">
        <v>122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 t="shared" si="268"/>
        <v>22:13:13.000</v>
      </c>
      <c r="T896" t="str">
        <f t="shared" si="268"/>
        <v>22:13:13.000</v>
      </c>
      <c r="U896" t="str">
        <f t="shared" si="250"/>
        <v>A9D71F</v>
      </c>
      <c r="V896">
        <v>0</v>
      </c>
      <c r="W896">
        <v>0</v>
      </c>
      <c r="X896">
        <v>2</v>
      </c>
      <c r="Z896">
        <v>1</v>
      </c>
      <c r="AA896">
        <v>7</v>
      </c>
      <c r="AB896">
        <v>3</v>
      </c>
      <c r="AC896">
        <v>0</v>
      </c>
      <c r="AD896">
        <v>9</v>
      </c>
      <c r="AE896">
        <v>0</v>
      </c>
      <c r="AF896">
        <v>3</v>
      </c>
      <c r="AG896">
        <v>1</v>
      </c>
      <c r="AH896">
        <v>0</v>
      </c>
      <c r="AI896" t="s">
        <v>494</v>
      </c>
      <c r="AJ896">
        <v>33.160386000000003</v>
      </c>
      <c r="AK896" t="s">
        <v>495</v>
      </c>
      <c r="AL896">
        <v>-97.728194999999999</v>
      </c>
      <c r="AM896">
        <v>25</v>
      </c>
      <c r="AN896">
        <v>3500</v>
      </c>
      <c r="AO896" t="s">
        <v>118</v>
      </c>
      <c r="AP896">
        <v>54</v>
      </c>
      <c r="AQ896">
        <v>-87</v>
      </c>
      <c r="AR896">
        <v>0</v>
      </c>
      <c r="AZ896">
        <v>1200</v>
      </c>
      <c r="BA896">
        <v>1</v>
      </c>
      <c r="BB896" t="str">
        <f t="shared" si="257"/>
        <v xml:space="preserve">N733KP  </v>
      </c>
      <c r="BC896">
        <v>1</v>
      </c>
      <c r="BE896">
        <v>0</v>
      </c>
      <c r="BF896">
        <v>0</v>
      </c>
      <c r="BG896">
        <v>0</v>
      </c>
      <c r="BH896">
        <v>3450</v>
      </c>
      <c r="BI896">
        <v>1</v>
      </c>
      <c r="BJ896">
        <v>1</v>
      </c>
      <c r="BK896">
        <v>0</v>
      </c>
      <c r="BL896">
        <v>0</v>
      </c>
      <c r="BO896">
        <v>0</v>
      </c>
      <c r="BP896">
        <v>0</v>
      </c>
      <c r="BW896" t="str">
        <f>"22:13:13.980"</f>
        <v>22:13:13.980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364</v>
      </c>
      <c r="CR896">
        <v>0</v>
      </c>
      <c r="CW896">
        <v>1398023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"03/24/2022 22:13:14.146"</f>
        <v>03/24/2022 22:13:14.146</v>
      </c>
      <c r="C897" t="str">
        <f t="shared" si="256"/>
        <v>FFDFD3C0</v>
      </c>
      <c r="D897" t="s">
        <v>123</v>
      </c>
      <c r="E897">
        <v>8</v>
      </c>
      <c r="H897">
        <v>31</v>
      </c>
      <c r="I897" t="s">
        <v>124</v>
      </c>
      <c r="J897" t="s">
        <v>125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 t="shared" si="268"/>
        <v>22:13:13.000</v>
      </c>
      <c r="T897" t="str">
        <f t="shared" si="268"/>
        <v>22:13:13.000</v>
      </c>
      <c r="U897" t="str">
        <f t="shared" si="250"/>
        <v>A9D71F</v>
      </c>
      <c r="V897">
        <v>0</v>
      </c>
      <c r="W897">
        <v>0</v>
      </c>
      <c r="X897">
        <v>2</v>
      </c>
      <c r="Z897">
        <v>1</v>
      </c>
      <c r="AA897">
        <v>7</v>
      </c>
      <c r="AB897">
        <v>3</v>
      </c>
      <c r="AC897">
        <v>0</v>
      </c>
      <c r="AD897">
        <v>9</v>
      </c>
      <c r="AE897">
        <v>0</v>
      </c>
      <c r="AF897">
        <v>3</v>
      </c>
      <c r="AG897">
        <v>1</v>
      </c>
      <c r="AH897">
        <v>0</v>
      </c>
      <c r="AI897" t="s">
        <v>494</v>
      </c>
      <c r="AJ897">
        <v>33.160386000000003</v>
      </c>
      <c r="AK897" t="s">
        <v>495</v>
      </c>
      <c r="AL897">
        <v>-97.728194999999999</v>
      </c>
      <c r="AM897">
        <v>25</v>
      </c>
      <c r="AN897">
        <v>3500</v>
      </c>
      <c r="AO897" t="s">
        <v>118</v>
      </c>
      <c r="AP897">
        <v>54</v>
      </c>
      <c r="AQ897">
        <v>-87</v>
      </c>
      <c r="AR897">
        <v>0</v>
      </c>
      <c r="AZ897">
        <v>1200</v>
      </c>
      <c r="BA897">
        <v>1</v>
      </c>
      <c r="BB897" t="str">
        <f t="shared" si="257"/>
        <v xml:space="preserve">N733KP  </v>
      </c>
      <c r="BC897">
        <v>1</v>
      </c>
      <c r="BE897">
        <v>0</v>
      </c>
      <c r="BF897">
        <v>0</v>
      </c>
      <c r="BG897">
        <v>0</v>
      </c>
      <c r="BH897">
        <v>3450</v>
      </c>
      <c r="BI897">
        <v>1</v>
      </c>
      <c r="BJ897">
        <v>1</v>
      </c>
      <c r="BK897">
        <v>0</v>
      </c>
      <c r="BL897">
        <v>0</v>
      </c>
      <c r="BO897">
        <v>0</v>
      </c>
      <c r="BP897">
        <v>0</v>
      </c>
      <c r="BW897" t="str">
        <f>"22:13:13.980"</f>
        <v>22:13:13.980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364</v>
      </c>
      <c r="CR897">
        <v>0</v>
      </c>
      <c r="CW897">
        <v>1398023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"03/24/2022 22:13:14.177"</f>
        <v>03/24/2022 22:13:14.177</v>
      </c>
      <c r="C898" t="str">
        <f t="shared" si="256"/>
        <v>FFDFD3C0</v>
      </c>
      <c r="D898" t="s">
        <v>113</v>
      </c>
      <c r="E898">
        <v>24</v>
      </c>
      <c r="F898">
        <v>2024</v>
      </c>
      <c r="G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 t="shared" si="268"/>
        <v>22:13:13.000</v>
      </c>
      <c r="T898" t="str">
        <f t="shared" si="268"/>
        <v>22:13:13.000</v>
      </c>
      <c r="U898" t="str">
        <f t="shared" ref="U898:U961" si="269">"A9D71F"</f>
        <v>A9D71F</v>
      </c>
      <c r="V898">
        <v>0</v>
      </c>
      <c r="W898">
        <v>0</v>
      </c>
      <c r="X898">
        <v>2</v>
      </c>
      <c r="Z898">
        <v>1</v>
      </c>
      <c r="AA898">
        <v>7</v>
      </c>
      <c r="AB898">
        <v>3</v>
      </c>
      <c r="AC898">
        <v>0</v>
      </c>
      <c r="AD898">
        <v>9</v>
      </c>
      <c r="AE898">
        <v>0</v>
      </c>
      <c r="AF898">
        <v>3</v>
      </c>
      <c r="AG898">
        <v>1</v>
      </c>
      <c r="AH898">
        <v>0</v>
      </c>
      <c r="AI898" t="s">
        <v>494</v>
      </c>
      <c r="AJ898">
        <v>33.160386000000003</v>
      </c>
      <c r="AK898" t="s">
        <v>495</v>
      </c>
      <c r="AL898">
        <v>-97.728194999999999</v>
      </c>
      <c r="AM898">
        <v>25</v>
      </c>
      <c r="AN898">
        <v>3500</v>
      </c>
      <c r="AO898" t="s">
        <v>118</v>
      </c>
      <c r="AP898">
        <v>54</v>
      </c>
      <c r="AQ898">
        <v>-87</v>
      </c>
      <c r="AR898">
        <v>0</v>
      </c>
      <c r="AZ898">
        <v>1200</v>
      </c>
      <c r="BA898">
        <v>1</v>
      </c>
      <c r="BB898" t="str">
        <f t="shared" si="257"/>
        <v xml:space="preserve">N733KP  </v>
      </c>
      <c r="BC898">
        <v>1</v>
      </c>
      <c r="BE898">
        <v>0</v>
      </c>
      <c r="BF898">
        <v>0</v>
      </c>
      <c r="BG898">
        <v>0</v>
      </c>
      <c r="BH898">
        <v>3450</v>
      </c>
      <c r="BI898">
        <v>1</v>
      </c>
      <c r="BJ898">
        <v>1</v>
      </c>
      <c r="BK898">
        <v>0</v>
      </c>
      <c r="BL898">
        <v>0</v>
      </c>
      <c r="BO898">
        <v>0</v>
      </c>
      <c r="BP898">
        <v>0</v>
      </c>
      <c r="BW898" t="str">
        <f>"22:13:13.980"</f>
        <v>22:13:13.980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364</v>
      </c>
      <c r="CR898">
        <v>0</v>
      </c>
      <c r="CW898">
        <v>1398023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"03/24/2022 22:13:14.616"</f>
        <v>03/24/2022 22:13:14.616</v>
      </c>
      <c r="C899" t="str">
        <f t="shared" si="256"/>
        <v>FFDFD3C0</v>
      </c>
      <c r="D899" t="s">
        <v>113</v>
      </c>
      <c r="E899">
        <v>24</v>
      </c>
      <c r="F899">
        <v>2024</v>
      </c>
      <c r="G899" t="s">
        <v>114</v>
      </c>
      <c r="J899" t="s">
        <v>115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 t="shared" ref="S899:T902" si="270">"22:13:14.000"</f>
        <v>22:13:14.000</v>
      </c>
      <c r="T899" t="str">
        <f t="shared" si="270"/>
        <v>22:13:14.000</v>
      </c>
      <c r="U899" t="str">
        <f t="shared" si="269"/>
        <v>A9D71F</v>
      </c>
      <c r="V899">
        <v>0</v>
      </c>
      <c r="W899">
        <v>0</v>
      </c>
      <c r="X899">
        <v>2</v>
      </c>
      <c r="Z899">
        <v>1</v>
      </c>
      <c r="AA899">
        <v>7</v>
      </c>
      <c r="AB899">
        <v>3</v>
      </c>
      <c r="AC899">
        <v>0</v>
      </c>
      <c r="AD899">
        <v>9</v>
      </c>
      <c r="AE899">
        <v>0</v>
      </c>
      <c r="AF899">
        <v>3</v>
      </c>
      <c r="AG899">
        <v>1</v>
      </c>
      <c r="AH899">
        <v>0</v>
      </c>
      <c r="AI899" t="s">
        <v>496</v>
      </c>
      <c r="AJ899">
        <v>33.159978000000002</v>
      </c>
      <c r="AK899" t="s">
        <v>497</v>
      </c>
      <c r="AL899">
        <v>-97.727895000000004</v>
      </c>
      <c r="AM899">
        <v>25</v>
      </c>
      <c r="AN899">
        <v>3500</v>
      </c>
      <c r="AO899" t="s">
        <v>118</v>
      </c>
      <c r="AP899">
        <v>56</v>
      </c>
      <c r="AQ899">
        <v>-89</v>
      </c>
      <c r="AR899">
        <v>-128</v>
      </c>
      <c r="AZ899">
        <v>1200</v>
      </c>
      <c r="BA899">
        <v>1</v>
      </c>
      <c r="BB899" t="str">
        <f t="shared" si="257"/>
        <v xml:space="preserve">N733KP  </v>
      </c>
      <c r="BC899">
        <v>1</v>
      </c>
      <c r="BE899">
        <v>0</v>
      </c>
      <c r="BF899">
        <v>0</v>
      </c>
      <c r="BG899">
        <v>0</v>
      </c>
      <c r="BH899">
        <v>3450</v>
      </c>
      <c r="BI899">
        <v>1</v>
      </c>
      <c r="BJ899">
        <v>1</v>
      </c>
      <c r="BK899">
        <v>0</v>
      </c>
      <c r="BL899">
        <v>0</v>
      </c>
      <c r="BO899">
        <v>0</v>
      </c>
      <c r="BP899">
        <v>0</v>
      </c>
      <c r="BW899" t="str">
        <f>"22:13:14.474"</f>
        <v>22:13:14.474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6</v>
      </c>
      <c r="CP899" t="s">
        <v>119</v>
      </c>
      <c r="CQ899">
        <v>364</v>
      </c>
      <c r="CR899">
        <v>0</v>
      </c>
      <c r="CW899">
        <v>1398101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"03/24/2022 22:13:14.663"</f>
        <v>03/24/2022 22:13:14.663</v>
      </c>
      <c r="C900" t="str">
        <f t="shared" si="256"/>
        <v>FFDFD3C0</v>
      </c>
      <c r="D900" t="s">
        <v>126</v>
      </c>
      <c r="E900">
        <v>3</v>
      </c>
      <c r="H900">
        <v>160</v>
      </c>
      <c r="I900" t="s">
        <v>121</v>
      </c>
      <c r="J900" t="s">
        <v>127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 t="shared" si="270"/>
        <v>22:13:14.000</v>
      </c>
      <c r="T900" t="str">
        <f t="shared" si="270"/>
        <v>22:13:14.000</v>
      </c>
      <c r="U900" t="str">
        <f t="shared" si="269"/>
        <v>A9D71F</v>
      </c>
      <c r="V900">
        <v>0</v>
      </c>
      <c r="W900">
        <v>0</v>
      </c>
      <c r="X900">
        <v>2</v>
      </c>
      <c r="Z900">
        <v>1</v>
      </c>
      <c r="AA900">
        <v>7</v>
      </c>
      <c r="AB900">
        <v>3</v>
      </c>
      <c r="AC900">
        <v>0</v>
      </c>
      <c r="AD900">
        <v>9</v>
      </c>
      <c r="AE900">
        <v>0</v>
      </c>
      <c r="AF900">
        <v>3</v>
      </c>
      <c r="AG900">
        <v>1</v>
      </c>
      <c r="AH900">
        <v>0</v>
      </c>
      <c r="AI900" t="s">
        <v>496</v>
      </c>
      <c r="AJ900">
        <v>33.159978000000002</v>
      </c>
      <c r="AK900" t="s">
        <v>497</v>
      </c>
      <c r="AL900">
        <v>-97.727895000000004</v>
      </c>
      <c r="AM900">
        <v>25</v>
      </c>
      <c r="AN900">
        <v>3500</v>
      </c>
      <c r="AO900" t="s">
        <v>118</v>
      </c>
      <c r="AP900">
        <v>56</v>
      </c>
      <c r="AQ900">
        <v>-89</v>
      </c>
      <c r="AR900">
        <v>-128</v>
      </c>
      <c r="AZ900">
        <v>1200</v>
      </c>
      <c r="BA900">
        <v>1</v>
      </c>
      <c r="BB900" t="str">
        <f t="shared" si="257"/>
        <v xml:space="preserve">N733KP  </v>
      </c>
      <c r="BC900">
        <v>1</v>
      </c>
      <c r="BE900">
        <v>0</v>
      </c>
      <c r="BF900">
        <v>0</v>
      </c>
      <c r="BG900">
        <v>0</v>
      </c>
      <c r="BH900">
        <v>3450</v>
      </c>
      <c r="BI900">
        <v>1</v>
      </c>
      <c r="BJ900">
        <v>1</v>
      </c>
      <c r="BK900">
        <v>0</v>
      </c>
      <c r="BL900">
        <v>0</v>
      </c>
      <c r="BO900">
        <v>0</v>
      </c>
      <c r="BP900">
        <v>0</v>
      </c>
      <c r="BW900" t="str">
        <f>"22:13:14.474"</f>
        <v>22:13:14.474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6</v>
      </c>
      <c r="CP900" t="s">
        <v>119</v>
      </c>
      <c r="CQ900">
        <v>364</v>
      </c>
      <c r="CR900">
        <v>0</v>
      </c>
      <c r="CW900">
        <v>1398101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"03/24/2022 22:13:14.679"</f>
        <v>03/24/2022 22:13:14.679</v>
      </c>
      <c r="C901" t="str">
        <f t="shared" si="256"/>
        <v>FFDFD3C0</v>
      </c>
      <c r="D901" t="s">
        <v>120</v>
      </c>
      <c r="E901">
        <v>14</v>
      </c>
      <c r="F901">
        <v>1014</v>
      </c>
      <c r="G901" t="s">
        <v>121</v>
      </c>
      <c r="J901" t="s">
        <v>122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 t="shared" si="270"/>
        <v>22:13:14.000</v>
      </c>
      <c r="T901" t="str">
        <f t="shared" si="270"/>
        <v>22:13:14.000</v>
      </c>
      <c r="U901" t="str">
        <f t="shared" si="269"/>
        <v>A9D71F</v>
      </c>
      <c r="V901">
        <v>0</v>
      </c>
      <c r="W901">
        <v>0</v>
      </c>
      <c r="X901">
        <v>2</v>
      </c>
      <c r="Z901">
        <v>1</v>
      </c>
      <c r="AA901">
        <v>7</v>
      </c>
      <c r="AB901">
        <v>3</v>
      </c>
      <c r="AC901">
        <v>0</v>
      </c>
      <c r="AD901">
        <v>9</v>
      </c>
      <c r="AE901">
        <v>0</v>
      </c>
      <c r="AF901">
        <v>3</v>
      </c>
      <c r="AG901">
        <v>1</v>
      </c>
      <c r="AH901">
        <v>0</v>
      </c>
      <c r="AI901" t="s">
        <v>496</v>
      </c>
      <c r="AJ901">
        <v>33.159978000000002</v>
      </c>
      <c r="AK901" t="s">
        <v>497</v>
      </c>
      <c r="AL901">
        <v>-97.727895000000004</v>
      </c>
      <c r="AM901">
        <v>25</v>
      </c>
      <c r="AN901">
        <v>3500</v>
      </c>
      <c r="AO901" t="s">
        <v>118</v>
      </c>
      <c r="AP901">
        <v>56</v>
      </c>
      <c r="AQ901">
        <v>-89</v>
      </c>
      <c r="AR901">
        <v>-128</v>
      </c>
      <c r="AZ901">
        <v>1200</v>
      </c>
      <c r="BA901">
        <v>1</v>
      </c>
      <c r="BB901" t="str">
        <f t="shared" si="257"/>
        <v xml:space="preserve">N733KP  </v>
      </c>
      <c r="BC901">
        <v>1</v>
      </c>
      <c r="BE901">
        <v>0</v>
      </c>
      <c r="BF901">
        <v>0</v>
      </c>
      <c r="BG901">
        <v>0</v>
      </c>
      <c r="BH901">
        <v>3450</v>
      </c>
      <c r="BI901">
        <v>1</v>
      </c>
      <c r="BJ901">
        <v>1</v>
      </c>
      <c r="BK901">
        <v>0</v>
      </c>
      <c r="BL901">
        <v>0</v>
      </c>
      <c r="BO901">
        <v>0</v>
      </c>
      <c r="BP901">
        <v>0</v>
      </c>
      <c r="BW901" t="str">
        <f>"22:13:14.474"</f>
        <v>22:13:14.474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6</v>
      </c>
      <c r="CP901" t="s">
        <v>119</v>
      </c>
      <c r="CQ901">
        <v>364</v>
      </c>
      <c r="CR901">
        <v>0</v>
      </c>
      <c r="CW901">
        <v>1398101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"03/24/2022 22:13:14.679"</f>
        <v>03/24/2022 22:13:14.679</v>
      </c>
      <c r="C902" t="str">
        <f t="shared" si="256"/>
        <v>FFDFD3C0</v>
      </c>
      <c r="D902" t="s">
        <v>123</v>
      </c>
      <c r="E902">
        <v>8</v>
      </c>
      <c r="H902">
        <v>31</v>
      </c>
      <c r="I902" t="s">
        <v>124</v>
      </c>
      <c r="J902" t="s">
        <v>125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 t="shared" si="270"/>
        <v>22:13:14.000</v>
      </c>
      <c r="T902" t="str">
        <f t="shared" si="270"/>
        <v>22:13:14.000</v>
      </c>
      <c r="U902" t="str">
        <f t="shared" si="269"/>
        <v>A9D71F</v>
      </c>
      <c r="V902">
        <v>0</v>
      </c>
      <c r="W902">
        <v>0</v>
      </c>
      <c r="X902">
        <v>2</v>
      </c>
      <c r="Z902">
        <v>1</v>
      </c>
      <c r="AA902">
        <v>7</v>
      </c>
      <c r="AB902">
        <v>3</v>
      </c>
      <c r="AC902">
        <v>0</v>
      </c>
      <c r="AD902">
        <v>9</v>
      </c>
      <c r="AE902">
        <v>0</v>
      </c>
      <c r="AF902">
        <v>3</v>
      </c>
      <c r="AG902">
        <v>1</v>
      </c>
      <c r="AH902">
        <v>0</v>
      </c>
      <c r="AI902" t="s">
        <v>496</v>
      </c>
      <c r="AJ902">
        <v>33.159978000000002</v>
      </c>
      <c r="AK902" t="s">
        <v>497</v>
      </c>
      <c r="AL902">
        <v>-97.727895000000004</v>
      </c>
      <c r="AM902">
        <v>25</v>
      </c>
      <c r="AN902">
        <v>3500</v>
      </c>
      <c r="AO902" t="s">
        <v>118</v>
      </c>
      <c r="AP902">
        <v>56</v>
      </c>
      <c r="AQ902">
        <v>-89</v>
      </c>
      <c r="AR902">
        <v>-128</v>
      </c>
      <c r="AZ902">
        <v>1200</v>
      </c>
      <c r="BA902">
        <v>1</v>
      </c>
      <c r="BB902" t="str">
        <f t="shared" si="257"/>
        <v xml:space="preserve">N733KP  </v>
      </c>
      <c r="BC902">
        <v>1</v>
      </c>
      <c r="BE902">
        <v>0</v>
      </c>
      <c r="BF902">
        <v>0</v>
      </c>
      <c r="BG902">
        <v>0</v>
      </c>
      <c r="BH902">
        <v>3450</v>
      </c>
      <c r="BI902">
        <v>1</v>
      </c>
      <c r="BJ902">
        <v>1</v>
      </c>
      <c r="BK902">
        <v>0</v>
      </c>
      <c r="BL902">
        <v>0</v>
      </c>
      <c r="BO902">
        <v>0</v>
      </c>
      <c r="BP902">
        <v>0</v>
      </c>
      <c r="BW902" t="str">
        <f>"22:13:14.474"</f>
        <v>22:13:14.474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6</v>
      </c>
      <c r="CP902" t="s">
        <v>119</v>
      </c>
      <c r="CQ902">
        <v>364</v>
      </c>
      <c r="CR902">
        <v>0</v>
      </c>
      <c r="CW902">
        <v>1398101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"03/24/2022 22:13:15.540"</f>
        <v>03/24/2022 22:13:15.540</v>
      </c>
      <c r="C903" t="str">
        <f t="shared" si="256"/>
        <v>FFDFD3C0</v>
      </c>
      <c r="D903" t="s">
        <v>113</v>
      </c>
      <c r="E903">
        <v>24</v>
      </c>
      <c r="F903">
        <v>2024</v>
      </c>
      <c r="G903" t="s">
        <v>114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 t="shared" ref="S903:T906" si="271">"22:13:15.000"</f>
        <v>22:13:15.000</v>
      </c>
      <c r="T903" t="str">
        <f t="shared" si="271"/>
        <v>22:13:15.000</v>
      </c>
      <c r="U903" t="str">
        <f t="shared" si="269"/>
        <v>A9D71F</v>
      </c>
      <c r="V903">
        <v>0</v>
      </c>
      <c r="W903">
        <v>0</v>
      </c>
      <c r="X903">
        <v>2</v>
      </c>
      <c r="Z903">
        <v>1</v>
      </c>
      <c r="AA903">
        <v>7</v>
      </c>
      <c r="AB903">
        <v>3</v>
      </c>
      <c r="AC903">
        <v>0</v>
      </c>
      <c r="AD903">
        <v>9</v>
      </c>
      <c r="AE903">
        <v>0</v>
      </c>
      <c r="AF903">
        <v>3</v>
      </c>
      <c r="AG903">
        <v>1</v>
      </c>
      <c r="AH903">
        <v>0</v>
      </c>
      <c r="AI903" t="s">
        <v>498</v>
      </c>
      <c r="AJ903">
        <v>33.159571</v>
      </c>
      <c r="AK903" t="s">
        <v>499</v>
      </c>
      <c r="AL903">
        <v>-97.727573000000007</v>
      </c>
      <c r="AM903">
        <v>25</v>
      </c>
      <c r="AN903">
        <v>3500</v>
      </c>
      <c r="AO903" t="s">
        <v>118</v>
      </c>
      <c r="AP903">
        <v>54</v>
      </c>
      <c r="AQ903">
        <v>-88</v>
      </c>
      <c r="AR903">
        <v>-64</v>
      </c>
      <c r="AZ903">
        <v>1200</v>
      </c>
      <c r="BA903">
        <v>1</v>
      </c>
      <c r="BB903" t="str">
        <f t="shared" si="257"/>
        <v xml:space="preserve">N733KP  </v>
      </c>
      <c r="BC903">
        <v>1</v>
      </c>
      <c r="BE903">
        <v>0</v>
      </c>
      <c r="BF903">
        <v>0</v>
      </c>
      <c r="BG903">
        <v>0</v>
      </c>
      <c r="BH903">
        <v>3450</v>
      </c>
      <c r="BI903">
        <v>1</v>
      </c>
      <c r="BJ903">
        <v>1</v>
      </c>
      <c r="BK903">
        <v>0</v>
      </c>
      <c r="BL903">
        <v>0</v>
      </c>
      <c r="BO903">
        <v>0</v>
      </c>
      <c r="BP903">
        <v>0</v>
      </c>
      <c r="BW903" t="str">
        <f>"22:13:15.353"</f>
        <v>22:13:15.353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6</v>
      </c>
      <c r="CP903" t="s">
        <v>119</v>
      </c>
      <c r="CQ903">
        <v>364</v>
      </c>
      <c r="CR903">
        <v>0</v>
      </c>
      <c r="CW903">
        <v>1398230</v>
      </c>
      <c r="CY903">
        <v>1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"03/24/2022 22:13:15.587"</f>
        <v>03/24/2022 22:13:15.587</v>
      </c>
      <c r="C904" t="str">
        <f t="shared" si="256"/>
        <v>FFDFD3C0</v>
      </c>
      <c r="D904" t="s">
        <v>126</v>
      </c>
      <c r="E904">
        <v>3</v>
      </c>
      <c r="H904">
        <v>160</v>
      </c>
      <c r="I904" t="s">
        <v>121</v>
      </c>
      <c r="J904" t="s">
        <v>127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 t="shared" si="271"/>
        <v>22:13:15.000</v>
      </c>
      <c r="T904" t="str">
        <f t="shared" si="271"/>
        <v>22:13:15.000</v>
      </c>
      <c r="U904" t="str">
        <f t="shared" si="269"/>
        <v>A9D71F</v>
      </c>
      <c r="V904">
        <v>0</v>
      </c>
      <c r="W904">
        <v>0</v>
      </c>
      <c r="X904">
        <v>2</v>
      </c>
      <c r="Z904">
        <v>1</v>
      </c>
      <c r="AA904">
        <v>7</v>
      </c>
      <c r="AB904">
        <v>3</v>
      </c>
      <c r="AC904">
        <v>0</v>
      </c>
      <c r="AD904">
        <v>9</v>
      </c>
      <c r="AE904">
        <v>0</v>
      </c>
      <c r="AF904">
        <v>3</v>
      </c>
      <c r="AG904">
        <v>1</v>
      </c>
      <c r="AH904">
        <v>0</v>
      </c>
      <c r="AI904" t="s">
        <v>498</v>
      </c>
      <c r="AJ904">
        <v>33.159571</v>
      </c>
      <c r="AK904" t="s">
        <v>499</v>
      </c>
      <c r="AL904">
        <v>-97.727573000000007</v>
      </c>
      <c r="AM904">
        <v>25</v>
      </c>
      <c r="AN904">
        <v>3500</v>
      </c>
      <c r="AO904" t="s">
        <v>118</v>
      </c>
      <c r="AP904">
        <v>54</v>
      </c>
      <c r="AQ904">
        <v>-88</v>
      </c>
      <c r="AR904">
        <v>-64</v>
      </c>
      <c r="AZ904">
        <v>1200</v>
      </c>
      <c r="BA904">
        <v>1</v>
      </c>
      <c r="BB904" t="str">
        <f t="shared" si="257"/>
        <v xml:space="preserve">N733KP  </v>
      </c>
      <c r="BC904">
        <v>1</v>
      </c>
      <c r="BE904">
        <v>0</v>
      </c>
      <c r="BF904">
        <v>0</v>
      </c>
      <c r="BG904">
        <v>0</v>
      </c>
      <c r="BH904">
        <v>3450</v>
      </c>
      <c r="BI904">
        <v>1</v>
      </c>
      <c r="BJ904">
        <v>1</v>
      </c>
      <c r="BK904">
        <v>0</v>
      </c>
      <c r="BL904">
        <v>0</v>
      </c>
      <c r="BO904">
        <v>0</v>
      </c>
      <c r="BP904">
        <v>0</v>
      </c>
      <c r="BW904" t="str">
        <f>"22:13:15.353"</f>
        <v>22:13:15.353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6</v>
      </c>
      <c r="CP904" t="s">
        <v>119</v>
      </c>
      <c r="CQ904">
        <v>364</v>
      </c>
      <c r="CR904">
        <v>0</v>
      </c>
      <c r="CW904">
        <v>1398230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"03/24/2022 22:13:15.603"</f>
        <v>03/24/2022 22:13:15.603</v>
      </c>
      <c r="C905" t="str">
        <f t="shared" si="256"/>
        <v>FFDFD3C0</v>
      </c>
      <c r="D905" t="s">
        <v>120</v>
      </c>
      <c r="E905">
        <v>14</v>
      </c>
      <c r="F905">
        <v>1014</v>
      </c>
      <c r="G905" t="s">
        <v>121</v>
      </c>
      <c r="J905" t="s">
        <v>122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 t="shared" si="271"/>
        <v>22:13:15.000</v>
      </c>
      <c r="T905" t="str">
        <f t="shared" si="271"/>
        <v>22:13:15.000</v>
      </c>
      <c r="U905" t="str">
        <f t="shared" si="269"/>
        <v>A9D71F</v>
      </c>
      <c r="V905">
        <v>0</v>
      </c>
      <c r="W905">
        <v>0</v>
      </c>
      <c r="X905">
        <v>2</v>
      </c>
      <c r="Z905">
        <v>1</v>
      </c>
      <c r="AA905">
        <v>7</v>
      </c>
      <c r="AB905">
        <v>3</v>
      </c>
      <c r="AC905">
        <v>0</v>
      </c>
      <c r="AD905">
        <v>9</v>
      </c>
      <c r="AE905">
        <v>0</v>
      </c>
      <c r="AF905">
        <v>3</v>
      </c>
      <c r="AG905">
        <v>1</v>
      </c>
      <c r="AH905">
        <v>0</v>
      </c>
      <c r="AI905" t="s">
        <v>498</v>
      </c>
      <c r="AJ905">
        <v>33.159571</v>
      </c>
      <c r="AK905" t="s">
        <v>499</v>
      </c>
      <c r="AL905">
        <v>-97.727573000000007</v>
      </c>
      <c r="AM905">
        <v>25</v>
      </c>
      <c r="AN905">
        <v>3500</v>
      </c>
      <c r="AO905" t="s">
        <v>118</v>
      </c>
      <c r="AP905">
        <v>54</v>
      </c>
      <c r="AQ905">
        <v>-88</v>
      </c>
      <c r="AR905">
        <v>-64</v>
      </c>
      <c r="AZ905">
        <v>1200</v>
      </c>
      <c r="BA905">
        <v>1</v>
      </c>
      <c r="BB905" t="str">
        <f t="shared" si="257"/>
        <v xml:space="preserve">N733KP  </v>
      </c>
      <c r="BC905">
        <v>1</v>
      </c>
      <c r="BE905">
        <v>0</v>
      </c>
      <c r="BF905">
        <v>0</v>
      </c>
      <c r="BG905">
        <v>0</v>
      </c>
      <c r="BH905">
        <v>3450</v>
      </c>
      <c r="BI905">
        <v>1</v>
      </c>
      <c r="BJ905">
        <v>1</v>
      </c>
      <c r="BK905">
        <v>0</v>
      </c>
      <c r="BL905">
        <v>0</v>
      </c>
      <c r="BO905">
        <v>0</v>
      </c>
      <c r="BP905">
        <v>0</v>
      </c>
      <c r="BW905" t="str">
        <f>"22:13:15.353"</f>
        <v>22:13:15.353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6</v>
      </c>
      <c r="CP905" t="s">
        <v>119</v>
      </c>
      <c r="CQ905">
        <v>364</v>
      </c>
      <c r="CR905">
        <v>0</v>
      </c>
      <c r="CW905">
        <v>1398230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"03/24/2022 22:13:15.603"</f>
        <v>03/24/2022 22:13:15.603</v>
      </c>
      <c r="C906" t="str">
        <f t="shared" si="256"/>
        <v>FFDFD3C0</v>
      </c>
      <c r="D906" t="s">
        <v>123</v>
      </c>
      <c r="E906">
        <v>8</v>
      </c>
      <c r="H906">
        <v>31</v>
      </c>
      <c r="I906" t="s">
        <v>124</v>
      </c>
      <c r="J906" t="s">
        <v>125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 t="shared" si="271"/>
        <v>22:13:15.000</v>
      </c>
      <c r="T906" t="str">
        <f t="shared" si="271"/>
        <v>22:13:15.000</v>
      </c>
      <c r="U906" t="str">
        <f t="shared" si="269"/>
        <v>A9D71F</v>
      </c>
      <c r="V906">
        <v>0</v>
      </c>
      <c r="W906">
        <v>0</v>
      </c>
      <c r="X906">
        <v>2</v>
      </c>
      <c r="Z906">
        <v>1</v>
      </c>
      <c r="AA906">
        <v>7</v>
      </c>
      <c r="AB906">
        <v>3</v>
      </c>
      <c r="AC906">
        <v>0</v>
      </c>
      <c r="AD906">
        <v>9</v>
      </c>
      <c r="AE906">
        <v>0</v>
      </c>
      <c r="AF906">
        <v>3</v>
      </c>
      <c r="AG906">
        <v>1</v>
      </c>
      <c r="AH906">
        <v>0</v>
      </c>
      <c r="AI906" t="s">
        <v>498</v>
      </c>
      <c r="AJ906">
        <v>33.159571</v>
      </c>
      <c r="AK906" t="s">
        <v>499</v>
      </c>
      <c r="AL906">
        <v>-97.727573000000007</v>
      </c>
      <c r="AM906">
        <v>25</v>
      </c>
      <c r="AN906">
        <v>3500</v>
      </c>
      <c r="AO906" t="s">
        <v>118</v>
      </c>
      <c r="AP906">
        <v>54</v>
      </c>
      <c r="AQ906">
        <v>-88</v>
      </c>
      <c r="AR906">
        <v>-64</v>
      </c>
      <c r="AZ906">
        <v>1200</v>
      </c>
      <c r="BA906">
        <v>1</v>
      </c>
      <c r="BB906" t="str">
        <f t="shared" si="257"/>
        <v xml:space="preserve">N733KP  </v>
      </c>
      <c r="BC906">
        <v>1</v>
      </c>
      <c r="BE906">
        <v>0</v>
      </c>
      <c r="BF906">
        <v>0</v>
      </c>
      <c r="BG906">
        <v>0</v>
      </c>
      <c r="BH906">
        <v>3450</v>
      </c>
      <c r="BI906">
        <v>1</v>
      </c>
      <c r="BJ906">
        <v>1</v>
      </c>
      <c r="BK906">
        <v>0</v>
      </c>
      <c r="BL906">
        <v>0</v>
      </c>
      <c r="BO906">
        <v>0</v>
      </c>
      <c r="BP906">
        <v>0</v>
      </c>
      <c r="BW906" t="str">
        <f>"22:13:15.353"</f>
        <v>22:13:15.353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6</v>
      </c>
      <c r="CP906" t="s">
        <v>119</v>
      </c>
      <c r="CQ906">
        <v>364</v>
      </c>
      <c r="CR906">
        <v>0</v>
      </c>
      <c r="CW906">
        <v>1398230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"03/24/2022 22:13:16.901"</f>
        <v>03/24/2022 22:13:16.901</v>
      </c>
      <c r="C907" t="str">
        <f t="shared" si="256"/>
        <v>FFDFD3C0</v>
      </c>
      <c r="D907" t="s">
        <v>113</v>
      </c>
      <c r="E907">
        <v>24</v>
      </c>
      <c r="F907">
        <v>2024</v>
      </c>
      <c r="G907" t="s">
        <v>114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 t="shared" ref="S907:T910" si="272">"22:13:16.000"</f>
        <v>22:13:16.000</v>
      </c>
      <c r="T907" t="str">
        <f t="shared" si="272"/>
        <v>22:13:16.000</v>
      </c>
      <c r="U907" t="str">
        <f t="shared" si="269"/>
        <v>A9D71F</v>
      </c>
      <c r="V907">
        <v>0</v>
      </c>
      <c r="W907">
        <v>0</v>
      </c>
      <c r="X907">
        <v>2</v>
      </c>
      <c r="Z907">
        <v>1</v>
      </c>
      <c r="AA907">
        <v>7</v>
      </c>
      <c r="AB907">
        <v>3</v>
      </c>
      <c r="AC907">
        <v>0</v>
      </c>
      <c r="AD907">
        <v>9</v>
      </c>
      <c r="AE907">
        <v>0</v>
      </c>
      <c r="AF907">
        <v>3</v>
      </c>
      <c r="AG907">
        <v>1</v>
      </c>
      <c r="AH907">
        <v>0</v>
      </c>
      <c r="AI907" t="s">
        <v>500</v>
      </c>
      <c r="AJ907">
        <v>33.159162999999999</v>
      </c>
      <c r="AK907" t="s">
        <v>501</v>
      </c>
      <c r="AL907">
        <v>-97.727294000000001</v>
      </c>
      <c r="AM907">
        <v>25</v>
      </c>
      <c r="AN907">
        <v>3500</v>
      </c>
      <c r="AO907" t="s">
        <v>118</v>
      </c>
      <c r="AP907">
        <v>53</v>
      </c>
      <c r="AQ907">
        <v>-89</v>
      </c>
      <c r="AR907">
        <v>64</v>
      </c>
      <c r="AZ907">
        <v>1200</v>
      </c>
      <c r="BA907">
        <v>1</v>
      </c>
      <c r="BB907" t="str">
        <f t="shared" si="257"/>
        <v xml:space="preserve">N733KP  </v>
      </c>
      <c r="BC907">
        <v>1</v>
      </c>
      <c r="BE907">
        <v>0</v>
      </c>
      <c r="BF907">
        <v>0</v>
      </c>
      <c r="BG907">
        <v>0</v>
      </c>
      <c r="BH907">
        <v>3450</v>
      </c>
      <c r="BI907">
        <v>1</v>
      </c>
      <c r="BJ907">
        <v>1</v>
      </c>
      <c r="BK907">
        <v>0</v>
      </c>
      <c r="BL907">
        <v>0</v>
      </c>
      <c r="BO907">
        <v>0</v>
      </c>
      <c r="BP907">
        <v>0</v>
      </c>
      <c r="BW907" t="str">
        <f>"22:13:16.637"</f>
        <v>22:13:16.637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6</v>
      </c>
      <c r="CP907" t="s">
        <v>119</v>
      </c>
      <c r="CQ907">
        <v>364</v>
      </c>
      <c r="CR907">
        <v>0</v>
      </c>
      <c r="CW907">
        <v>1398420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"03/24/2022 22:13:16.901"</f>
        <v>03/24/2022 22:13:16.901</v>
      </c>
      <c r="C908" t="str">
        <f t="shared" si="256"/>
        <v>FFDFD3C0</v>
      </c>
      <c r="D908" t="s">
        <v>126</v>
      </c>
      <c r="E908">
        <v>3</v>
      </c>
      <c r="H908">
        <v>160</v>
      </c>
      <c r="I908" t="s">
        <v>121</v>
      </c>
      <c r="J908" t="s">
        <v>127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 t="shared" si="272"/>
        <v>22:13:16.000</v>
      </c>
      <c r="T908" t="str">
        <f t="shared" si="272"/>
        <v>22:13:16.000</v>
      </c>
      <c r="U908" t="str">
        <f t="shared" si="269"/>
        <v>A9D71F</v>
      </c>
      <c r="V908">
        <v>0</v>
      </c>
      <c r="W908">
        <v>0</v>
      </c>
      <c r="X908">
        <v>2</v>
      </c>
      <c r="Z908">
        <v>1</v>
      </c>
      <c r="AA908">
        <v>7</v>
      </c>
      <c r="AB908">
        <v>3</v>
      </c>
      <c r="AC908">
        <v>0</v>
      </c>
      <c r="AD908">
        <v>9</v>
      </c>
      <c r="AE908">
        <v>0</v>
      </c>
      <c r="AF908">
        <v>3</v>
      </c>
      <c r="AG908">
        <v>1</v>
      </c>
      <c r="AH908">
        <v>0</v>
      </c>
      <c r="AI908" t="s">
        <v>500</v>
      </c>
      <c r="AJ908">
        <v>33.159162999999999</v>
      </c>
      <c r="AK908" t="s">
        <v>501</v>
      </c>
      <c r="AL908">
        <v>-97.727294000000001</v>
      </c>
      <c r="AM908">
        <v>25</v>
      </c>
      <c r="AN908">
        <v>3500</v>
      </c>
      <c r="AO908" t="s">
        <v>118</v>
      </c>
      <c r="AP908">
        <v>53</v>
      </c>
      <c r="AQ908">
        <v>-89</v>
      </c>
      <c r="AR908">
        <v>64</v>
      </c>
      <c r="AZ908">
        <v>1200</v>
      </c>
      <c r="BA908">
        <v>1</v>
      </c>
      <c r="BB908" t="str">
        <f t="shared" si="257"/>
        <v xml:space="preserve">N733KP  </v>
      </c>
      <c r="BC908">
        <v>1</v>
      </c>
      <c r="BE908">
        <v>0</v>
      </c>
      <c r="BF908">
        <v>0</v>
      </c>
      <c r="BG908">
        <v>0</v>
      </c>
      <c r="BH908">
        <v>3450</v>
      </c>
      <c r="BI908">
        <v>1</v>
      </c>
      <c r="BJ908">
        <v>1</v>
      </c>
      <c r="BK908">
        <v>0</v>
      </c>
      <c r="BL908">
        <v>0</v>
      </c>
      <c r="BO908">
        <v>0</v>
      </c>
      <c r="BP908">
        <v>0</v>
      </c>
      <c r="BW908" t="str">
        <f>"22:13:16.637"</f>
        <v>22:13:16.637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6</v>
      </c>
      <c r="CP908" t="s">
        <v>119</v>
      </c>
      <c r="CQ908">
        <v>364</v>
      </c>
      <c r="CR908">
        <v>0</v>
      </c>
      <c r="CW908">
        <v>1398420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"03/24/2022 22:13:16.901"</f>
        <v>03/24/2022 22:13:16.901</v>
      </c>
      <c r="C909" t="str">
        <f t="shared" si="256"/>
        <v>FFDFD3C0</v>
      </c>
      <c r="D909" t="s">
        <v>120</v>
      </c>
      <c r="E909">
        <v>14</v>
      </c>
      <c r="F909">
        <v>1014</v>
      </c>
      <c r="G909" t="s">
        <v>121</v>
      </c>
      <c r="J909" t="s">
        <v>122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 t="shared" si="272"/>
        <v>22:13:16.000</v>
      </c>
      <c r="T909" t="str">
        <f t="shared" si="272"/>
        <v>22:13:16.000</v>
      </c>
      <c r="U909" t="str">
        <f t="shared" si="269"/>
        <v>A9D71F</v>
      </c>
      <c r="V909">
        <v>0</v>
      </c>
      <c r="W909">
        <v>0</v>
      </c>
      <c r="X909">
        <v>2</v>
      </c>
      <c r="Z909">
        <v>1</v>
      </c>
      <c r="AA909">
        <v>7</v>
      </c>
      <c r="AB909">
        <v>3</v>
      </c>
      <c r="AC909">
        <v>0</v>
      </c>
      <c r="AD909">
        <v>9</v>
      </c>
      <c r="AE909">
        <v>0</v>
      </c>
      <c r="AF909">
        <v>3</v>
      </c>
      <c r="AG909">
        <v>1</v>
      </c>
      <c r="AH909">
        <v>0</v>
      </c>
      <c r="AI909" t="s">
        <v>500</v>
      </c>
      <c r="AJ909">
        <v>33.159162999999999</v>
      </c>
      <c r="AK909" t="s">
        <v>501</v>
      </c>
      <c r="AL909">
        <v>-97.727294000000001</v>
      </c>
      <c r="AM909">
        <v>25</v>
      </c>
      <c r="AN909">
        <v>3500</v>
      </c>
      <c r="AO909" t="s">
        <v>118</v>
      </c>
      <c r="AP909">
        <v>53</v>
      </c>
      <c r="AQ909">
        <v>-89</v>
      </c>
      <c r="AR909">
        <v>64</v>
      </c>
      <c r="AZ909">
        <v>1200</v>
      </c>
      <c r="BA909">
        <v>1</v>
      </c>
      <c r="BB909" t="str">
        <f t="shared" si="257"/>
        <v xml:space="preserve">N733KP  </v>
      </c>
      <c r="BC909">
        <v>1</v>
      </c>
      <c r="BE909">
        <v>0</v>
      </c>
      <c r="BF909">
        <v>0</v>
      </c>
      <c r="BG909">
        <v>0</v>
      </c>
      <c r="BH909">
        <v>3450</v>
      </c>
      <c r="BI909">
        <v>1</v>
      </c>
      <c r="BJ909">
        <v>1</v>
      </c>
      <c r="BK909">
        <v>0</v>
      </c>
      <c r="BL909">
        <v>0</v>
      </c>
      <c r="BO909">
        <v>0</v>
      </c>
      <c r="BP909">
        <v>0</v>
      </c>
      <c r="BW909" t="str">
        <f>"22:13:16.637"</f>
        <v>22:13:16.637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6</v>
      </c>
      <c r="CP909" t="s">
        <v>119</v>
      </c>
      <c r="CQ909">
        <v>364</v>
      </c>
      <c r="CR909">
        <v>0</v>
      </c>
      <c r="CW909">
        <v>1398420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"03/24/2022 22:13:16.901"</f>
        <v>03/24/2022 22:13:16.901</v>
      </c>
      <c r="C910" t="str">
        <f t="shared" si="256"/>
        <v>FFDFD3C0</v>
      </c>
      <c r="D910" t="s">
        <v>123</v>
      </c>
      <c r="E910">
        <v>8</v>
      </c>
      <c r="H910">
        <v>31</v>
      </c>
      <c r="I910" t="s">
        <v>124</v>
      </c>
      <c r="J910" t="s">
        <v>125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 t="shared" si="272"/>
        <v>22:13:16.000</v>
      </c>
      <c r="T910" t="str">
        <f t="shared" si="272"/>
        <v>22:13:16.000</v>
      </c>
      <c r="U910" t="str">
        <f t="shared" si="269"/>
        <v>A9D71F</v>
      </c>
      <c r="V910">
        <v>0</v>
      </c>
      <c r="W910">
        <v>0</v>
      </c>
      <c r="X910">
        <v>2</v>
      </c>
      <c r="Z910">
        <v>1</v>
      </c>
      <c r="AA910">
        <v>7</v>
      </c>
      <c r="AB910">
        <v>3</v>
      </c>
      <c r="AC910">
        <v>0</v>
      </c>
      <c r="AD910">
        <v>9</v>
      </c>
      <c r="AE910">
        <v>0</v>
      </c>
      <c r="AF910">
        <v>3</v>
      </c>
      <c r="AG910">
        <v>1</v>
      </c>
      <c r="AH910">
        <v>0</v>
      </c>
      <c r="AI910" t="s">
        <v>500</v>
      </c>
      <c r="AJ910">
        <v>33.159162999999999</v>
      </c>
      <c r="AK910" t="s">
        <v>501</v>
      </c>
      <c r="AL910">
        <v>-97.727294000000001</v>
      </c>
      <c r="AM910">
        <v>25</v>
      </c>
      <c r="AN910">
        <v>3500</v>
      </c>
      <c r="AO910" t="s">
        <v>118</v>
      </c>
      <c r="AP910">
        <v>53</v>
      </c>
      <c r="AQ910">
        <v>-89</v>
      </c>
      <c r="AR910">
        <v>64</v>
      </c>
      <c r="AZ910">
        <v>1200</v>
      </c>
      <c r="BA910">
        <v>1</v>
      </c>
      <c r="BB910" t="str">
        <f t="shared" si="257"/>
        <v xml:space="preserve">N733KP  </v>
      </c>
      <c r="BC910">
        <v>1</v>
      </c>
      <c r="BE910">
        <v>0</v>
      </c>
      <c r="BF910">
        <v>0</v>
      </c>
      <c r="BG910">
        <v>0</v>
      </c>
      <c r="BH910">
        <v>3450</v>
      </c>
      <c r="BI910">
        <v>1</v>
      </c>
      <c r="BJ910">
        <v>1</v>
      </c>
      <c r="BK910">
        <v>0</v>
      </c>
      <c r="BL910">
        <v>0</v>
      </c>
      <c r="BO910">
        <v>0</v>
      </c>
      <c r="BP910">
        <v>0</v>
      </c>
      <c r="BW910" t="str">
        <f>"22:13:16.637"</f>
        <v>22:13:16.637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6</v>
      </c>
      <c r="CP910" t="s">
        <v>119</v>
      </c>
      <c r="CQ910">
        <v>364</v>
      </c>
      <c r="CR910">
        <v>0</v>
      </c>
      <c r="CW910">
        <v>1398420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"03/24/2022 22:13:18.089"</f>
        <v>03/24/2022 22:13:18.089</v>
      </c>
      <c r="C911" t="str">
        <f t="shared" si="256"/>
        <v>FFDFD3C0</v>
      </c>
      <c r="D911" t="s">
        <v>123</v>
      </c>
      <c r="E911">
        <v>8</v>
      </c>
      <c r="H911">
        <v>31</v>
      </c>
      <c r="I911" t="s">
        <v>124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 t="shared" ref="S911:T914" si="273">"22:13:17.000"</f>
        <v>22:13:17.000</v>
      </c>
      <c r="T911" t="str">
        <f t="shared" si="273"/>
        <v>22:13:17.000</v>
      </c>
      <c r="U911" t="str">
        <f t="shared" si="269"/>
        <v>A9D71F</v>
      </c>
      <c r="V911">
        <v>0</v>
      </c>
      <c r="W911">
        <v>0</v>
      </c>
      <c r="X911">
        <v>2</v>
      </c>
      <c r="Z911">
        <v>1</v>
      </c>
      <c r="AA911">
        <v>7</v>
      </c>
      <c r="AB911">
        <v>3</v>
      </c>
      <c r="AC911">
        <v>0</v>
      </c>
      <c r="AD911">
        <v>9</v>
      </c>
      <c r="AE911">
        <v>0</v>
      </c>
      <c r="AF911">
        <v>3</v>
      </c>
      <c r="AG911">
        <v>1</v>
      </c>
      <c r="AH911">
        <v>0</v>
      </c>
      <c r="AI911" t="s">
        <v>502</v>
      </c>
      <c r="AJ911">
        <v>33.158754999999999</v>
      </c>
      <c r="AK911" t="s">
        <v>503</v>
      </c>
      <c r="AL911">
        <v>-97.726994000000005</v>
      </c>
      <c r="AM911">
        <v>25</v>
      </c>
      <c r="AN911">
        <v>3500</v>
      </c>
      <c r="AO911" t="s">
        <v>118</v>
      </c>
      <c r="AP911">
        <v>52</v>
      </c>
      <c r="AQ911">
        <v>-88</v>
      </c>
      <c r="AR911">
        <v>128</v>
      </c>
      <c r="AZ911">
        <v>1200</v>
      </c>
      <c r="BA911">
        <v>1</v>
      </c>
      <c r="BB911" t="str">
        <f t="shared" si="257"/>
        <v xml:space="preserve">N733KP  </v>
      </c>
      <c r="BC911">
        <v>1</v>
      </c>
      <c r="BE911">
        <v>0</v>
      </c>
      <c r="BF911">
        <v>0</v>
      </c>
      <c r="BG911">
        <v>0</v>
      </c>
      <c r="BH911">
        <v>3450</v>
      </c>
      <c r="BI911">
        <v>1</v>
      </c>
      <c r="BJ911">
        <v>1</v>
      </c>
      <c r="BK911">
        <v>0</v>
      </c>
      <c r="BL911">
        <v>0</v>
      </c>
      <c r="BO911">
        <v>0</v>
      </c>
      <c r="BP911">
        <v>0</v>
      </c>
      <c r="BW911" t="str">
        <f>"22:13:17.923"</f>
        <v>22:13:17.923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6</v>
      </c>
      <c r="CP911" t="s">
        <v>119</v>
      </c>
      <c r="CQ911">
        <v>364</v>
      </c>
      <c r="CR911">
        <v>0</v>
      </c>
      <c r="CW911">
        <v>1398636</v>
      </c>
      <c r="CY911">
        <v>1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"03/24/2022 22:13:18.089"</f>
        <v>03/24/2022 22:13:18.089</v>
      </c>
      <c r="C912" t="str">
        <f t="shared" si="256"/>
        <v>FFDFD3C0</v>
      </c>
      <c r="D912" t="s">
        <v>120</v>
      </c>
      <c r="E912">
        <v>14</v>
      </c>
      <c r="F912">
        <v>1014</v>
      </c>
      <c r="G912" t="s">
        <v>121</v>
      </c>
      <c r="J912" t="s">
        <v>122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 t="shared" si="273"/>
        <v>22:13:17.000</v>
      </c>
      <c r="T912" t="str">
        <f t="shared" si="273"/>
        <v>22:13:17.000</v>
      </c>
      <c r="U912" t="str">
        <f t="shared" si="269"/>
        <v>A9D71F</v>
      </c>
      <c r="V912">
        <v>0</v>
      </c>
      <c r="W912">
        <v>0</v>
      </c>
      <c r="X912">
        <v>2</v>
      </c>
      <c r="Z912">
        <v>1</v>
      </c>
      <c r="AA912">
        <v>7</v>
      </c>
      <c r="AB912">
        <v>3</v>
      </c>
      <c r="AC912">
        <v>0</v>
      </c>
      <c r="AD912">
        <v>9</v>
      </c>
      <c r="AE912">
        <v>0</v>
      </c>
      <c r="AF912">
        <v>3</v>
      </c>
      <c r="AG912">
        <v>1</v>
      </c>
      <c r="AH912">
        <v>0</v>
      </c>
      <c r="AI912" t="s">
        <v>502</v>
      </c>
      <c r="AJ912">
        <v>33.158754999999999</v>
      </c>
      <c r="AK912" t="s">
        <v>503</v>
      </c>
      <c r="AL912">
        <v>-97.726994000000005</v>
      </c>
      <c r="AM912">
        <v>25</v>
      </c>
      <c r="AN912">
        <v>3500</v>
      </c>
      <c r="AO912" t="s">
        <v>118</v>
      </c>
      <c r="AP912">
        <v>52</v>
      </c>
      <c r="AQ912">
        <v>-88</v>
      </c>
      <c r="AR912">
        <v>128</v>
      </c>
      <c r="AZ912">
        <v>1200</v>
      </c>
      <c r="BA912">
        <v>1</v>
      </c>
      <c r="BB912" t="str">
        <f t="shared" si="257"/>
        <v xml:space="preserve">N733KP  </v>
      </c>
      <c r="BC912">
        <v>1</v>
      </c>
      <c r="BE912">
        <v>0</v>
      </c>
      <c r="BF912">
        <v>0</v>
      </c>
      <c r="BG912">
        <v>0</v>
      </c>
      <c r="BH912">
        <v>3450</v>
      </c>
      <c r="BI912">
        <v>1</v>
      </c>
      <c r="BJ912">
        <v>1</v>
      </c>
      <c r="BK912">
        <v>0</v>
      </c>
      <c r="BL912">
        <v>0</v>
      </c>
      <c r="BO912">
        <v>0</v>
      </c>
      <c r="BP912">
        <v>0</v>
      </c>
      <c r="BW912" t="str">
        <f>"22:13:17.923"</f>
        <v>22:13:17.923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6</v>
      </c>
      <c r="CP912" t="s">
        <v>119</v>
      </c>
      <c r="CQ912">
        <v>364</v>
      </c>
      <c r="CR912">
        <v>0</v>
      </c>
      <c r="CW912">
        <v>1398636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"03/24/2022 22:13:18.182"</f>
        <v>03/24/2022 22:13:18.182</v>
      </c>
      <c r="C913" t="str">
        <f t="shared" si="256"/>
        <v>FFDFD3C0</v>
      </c>
      <c r="D913" t="s">
        <v>113</v>
      </c>
      <c r="E913">
        <v>24</v>
      </c>
      <c r="F913">
        <v>2024</v>
      </c>
      <c r="G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 t="shared" si="273"/>
        <v>22:13:17.000</v>
      </c>
      <c r="T913" t="str">
        <f t="shared" si="273"/>
        <v>22:13:17.000</v>
      </c>
      <c r="U913" t="str">
        <f t="shared" si="269"/>
        <v>A9D71F</v>
      </c>
      <c r="V913">
        <v>0</v>
      </c>
      <c r="W913">
        <v>0</v>
      </c>
      <c r="X913">
        <v>2</v>
      </c>
      <c r="Z913">
        <v>1</v>
      </c>
      <c r="AA913">
        <v>7</v>
      </c>
      <c r="AB913">
        <v>3</v>
      </c>
      <c r="AC913">
        <v>0</v>
      </c>
      <c r="AD913">
        <v>9</v>
      </c>
      <c r="AE913">
        <v>0</v>
      </c>
      <c r="AF913">
        <v>3</v>
      </c>
      <c r="AG913">
        <v>1</v>
      </c>
      <c r="AH913">
        <v>0</v>
      </c>
      <c r="AI913" t="s">
        <v>502</v>
      </c>
      <c r="AJ913">
        <v>33.158754999999999</v>
      </c>
      <c r="AK913" t="s">
        <v>503</v>
      </c>
      <c r="AL913">
        <v>-97.726994000000005</v>
      </c>
      <c r="AM913">
        <v>25</v>
      </c>
      <c r="AN913">
        <v>3500</v>
      </c>
      <c r="AO913" t="s">
        <v>118</v>
      </c>
      <c r="AP913">
        <v>52</v>
      </c>
      <c r="AQ913">
        <v>-88</v>
      </c>
      <c r="AR913">
        <v>128</v>
      </c>
      <c r="AZ913">
        <v>1200</v>
      </c>
      <c r="BA913">
        <v>1</v>
      </c>
      <c r="BB913" t="str">
        <f t="shared" si="257"/>
        <v xml:space="preserve">N733KP  </v>
      </c>
      <c r="BC913">
        <v>1</v>
      </c>
      <c r="BE913">
        <v>0</v>
      </c>
      <c r="BF913">
        <v>0</v>
      </c>
      <c r="BG913">
        <v>0</v>
      </c>
      <c r="BH913">
        <v>3450</v>
      </c>
      <c r="BI913">
        <v>1</v>
      </c>
      <c r="BJ913">
        <v>1</v>
      </c>
      <c r="BK913">
        <v>0</v>
      </c>
      <c r="BL913">
        <v>0</v>
      </c>
      <c r="BO913">
        <v>0</v>
      </c>
      <c r="BP913">
        <v>0</v>
      </c>
      <c r="BW913" t="str">
        <f>"22:13:17.923"</f>
        <v>22:13:17.923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6</v>
      </c>
      <c r="CP913" t="s">
        <v>119</v>
      </c>
      <c r="CQ913">
        <v>364</v>
      </c>
      <c r="CR913">
        <v>0</v>
      </c>
      <c r="CW913">
        <v>1398636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"03/24/2022 22:13:18.182"</f>
        <v>03/24/2022 22:13:18.182</v>
      </c>
      <c r="C914" t="str">
        <f t="shared" si="256"/>
        <v>FFDFD3C0</v>
      </c>
      <c r="D914" t="s">
        <v>126</v>
      </c>
      <c r="E914">
        <v>3</v>
      </c>
      <c r="H914">
        <v>160</v>
      </c>
      <c r="I914" t="s">
        <v>121</v>
      </c>
      <c r="J914" t="s">
        <v>127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 t="shared" si="273"/>
        <v>22:13:17.000</v>
      </c>
      <c r="T914" t="str">
        <f t="shared" si="273"/>
        <v>22:13:17.000</v>
      </c>
      <c r="U914" t="str">
        <f t="shared" si="269"/>
        <v>A9D71F</v>
      </c>
      <c r="V914">
        <v>0</v>
      </c>
      <c r="W914">
        <v>0</v>
      </c>
      <c r="X914">
        <v>2</v>
      </c>
      <c r="Z914">
        <v>1</v>
      </c>
      <c r="AA914">
        <v>7</v>
      </c>
      <c r="AB914">
        <v>3</v>
      </c>
      <c r="AC914">
        <v>0</v>
      </c>
      <c r="AD914">
        <v>9</v>
      </c>
      <c r="AE914">
        <v>0</v>
      </c>
      <c r="AF914">
        <v>3</v>
      </c>
      <c r="AG914">
        <v>1</v>
      </c>
      <c r="AH914">
        <v>0</v>
      </c>
      <c r="AI914" t="s">
        <v>502</v>
      </c>
      <c r="AJ914">
        <v>33.158754999999999</v>
      </c>
      <c r="AK914" t="s">
        <v>503</v>
      </c>
      <c r="AL914">
        <v>-97.726994000000005</v>
      </c>
      <c r="AM914">
        <v>25</v>
      </c>
      <c r="AN914">
        <v>3500</v>
      </c>
      <c r="AO914" t="s">
        <v>118</v>
      </c>
      <c r="AP914">
        <v>52</v>
      </c>
      <c r="AQ914">
        <v>-88</v>
      </c>
      <c r="AR914">
        <v>128</v>
      </c>
      <c r="AZ914">
        <v>1200</v>
      </c>
      <c r="BA914">
        <v>1</v>
      </c>
      <c r="BB914" t="str">
        <f t="shared" si="257"/>
        <v xml:space="preserve">N733KP  </v>
      </c>
      <c r="BC914">
        <v>1</v>
      </c>
      <c r="BE914">
        <v>0</v>
      </c>
      <c r="BF914">
        <v>0</v>
      </c>
      <c r="BG914">
        <v>0</v>
      </c>
      <c r="BH914">
        <v>3450</v>
      </c>
      <c r="BI914">
        <v>1</v>
      </c>
      <c r="BJ914">
        <v>1</v>
      </c>
      <c r="BK914">
        <v>0</v>
      </c>
      <c r="BL914">
        <v>0</v>
      </c>
      <c r="BO914">
        <v>0</v>
      </c>
      <c r="BP914">
        <v>0</v>
      </c>
      <c r="BW914" t="str">
        <f>"22:13:17.923"</f>
        <v>22:13:17.923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6</v>
      </c>
      <c r="CP914" t="s">
        <v>119</v>
      </c>
      <c r="CQ914">
        <v>364</v>
      </c>
      <c r="CR914">
        <v>0</v>
      </c>
      <c r="CW914">
        <v>1398636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"03/24/2022 22:13:18.810"</f>
        <v>03/24/2022 22:13:18.810</v>
      </c>
      <c r="C915" t="str">
        <f t="shared" si="256"/>
        <v>FFDFD3C0</v>
      </c>
      <c r="D915" t="s">
        <v>123</v>
      </c>
      <c r="E915">
        <v>8</v>
      </c>
      <c r="H915">
        <v>31</v>
      </c>
      <c r="I915" t="s">
        <v>124</v>
      </c>
      <c r="J915" t="s">
        <v>125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 t="shared" ref="S915:T918" si="274">"22:13:18.000"</f>
        <v>22:13:18.000</v>
      </c>
      <c r="T915" t="str">
        <f t="shared" si="274"/>
        <v>22:13:18.000</v>
      </c>
      <c r="U915" t="str">
        <f t="shared" si="269"/>
        <v>A9D71F</v>
      </c>
      <c r="V915">
        <v>0</v>
      </c>
      <c r="W915">
        <v>0</v>
      </c>
      <c r="X915">
        <v>2</v>
      </c>
      <c r="Z915">
        <v>1</v>
      </c>
      <c r="AA915">
        <v>7</v>
      </c>
      <c r="AB915">
        <v>3</v>
      </c>
      <c r="AC915">
        <v>0</v>
      </c>
      <c r="AD915">
        <v>9</v>
      </c>
      <c r="AE915">
        <v>0</v>
      </c>
      <c r="AF915">
        <v>3</v>
      </c>
      <c r="AG915">
        <v>1</v>
      </c>
      <c r="AH915">
        <v>0</v>
      </c>
      <c r="AI915" t="s">
        <v>504</v>
      </c>
      <c r="AJ915">
        <v>33.158326000000002</v>
      </c>
      <c r="AK915" t="s">
        <v>505</v>
      </c>
      <c r="AL915">
        <v>-97.726692999999997</v>
      </c>
      <c r="AM915">
        <v>25</v>
      </c>
      <c r="AN915">
        <v>3500</v>
      </c>
      <c r="AO915" t="s">
        <v>118</v>
      </c>
      <c r="AP915">
        <v>52</v>
      </c>
      <c r="AQ915">
        <v>-88</v>
      </c>
      <c r="AR915">
        <v>192</v>
      </c>
      <c r="AZ915">
        <v>1200</v>
      </c>
      <c r="BA915">
        <v>1</v>
      </c>
      <c r="BB915" t="str">
        <f t="shared" si="257"/>
        <v xml:space="preserve">N733KP  </v>
      </c>
      <c r="BC915">
        <v>1</v>
      </c>
      <c r="BE915">
        <v>0</v>
      </c>
      <c r="BF915">
        <v>0</v>
      </c>
      <c r="BG915">
        <v>0</v>
      </c>
      <c r="BH915">
        <v>3450</v>
      </c>
      <c r="BI915">
        <v>1</v>
      </c>
      <c r="BJ915">
        <v>1</v>
      </c>
      <c r="BK915">
        <v>0</v>
      </c>
      <c r="BL915">
        <v>0</v>
      </c>
      <c r="BO915">
        <v>0</v>
      </c>
      <c r="BP915">
        <v>0</v>
      </c>
      <c r="BW915" t="str">
        <f>"22:13:18.598"</f>
        <v>22:13:18.598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364</v>
      </c>
      <c r="CR915">
        <v>0</v>
      </c>
      <c r="CW915">
        <v>1398745</v>
      </c>
      <c r="CY915">
        <v>1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"03/24/2022 22:13:18.810"</f>
        <v>03/24/2022 22:13:18.810</v>
      </c>
      <c r="C916" t="str">
        <f t="shared" si="256"/>
        <v>FFDFD3C0</v>
      </c>
      <c r="D916" t="s">
        <v>120</v>
      </c>
      <c r="E916">
        <v>14</v>
      </c>
      <c r="F916">
        <v>1014</v>
      </c>
      <c r="G916" t="s">
        <v>121</v>
      </c>
      <c r="J916" t="s">
        <v>122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 t="shared" si="274"/>
        <v>22:13:18.000</v>
      </c>
      <c r="T916" t="str">
        <f t="shared" si="274"/>
        <v>22:13:18.000</v>
      </c>
      <c r="U916" t="str">
        <f t="shared" si="269"/>
        <v>A9D71F</v>
      </c>
      <c r="V916">
        <v>0</v>
      </c>
      <c r="W916">
        <v>0</v>
      </c>
      <c r="X916">
        <v>2</v>
      </c>
      <c r="Z916">
        <v>1</v>
      </c>
      <c r="AA916">
        <v>7</v>
      </c>
      <c r="AB916">
        <v>3</v>
      </c>
      <c r="AC916">
        <v>0</v>
      </c>
      <c r="AD916">
        <v>9</v>
      </c>
      <c r="AE916">
        <v>0</v>
      </c>
      <c r="AF916">
        <v>3</v>
      </c>
      <c r="AG916">
        <v>1</v>
      </c>
      <c r="AH916">
        <v>0</v>
      </c>
      <c r="AI916" t="s">
        <v>504</v>
      </c>
      <c r="AJ916">
        <v>33.158326000000002</v>
      </c>
      <c r="AK916" t="s">
        <v>505</v>
      </c>
      <c r="AL916">
        <v>-97.726692999999997</v>
      </c>
      <c r="AM916">
        <v>25</v>
      </c>
      <c r="AN916">
        <v>3500</v>
      </c>
      <c r="AO916" t="s">
        <v>118</v>
      </c>
      <c r="AP916">
        <v>52</v>
      </c>
      <c r="AQ916">
        <v>-88</v>
      </c>
      <c r="AR916">
        <v>192</v>
      </c>
      <c r="AZ916">
        <v>1200</v>
      </c>
      <c r="BA916">
        <v>1</v>
      </c>
      <c r="BB916" t="str">
        <f t="shared" si="257"/>
        <v xml:space="preserve">N733KP  </v>
      </c>
      <c r="BC916">
        <v>1</v>
      </c>
      <c r="BE916">
        <v>0</v>
      </c>
      <c r="BF916">
        <v>0</v>
      </c>
      <c r="BG916">
        <v>0</v>
      </c>
      <c r="BH916">
        <v>3450</v>
      </c>
      <c r="BI916">
        <v>1</v>
      </c>
      <c r="BJ916">
        <v>1</v>
      </c>
      <c r="BK916">
        <v>0</v>
      </c>
      <c r="BL916">
        <v>0</v>
      </c>
      <c r="BO916">
        <v>0</v>
      </c>
      <c r="BP916">
        <v>0</v>
      </c>
      <c r="BW916" t="str">
        <f>"22:13:18.598"</f>
        <v>22:13:18.598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364</v>
      </c>
      <c r="CR916">
        <v>0</v>
      </c>
      <c r="CW916">
        <v>1398745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"03/24/2022 22:13:18.810"</f>
        <v>03/24/2022 22:13:18.810</v>
      </c>
      <c r="C917" t="str">
        <f t="shared" si="256"/>
        <v>FFDFD3C0</v>
      </c>
      <c r="D917" t="s">
        <v>113</v>
      </c>
      <c r="E917">
        <v>24</v>
      </c>
      <c r="F917">
        <v>2024</v>
      </c>
      <c r="G917" t="s">
        <v>114</v>
      </c>
      <c r="J917" t="s">
        <v>115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 t="shared" si="274"/>
        <v>22:13:18.000</v>
      </c>
      <c r="T917" t="str">
        <f t="shared" si="274"/>
        <v>22:13:18.000</v>
      </c>
      <c r="U917" t="str">
        <f t="shared" si="269"/>
        <v>A9D71F</v>
      </c>
      <c r="V917">
        <v>0</v>
      </c>
      <c r="W917">
        <v>0</v>
      </c>
      <c r="X917">
        <v>2</v>
      </c>
      <c r="Z917">
        <v>1</v>
      </c>
      <c r="AA917">
        <v>7</v>
      </c>
      <c r="AB917">
        <v>3</v>
      </c>
      <c r="AC917">
        <v>0</v>
      </c>
      <c r="AD917">
        <v>9</v>
      </c>
      <c r="AE917">
        <v>0</v>
      </c>
      <c r="AF917">
        <v>3</v>
      </c>
      <c r="AG917">
        <v>1</v>
      </c>
      <c r="AH917">
        <v>0</v>
      </c>
      <c r="AI917" t="s">
        <v>504</v>
      </c>
      <c r="AJ917">
        <v>33.158326000000002</v>
      </c>
      <c r="AK917" t="s">
        <v>505</v>
      </c>
      <c r="AL917">
        <v>-97.726692999999997</v>
      </c>
      <c r="AM917">
        <v>25</v>
      </c>
      <c r="AN917">
        <v>3500</v>
      </c>
      <c r="AO917" t="s">
        <v>118</v>
      </c>
      <c r="AP917">
        <v>52</v>
      </c>
      <c r="AQ917">
        <v>-88</v>
      </c>
      <c r="AR917">
        <v>192</v>
      </c>
      <c r="AZ917">
        <v>1200</v>
      </c>
      <c r="BA917">
        <v>1</v>
      </c>
      <c r="BB917" t="str">
        <f t="shared" si="257"/>
        <v xml:space="preserve">N733KP  </v>
      </c>
      <c r="BC917">
        <v>1</v>
      </c>
      <c r="BE917">
        <v>0</v>
      </c>
      <c r="BF917">
        <v>0</v>
      </c>
      <c r="BG917">
        <v>0</v>
      </c>
      <c r="BH917">
        <v>3450</v>
      </c>
      <c r="BI917">
        <v>1</v>
      </c>
      <c r="BJ917">
        <v>1</v>
      </c>
      <c r="BK917">
        <v>0</v>
      </c>
      <c r="BL917">
        <v>0</v>
      </c>
      <c r="BO917">
        <v>0</v>
      </c>
      <c r="BP917">
        <v>0</v>
      </c>
      <c r="BW917" t="str">
        <f>"22:13:18.598"</f>
        <v>22:13:18.598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364</v>
      </c>
      <c r="CR917">
        <v>0</v>
      </c>
      <c r="CW917">
        <v>1398745</v>
      </c>
      <c r="CY917">
        <v>1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"03/24/2022 22:13:18.810"</f>
        <v>03/24/2022 22:13:18.810</v>
      </c>
      <c r="C918" t="str">
        <f t="shared" ref="C918:C981" si="275">"FFDFD3C0"</f>
        <v>FFDFD3C0</v>
      </c>
      <c r="D918" t="s">
        <v>126</v>
      </c>
      <c r="E918">
        <v>3</v>
      </c>
      <c r="H918">
        <v>160</v>
      </c>
      <c r="I918" t="s">
        <v>121</v>
      </c>
      <c r="J918" t="s">
        <v>127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 t="shared" si="274"/>
        <v>22:13:18.000</v>
      </c>
      <c r="T918" t="str">
        <f t="shared" si="274"/>
        <v>22:13:18.000</v>
      </c>
      <c r="U918" t="str">
        <f t="shared" si="269"/>
        <v>A9D71F</v>
      </c>
      <c r="V918">
        <v>0</v>
      </c>
      <c r="W918">
        <v>0</v>
      </c>
      <c r="X918">
        <v>2</v>
      </c>
      <c r="Z918">
        <v>1</v>
      </c>
      <c r="AA918">
        <v>7</v>
      </c>
      <c r="AB918">
        <v>3</v>
      </c>
      <c r="AC918">
        <v>0</v>
      </c>
      <c r="AD918">
        <v>9</v>
      </c>
      <c r="AE918">
        <v>0</v>
      </c>
      <c r="AF918">
        <v>3</v>
      </c>
      <c r="AG918">
        <v>1</v>
      </c>
      <c r="AH918">
        <v>0</v>
      </c>
      <c r="AI918" t="s">
        <v>504</v>
      </c>
      <c r="AJ918">
        <v>33.158326000000002</v>
      </c>
      <c r="AK918" t="s">
        <v>505</v>
      </c>
      <c r="AL918">
        <v>-97.726692999999997</v>
      </c>
      <c r="AM918">
        <v>25</v>
      </c>
      <c r="AN918">
        <v>3500</v>
      </c>
      <c r="AO918" t="s">
        <v>118</v>
      </c>
      <c r="AP918">
        <v>52</v>
      </c>
      <c r="AQ918">
        <v>-88</v>
      </c>
      <c r="AR918">
        <v>192</v>
      </c>
      <c r="AZ918">
        <v>1200</v>
      </c>
      <c r="BA918">
        <v>1</v>
      </c>
      <c r="BB918" t="str">
        <f t="shared" ref="BB918:BB981" si="276">"N733KP  "</f>
        <v xml:space="preserve">N733KP  </v>
      </c>
      <c r="BC918">
        <v>1</v>
      </c>
      <c r="BE918">
        <v>0</v>
      </c>
      <c r="BF918">
        <v>0</v>
      </c>
      <c r="BG918">
        <v>0</v>
      </c>
      <c r="BH918">
        <v>3450</v>
      </c>
      <c r="BI918">
        <v>1</v>
      </c>
      <c r="BJ918">
        <v>1</v>
      </c>
      <c r="BK918">
        <v>0</v>
      </c>
      <c r="BL918">
        <v>0</v>
      </c>
      <c r="BO918">
        <v>0</v>
      </c>
      <c r="BP918">
        <v>0</v>
      </c>
      <c r="BW918" t="str">
        <f>"22:13:18.598"</f>
        <v>22:13:18.598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364</v>
      </c>
      <c r="CR918">
        <v>0</v>
      </c>
      <c r="CW918">
        <v>1398745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"03/24/2022 22:13:19.653"</f>
        <v>03/24/2022 22:13:19.653</v>
      </c>
      <c r="C919" t="str">
        <f t="shared" si="275"/>
        <v>FFDFD3C0</v>
      </c>
      <c r="D919" t="s">
        <v>123</v>
      </c>
      <c r="E919">
        <v>8</v>
      </c>
      <c r="H919">
        <v>31</v>
      </c>
      <c r="I919" t="s">
        <v>124</v>
      </c>
      <c r="J919" t="s">
        <v>125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 t="shared" ref="S919:T922" si="277">"22:13:19.000"</f>
        <v>22:13:19.000</v>
      </c>
      <c r="T919" t="str">
        <f t="shared" si="277"/>
        <v>22:13:19.000</v>
      </c>
      <c r="U919" t="str">
        <f t="shared" si="269"/>
        <v>A9D71F</v>
      </c>
      <c r="V919">
        <v>0</v>
      </c>
      <c r="W919">
        <v>0</v>
      </c>
      <c r="X919">
        <v>2</v>
      </c>
      <c r="Z919">
        <v>1</v>
      </c>
      <c r="AA919">
        <v>7</v>
      </c>
      <c r="AB919">
        <v>3</v>
      </c>
      <c r="AC919">
        <v>0</v>
      </c>
      <c r="AD919">
        <v>9</v>
      </c>
      <c r="AE919">
        <v>0</v>
      </c>
      <c r="AF919">
        <v>3</v>
      </c>
      <c r="AG919">
        <v>1</v>
      </c>
      <c r="AH919">
        <v>0</v>
      </c>
      <c r="AI919" t="s">
        <v>506</v>
      </c>
      <c r="AJ919">
        <v>33.157896999999998</v>
      </c>
      <c r="AK919" t="s">
        <v>507</v>
      </c>
      <c r="AL919">
        <v>-97.726414000000005</v>
      </c>
      <c r="AM919">
        <v>25</v>
      </c>
      <c r="AN919">
        <v>3500</v>
      </c>
      <c r="AO919" t="s">
        <v>118</v>
      </c>
      <c r="AP919">
        <v>54</v>
      </c>
      <c r="AQ919">
        <v>-90</v>
      </c>
      <c r="AR919">
        <v>128</v>
      </c>
      <c r="AZ919">
        <v>1200</v>
      </c>
      <c r="BA919">
        <v>1</v>
      </c>
      <c r="BB919" t="str">
        <f t="shared" si="276"/>
        <v xml:space="preserve">N733KP  </v>
      </c>
      <c r="BC919">
        <v>1</v>
      </c>
      <c r="BE919">
        <v>0</v>
      </c>
      <c r="BF919">
        <v>0</v>
      </c>
      <c r="BG919">
        <v>0</v>
      </c>
      <c r="BH919">
        <v>3450</v>
      </c>
      <c r="BI919">
        <v>1</v>
      </c>
      <c r="BJ919">
        <v>1</v>
      </c>
      <c r="BK919">
        <v>0</v>
      </c>
      <c r="BL919">
        <v>0</v>
      </c>
      <c r="BO919">
        <v>0</v>
      </c>
      <c r="BP919">
        <v>0</v>
      </c>
      <c r="BW919" t="str">
        <f>"22:13:19.491"</f>
        <v>22:13:19.491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364</v>
      </c>
      <c r="CR919">
        <v>0</v>
      </c>
      <c r="CW919">
        <v>1398882</v>
      </c>
      <c r="CY919">
        <v>1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"03/24/2022 22:13:19.685"</f>
        <v>03/24/2022 22:13:19.685</v>
      </c>
      <c r="C920" t="str">
        <f t="shared" si="275"/>
        <v>FFDFD3C0</v>
      </c>
      <c r="D920" t="s">
        <v>120</v>
      </c>
      <c r="E920">
        <v>14</v>
      </c>
      <c r="F920">
        <v>1014</v>
      </c>
      <c r="G920" t="s">
        <v>121</v>
      </c>
      <c r="J920" t="s">
        <v>122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 t="shared" si="277"/>
        <v>22:13:19.000</v>
      </c>
      <c r="T920" t="str">
        <f t="shared" si="277"/>
        <v>22:13:19.000</v>
      </c>
      <c r="U920" t="str">
        <f t="shared" si="269"/>
        <v>A9D71F</v>
      </c>
      <c r="V920">
        <v>0</v>
      </c>
      <c r="W920">
        <v>0</v>
      </c>
      <c r="X920">
        <v>2</v>
      </c>
      <c r="Z920">
        <v>1</v>
      </c>
      <c r="AA920">
        <v>7</v>
      </c>
      <c r="AB920">
        <v>3</v>
      </c>
      <c r="AC920">
        <v>0</v>
      </c>
      <c r="AD920">
        <v>9</v>
      </c>
      <c r="AE920">
        <v>0</v>
      </c>
      <c r="AF920">
        <v>3</v>
      </c>
      <c r="AG920">
        <v>1</v>
      </c>
      <c r="AH920">
        <v>0</v>
      </c>
      <c r="AI920" t="s">
        <v>506</v>
      </c>
      <c r="AJ920">
        <v>33.157896999999998</v>
      </c>
      <c r="AK920" t="s">
        <v>507</v>
      </c>
      <c r="AL920">
        <v>-97.726414000000005</v>
      </c>
      <c r="AM920">
        <v>25</v>
      </c>
      <c r="AN920">
        <v>3500</v>
      </c>
      <c r="AO920" t="s">
        <v>118</v>
      </c>
      <c r="AP920">
        <v>54</v>
      </c>
      <c r="AQ920">
        <v>-90</v>
      </c>
      <c r="AR920">
        <v>128</v>
      </c>
      <c r="AZ920">
        <v>1200</v>
      </c>
      <c r="BA920">
        <v>1</v>
      </c>
      <c r="BB920" t="str">
        <f t="shared" si="276"/>
        <v xml:space="preserve">N733KP  </v>
      </c>
      <c r="BC920">
        <v>1</v>
      </c>
      <c r="BE920">
        <v>0</v>
      </c>
      <c r="BF920">
        <v>0</v>
      </c>
      <c r="BG920">
        <v>0</v>
      </c>
      <c r="BH920">
        <v>3450</v>
      </c>
      <c r="BI920">
        <v>1</v>
      </c>
      <c r="BJ920">
        <v>1</v>
      </c>
      <c r="BK920">
        <v>0</v>
      </c>
      <c r="BL920">
        <v>0</v>
      </c>
      <c r="BO920">
        <v>0</v>
      </c>
      <c r="BP920">
        <v>0</v>
      </c>
      <c r="BW920" t="str">
        <f>"22:13:19.491"</f>
        <v>22:13:19.491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364</v>
      </c>
      <c r="CR920">
        <v>0</v>
      </c>
      <c r="CW920">
        <v>1398882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"03/24/2022 22:13:19.700"</f>
        <v>03/24/2022 22:13:19.700</v>
      </c>
      <c r="C921" t="str">
        <f t="shared" si="275"/>
        <v>FFDFD3C0</v>
      </c>
      <c r="D921" t="s">
        <v>113</v>
      </c>
      <c r="E921">
        <v>24</v>
      </c>
      <c r="F921">
        <v>2024</v>
      </c>
      <c r="G921" t="s">
        <v>114</v>
      </c>
      <c r="J921" t="s">
        <v>115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 t="shared" si="277"/>
        <v>22:13:19.000</v>
      </c>
      <c r="T921" t="str">
        <f t="shared" si="277"/>
        <v>22:13:19.000</v>
      </c>
      <c r="U921" t="str">
        <f t="shared" si="269"/>
        <v>A9D71F</v>
      </c>
      <c r="V921">
        <v>0</v>
      </c>
      <c r="W921">
        <v>0</v>
      </c>
      <c r="X921">
        <v>2</v>
      </c>
      <c r="Z921">
        <v>1</v>
      </c>
      <c r="AA921">
        <v>7</v>
      </c>
      <c r="AB921">
        <v>3</v>
      </c>
      <c r="AC921">
        <v>0</v>
      </c>
      <c r="AD921">
        <v>9</v>
      </c>
      <c r="AE921">
        <v>0</v>
      </c>
      <c r="AF921">
        <v>3</v>
      </c>
      <c r="AG921">
        <v>1</v>
      </c>
      <c r="AH921">
        <v>0</v>
      </c>
      <c r="AI921" t="s">
        <v>506</v>
      </c>
      <c r="AJ921">
        <v>33.157896999999998</v>
      </c>
      <c r="AK921" t="s">
        <v>507</v>
      </c>
      <c r="AL921">
        <v>-97.726414000000005</v>
      </c>
      <c r="AM921">
        <v>25</v>
      </c>
      <c r="AN921">
        <v>3500</v>
      </c>
      <c r="AO921" t="s">
        <v>118</v>
      </c>
      <c r="AP921">
        <v>54</v>
      </c>
      <c r="AQ921">
        <v>-90</v>
      </c>
      <c r="AR921">
        <v>128</v>
      </c>
      <c r="AZ921">
        <v>1200</v>
      </c>
      <c r="BA921">
        <v>1</v>
      </c>
      <c r="BB921" t="str">
        <f t="shared" si="276"/>
        <v xml:space="preserve">N733KP  </v>
      </c>
      <c r="BC921">
        <v>1</v>
      </c>
      <c r="BE921">
        <v>0</v>
      </c>
      <c r="BF921">
        <v>0</v>
      </c>
      <c r="BG921">
        <v>0</v>
      </c>
      <c r="BH921">
        <v>3450</v>
      </c>
      <c r="BI921">
        <v>1</v>
      </c>
      <c r="BJ921">
        <v>1</v>
      </c>
      <c r="BK921">
        <v>0</v>
      </c>
      <c r="BL921">
        <v>0</v>
      </c>
      <c r="BO921">
        <v>0</v>
      </c>
      <c r="BP921">
        <v>0</v>
      </c>
      <c r="BW921" t="str">
        <f>"22:13:19.491"</f>
        <v>22:13:19.491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364</v>
      </c>
      <c r="CR921">
        <v>0</v>
      </c>
      <c r="CW921">
        <v>1398882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"03/24/2022 22:13:19.700"</f>
        <v>03/24/2022 22:13:19.700</v>
      </c>
      <c r="C922" t="str">
        <f t="shared" si="275"/>
        <v>FFDFD3C0</v>
      </c>
      <c r="D922" t="s">
        <v>126</v>
      </c>
      <c r="E922">
        <v>3</v>
      </c>
      <c r="H922">
        <v>160</v>
      </c>
      <c r="I922" t="s">
        <v>121</v>
      </c>
      <c r="J922" t="s">
        <v>127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 t="shared" si="277"/>
        <v>22:13:19.000</v>
      </c>
      <c r="T922" t="str">
        <f t="shared" si="277"/>
        <v>22:13:19.000</v>
      </c>
      <c r="U922" t="str">
        <f t="shared" si="269"/>
        <v>A9D71F</v>
      </c>
      <c r="V922">
        <v>0</v>
      </c>
      <c r="W922">
        <v>0</v>
      </c>
      <c r="X922">
        <v>2</v>
      </c>
      <c r="Z922">
        <v>1</v>
      </c>
      <c r="AA922">
        <v>7</v>
      </c>
      <c r="AB922">
        <v>3</v>
      </c>
      <c r="AC922">
        <v>0</v>
      </c>
      <c r="AD922">
        <v>9</v>
      </c>
      <c r="AE922">
        <v>0</v>
      </c>
      <c r="AF922">
        <v>3</v>
      </c>
      <c r="AG922">
        <v>1</v>
      </c>
      <c r="AH922">
        <v>0</v>
      </c>
      <c r="AI922" t="s">
        <v>506</v>
      </c>
      <c r="AJ922">
        <v>33.157896999999998</v>
      </c>
      <c r="AK922" t="s">
        <v>507</v>
      </c>
      <c r="AL922">
        <v>-97.726414000000005</v>
      </c>
      <c r="AM922">
        <v>25</v>
      </c>
      <c r="AN922">
        <v>3500</v>
      </c>
      <c r="AO922" t="s">
        <v>118</v>
      </c>
      <c r="AP922">
        <v>54</v>
      </c>
      <c r="AQ922">
        <v>-90</v>
      </c>
      <c r="AR922">
        <v>128</v>
      </c>
      <c r="AZ922">
        <v>1200</v>
      </c>
      <c r="BA922">
        <v>1</v>
      </c>
      <c r="BB922" t="str">
        <f t="shared" si="276"/>
        <v xml:space="preserve">N733KP  </v>
      </c>
      <c r="BC922">
        <v>1</v>
      </c>
      <c r="BE922">
        <v>0</v>
      </c>
      <c r="BF922">
        <v>0</v>
      </c>
      <c r="BG922">
        <v>0</v>
      </c>
      <c r="BH922">
        <v>3450</v>
      </c>
      <c r="BI922">
        <v>1</v>
      </c>
      <c r="BJ922">
        <v>1</v>
      </c>
      <c r="BK922">
        <v>0</v>
      </c>
      <c r="BL922">
        <v>0</v>
      </c>
      <c r="BO922">
        <v>0</v>
      </c>
      <c r="BP922">
        <v>0</v>
      </c>
      <c r="BW922" t="str">
        <f>"22:13:19.491"</f>
        <v>22:13:19.491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364</v>
      </c>
      <c r="CR922">
        <v>0</v>
      </c>
      <c r="CW922">
        <v>1398882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"03/24/2022 22:13:20.560"</f>
        <v>03/24/2022 22:13:20.560</v>
      </c>
      <c r="C923" t="str">
        <f t="shared" si="275"/>
        <v>FFDFD3C0</v>
      </c>
      <c r="D923" t="s">
        <v>113</v>
      </c>
      <c r="E923">
        <v>24</v>
      </c>
      <c r="F923">
        <v>2024</v>
      </c>
      <c r="G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 t="shared" ref="S923:T926" si="278">"22:13:20.000"</f>
        <v>22:13:20.000</v>
      </c>
      <c r="T923" t="str">
        <f t="shared" si="278"/>
        <v>22:13:20.000</v>
      </c>
      <c r="U923" t="str">
        <f t="shared" si="269"/>
        <v>A9D71F</v>
      </c>
      <c r="V923">
        <v>0</v>
      </c>
      <c r="W923">
        <v>0</v>
      </c>
      <c r="X923">
        <v>2</v>
      </c>
      <c r="Z923">
        <v>1</v>
      </c>
      <c r="AA923">
        <v>7</v>
      </c>
      <c r="AB923">
        <v>3</v>
      </c>
      <c r="AC923">
        <v>0</v>
      </c>
      <c r="AD923">
        <v>9</v>
      </c>
      <c r="AE923">
        <v>0</v>
      </c>
      <c r="AF923">
        <v>3</v>
      </c>
      <c r="AG923">
        <v>1</v>
      </c>
      <c r="AH923">
        <v>0</v>
      </c>
      <c r="AI923" t="s">
        <v>508</v>
      </c>
      <c r="AJ923">
        <v>33.157511</v>
      </c>
      <c r="AK923" t="s">
        <v>509</v>
      </c>
      <c r="AL923">
        <v>-97.726113999999995</v>
      </c>
      <c r="AM923">
        <v>25</v>
      </c>
      <c r="AN923">
        <v>3500</v>
      </c>
      <c r="AO923" t="s">
        <v>118</v>
      </c>
      <c r="AP923">
        <v>53</v>
      </c>
      <c r="AQ923">
        <v>-88</v>
      </c>
      <c r="AR923">
        <v>128</v>
      </c>
      <c r="AZ923">
        <v>1200</v>
      </c>
      <c r="BA923">
        <v>1</v>
      </c>
      <c r="BB923" t="str">
        <f t="shared" si="276"/>
        <v xml:space="preserve">N733KP  </v>
      </c>
      <c r="BC923">
        <v>1</v>
      </c>
      <c r="BE923">
        <v>0</v>
      </c>
      <c r="BF923">
        <v>0</v>
      </c>
      <c r="BG923">
        <v>0</v>
      </c>
      <c r="BH923">
        <v>3475</v>
      </c>
      <c r="BI923">
        <v>1</v>
      </c>
      <c r="BJ923">
        <v>1</v>
      </c>
      <c r="BK923">
        <v>0</v>
      </c>
      <c r="BL923">
        <v>0</v>
      </c>
      <c r="BO923">
        <v>0</v>
      </c>
      <c r="BP923">
        <v>0</v>
      </c>
      <c r="BW923" t="str">
        <f>"22:13:20.356"</f>
        <v>22:13:20.356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364</v>
      </c>
      <c r="CR923">
        <v>0</v>
      </c>
      <c r="CW923">
        <v>1399016</v>
      </c>
      <c r="CY923">
        <v>1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"03/24/2022 22:13:20.560"</f>
        <v>03/24/2022 22:13:20.560</v>
      </c>
      <c r="C924" t="str">
        <f t="shared" si="275"/>
        <v>FFDFD3C0</v>
      </c>
      <c r="D924" t="s">
        <v>126</v>
      </c>
      <c r="E924">
        <v>3</v>
      </c>
      <c r="H924">
        <v>160</v>
      </c>
      <c r="I924" t="s">
        <v>121</v>
      </c>
      <c r="J924" t="s">
        <v>127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 t="shared" si="278"/>
        <v>22:13:20.000</v>
      </c>
      <c r="T924" t="str">
        <f t="shared" si="278"/>
        <v>22:13:20.000</v>
      </c>
      <c r="U924" t="str">
        <f t="shared" si="269"/>
        <v>A9D71F</v>
      </c>
      <c r="V924">
        <v>0</v>
      </c>
      <c r="W924">
        <v>0</v>
      </c>
      <c r="X924">
        <v>2</v>
      </c>
      <c r="Z924">
        <v>1</v>
      </c>
      <c r="AA924">
        <v>7</v>
      </c>
      <c r="AB924">
        <v>3</v>
      </c>
      <c r="AC924">
        <v>0</v>
      </c>
      <c r="AD924">
        <v>9</v>
      </c>
      <c r="AE924">
        <v>0</v>
      </c>
      <c r="AF924">
        <v>3</v>
      </c>
      <c r="AG924">
        <v>1</v>
      </c>
      <c r="AH924">
        <v>0</v>
      </c>
      <c r="AI924" t="s">
        <v>508</v>
      </c>
      <c r="AJ924">
        <v>33.157511</v>
      </c>
      <c r="AK924" t="s">
        <v>509</v>
      </c>
      <c r="AL924">
        <v>-97.726113999999995</v>
      </c>
      <c r="AM924">
        <v>25</v>
      </c>
      <c r="AN924">
        <v>3500</v>
      </c>
      <c r="AO924" t="s">
        <v>118</v>
      </c>
      <c r="AP924">
        <v>53</v>
      </c>
      <c r="AQ924">
        <v>-88</v>
      </c>
      <c r="AR924">
        <v>128</v>
      </c>
      <c r="AZ924">
        <v>1200</v>
      </c>
      <c r="BA924">
        <v>1</v>
      </c>
      <c r="BB924" t="str">
        <f t="shared" si="276"/>
        <v xml:space="preserve">N733KP  </v>
      </c>
      <c r="BC924">
        <v>1</v>
      </c>
      <c r="BE924">
        <v>0</v>
      </c>
      <c r="BF924">
        <v>0</v>
      </c>
      <c r="BG924">
        <v>0</v>
      </c>
      <c r="BH924">
        <v>3475</v>
      </c>
      <c r="BI924">
        <v>1</v>
      </c>
      <c r="BJ924">
        <v>1</v>
      </c>
      <c r="BK924">
        <v>0</v>
      </c>
      <c r="BL924">
        <v>0</v>
      </c>
      <c r="BO924">
        <v>0</v>
      </c>
      <c r="BP924">
        <v>0</v>
      </c>
      <c r="BW924" t="str">
        <f>"22:13:20.356"</f>
        <v>22:13:20.356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364</v>
      </c>
      <c r="CR924">
        <v>0</v>
      </c>
      <c r="CW924">
        <v>1399016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"03/24/2022 22:13:20.560"</f>
        <v>03/24/2022 22:13:20.560</v>
      </c>
      <c r="C925" t="str">
        <f t="shared" si="275"/>
        <v>FFDFD3C0</v>
      </c>
      <c r="D925" t="s">
        <v>123</v>
      </c>
      <c r="E925">
        <v>8</v>
      </c>
      <c r="H925">
        <v>31</v>
      </c>
      <c r="I925" t="s">
        <v>124</v>
      </c>
      <c r="J925" t="s">
        <v>125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 t="shared" si="278"/>
        <v>22:13:20.000</v>
      </c>
      <c r="T925" t="str">
        <f t="shared" si="278"/>
        <v>22:13:20.000</v>
      </c>
      <c r="U925" t="str">
        <f t="shared" si="269"/>
        <v>A9D71F</v>
      </c>
      <c r="V925">
        <v>0</v>
      </c>
      <c r="W925">
        <v>0</v>
      </c>
      <c r="X925">
        <v>2</v>
      </c>
      <c r="Z925">
        <v>1</v>
      </c>
      <c r="AA925">
        <v>7</v>
      </c>
      <c r="AB925">
        <v>3</v>
      </c>
      <c r="AC925">
        <v>0</v>
      </c>
      <c r="AD925">
        <v>9</v>
      </c>
      <c r="AE925">
        <v>0</v>
      </c>
      <c r="AF925">
        <v>3</v>
      </c>
      <c r="AG925">
        <v>1</v>
      </c>
      <c r="AH925">
        <v>0</v>
      </c>
      <c r="AI925" t="s">
        <v>508</v>
      </c>
      <c r="AJ925">
        <v>33.157511</v>
      </c>
      <c r="AK925" t="s">
        <v>509</v>
      </c>
      <c r="AL925">
        <v>-97.726113999999995</v>
      </c>
      <c r="AM925">
        <v>25</v>
      </c>
      <c r="AN925">
        <v>3500</v>
      </c>
      <c r="AO925" t="s">
        <v>118</v>
      </c>
      <c r="AP925">
        <v>53</v>
      </c>
      <c r="AQ925">
        <v>-88</v>
      </c>
      <c r="AR925">
        <v>128</v>
      </c>
      <c r="AZ925">
        <v>1200</v>
      </c>
      <c r="BA925">
        <v>1</v>
      </c>
      <c r="BB925" t="str">
        <f t="shared" si="276"/>
        <v xml:space="preserve">N733KP  </v>
      </c>
      <c r="BC925">
        <v>1</v>
      </c>
      <c r="BE925">
        <v>0</v>
      </c>
      <c r="BF925">
        <v>0</v>
      </c>
      <c r="BG925">
        <v>0</v>
      </c>
      <c r="BH925">
        <v>3475</v>
      </c>
      <c r="BI925">
        <v>1</v>
      </c>
      <c r="BJ925">
        <v>1</v>
      </c>
      <c r="BK925">
        <v>0</v>
      </c>
      <c r="BL925">
        <v>0</v>
      </c>
      <c r="BO925">
        <v>0</v>
      </c>
      <c r="BP925">
        <v>0</v>
      </c>
      <c r="BW925" t="str">
        <f>"22:13:20.356"</f>
        <v>22:13:20.356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364</v>
      </c>
      <c r="CR925">
        <v>0</v>
      </c>
      <c r="CW925">
        <v>1399016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"03/24/2022 22:13:20.575"</f>
        <v>03/24/2022 22:13:20.575</v>
      </c>
      <c r="C926" t="str">
        <f t="shared" si="275"/>
        <v>FFDFD3C0</v>
      </c>
      <c r="D926" t="s">
        <v>120</v>
      </c>
      <c r="E926">
        <v>14</v>
      </c>
      <c r="F926">
        <v>1014</v>
      </c>
      <c r="G926" t="s">
        <v>121</v>
      </c>
      <c r="J926" t="s">
        <v>122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 t="shared" si="278"/>
        <v>22:13:20.000</v>
      </c>
      <c r="T926" t="str">
        <f t="shared" si="278"/>
        <v>22:13:20.000</v>
      </c>
      <c r="U926" t="str">
        <f t="shared" si="269"/>
        <v>A9D71F</v>
      </c>
      <c r="V926">
        <v>0</v>
      </c>
      <c r="W926">
        <v>0</v>
      </c>
      <c r="X926">
        <v>2</v>
      </c>
      <c r="Z926">
        <v>1</v>
      </c>
      <c r="AA926">
        <v>7</v>
      </c>
      <c r="AB926">
        <v>3</v>
      </c>
      <c r="AC926">
        <v>0</v>
      </c>
      <c r="AD926">
        <v>9</v>
      </c>
      <c r="AE926">
        <v>0</v>
      </c>
      <c r="AF926">
        <v>3</v>
      </c>
      <c r="AG926">
        <v>1</v>
      </c>
      <c r="AH926">
        <v>0</v>
      </c>
      <c r="AI926" t="s">
        <v>508</v>
      </c>
      <c r="AJ926">
        <v>33.157511</v>
      </c>
      <c r="AK926" t="s">
        <v>509</v>
      </c>
      <c r="AL926">
        <v>-97.726113999999995</v>
      </c>
      <c r="AM926">
        <v>25</v>
      </c>
      <c r="AN926">
        <v>3500</v>
      </c>
      <c r="AO926" t="s">
        <v>118</v>
      </c>
      <c r="AP926">
        <v>53</v>
      </c>
      <c r="AQ926">
        <v>-88</v>
      </c>
      <c r="AR926">
        <v>128</v>
      </c>
      <c r="AZ926">
        <v>1200</v>
      </c>
      <c r="BA926">
        <v>1</v>
      </c>
      <c r="BB926" t="str">
        <f t="shared" si="276"/>
        <v xml:space="preserve">N733KP  </v>
      </c>
      <c r="BC926">
        <v>1</v>
      </c>
      <c r="BE926">
        <v>0</v>
      </c>
      <c r="BF926">
        <v>0</v>
      </c>
      <c r="BG926">
        <v>0</v>
      </c>
      <c r="BH926">
        <v>3475</v>
      </c>
      <c r="BI926">
        <v>1</v>
      </c>
      <c r="BJ926">
        <v>1</v>
      </c>
      <c r="BK926">
        <v>0</v>
      </c>
      <c r="BL926">
        <v>0</v>
      </c>
      <c r="BO926">
        <v>0</v>
      </c>
      <c r="BP926">
        <v>0</v>
      </c>
      <c r="BW926" t="str">
        <f>"22:13:20.356"</f>
        <v>22:13:20.356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364</v>
      </c>
      <c r="CR926">
        <v>0</v>
      </c>
      <c r="CW926">
        <v>1399016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"03/24/2022 22:13:22.015"</f>
        <v>03/24/2022 22:13:22.015</v>
      </c>
      <c r="C927" t="str">
        <f t="shared" si="275"/>
        <v>FFDFD3C0</v>
      </c>
      <c r="D927" t="s">
        <v>120</v>
      </c>
      <c r="E927">
        <v>14</v>
      </c>
      <c r="F927">
        <v>1014</v>
      </c>
      <c r="G927" t="s">
        <v>121</v>
      </c>
      <c r="J927" t="s">
        <v>122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 t="shared" ref="S927:T930" si="279">"22:13:21.000"</f>
        <v>22:13:21.000</v>
      </c>
      <c r="T927" t="str">
        <f t="shared" si="279"/>
        <v>22:13:21.000</v>
      </c>
      <c r="U927" t="str">
        <f t="shared" si="269"/>
        <v>A9D71F</v>
      </c>
      <c r="V927">
        <v>0</v>
      </c>
      <c r="W927">
        <v>0</v>
      </c>
      <c r="X927">
        <v>2</v>
      </c>
      <c r="Z927">
        <v>1</v>
      </c>
      <c r="AA927">
        <v>7</v>
      </c>
      <c r="AB927">
        <v>3</v>
      </c>
      <c r="AC927">
        <v>0</v>
      </c>
      <c r="AD927">
        <v>9</v>
      </c>
      <c r="AE927">
        <v>0</v>
      </c>
      <c r="AF927">
        <v>3</v>
      </c>
      <c r="AG927">
        <v>1</v>
      </c>
      <c r="AH927">
        <v>0</v>
      </c>
      <c r="AI927" t="s">
        <v>510</v>
      </c>
      <c r="AJ927">
        <v>33.157102999999999</v>
      </c>
      <c r="AK927" t="s">
        <v>511</v>
      </c>
      <c r="AL927">
        <v>-97.725813000000002</v>
      </c>
      <c r="AM927">
        <v>25</v>
      </c>
      <c r="AN927">
        <v>3500</v>
      </c>
      <c r="AO927" t="s">
        <v>118</v>
      </c>
      <c r="AP927">
        <v>54</v>
      </c>
      <c r="AQ927">
        <v>-90</v>
      </c>
      <c r="AR927">
        <v>64</v>
      </c>
      <c r="AZ927">
        <v>1200</v>
      </c>
      <c r="BA927">
        <v>1</v>
      </c>
      <c r="BB927" t="str">
        <f t="shared" si="276"/>
        <v xml:space="preserve">N733KP  </v>
      </c>
      <c r="BC927">
        <v>1</v>
      </c>
      <c r="BE927">
        <v>0</v>
      </c>
      <c r="BF927">
        <v>0</v>
      </c>
      <c r="BG927">
        <v>0</v>
      </c>
      <c r="BH927">
        <v>3475</v>
      </c>
      <c r="BI927">
        <v>1</v>
      </c>
      <c r="BJ927">
        <v>1</v>
      </c>
      <c r="BK927">
        <v>0</v>
      </c>
      <c r="BL927">
        <v>0</v>
      </c>
      <c r="BO927">
        <v>0</v>
      </c>
      <c r="BP927">
        <v>0</v>
      </c>
      <c r="BW927" t="str">
        <f>"22:13:21.855"</f>
        <v>22:13:21.855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6</v>
      </c>
      <c r="CP927" t="s">
        <v>119</v>
      </c>
      <c r="CQ927">
        <v>364</v>
      </c>
      <c r="CR927">
        <v>0</v>
      </c>
      <c r="CW927">
        <v>1399249</v>
      </c>
      <c r="CY927">
        <v>1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"03/24/2022 22:13:22.031"</f>
        <v>03/24/2022 22:13:22.031</v>
      </c>
      <c r="C928" t="str">
        <f t="shared" si="275"/>
        <v>FFDFD3C0</v>
      </c>
      <c r="D928" t="s">
        <v>113</v>
      </c>
      <c r="E928">
        <v>24</v>
      </c>
      <c r="F928">
        <v>2024</v>
      </c>
      <c r="G928" t="s">
        <v>114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 t="shared" si="279"/>
        <v>22:13:21.000</v>
      </c>
      <c r="T928" t="str">
        <f t="shared" si="279"/>
        <v>22:13:21.000</v>
      </c>
      <c r="U928" t="str">
        <f t="shared" si="269"/>
        <v>A9D71F</v>
      </c>
      <c r="V928">
        <v>0</v>
      </c>
      <c r="W928">
        <v>0</v>
      </c>
      <c r="X928">
        <v>2</v>
      </c>
      <c r="Z928">
        <v>1</v>
      </c>
      <c r="AA928">
        <v>7</v>
      </c>
      <c r="AB928">
        <v>3</v>
      </c>
      <c r="AC928">
        <v>0</v>
      </c>
      <c r="AD928">
        <v>9</v>
      </c>
      <c r="AE928">
        <v>0</v>
      </c>
      <c r="AF928">
        <v>3</v>
      </c>
      <c r="AG928">
        <v>1</v>
      </c>
      <c r="AH928">
        <v>0</v>
      </c>
      <c r="AI928" t="s">
        <v>510</v>
      </c>
      <c r="AJ928">
        <v>33.157102999999999</v>
      </c>
      <c r="AK928" t="s">
        <v>511</v>
      </c>
      <c r="AL928">
        <v>-97.725813000000002</v>
      </c>
      <c r="AM928">
        <v>25</v>
      </c>
      <c r="AN928">
        <v>3500</v>
      </c>
      <c r="AO928" t="s">
        <v>118</v>
      </c>
      <c r="AP928">
        <v>54</v>
      </c>
      <c r="AQ928">
        <v>-90</v>
      </c>
      <c r="AR928">
        <v>64</v>
      </c>
      <c r="AZ928">
        <v>1200</v>
      </c>
      <c r="BA928">
        <v>1</v>
      </c>
      <c r="BB928" t="str">
        <f t="shared" si="276"/>
        <v xml:space="preserve">N733KP  </v>
      </c>
      <c r="BC928">
        <v>1</v>
      </c>
      <c r="BE928">
        <v>0</v>
      </c>
      <c r="BF928">
        <v>0</v>
      </c>
      <c r="BG928">
        <v>0</v>
      </c>
      <c r="BH928">
        <v>3475</v>
      </c>
      <c r="BI928">
        <v>1</v>
      </c>
      <c r="BJ928">
        <v>1</v>
      </c>
      <c r="BK928">
        <v>0</v>
      </c>
      <c r="BL928">
        <v>0</v>
      </c>
      <c r="BO928">
        <v>0</v>
      </c>
      <c r="BP928">
        <v>0</v>
      </c>
      <c r="BW928" t="str">
        <f>"22:13:21.855"</f>
        <v>22:13:21.855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6</v>
      </c>
      <c r="CP928" t="s">
        <v>119</v>
      </c>
      <c r="CQ928">
        <v>364</v>
      </c>
      <c r="CR928">
        <v>0</v>
      </c>
      <c r="CW928">
        <v>1399249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"03/24/2022 22:13:22.031"</f>
        <v>03/24/2022 22:13:22.031</v>
      </c>
      <c r="C929" t="str">
        <f t="shared" si="275"/>
        <v>FFDFD3C0</v>
      </c>
      <c r="D929" t="s">
        <v>126</v>
      </c>
      <c r="E929">
        <v>3</v>
      </c>
      <c r="H929">
        <v>160</v>
      </c>
      <c r="I929" t="s">
        <v>121</v>
      </c>
      <c r="J929" t="s">
        <v>127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S929" t="str">
        <f t="shared" si="279"/>
        <v>22:13:21.000</v>
      </c>
      <c r="T929" t="str">
        <f t="shared" si="279"/>
        <v>22:13:21.000</v>
      </c>
      <c r="U929" t="str">
        <f t="shared" si="269"/>
        <v>A9D71F</v>
      </c>
      <c r="V929">
        <v>0</v>
      </c>
      <c r="W929">
        <v>0</v>
      </c>
      <c r="X929">
        <v>2</v>
      </c>
      <c r="Z929">
        <v>1</v>
      </c>
      <c r="AA929">
        <v>7</v>
      </c>
      <c r="AB929">
        <v>3</v>
      </c>
      <c r="AC929">
        <v>0</v>
      </c>
      <c r="AD929">
        <v>9</v>
      </c>
      <c r="AE929">
        <v>0</v>
      </c>
      <c r="AF929">
        <v>3</v>
      </c>
      <c r="AG929">
        <v>1</v>
      </c>
      <c r="AH929">
        <v>0</v>
      </c>
      <c r="AI929" t="s">
        <v>510</v>
      </c>
      <c r="AJ929">
        <v>33.157102999999999</v>
      </c>
      <c r="AK929" t="s">
        <v>511</v>
      </c>
      <c r="AL929">
        <v>-97.725813000000002</v>
      </c>
      <c r="AM929">
        <v>25</v>
      </c>
      <c r="AN929">
        <v>3500</v>
      </c>
      <c r="AO929" t="s">
        <v>118</v>
      </c>
      <c r="AP929">
        <v>54</v>
      </c>
      <c r="AQ929">
        <v>-90</v>
      </c>
      <c r="AR929">
        <v>64</v>
      </c>
      <c r="AZ929">
        <v>1200</v>
      </c>
      <c r="BA929">
        <v>1</v>
      </c>
      <c r="BB929" t="str">
        <f t="shared" si="276"/>
        <v xml:space="preserve">N733KP  </v>
      </c>
      <c r="BC929">
        <v>1</v>
      </c>
      <c r="BE929">
        <v>0</v>
      </c>
      <c r="BF929">
        <v>0</v>
      </c>
      <c r="BG929">
        <v>0</v>
      </c>
      <c r="BH929">
        <v>3475</v>
      </c>
      <c r="BI929">
        <v>1</v>
      </c>
      <c r="BJ929">
        <v>1</v>
      </c>
      <c r="BK929">
        <v>0</v>
      </c>
      <c r="BL929">
        <v>0</v>
      </c>
      <c r="BO929">
        <v>0</v>
      </c>
      <c r="BP929">
        <v>0</v>
      </c>
      <c r="BW929" t="str">
        <f>"22:13:21.855"</f>
        <v>22:13:21.855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6</v>
      </c>
      <c r="CP929" t="s">
        <v>119</v>
      </c>
      <c r="CQ929">
        <v>364</v>
      </c>
      <c r="CR929">
        <v>0</v>
      </c>
      <c r="CW929">
        <v>1399249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"03/24/2022 22:13:22.031"</f>
        <v>03/24/2022 22:13:22.031</v>
      </c>
      <c r="C930" t="str">
        <f t="shared" si="275"/>
        <v>FFDFD3C0</v>
      </c>
      <c r="D930" t="s">
        <v>123</v>
      </c>
      <c r="E930">
        <v>8</v>
      </c>
      <c r="H930">
        <v>31</v>
      </c>
      <c r="I930" t="s">
        <v>124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S930" t="str">
        <f t="shared" si="279"/>
        <v>22:13:21.000</v>
      </c>
      <c r="T930" t="str">
        <f t="shared" si="279"/>
        <v>22:13:21.000</v>
      </c>
      <c r="U930" t="str">
        <f t="shared" si="269"/>
        <v>A9D71F</v>
      </c>
      <c r="V930">
        <v>0</v>
      </c>
      <c r="W930">
        <v>0</v>
      </c>
      <c r="X930">
        <v>2</v>
      </c>
      <c r="Z930">
        <v>1</v>
      </c>
      <c r="AA930">
        <v>7</v>
      </c>
      <c r="AB930">
        <v>3</v>
      </c>
      <c r="AC930">
        <v>0</v>
      </c>
      <c r="AD930">
        <v>9</v>
      </c>
      <c r="AE930">
        <v>0</v>
      </c>
      <c r="AF930">
        <v>3</v>
      </c>
      <c r="AG930">
        <v>1</v>
      </c>
      <c r="AH930">
        <v>0</v>
      </c>
      <c r="AI930" t="s">
        <v>510</v>
      </c>
      <c r="AJ930">
        <v>33.157102999999999</v>
      </c>
      <c r="AK930" t="s">
        <v>511</v>
      </c>
      <c r="AL930">
        <v>-97.725813000000002</v>
      </c>
      <c r="AM930">
        <v>25</v>
      </c>
      <c r="AN930">
        <v>3500</v>
      </c>
      <c r="AO930" t="s">
        <v>118</v>
      </c>
      <c r="AP930">
        <v>54</v>
      </c>
      <c r="AQ930">
        <v>-90</v>
      </c>
      <c r="AR930">
        <v>64</v>
      </c>
      <c r="AZ930">
        <v>1200</v>
      </c>
      <c r="BA930">
        <v>1</v>
      </c>
      <c r="BB930" t="str">
        <f t="shared" si="276"/>
        <v xml:space="preserve">N733KP  </v>
      </c>
      <c r="BC930">
        <v>1</v>
      </c>
      <c r="BE930">
        <v>0</v>
      </c>
      <c r="BF930">
        <v>0</v>
      </c>
      <c r="BG930">
        <v>0</v>
      </c>
      <c r="BH930">
        <v>3475</v>
      </c>
      <c r="BI930">
        <v>1</v>
      </c>
      <c r="BJ930">
        <v>1</v>
      </c>
      <c r="BK930">
        <v>0</v>
      </c>
      <c r="BL930">
        <v>0</v>
      </c>
      <c r="BO930">
        <v>0</v>
      </c>
      <c r="BP930">
        <v>0</v>
      </c>
      <c r="BW930" t="str">
        <f>"22:13:21.855"</f>
        <v>22:13:21.855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6</v>
      </c>
      <c r="CP930" t="s">
        <v>119</v>
      </c>
      <c r="CQ930">
        <v>364</v>
      </c>
      <c r="CR930">
        <v>0</v>
      </c>
      <c r="CW930">
        <v>1399249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"03/24/2022 22:13:22.656"</f>
        <v>03/24/2022 22:13:22.656</v>
      </c>
      <c r="C931" t="str">
        <f t="shared" si="275"/>
        <v>FFDFD3C0</v>
      </c>
      <c r="D931" t="s">
        <v>120</v>
      </c>
      <c r="E931">
        <v>14</v>
      </c>
      <c r="F931">
        <v>1014</v>
      </c>
      <c r="G931" t="s">
        <v>121</v>
      </c>
      <c r="J931" t="s">
        <v>122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 t="shared" ref="S931:T934" si="280">"22:13:22.000"</f>
        <v>22:13:22.000</v>
      </c>
      <c r="T931" t="str">
        <f t="shared" si="280"/>
        <v>22:13:22.000</v>
      </c>
      <c r="U931" t="str">
        <f t="shared" si="269"/>
        <v>A9D71F</v>
      </c>
      <c r="V931">
        <v>0</v>
      </c>
      <c r="W931">
        <v>0</v>
      </c>
      <c r="X931">
        <v>2</v>
      </c>
      <c r="Z931">
        <v>1</v>
      </c>
      <c r="AA931">
        <v>7</v>
      </c>
      <c r="AB931">
        <v>3</v>
      </c>
      <c r="AC931">
        <v>0</v>
      </c>
      <c r="AD931">
        <v>9</v>
      </c>
      <c r="AE931">
        <v>0</v>
      </c>
      <c r="AF931">
        <v>3</v>
      </c>
      <c r="AG931">
        <v>1</v>
      </c>
      <c r="AH931">
        <v>0</v>
      </c>
      <c r="AI931" t="s">
        <v>512</v>
      </c>
      <c r="AJ931">
        <v>33.156674000000002</v>
      </c>
      <c r="AK931" t="s">
        <v>513</v>
      </c>
      <c r="AL931">
        <v>-97.725492000000003</v>
      </c>
      <c r="AM931">
        <v>25</v>
      </c>
      <c r="AN931">
        <v>3500</v>
      </c>
      <c r="AO931" t="s">
        <v>118</v>
      </c>
      <c r="AP931">
        <v>53</v>
      </c>
      <c r="AQ931">
        <v>-89</v>
      </c>
      <c r="AR931">
        <v>64</v>
      </c>
      <c r="AZ931">
        <v>1200</v>
      </c>
      <c r="BA931">
        <v>1</v>
      </c>
      <c r="BB931" t="str">
        <f t="shared" si="276"/>
        <v xml:space="preserve">N733KP  </v>
      </c>
      <c r="BC931">
        <v>1</v>
      </c>
      <c r="BE931">
        <v>0</v>
      </c>
      <c r="BF931">
        <v>0</v>
      </c>
      <c r="BG931">
        <v>0</v>
      </c>
      <c r="BH931">
        <v>3475</v>
      </c>
      <c r="BI931">
        <v>1</v>
      </c>
      <c r="BJ931">
        <v>1</v>
      </c>
      <c r="BK931">
        <v>0</v>
      </c>
      <c r="BL931">
        <v>0</v>
      </c>
      <c r="BO931">
        <v>0</v>
      </c>
      <c r="BP931">
        <v>0</v>
      </c>
      <c r="BW931" t="str">
        <f>"22:13:22.511"</f>
        <v>22:13:22.511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364</v>
      </c>
      <c r="CR931">
        <v>0</v>
      </c>
      <c r="CW931">
        <v>1399349</v>
      </c>
      <c r="CY931">
        <v>1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"03/24/2022 22:13:22.687"</f>
        <v>03/24/2022 22:13:22.687</v>
      </c>
      <c r="C932" t="str">
        <f t="shared" si="275"/>
        <v>FFDFD3C0</v>
      </c>
      <c r="D932" t="s">
        <v>113</v>
      </c>
      <c r="E932">
        <v>24</v>
      </c>
      <c r="F932">
        <v>2024</v>
      </c>
      <c r="G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 t="shared" si="280"/>
        <v>22:13:22.000</v>
      </c>
      <c r="T932" t="str">
        <f t="shared" si="280"/>
        <v>22:13:22.000</v>
      </c>
      <c r="U932" t="str">
        <f t="shared" si="269"/>
        <v>A9D71F</v>
      </c>
      <c r="V932">
        <v>0</v>
      </c>
      <c r="W932">
        <v>0</v>
      </c>
      <c r="X932">
        <v>2</v>
      </c>
      <c r="Z932">
        <v>1</v>
      </c>
      <c r="AA932">
        <v>7</v>
      </c>
      <c r="AB932">
        <v>3</v>
      </c>
      <c r="AC932">
        <v>0</v>
      </c>
      <c r="AD932">
        <v>9</v>
      </c>
      <c r="AE932">
        <v>0</v>
      </c>
      <c r="AF932">
        <v>3</v>
      </c>
      <c r="AG932">
        <v>1</v>
      </c>
      <c r="AH932">
        <v>0</v>
      </c>
      <c r="AI932" t="s">
        <v>512</v>
      </c>
      <c r="AJ932">
        <v>33.156674000000002</v>
      </c>
      <c r="AK932" t="s">
        <v>513</v>
      </c>
      <c r="AL932">
        <v>-97.725492000000003</v>
      </c>
      <c r="AM932">
        <v>25</v>
      </c>
      <c r="AN932">
        <v>3500</v>
      </c>
      <c r="AO932" t="s">
        <v>118</v>
      </c>
      <c r="AP932">
        <v>53</v>
      </c>
      <c r="AQ932">
        <v>-89</v>
      </c>
      <c r="AR932">
        <v>64</v>
      </c>
      <c r="AZ932">
        <v>1200</v>
      </c>
      <c r="BA932">
        <v>1</v>
      </c>
      <c r="BB932" t="str">
        <f t="shared" si="276"/>
        <v xml:space="preserve">N733KP  </v>
      </c>
      <c r="BC932">
        <v>1</v>
      </c>
      <c r="BE932">
        <v>0</v>
      </c>
      <c r="BF932">
        <v>0</v>
      </c>
      <c r="BG932">
        <v>0</v>
      </c>
      <c r="BH932">
        <v>3475</v>
      </c>
      <c r="BI932">
        <v>1</v>
      </c>
      <c r="BJ932">
        <v>1</v>
      </c>
      <c r="BK932">
        <v>0</v>
      </c>
      <c r="BL932">
        <v>0</v>
      </c>
      <c r="BO932">
        <v>0</v>
      </c>
      <c r="BP932">
        <v>0</v>
      </c>
      <c r="BW932" t="str">
        <f>"22:13:22.511"</f>
        <v>22:13:22.511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364</v>
      </c>
      <c r="CR932">
        <v>0</v>
      </c>
      <c r="CW932">
        <v>1399349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"03/24/2022 22:13:22.687"</f>
        <v>03/24/2022 22:13:22.687</v>
      </c>
      <c r="C933" t="str">
        <f t="shared" si="275"/>
        <v>FFDFD3C0</v>
      </c>
      <c r="D933" t="s">
        <v>126</v>
      </c>
      <c r="E933">
        <v>3</v>
      </c>
      <c r="H933">
        <v>160</v>
      </c>
      <c r="I933" t="s">
        <v>121</v>
      </c>
      <c r="J933" t="s">
        <v>127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 t="shared" si="280"/>
        <v>22:13:22.000</v>
      </c>
      <c r="T933" t="str">
        <f t="shared" si="280"/>
        <v>22:13:22.000</v>
      </c>
      <c r="U933" t="str">
        <f t="shared" si="269"/>
        <v>A9D71F</v>
      </c>
      <c r="V933">
        <v>0</v>
      </c>
      <c r="W933">
        <v>0</v>
      </c>
      <c r="X933">
        <v>2</v>
      </c>
      <c r="Z933">
        <v>1</v>
      </c>
      <c r="AA933">
        <v>7</v>
      </c>
      <c r="AB933">
        <v>3</v>
      </c>
      <c r="AC933">
        <v>0</v>
      </c>
      <c r="AD933">
        <v>9</v>
      </c>
      <c r="AE933">
        <v>0</v>
      </c>
      <c r="AF933">
        <v>3</v>
      </c>
      <c r="AG933">
        <v>1</v>
      </c>
      <c r="AH933">
        <v>0</v>
      </c>
      <c r="AI933" t="s">
        <v>512</v>
      </c>
      <c r="AJ933">
        <v>33.156674000000002</v>
      </c>
      <c r="AK933" t="s">
        <v>513</v>
      </c>
      <c r="AL933">
        <v>-97.725492000000003</v>
      </c>
      <c r="AM933">
        <v>25</v>
      </c>
      <c r="AN933">
        <v>3500</v>
      </c>
      <c r="AO933" t="s">
        <v>118</v>
      </c>
      <c r="AP933">
        <v>53</v>
      </c>
      <c r="AQ933">
        <v>-89</v>
      </c>
      <c r="AR933">
        <v>64</v>
      </c>
      <c r="AZ933">
        <v>1200</v>
      </c>
      <c r="BA933">
        <v>1</v>
      </c>
      <c r="BB933" t="str">
        <f t="shared" si="276"/>
        <v xml:space="preserve">N733KP  </v>
      </c>
      <c r="BC933">
        <v>1</v>
      </c>
      <c r="BE933">
        <v>0</v>
      </c>
      <c r="BF933">
        <v>0</v>
      </c>
      <c r="BG933">
        <v>0</v>
      </c>
      <c r="BH933">
        <v>3475</v>
      </c>
      <c r="BI933">
        <v>1</v>
      </c>
      <c r="BJ933">
        <v>1</v>
      </c>
      <c r="BK933">
        <v>0</v>
      </c>
      <c r="BL933">
        <v>0</v>
      </c>
      <c r="BO933">
        <v>0</v>
      </c>
      <c r="BP933">
        <v>0</v>
      </c>
      <c r="BW933" t="str">
        <f>"22:13:22.511"</f>
        <v>22:13:22.511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364</v>
      </c>
      <c r="CR933">
        <v>0</v>
      </c>
      <c r="CW933">
        <v>1399349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"03/24/2022 22:13:22.687"</f>
        <v>03/24/2022 22:13:22.687</v>
      </c>
      <c r="C934" t="str">
        <f t="shared" si="275"/>
        <v>FFDFD3C0</v>
      </c>
      <c r="D934" t="s">
        <v>123</v>
      </c>
      <c r="E934">
        <v>8</v>
      </c>
      <c r="H934">
        <v>31</v>
      </c>
      <c r="I934" t="s">
        <v>124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 t="shared" si="280"/>
        <v>22:13:22.000</v>
      </c>
      <c r="T934" t="str">
        <f t="shared" si="280"/>
        <v>22:13:22.000</v>
      </c>
      <c r="U934" t="str">
        <f t="shared" si="269"/>
        <v>A9D71F</v>
      </c>
      <c r="V934">
        <v>0</v>
      </c>
      <c r="W934">
        <v>0</v>
      </c>
      <c r="X934">
        <v>2</v>
      </c>
      <c r="Z934">
        <v>1</v>
      </c>
      <c r="AA934">
        <v>7</v>
      </c>
      <c r="AB934">
        <v>3</v>
      </c>
      <c r="AC934">
        <v>0</v>
      </c>
      <c r="AD934">
        <v>9</v>
      </c>
      <c r="AE934">
        <v>0</v>
      </c>
      <c r="AF934">
        <v>3</v>
      </c>
      <c r="AG934">
        <v>1</v>
      </c>
      <c r="AH934">
        <v>0</v>
      </c>
      <c r="AI934" t="s">
        <v>512</v>
      </c>
      <c r="AJ934">
        <v>33.156674000000002</v>
      </c>
      <c r="AK934" t="s">
        <v>513</v>
      </c>
      <c r="AL934">
        <v>-97.725492000000003</v>
      </c>
      <c r="AM934">
        <v>25</v>
      </c>
      <c r="AN934">
        <v>3500</v>
      </c>
      <c r="AO934" t="s">
        <v>118</v>
      </c>
      <c r="AP934">
        <v>53</v>
      </c>
      <c r="AQ934">
        <v>-89</v>
      </c>
      <c r="AR934">
        <v>64</v>
      </c>
      <c r="AZ934">
        <v>1200</v>
      </c>
      <c r="BA934">
        <v>1</v>
      </c>
      <c r="BB934" t="str">
        <f t="shared" si="276"/>
        <v xml:space="preserve">N733KP  </v>
      </c>
      <c r="BC934">
        <v>1</v>
      </c>
      <c r="BE934">
        <v>0</v>
      </c>
      <c r="BF934">
        <v>0</v>
      </c>
      <c r="BG934">
        <v>0</v>
      </c>
      <c r="BH934">
        <v>3475</v>
      </c>
      <c r="BI934">
        <v>1</v>
      </c>
      <c r="BJ934">
        <v>1</v>
      </c>
      <c r="BK934">
        <v>0</v>
      </c>
      <c r="BL934">
        <v>0</v>
      </c>
      <c r="BO934">
        <v>0</v>
      </c>
      <c r="BP934">
        <v>0</v>
      </c>
      <c r="BW934" t="str">
        <f>"22:13:22.511"</f>
        <v>22:13:22.511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364</v>
      </c>
      <c r="CR934">
        <v>0</v>
      </c>
      <c r="CW934">
        <v>1399349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"03/24/2022 22:13:23.424"</f>
        <v>03/24/2022 22:13:23.424</v>
      </c>
      <c r="C935" t="str">
        <f t="shared" si="275"/>
        <v>FFDFD3C0</v>
      </c>
      <c r="D935" t="s">
        <v>120</v>
      </c>
      <c r="E935">
        <v>14</v>
      </c>
      <c r="F935">
        <v>1014</v>
      </c>
      <c r="G935" t="s">
        <v>121</v>
      </c>
      <c r="J935" t="s">
        <v>122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 t="shared" ref="S935:T937" si="281">"22:13:23.000"</f>
        <v>22:13:23.000</v>
      </c>
      <c r="T935" t="str">
        <f t="shared" si="281"/>
        <v>22:13:23.000</v>
      </c>
      <c r="U935" t="str">
        <f t="shared" si="269"/>
        <v>A9D71F</v>
      </c>
      <c r="V935">
        <v>0</v>
      </c>
      <c r="W935">
        <v>0</v>
      </c>
      <c r="X935">
        <v>2</v>
      </c>
      <c r="Z935">
        <v>1</v>
      </c>
      <c r="AA935">
        <v>7</v>
      </c>
      <c r="AB935">
        <v>3</v>
      </c>
      <c r="AC935">
        <v>0</v>
      </c>
      <c r="AD935">
        <v>9</v>
      </c>
      <c r="AE935">
        <v>0</v>
      </c>
      <c r="AF935">
        <v>3</v>
      </c>
      <c r="AG935">
        <v>1</v>
      </c>
      <c r="AH935">
        <v>0</v>
      </c>
      <c r="AI935" t="s">
        <v>514</v>
      </c>
      <c r="AJ935">
        <v>33.156244999999998</v>
      </c>
      <c r="AK935" t="s">
        <v>515</v>
      </c>
      <c r="AL935">
        <v>-97.725170000000006</v>
      </c>
      <c r="AM935">
        <v>25</v>
      </c>
      <c r="AN935">
        <v>3500</v>
      </c>
      <c r="AO935" t="s">
        <v>118</v>
      </c>
      <c r="AP935">
        <v>53</v>
      </c>
      <c r="AQ935">
        <v>-89</v>
      </c>
      <c r="AR935">
        <v>64</v>
      </c>
      <c r="AZ935">
        <v>1200</v>
      </c>
      <c r="BA935">
        <v>1</v>
      </c>
      <c r="BB935" t="str">
        <f t="shared" si="276"/>
        <v xml:space="preserve">N733KP  </v>
      </c>
      <c r="BC935">
        <v>1</v>
      </c>
      <c r="BE935">
        <v>0</v>
      </c>
      <c r="BF935">
        <v>0</v>
      </c>
      <c r="BG935">
        <v>0</v>
      </c>
      <c r="BH935">
        <v>3475</v>
      </c>
      <c r="BI935">
        <v>1</v>
      </c>
      <c r="BJ935">
        <v>1</v>
      </c>
      <c r="BK935">
        <v>0</v>
      </c>
      <c r="BL935">
        <v>0</v>
      </c>
      <c r="BO935">
        <v>0</v>
      </c>
      <c r="BP935">
        <v>0</v>
      </c>
      <c r="BW935" t="str">
        <f>"22:13:23.218"</f>
        <v>22:13:23.218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2</v>
      </c>
      <c r="CP935" t="s">
        <v>119</v>
      </c>
      <c r="CQ935">
        <v>439</v>
      </c>
      <c r="CR935">
        <v>0</v>
      </c>
      <c r="CW935">
        <v>11499585</v>
      </c>
      <c r="CY935">
        <v>1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"03/24/2022 22:13:23.439"</f>
        <v>03/24/2022 22:13:23.439</v>
      </c>
      <c r="C936" t="str">
        <f t="shared" si="275"/>
        <v>FFDFD3C0</v>
      </c>
      <c r="D936" t="s">
        <v>113</v>
      </c>
      <c r="E936">
        <v>24</v>
      </c>
      <c r="F936">
        <v>2024</v>
      </c>
      <c r="G936" t="s">
        <v>114</v>
      </c>
      <c r="J936" t="s">
        <v>115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 t="shared" si="281"/>
        <v>22:13:23.000</v>
      </c>
      <c r="T936" t="str">
        <f t="shared" si="281"/>
        <v>22:13:23.000</v>
      </c>
      <c r="U936" t="str">
        <f t="shared" si="269"/>
        <v>A9D71F</v>
      </c>
      <c r="V936">
        <v>0</v>
      </c>
      <c r="W936">
        <v>0</v>
      </c>
      <c r="X936">
        <v>2</v>
      </c>
      <c r="Z936">
        <v>1</v>
      </c>
      <c r="AA936">
        <v>7</v>
      </c>
      <c r="AB936">
        <v>3</v>
      </c>
      <c r="AC936">
        <v>0</v>
      </c>
      <c r="AD936">
        <v>9</v>
      </c>
      <c r="AE936">
        <v>0</v>
      </c>
      <c r="AF936">
        <v>3</v>
      </c>
      <c r="AG936">
        <v>1</v>
      </c>
      <c r="AH936">
        <v>0</v>
      </c>
      <c r="AI936" t="s">
        <v>514</v>
      </c>
      <c r="AJ936">
        <v>33.156244999999998</v>
      </c>
      <c r="AK936" t="s">
        <v>515</v>
      </c>
      <c r="AL936">
        <v>-97.725170000000006</v>
      </c>
      <c r="AM936">
        <v>25</v>
      </c>
      <c r="AN936">
        <v>3500</v>
      </c>
      <c r="AO936" t="s">
        <v>118</v>
      </c>
      <c r="AP936">
        <v>53</v>
      </c>
      <c r="AQ936">
        <v>-89</v>
      </c>
      <c r="AR936">
        <v>64</v>
      </c>
      <c r="AZ936">
        <v>1200</v>
      </c>
      <c r="BA936">
        <v>1</v>
      </c>
      <c r="BB936" t="str">
        <f t="shared" si="276"/>
        <v xml:space="preserve">N733KP  </v>
      </c>
      <c r="BC936">
        <v>1</v>
      </c>
      <c r="BE936">
        <v>0</v>
      </c>
      <c r="BF936">
        <v>0</v>
      </c>
      <c r="BG936">
        <v>0</v>
      </c>
      <c r="BH936">
        <v>3475</v>
      </c>
      <c r="BI936">
        <v>1</v>
      </c>
      <c r="BJ936">
        <v>1</v>
      </c>
      <c r="BK936">
        <v>0</v>
      </c>
      <c r="BL936">
        <v>0</v>
      </c>
      <c r="BO936">
        <v>0</v>
      </c>
      <c r="BP936">
        <v>0</v>
      </c>
      <c r="BW936" t="str">
        <f>"22:13:23.218"</f>
        <v>22:13:23.218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2</v>
      </c>
      <c r="CP936" t="s">
        <v>119</v>
      </c>
      <c r="CQ936">
        <v>439</v>
      </c>
      <c r="CR936">
        <v>0</v>
      </c>
      <c r="CW936">
        <v>11499585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"03/24/2022 22:13:23.439"</f>
        <v>03/24/2022 22:13:23.439</v>
      </c>
      <c r="C937" t="str">
        <f t="shared" si="275"/>
        <v>FFDFD3C0</v>
      </c>
      <c r="D937" t="s">
        <v>126</v>
      </c>
      <c r="E937">
        <v>3</v>
      </c>
      <c r="H937">
        <v>160</v>
      </c>
      <c r="I937" t="s">
        <v>121</v>
      </c>
      <c r="J937" t="s">
        <v>127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 t="shared" si="281"/>
        <v>22:13:23.000</v>
      </c>
      <c r="T937" t="str">
        <f t="shared" si="281"/>
        <v>22:13:23.000</v>
      </c>
      <c r="U937" t="str">
        <f t="shared" si="269"/>
        <v>A9D71F</v>
      </c>
      <c r="V937">
        <v>0</v>
      </c>
      <c r="W937">
        <v>0</v>
      </c>
      <c r="X937">
        <v>2</v>
      </c>
      <c r="Z937">
        <v>1</v>
      </c>
      <c r="AA937">
        <v>7</v>
      </c>
      <c r="AB937">
        <v>3</v>
      </c>
      <c r="AC937">
        <v>0</v>
      </c>
      <c r="AD937">
        <v>9</v>
      </c>
      <c r="AE937">
        <v>0</v>
      </c>
      <c r="AF937">
        <v>3</v>
      </c>
      <c r="AG937">
        <v>1</v>
      </c>
      <c r="AH937">
        <v>0</v>
      </c>
      <c r="AI937" t="s">
        <v>514</v>
      </c>
      <c r="AJ937">
        <v>33.156244999999998</v>
      </c>
      <c r="AK937" t="s">
        <v>515</v>
      </c>
      <c r="AL937">
        <v>-97.725170000000006</v>
      </c>
      <c r="AM937">
        <v>25</v>
      </c>
      <c r="AN937">
        <v>3500</v>
      </c>
      <c r="AO937" t="s">
        <v>118</v>
      </c>
      <c r="AP937">
        <v>53</v>
      </c>
      <c r="AQ937">
        <v>-89</v>
      </c>
      <c r="AR937">
        <v>64</v>
      </c>
      <c r="AZ937">
        <v>1200</v>
      </c>
      <c r="BA937">
        <v>1</v>
      </c>
      <c r="BB937" t="str">
        <f t="shared" si="276"/>
        <v xml:space="preserve">N733KP  </v>
      </c>
      <c r="BC937">
        <v>1</v>
      </c>
      <c r="BE937">
        <v>0</v>
      </c>
      <c r="BF937">
        <v>0</v>
      </c>
      <c r="BG937">
        <v>0</v>
      </c>
      <c r="BH937">
        <v>3475</v>
      </c>
      <c r="BI937">
        <v>1</v>
      </c>
      <c r="BJ937">
        <v>1</v>
      </c>
      <c r="BK937">
        <v>0</v>
      </c>
      <c r="BL937">
        <v>0</v>
      </c>
      <c r="BO937">
        <v>0</v>
      </c>
      <c r="BP937">
        <v>0</v>
      </c>
      <c r="BW937" t="str">
        <f>"22:13:23.218"</f>
        <v>22:13:23.218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2</v>
      </c>
      <c r="CP937" t="s">
        <v>119</v>
      </c>
      <c r="CQ937">
        <v>439</v>
      </c>
      <c r="CR937">
        <v>0</v>
      </c>
      <c r="CW937">
        <v>11499585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"03/24/2022 22:13:24.486"</f>
        <v>03/24/2022 22:13:24.486</v>
      </c>
      <c r="C938" t="str">
        <f t="shared" si="275"/>
        <v>FFDFD3C0</v>
      </c>
      <c r="D938" t="s">
        <v>120</v>
      </c>
      <c r="E938">
        <v>14</v>
      </c>
      <c r="F938">
        <v>1014</v>
      </c>
      <c r="G938" t="s">
        <v>121</v>
      </c>
      <c r="J938" t="s">
        <v>122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 t="shared" ref="S938:T941" si="282">"22:13:24.000"</f>
        <v>22:13:24.000</v>
      </c>
      <c r="T938" t="str">
        <f t="shared" si="282"/>
        <v>22:13:24.000</v>
      </c>
      <c r="U938" t="str">
        <f t="shared" si="269"/>
        <v>A9D71F</v>
      </c>
      <c r="V938">
        <v>0</v>
      </c>
      <c r="W938">
        <v>0</v>
      </c>
      <c r="X938">
        <v>2</v>
      </c>
      <c r="Z938">
        <v>1</v>
      </c>
      <c r="AA938">
        <v>7</v>
      </c>
      <c r="AB938">
        <v>3</v>
      </c>
      <c r="AC938">
        <v>0</v>
      </c>
      <c r="AD938">
        <v>9</v>
      </c>
      <c r="AE938">
        <v>0</v>
      </c>
      <c r="AF938">
        <v>3</v>
      </c>
      <c r="AG938">
        <v>1</v>
      </c>
      <c r="AH938">
        <v>0</v>
      </c>
      <c r="AI938" t="s">
        <v>516</v>
      </c>
      <c r="AJ938">
        <v>33.155836999999998</v>
      </c>
      <c r="AK938" t="s">
        <v>517</v>
      </c>
      <c r="AL938">
        <v>-97.724912000000003</v>
      </c>
      <c r="AM938">
        <v>25</v>
      </c>
      <c r="AN938">
        <v>3500</v>
      </c>
      <c r="AO938" t="s">
        <v>118</v>
      </c>
      <c r="AP938">
        <v>53</v>
      </c>
      <c r="AQ938">
        <v>-89</v>
      </c>
      <c r="AR938">
        <v>192</v>
      </c>
      <c r="AZ938">
        <v>1200</v>
      </c>
      <c r="BA938">
        <v>1</v>
      </c>
      <c r="BB938" t="str">
        <f t="shared" si="276"/>
        <v xml:space="preserve">N733KP  </v>
      </c>
      <c r="BC938">
        <v>1</v>
      </c>
      <c r="BE938">
        <v>0</v>
      </c>
      <c r="BF938">
        <v>0</v>
      </c>
      <c r="BG938">
        <v>0</v>
      </c>
      <c r="BH938">
        <v>3475</v>
      </c>
      <c r="BI938">
        <v>1</v>
      </c>
      <c r="BJ938">
        <v>1</v>
      </c>
      <c r="BK938">
        <v>0</v>
      </c>
      <c r="BL938">
        <v>0</v>
      </c>
      <c r="BO938">
        <v>0</v>
      </c>
      <c r="BP938">
        <v>0</v>
      </c>
      <c r="BW938" t="str">
        <f>"22:13:24.263"</f>
        <v>22:13:24.263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119</v>
      </c>
      <c r="CQ938">
        <v>364</v>
      </c>
      <c r="CR938">
        <v>0</v>
      </c>
      <c r="CW938">
        <v>1399616</v>
      </c>
      <c r="CY938">
        <v>1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"03/24/2022 22:13:24.486"</f>
        <v>03/24/2022 22:13:24.486</v>
      </c>
      <c r="C939" t="str">
        <f t="shared" si="275"/>
        <v>FFDFD3C0</v>
      </c>
      <c r="D939" t="s">
        <v>113</v>
      </c>
      <c r="E939">
        <v>24</v>
      </c>
      <c r="F939">
        <v>2024</v>
      </c>
      <c r="G939" t="s">
        <v>114</v>
      </c>
      <c r="J939" t="s">
        <v>115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 t="shared" si="282"/>
        <v>22:13:24.000</v>
      </c>
      <c r="T939" t="str">
        <f t="shared" si="282"/>
        <v>22:13:24.000</v>
      </c>
      <c r="U939" t="str">
        <f t="shared" si="269"/>
        <v>A9D71F</v>
      </c>
      <c r="V939">
        <v>0</v>
      </c>
      <c r="W939">
        <v>0</v>
      </c>
      <c r="X939">
        <v>2</v>
      </c>
      <c r="Z939">
        <v>1</v>
      </c>
      <c r="AA939">
        <v>7</v>
      </c>
      <c r="AB939">
        <v>3</v>
      </c>
      <c r="AC939">
        <v>0</v>
      </c>
      <c r="AD939">
        <v>9</v>
      </c>
      <c r="AE939">
        <v>0</v>
      </c>
      <c r="AF939">
        <v>3</v>
      </c>
      <c r="AG939">
        <v>1</v>
      </c>
      <c r="AH939">
        <v>0</v>
      </c>
      <c r="AI939" t="s">
        <v>516</v>
      </c>
      <c r="AJ939">
        <v>33.155836999999998</v>
      </c>
      <c r="AK939" t="s">
        <v>517</v>
      </c>
      <c r="AL939">
        <v>-97.724912000000003</v>
      </c>
      <c r="AM939">
        <v>25</v>
      </c>
      <c r="AN939">
        <v>3500</v>
      </c>
      <c r="AO939" t="s">
        <v>118</v>
      </c>
      <c r="AP939">
        <v>53</v>
      </c>
      <c r="AQ939">
        <v>-89</v>
      </c>
      <c r="AR939">
        <v>192</v>
      </c>
      <c r="AZ939">
        <v>1200</v>
      </c>
      <c r="BA939">
        <v>1</v>
      </c>
      <c r="BB939" t="str">
        <f t="shared" si="276"/>
        <v xml:space="preserve">N733KP  </v>
      </c>
      <c r="BC939">
        <v>1</v>
      </c>
      <c r="BE939">
        <v>0</v>
      </c>
      <c r="BF939">
        <v>0</v>
      </c>
      <c r="BG939">
        <v>0</v>
      </c>
      <c r="BH939">
        <v>3475</v>
      </c>
      <c r="BI939">
        <v>1</v>
      </c>
      <c r="BJ939">
        <v>1</v>
      </c>
      <c r="BK939">
        <v>0</v>
      </c>
      <c r="BL939">
        <v>0</v>
      </c>
      <c r="BO939">
        <v>0</v>
      </c>
      <c r="BP939">
        <v>0</v>
      </c>
      <c r="BW939" t="str">
        <f>"22:13:24.263"</f>
        <v>22:13:24.263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364</v>
      </c>
      <c r="CR939">
        <v>0</v>
      </c>
      <c r="CW939">
        <v>1399616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"03/24/2022 22:13:24.486"</f>
        <v>03/24/2022 22:13:24.486</v>
      </c>
      <c r="C940" t="str">
        <f t="shared" si="275"/>
        <v>FFDFD3C0</v>
      </c>
      <c r="D940" t="s">
        <v>126</v>
      </c>
      <c r="E940">
        <v>3</v>
      </c>
      <c r="H940">
        <v>160</v>
      </c>
      <c r="I940" t="s">
        <v>121</v>
      </c>
      <c r="J940" t="s">
        <v>127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 t="shared" si="282"/>
        <v>22:13:24.000</v>
      </c>
      <c r="T940" t="str">
        <f t="shared" si="282"/>
        <v>22:13:24.000</v>
      </c>
      <c r="U940" t="str">
        <f t="shared" si="269"/>
        <v>A9D71F</v>
      </c>
      <c r="V940">
        <v>0</v>
      </c>
      <c r="W940">
        <v>0</v>
      </c>
      <c r="X940">
        <v>2</v>
      </c>
      <c r="Z940">
        <v>1</v>
      </c>
      <c r="AA940">
        <v>7</v>
      </c>
      <c r="AB940">
        <v>3</v>
      </c>
      <c r="AC940">
        <v>0</v>
      </c>
      <c r="AD940">
        <v>9</v>
      </c>
      <c r="AE940">
        <v>0</v>
      </c>
      <c r="AF940">
        <v>3</v>
      </c>
      <c r="AG940">
        <v>1</v>
      </c>
      <c r="AH940">
        <v>0</v>
      </c>
      <c r="AI940" t="s">
        <v>516</v>
      </c>
      <c r="AJ940">
        <v>33.155836999999998</v>
      </c>
      <c r="AK940" t="s">
        <v>517</v>
      </c>
      <c r="AL940">
        <v>-97.724912000000003</v>
      </c>
      <c r="AM940">
        <v>25</v>
      </c>
      <c r="AN940">
        <v>3500</v>
      </c>
      <c r="AO940" t="s">
        <v>118</v>
      </c>
      <c r="AP940">
        <v>53</v>
      </c>
      <c r="AQ940">
        <v>-89</v>
      </c>
      <c r="AR940">
        <v>192</v>
      </c>
      <c r="AZ940">
        <v>1200</v>
      </c>
      <c r="BA940">
        <v>1</v>
      </c>
      <c r="BB940" t="str">
        <f t="shared" si="276"/>
        <v xml:space="preserve">N733KP  </v>
      </c>
      <c r="BC940">
        <v>1</v>
      </c>
      <c r="BE940">
        <v>0</v>
      </c>
      <c r="BF940">
        <v>0</v>
      </c>
      <c r="BG940">
        <v>0</v>
      </c>
      <c r="BH940">
        <v>3475</v>
      </c>
      <c r="BI940">
        <v>1</v>
      </c>
      <c r="BJ940">
        <v>1</v>
      </c>
      <c r="BK940">
        <v>0</v>
      </c>
      <c r="BL940">
        <v>0</v>
      </c>
      <c r="BO940">
        <v>0</v>
      </c>
      <c r="BP940">
        <v>0</v>
      </c>
      <c r="BW940" t="str">
        <f>"22:13:24.263"</f>
        <v>22:13:24.263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364</v>
      </c>
      <c r="CR940">
        <v>0</v>
      </c>
      <c r="CW940">
        <v>1399616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"03/24/2022 22:13:24.486"</f>
        <v>03/24/2022 22:13:24.486</v>
      </c>
      <c r="C941" t="str">
        <f t="shared" si="275"/>
        <v>FFDFD3C0</v>
      </c>
      <c r="D941" t="s">
        <v>123</v>
      </c>
      <c r="E941">
        <v>8</v>
      </c>
      <c r="H941">
        <v>31</v>
      </c>
      <c r="I941" t="s">
        <v>124</v>
      </c>
      <c r="J941" t="s">
        <v>125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 t="shared" si="282"/>
        <v>22:13:24.000</v>
      </c>
      <c r="T941" t="str">
        <f t="shared" si="282"/>
        <v>22:13:24.000</v>
      </c>
      <c r="U941" t="str">
        <f t="shared" si="269"/>
        <v>A9D71F</v>
      </c>
      <c r="V941">
        <v>0</v>
      </c>
      <c r="W941">
        <v>0</v>
      </c>
      <c r="X941">
        <v>2</v>
      </c>
      <c r="Z941">
        <v>1</v>
      </c>
      <c r="AA941">
        <v>7</v>
      </c>
      <c r="AB941">
        <v>3</v>
      </c>
      <c r="AC941">
        <v>0</v>
      </c>
      <c r="AD941">
        <v>9</v>
      </c>
      <c r="AE941">
        <v>0</v>
      </c>
      <c r="AF941">
        <v>3</v>
      </c>
      <c r="AG941">
        <v>1</v>
      </c>
      <c r="AH941">
        <v>0</v>
      </c>
      <c r="AI941" t="s">
        <v>516</v>
      </c>
      <c r="AJ941">
        <v>33.155836999999998</v>
      </c>
      <c r="AK941" t="s">
        <v>517</v>
      </c>
      <c r="AL941">
        <v>-97.724912000000003</v>
      </c>
      <c r="AM941">
        <v>25</v>
      </c>
      <c r="AN941">
        <v>3500</v>
      </c>
      <c r="AO941" t="s">
        <v>118</v>
      </c>
      <c r="AP941">
        <v>53</v>
      </c>
      <c r="AQ941">
        <v>-89</v>
      </c>
      <c r="AR941">
        <v>192</v>
      </c>
      <c r="AZ941">
        <v>1200</v>
      </c>
      <c r="BA941">
        <v>1</v>
      </c>
      <c r="BB941" t="str">
        <f t="shared" si="276"/>
        <v xml:space="preserve">N733KP  </v>
      </c>
      <c r="BC941">
        <v>1</v>
      </c>
      <c r="BE941">
        <v>0</v>
      </c>
      <c r="BF941">
        <v>0</v>
      </c>
      <c r="BG941">
        <v>0</v>
      </c>
      <c r="BH941">
        <v>3475</v>
      </c>
      <c r="BI941">
        <v>1</v>
      </c>
      <c r="BJ941">
        <v>1</v>
      </c>
      <c r="BK941">
        <v>0</v>
      </c>
      <c r="BL941">
        <v>0</v>
      </c>
      <c r="BO941">
        <v>0</v>
      </c>
      <c r="BP941">
        <v>0</v>
      </c>
      <c r="BW941" t="str">
        <f>"22:13:24.263"</f>
        <v>22:13:24.263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364</v>
      </c>
      <c r="CR941">
        <v>0</v>
      </c>
      <c r="CW941">
        <v>1399616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"03/24/2022 22:13:25.768"</f>
        <v>03/24/2022 22:13:25.768</v>
      </c>
      <c r="C942" t="str">
        <f t="shared" si="275"/>
        <v>FFDFD3C0</v>
      </c>
      <c r="D942" t="s">
        <v>120</v>
      </c>
      <c r="E942">
        <v>14</v>
      </c>
      <c r="F942">
        <v>1014</v>
      </c>
      <c r="G942" t="s">
        <v>121</v>
      </c>
      <c r="J942" t="s">
        <v>122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 t="shared" ref="S942:T944" si="283">"22:13:25.000"</f>
        <v>22:13:25.000</v>
      </c>
      <c r="T942" t="str">
        <f t="shared" si="283"/>
        <v>22:13:25.000</v>
      </c>
      <c r="U942" t="str">
        <f t="shared" si="269"/>
        <v>A9D71F</v>
      </c>
      <c r="V942">
        <v>0</v>
      </c>
      <c r="W942">
        <v>0</v>
      </c>
      <c r="X942">
        <v>2</v>
      </c>
      <c r="Z942">
        <v>1</v>
      </c>
      <c r="AA942">
        <v>7</v>
      </c>
      <c r="AB942">
        <v>3</v>
      </c>
      <c r="AC942">
        <v>0</v>
      </c>
      <c r="AD942">
        <v>9</v>
      </c>
      <c r="AE942">
        <v>0</v>
      </c>
      <c r="AF942">
        <v>3</v>
      </c>
      <c r="AG942">
        <v>1</v>
      </c>
      <c r="AH942">
        <v>0</v>
      </c>
      <c r="AI942" t="s">
        <v>518</v>
      </c>
      <c r="AJ942">
        <v>33.155428999999998</v>
      </c>
      <c r="AK942" t="s">
        <v>519</v>
      </c>
      <c r="AL942">
        <v>-97.724611999999993</v>
      </c>
      <c r="AM942">
        <v>25</v>
      </c>
      <c r="AN942">
        <v>3500</v>
      </c>
      <c r="AO942" t="s">
        <v>118</v>
      </c>
      <c r="AP942">
        <v>53</v>
      </c>
      <c r="AQ942">
        <v>-89</v>
      </c>
      <c r="AR942">
        <v>192</v>
      </c>
      <c r="AZ942">
        <v>1200</v>
      </c>
      <c r="BA942">
        <v>1</v>
      </c>
      <c r="BB942" t="str">
        <f t="shared" si="276"/>
        <v xml:space="preserve">N733KP  </v>
      </c>
      <c r="BC942">
        <v>1</v>
      </c>
      <c r="BE942">
        <v>0</v>
      </c>
      <c r="BF942">
        <v>0</v>
      </c>
      <c r="BG942">
        <v>0</v>
      </c>
      <c r="BH942">
        <v>3475</v>
      </c>
      <c r="BI942">
        <v>1</v>
      </c>
      <c r="BJ942">
        <v>1</v>
      </c>
      <c r="BK942">
        <v>0</v>
      </c>
      <c r="BL942">
        <v>0</v>
      </c>
      <c r="BO942">
        <v>0</v>
      </c>
      <c r="BP942">
        <v>0</v>
      </c>
      <c r="BW942" t="str">
        <f>"22:13:25.577"</f>
        <v>22:13:25.577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2</v>
      </c>
      <c r="CP942" t="s">
        <v>119</v>
      </c>
      <c r="CQ942">
        <v>439</v>
      </c>
      <c r="CR942">
        <v>0</v>
      </c>
      <c r="CW942">
        <v>11499637</v>
      </c>
      <c r="CY942">
        <v>1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"03/24/2022 22:13:25.768"</f>
        <v>03/24/2022 22:13:25.768</v>
      </c>
      <c r="C943" t="str">
        <f t="shared" si="275"/>
        <v>FFDFD3C0</v>
      </c>
      <c r="D943" t="s">
        <v>126</v>
      </c>
      <c r="E943">
        <v>3</v>
      </c>
      <c r="H943">
        <v>160</v>
      </c>
      <c r="I943" t="s">
        <v>121</v>
      </c>
      <c r="J943" t="s">
        <v>127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 t="shared" si="283"/>
        <v>22:13:25.000</v>
      </c>
      <c r="T943" t="str">
        <f t="shared" si="283"/>
        <v>22:13:25.000</v>
      </c>
      <c r="U943" t="str">
        <f t="shared" si="269"/>
        <v>A9D71F</v>
      </c>
      <c r="V943">
        <v>0</v>
      </c>
      <c r="W943">
        <v>0</v>
      </c>
      <c r="X943">
        <v>2</v>
      </c>
      <c r="Z943">
        <v>1</v>
      </c>
      <c r="AA943">
        <v>7</v>
      </c>
      <c r="AB943">
        <v>3</v>
      </c>
      <c r="AC943">
        <v>0</v>
      </c>
      <c r="AD943">
        <v>9</v>
      </c>
      <c r="AE943">
        <v>0</v>
      </c>
      <c r="AF943">
        <v>3</v>
      </c>
      <c r="AG943">
        <v>1</v>
      </c>
      <c r="AH943">
        <v>0</v>
      </c>
      <c r="AI943" t="s">
        <v>518</v>
      </c>
      <c r="AJ943">
        <v>33.155428999999998</v>
      </c>
      <c r="AK943" t="s">
        <v>519</v>
      </c>
      <c r="AL943">
        <v>-97.724611999999993</v>
      </c>
      <c r="AM943">
        <v>25</v>
      </c>
      <c r="AN943">
        <v>3500</v>
      </c>
      <c r="AO943" t="s">
        <v>118</v>
      </c>
      <c r="AP943">
        <v>53</v>
      </c>
      <c r="AQ943">
        <v>-89</v>
      </c>
      <c r="AR943">
        <v>192</v>
      </c>
      <c r="AZ943">
        <v>1200</v>
      </c>
      <c r="BA943">
        <v>1</v>
      </c>
      <c r="BB943" t="str">
        <f t="shared" si="276"/>
        <v xml:space="preserve">N733KP  </v>
      </c>
      <c r="BC943">
        <v>1</v>
      </c>
      <c r="BE943">
        <v>0</v>
      </c>
      <c r="BF943">
        <v>0</v>
      </c>
      <c r="BG943">
        <v>0</v>
      </c>
      <c r="BH943">
        <v>3475</v>
      </c>
      <c r="BI943">
        <v>1</v>
      </c>
      <c r="BJ943">
        <v>1</v>
      </c>
      <c r="BK943">
        <v>0</v>
      </c>
      <c r="BL943">
        <v>0</v>
      </c>
      <c r="BO943">
        <v>0</v>
      </c>
      <c r="BP943">
        <v>0</v>
      </c>
      <c r="BW943" t="str">
        <f>"22:13:25.577"</f>
        <v>22:13:25.577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2</v>
      </c>
      <c r="CP943" t="s">
        <v>119</v>
      </c>
      <c r="CQ943">
        <v>439</v>
      </c>
      <c r="CR943">
        <v>0</v>
      </c>
      <c r="CW943">
        <v>11499637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"03/24/2022 22:13:25.768"</f>
        <v>03/24/2022 22:13:25.768</v>
      </c>
      <c r="C944" t="str">
        <f t="shared" si="275"/>
        <v>FFDFD3C0</v>
      </c>
      <c r="D944" t="s">
        <v>113</v>
      </c>
      <c r="E944">
        <v>24</v>
      </c>
      <c r="F944">
        <v>2024</v>
      </c>
      <c r="G944" t="s">
        <v>114</v>
      </c>
      <c r="J944" t="s">
        <v>115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 t="shared" si="283"/>
        <v>22:13:25.000</v>
      </c>
      <c r="T944" t="str">
        <f t="shared" si="283"/>
        <v>22:13:25.000</v>
      </c>
      <c r="U944" t="str">
        <f t="shared" si="269"/>
        <v>A9D71F</v>
      </c>
      <c r="V944">
        <v>0</v>
      </c>
      <c r="W944">
        <v>0</v>
      </c>
      <c r="X944">
        <v>2</v>
      </c>
      <c r="Z944">
        <v>1</v>
      </c>
      <c r="AA944">
        <v>7</v>
      </c>
      <c r="AB944">
        <v>3</v>
      </c>
      <c r="AC944">
        <v>0</v>
      </c>
      <c r="AD944">
        <v>9</v>
      </c>
      <c r="AE944">
        <v>0</v>
      </c>
      <c r="AF944">
        <v>3</v>
      </c>
      <c r="AG944">
        <v>1</v>
      </c>
      <c r="AH944">
        <v>0</v>
      </c>
      <c r="AI944" t="s">
        <v>518</v>
      </c>
      <c r="AJ944">
        <v>33.155428999999998</v>
      </c>
      <c r="AK944" t="s">
        <v>519</v>
      </c>
      <c r="AL944">
        <v>-97.724611999999993</v>
      </c>
      <c r="AM944">
        <v>25</v>
      </c>
      <c r="AN944">
        <v>3500</v>
      </c>
      <c r="AO944" t="s">
        <v>118</v>
      </c>
      <c r="AP944">
        <v>53</v>
      </c>
      <c r="AQ944">
        <v>-89</v>
      </c>
      <c r="AR944">
        <v>192</v>
      </c>
      <c r="AZ944">
        <v>1200</v>
      </c>
      <c r="BA944">
        <v>1</v>
      </c>
      <c r="BB944" t="str">
        <f t="shared" si="276"/>
        <v xml:space="preserve">N733KP  </v>
      </c>
      <c r="BC944">
        <v>1</v>
      </c>
      <c r="BE944">
        <v>0</v>
      </c>
      <c r="BF944">
        <v>0</v>
      </c>
      <c r="BG944">
        <v>0</v>
      </c>
      <c r="BH944">
        <v>3475</v>
      </c>
      <c r="BI944">
        <v>1</v>
      </c>
      <c r="BJ944">
        <v>1</v>
      </c>
      <c r="BK944">
        <v>0</v>
      </c>
      <c r="BL944">
        <v>0</v>
      </c>
      <c r="BO944">
        <v>0</v>
      </c>
      <c r="BP944">
        <v>0</v>
      </c>
      <c r="BW944" t="str">
        <f>"22:13:25.577"</f>
        <v>22:13:25.577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2</v>
      </c>
      <c r="CP944" t="s">
        <v>119</v>
      </c>
      <c r="CQ944">
        <v>439</v>
      </c>
      <c r="CR944">
        <v>0</v>
      </c>
      <c r="CW944">
        <v>11499637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"03/24/2022 22:13:27.034"</f>
        <v>03/24/2022 22:13:27.034</v>
      </c>
      <c r="C945" t="str">
        <f t="shared" si="275"/>
        <v>FFDFD3C0</v>
      </c>
      <c r="D945" t="s">
        <v>120</v>
      </c>
      <c r="E945">
        <v>14</v>
      </c>
      <c r="F945">
        <v>1014</v>
      </c>
      <c r="G945" t="s">
        <v>121</v>
      </c>
      <c r="J945" t="s">
        <v>122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 t="shared" ref="S945:T948" si="284">"22:13:26.000"</f>
        <v>22:13:26.000</v>
      </c>
      <c r="T945" t="str">
        <f t="shared" si="284"/>
        <v>22:13:26.000</v>
      </c>
      <c r="U945" t="str">
        <f t="shared" si="269"/>
        <v>A9D71F</v>
      </c>
      <c r="V945">
        <v>0</v>
      </c>
      <c r="W945">
        <v>0</v>
      </c>
      <c r="X945">
        <v>2</v>
      </c>
      <c r="Z945">
        <v>1</v>
      </c>
      <c r="AA945">
        <v>7</v>
      </c>
      <c r="AB945">
        <v>3</v>
      </c>
      <c r="AC945">
        <v>0</v>
      </c>
      <c r="AD945">
        <v>9</v>
      </c>
      <c r="AE945">
        <v>0</v>
      </c>
      <c r="AF945">
        <v>3</v>
      </c>
      <c r="AG945">
        <v>1</v>
      </c>
      <c r="AH945">
        <v>0</v>
      </c>
      <c r="AI945" t="s">
        <v>520</v>
      </c>
      <c r="AJ945">
        <v>33.155000000000001</v>
      </c>
      <c r="AK945" t="s">
        <v>521</v>
      </c>
      <c r="AL945">
        <v>-97.724311</v>
      </c>
      <c r="AM945">
        <v>25</v>
      </c>
      <c r="AN945">
        <v>3500</v>
      </c>
      <c r="AO945" t="s">
        <v>118</v>
      </c>
      <c r="AP945">
        <v>52</v>
      </c>
      <c r="AQ945">
        <v>-89</v>
      </c>
      <c r="AR945">
        <v>128</v>
      </c>
      <c r="AZ945">
        <v>1200</v>
      </c>
      <c r="BA945">
        <v>1</v>
      </c>
      <c r="BB945" t="str">
        <f t="shared" si="276"/>
        <v xml:space="preserve">N733KP  </v>
      </c>
      <c r="BC945">
        <v>1</v>
      </c>
      <c r="BE945">
        <v>0</v>
      </c>
      <c r="BF945">
        <v>0</v>
      </c>
      <c r="BG945">
        <v>0</v>
      </c>
      <c r="BH945">
        <v>3475</v>
      </c>
      <c r="BI945">
        <v>1</v>
      </c>
      <c r="BJ945">
        <v>1</v>
      </c>
      <c r="BK945">
        <v>0</v>
      </c>
      <c r="BL945">
        <v>0</v>
      </c>
      <c r="BO945">
        <v>0</v>
      </c>
      <c r="BP945">
        <v>0</v>
      </c>
      <c r="BW945" t="str">
        <f>"22:13:26.813"</f>
        <v>22:13:26.813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364</v>
      </c>
      <c r="CR945">
        <v>0</v>
      </c>
      <c r="CW945">
        <v>1399995</v>
      </c>
      <c r="CY945">
        <v>1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"03/24/2022 22:13:27.034"</f>
        <v>03/24/2022 22:13:27.034</v>
      </c>
      <c r="C946" t="str">
        <f t="shared" si="275"/>
        <v>FFDFD3C0</v>
      </c>
      <c r="D946" t="s">
        <v>126</v>
      </c>
      <c r="E946">
        <v>3</v>
      </c>
      <c r="H946">
        <v>160</v>
      </c>
      <c r="I946" t="s">
        <v>121</v>
      </c>
      <c r="J946" t="s">
        <v>127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 t="shared" si="284"/>
        <v>22:13:26.000</v>
      </c>
      <c r="T946" t="str">
        <f t="shared" si="284"/>
        <v>22:13:26.000</v>
      </c>
      <c r="U946" t="str">
        <f t="shared" si="269"/>
        <v>A9D71F</v>
      </c>
      <c r="V946">
        <v>0</v>
      </c>
      <c r="W946">
        <v>0</v>
      </c>
      <c r="X946">
        <v>2</v>
      </c>
      <c r="Z946">
        <v>1</v>
      </c>
      <c r="AA946">
        <v>7</v>
      </c>
      <c r="AB946">
        <v>3</v>
      </c>
      <c r="AC946">
        <v>0</v>
      </c>
      <c r="AD946">
        <v>9</v>
      </c>
      <c r="AE946">
        <v>0</v>
      </c>
      <c r="AF946">
        <v>3</v>
      </c>
      <c r="AG946">
        <v>1</v>
      </c>
      <c r="AH946">
        <v>0</v>
      </c>
      <c r="AI946" t="s">
        <v>520</v>
      </c>
      <c r="AJ946">
        <v>33.155000000000001</v>
      </c>
      <c r="AK946" t="s">
        <v>521</v>
      </c>
      <c r="AL946">
        <v>-97.724311</v>
      </c>
      <c r="AM946">
        <v>25</v>
      </c>
      <c r="AN946">
        <v>3500</v>
      </c>
      <c r="AO946" t="s">
        <v>118</v>
      </c>
      <c r="AP946">
        <v>52</v>
      </c>
      <c r="AQ946">
        <v>-89</v>
      </c>
      <c r="AR946">
        <v>128</v>
      </c>
      <c r="AZ946">
        <v>1200</v>
      </c>
      <c r="BA946">
        <v>1</v>
      </c>
      <c r="BB946" t="str">
        <f t="shared" si="276"/>
        <v xml:space="preserve">N733KP  </v>
      </c>
      <c r="BC946">
        <v>1</v>
      </c>
      <c r="BE946">
        <v>0</v>
      </c>
      <c r="BF946">
        <v>0</v>
      </c>
      <c r="BG946">
        <v>0</v>
      </c>
      <c r="BH946">
        <v>3475</v>
      </c>
      <c r="BI946">
        <v>1</v>
      </c>
      <c r="BJ946">
        <v>1</v>
      </c>
      <c r="BK946">
        <v>0</v>
      </c>
      <c r="BL946">
        <v>0</v>
      </c>
      <c r="BO946">
        <v>0</v>
      </c>
      <c r="BP946">
        <v>0</v>
      </c>
      <c r="BW946" t="str">
        <f>"22:13:26.813"</f>
        <v>22:13:26.813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364</v>
      </c>
      <c r="CR946">
        <v>0</v>
      </c>
      <c r="CW946">
        <v>1399995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"03/24/2022 22:13:27.034"</f>
        <v>03/24/2022 22:13:27.034</v>
      </c>
      <c r="C947" t="str">
        <f t="shared" si="275"/>
        <v>FFDFD3C0</v>
      </c>
      <c r="D947" t="s">
        <v>113</v>
      </c>
      <c r="E947">
        <v>24</v>
      </c>
      <c r="F947">
        <v>2024</v>
      </c>
      <c r="G947" t="s">
        <v>114</v>
      </c>
      <c r="J947" t="s">
        <v>115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 t="shared" si="284"/>
        <v>22:13:26.000</v>
      </c>
      <c r="T947" t="str">
        <f t="shared" si="284"/>
        <v>22:13:26.000</v>
      </c>
      <c r="U947" t="str">
        <f t="shared" si="269"/>
        <v>A9D71F</v>
      </c>
      <c r="V947">
        <v>0</v>
      </c>
      <c r="W947">
        <v>0</v>
      </c>
      <c r="X947">
        <v>2</v>
      </c>
      <c r="Z947">
        <v>1</v>
      </c>
      <c r="AA947">
        <v>7</v>
      </c>
      <c r="AB947">
        <v>3</v>
      </c>
      <c r="AC947">
        <v>0</v>
      </c>
      <c r="AD947">
        <v>9</v>
      </c>
      <c r="AE947">
        <v>0</v>
      </c>
      <c r="AF947">
        <v>3</v>
      </c>
      <c r="AG947">
        <v>1</v>
      </c>
      <c r="AH947">
        <v>0</v>
      </c>
      <c r="AI947" t="s">
        <v>520</v>
      </c>
      <c r="AJ947">
        <v>33.155000000000001</v>
      </c>
      <c r="AK947" t="s">
        <v>521</v>
      </c>
      <c r="AL947">
        <v>-97.724311</v>
      </c>
      <c r="AM947">
        <v>25</v>
      </c>
      <c r="AN947">
        <v>3500</v>
      </c>
      <c r="AO947" t="s">
        <v>118</v>
      </c>
      <c r="AP947">
        <v>52</v>
      </c>
      <c r="AQ947">
        <v>-89</v>
      </c>
      <c r="AR947">
        <v>128</v>
      </c>
      <c r="AZ947">
        <v>1200</v>
      </c>
      <c r="BA947">
        <v>1</v>
      </c>
      <c r="BB947" t="str">
        <f t="shared" si="276"/>
        <v xml:space="preserve">N733KP  </v>
      </c>
      <c r="BC947">
        <v>1</v>
      </c>
      <c r="BE947">
        <v>0</v>
      </c>
      <c r="BF947">
        <v>0</v>
      </c>
      <c r="BG947">
        <v>0</v>
      </c>
      <c r="BH947">
        <v>3475</v>
      </c>
      <c r="BI947">
        <v>1</v>
      </c>
      <c r="BJ947">
        <v>1</v>
      </c>
      <c r="BK947">
        <v>0</v>
      </c>
      <c r="BL947">
        <v>0</v>
      </c>
      <c r="BO947">
        <v>0</v>
      </c>
      <c r="BP947">
        <v>0</v>
      </c>
      <c r="BW947" t="str">
        <f>"22:13:26.813"</f>
        <v>22:13:26.813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364</v>
      </c>
      <c r="CR947">
        <v>0</v>
      </c>
      <c r="CW947">
        <v>1399995</v>
      </c>
      <c r="CY947">
        <v>1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"03/24/2022 22:13:27.034"</f>
        <v>03/24/2022 22:13:27.034</v>
      </c>
      <c r="C948" t="str">
        <f t="shared" si="275"/>
        <v>FFDFD3C0</v>
      </c>
      <c r="D948" t="s">
        <v>123</v>
      </c>
      <c r="E948">
        <v>8</v>
      </c>
      <c r="H948">
        <v>31</v>
      </c>
      <c r="I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 t="shared" si="284"/>
        <v>22:13:26.000</v>
      </c>
      <c r="T948" t="str">
        <f t="shared" si="284"/>
        <v>22:13:26.000</v>
      </c>
      <c r="U948" t="str">
        <f t="shared" si="269"/>
        <v>A9D71F</v>
      </c>
      <c r="V948">
        <v>0</v>
      </c>
      <c r="W948">
        <v>0</v>
      </c>
      <c r="X948">
        <v>2</v>
      </c>
      <c r="Z948">
        <v>1</v>
      </c>
      <c r="AA948">
        <v>7</v>
      </c>
      <c r="AB948">
        <v>3</v>
      </c>
      <c r="AC948">
        <v>0</v>
      </c>
      <c r="AD948">
        <v>9</v>
      </c>
      <c r="AE948">
        <v>0</v>
      </c>
      <c r="AF948">
        <v>3</v>
      </c>
      <c r="AG948">
        <v>1</v>
      </c>
      <c r="AH948">
        <v>0</v>
      </c>
      <c r="AI948" t="s">
        <v>520</v>
      </c>
      <c r="AJ948">
        <v>33.155000000000001</v>
      </c>
      <c r="AK948" t="s">
        <v>521</v>
      </c>
      <c r="AL948">
        <v>-97.724311</v>
      </c>
      <c r="AM948">
        <v>25</v>
      </c>
      <c r="AN948">
        <v>3500</v>
      </c>
      <c r="AO948" t="s">
        <v>118</v>
      </c>
      <c r="AP948">
        <v>52</v>
      </c>
      <c r="AQ948">
        <v>-89</v>
      </c>
      <c r="AR948">
        <v>128</v>
      </c>
      <c r="AZ948">
        <v>1200</v>
      </c>
      <c r="BA948">
        <v>1</v>
      </c>
      <c r="BB948" t="str">
        <f t="shared" si="276"/>
        <v xml:space="preserve">N733KP  </v>
      </c>
      <c r="BC948">
        <v>1</v>
      </c>
      <c r="BE948">
        <v>0</v>
      </c>
      <c r="BF948">
        <v>0</v>
      </c>
      <c r="BG948">
        <v>0</v>
      </c>
      <c r="BH948">
        <v>3475</v>
      </c>
      <c r="BI948">
        <v>1</v>
      </c>
      <c r="BJ948">
        <v>1</v>
      </c>
      <c r="BK948">
        <v>0</v>
      </c>
      <c r="BL948">
        <v>0</v>
      </c>
      <c r="BO948">
        <v>0</v>
      </c>
      <c r="BP948">
        <v>0</v>
      </c>
      <c r="BW948" t="str">
        <f>"22:13:26.813"</f>
        <v>22:13:26.813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364</v>
      </c>
      <c r="CR948">
        <v>0</v>
      </c>
      <c r="CW948">
        <v>1399995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"03/24/2022 22:13:27.910"</f>
        <v>03/24/2022 22:13:27.910</v>
      </c>
      <c r="C949" t="str">
        <f t="shared" si="275"/>
        <v>FFDFD3C0</v>
      </c>
      <c r="D949" t="s">
        <v>126</v>
      </c>
      <c r="E949">
        <v>3</v>
      </c>
      <c r="H949">
        <v>160</v>
      </c>
      <c r="I949" t="s">
        <v>121</v>
      </c>
      <c r="J949" t="s">
        <v>127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 t="shared" ref="S949:T952" si="285">"22:13:27.000"</f>
        <v>22:13:27.000</v>
      </c>
      <c r="T949" t="str">
        <f t="shared" si="285"/>
        <v>22:13:27.000</v>
      </c>
      <c r="U949" t="str">
        <f t="shared" si="269"/>
        <v>A9D71F</v>
      </c>
      <c r="V949">
        <v>0</v>
      </c>
      <c r="W949">
        <v>0</v>
      </c>
      <c r="X949">
        <v>2</v>
      </c>
      <c r="Z949">
        <v>1</v>
      </c>
      <c r="AA949">
        <v>7</v>
      </c>
      <c r="AB949">
        <v>3</v>
      </c>
      <c r="AC949">
        <v>0</v>
      </c>
      <c r="AD949">
        <v>9</v>
      </c>
      <c r="AE949">
        <v>0</v>
      </c>
      <c r="AF949">
        <v>3</v>
      </c>
      <c r="AG949">
        <v>1</v>
      </c>
      <c r="AH949">
        <v>0</v>
      </c>
      <c r="AI949" t="s">
        <v>522</v>
      </c>
      <c r="AJ949">
        <v>33.154592999999998</v>
      </c>
      <c r="AK949" t="s">
        <v>523</v>
      </c>
      <c r="AL949">
        <v>-97.724011000000004</v>
      </c>
      <c r="AM949">
        <v>25</v>
      </c>
      <c r="AN949">
        <v>3500</v>
      </c>
      <c r="AO949" t="s">
        <v>118</v>
      </c>
      <c r="AP949">
        <v>51</v>
      </c>
      <c r="AQ949">
        <v>-89</v>
      </c>
      <c r="AR949">
        <v>64</v>
      </c>
      <c r="AZ949">
        <v>1200</v>
      </c>
      <c r="BA949">
        <v>1</v>
      </c>
      <c r="BB949" t="str">
        <f t="shared" si="276"/>
        <v xml:space="preserve">N733KP  </v>
      </c>
      <c r="BC949">
        <v>1</v>
      </c>
      <c r="BE949">
        <v>0</v>
      </c>
      <c r="BF949">
        <v>0</v>
      </c>
      <c r="BG949">
        <v>0</v>
      </c>
      <c r="BH949">
        <v>3475</v>
      </c>
      <c r="BI949">
        <v>1</v>
      </c>
      <c r="BJ949">
        <v>1</v>
      </c>
      <c r="BK949">
        <v>0</v>
      </c>
      <c r="BL949">
        <v>0</v>
      </c>
      <c r="BO949">
        <v>0</v>
      </c>
      <c r="BP949">
        <v>0</v>
      </c>
      <c r="BW949" t="str">
        <f>"22:13:27.734"</f>
        <v>22:13:27.734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364</v>
      </c>
      <c r="CR949">
        <v>0</v>
      </c>
      <c r="CW949">
        <v>1400124</v>
      </c>
      <c r="CY949">
        <v>1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"03/24/2022 22:13:27.910"</f>
        <v>03/24/2022 22:13:27.910</v>
      </c>
      <c r="C950" t="str">
        <f t="shared" si="275"/>
        <v>FFDFD3C0</v>
      </c>
      <c r="D950" t="s">
        <v>113</v>
      </c>
      <c r="E950">
        <v>24</v>
      </c>
      <c r="F950">
        <v>2024</v>
      </c>
      <c r="G950" t="s">
        <v>114</v>
      </c>
      <c r="J950" t="s">
        <v>115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 t="shared" si="285"/>
        <v>22:13:27.000</v>
      </c>
      <c r="T950" t="str">
        <f t="shared" si="285"/>
        <v>22:13:27.000</v>
      </c>
      <c r="U950" t="str">
        <f t="shared" si="269"/>
        <v>A9D71F</v>
      </c>
      <c r="V950">
        <v>0</v>
      </c>
      <c r="W950">
        <v>0</v>
      </c>
      <c r="X950">
        <v>2</v>
      </c>
      <c r="Z950">
        <v>1</v>
      </c>
      <c r="AA950">
        <v>7</v>
      </c>
      <c r="AB950">
        <v>3</v>
      </c>
      <c r="AC950">
        <v>0</v>
      </c>
      <c r="AD950">
        <v>9</v>
      </c>
      <c r="AE950">
        <v>0</v>
      </c>
      <c r="AF950">
        <v>3</v>
      </c>
      <c r="AG950">
        <v>1</v>
      </c>
      <c r="AH950">
        <v>0</v>
      </c>
      <c r="AI950" t="s">
        <v>522</v>
      </c>
      <c r="AJ950">
        <v>33.154592999999998</v>
      </c>
      <c r="AK950" t="s">
        <v>523</v>
      </c>
      <c r="AL950">
        <v>-97.724011000000004</v>
      </c>
      <c r="AM950">
        <v>25</v>
      </c>
      <c r="AN950">
        <v>3500</v>
      </c>
      <c r="AO950" t="s">
        <v>118</v>
      </c>
      <c r="AP950">
        <v>51</v>
      </c>
      <c r="AQ950">
        <v>-89</v>
      </c>
      <c r="AR950">
        <v>64</v>
      </c>
      <c r="AZ950">
        <v>1200</v>
      </c>
      <c r="BA950">
        <v>1</v>
      </c>
      <c r="BB950" t="str">
        <f t="shared" si="276"/>
        <v xml:space="preserve">N733KP  </v>
      </c>
      <c r="BC950">
        <v>1</v>
      </c>
      <c r="BE950">
        <v>0</v>
      </c>
      <c r="BF950">
        <v>0</v>
      </c>
      <c r="BG950">
        <v>0</v>
      </c>
      <c r="BH950">
        <v>3475</v>
      </c>
      <c r="BI950">
        <v>1</v>
      </c>
      <c r="BJ950">
        <v>1</v>
      </c>
      <c r="BK950">
        <v>0</v>
      </c>
      <c r="BL950">
        <v>0</v>
      </c>
      <c r="BO950">
        <v>0</v>
      </c>
      <c r="BP950">
        <v>0</v>
      </c>
      <c r="BW950" t="str">
        <f>"22:13:27.734"</f>
        <v>22:13:27.734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364</v>
      </c>
      <c r="CR950">
        <v>0</v>
      </c>
      <c r="CW950">
        <v>1400124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"03/24/2022 22:13:27.910"</f>
        <v>03/24/2022 22:13:27.910</v>
      </c>
      <c r="C951" t="str">
        <f t="shared" si="275"/>
        <v>FFDFD3C0</v>
      </c>
      <c r="D951" t="s">
        <v>123</v>
      </c>
      <c r="E951">
        <v>8</v>
      </c>
      <c r="H951">
        <v>31</v>
      </c>
      <c r="I951" t="s">
        <v>124</v>
      </c>
      <c r="J951" t="s">
        <v>125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 t="shared" si="285"/>
        <v>22:13:27.000</v>
      </c>
      <c r="T951" t="str">
        <f t="shared" si="285"/>
        <v>22:13:27.000</v>
      </c>
      <c r="U951" t="str">
        <f t="shared" si="269"/>
        <v>A9D71F</v>
      </c>
      <c r="V951">
        <v>0</v>
      </c>
      <c r="W951">
        <v>0</v>
      </c>
      <c r="X951">
        <v>2</v>
      </c>
      <c r="Z951">
        <v>1</v>
      </c>
      <c r="AA951">
        <v>7</v>
      </c>
      <c r="AB951">
        <v>3</v>
      </c>
      <c r="AC951">
        <v>0</v>
      </c>
      <c r="AD951">
        <v>9</v>
      </c>
      <c r="AE951">
        <v>0</v>
      </c>
      <c r="AF951">
        <v>3</v>
      </c>
      <c r="AG951">
        <v>1</v>
      </c>
      <c r="AH951">
        <v>0</v>
      </c>
      <c r="AI951" t="s">
        <v>522</v>
      </c>
      <c r="AJ951">
        <v>33.154592999999998</v>
      </c>
      <c r="AK951" t="s">
        <v>523</v>
      </c>
      <c r="AL951">
        <v>-97.724011000000004</v>
      </c>
      <c r="AM951">
        <v>25</v>
      </c>
      <c r="AN951">
        <v>3500</v>
      </c>
      <c r="AO951" t="s">
        <v>118</v>
      </c>
      <c r="AP951">
        <v>51</v>
      </c>
      <c r="AQ951">
        <v>-89</v>
      </c>
      <c r="AR951">
        <v>64</v>
      </c>
      <c r="AZ951">
        <v>1200</v>
      </c>
      <c r="BA951">
        <v>1</v>
      </c>
      <c r="BB951" t="str">
        <f t="shared" si="276"/>
        <v xml:space="preserve">N733KP  </v>
      </c>
      <c r="BC951">
        <v>1</v>
      </c>
      <c r="BE951">
        <v>0</v>
      </c>
      <c r="BF951">
        <v>0</v>
      </c>
      <c r="BG951">
        <v>0</v>
      </c>
      <c r="BH951">
        <v>3475</v>
      </c>
      <c r="BI951">
        <v>1</v>
      </c>
      <c r="BJ951">
        <v>1</v>
      </c>
      <c r="BK951">
        <v>0</v>
      </c>
      <c r="BL951">
        <v>0</v>
      </c>
      <c r="BO951">
        <v>0</v>
      </c>
      <c r="BP951">
        <v>0</v>
      </c>
      <c r="BW951" t="str">
        <f>"22:13:27.734"</f>
        <v>22:13:27.734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364</v>
      </c>
      <c r="CR951">
        <v>0</v>
      </c>
      <c r="CW951">
        <v>1400124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"03/24/2022 22:13:27.956"</f>
        <v>03/24/2022 22:13:27.956</v>
      </c>
      <c r="C952" t="str">
        <f t="shared" si="275"/>
        <v>FFDFD3C0</v>
      </c>
      <c r="D952" t="s">
        <v>120</v>
      </c>
      <c r="E952">
        <v>14</v>
      </c>
      <c r="F952">
        <v>1014</v>
      </c>
      <c r="G952" t="s">
        <v>121</v>
      </c>
      <c r="J952" t="s">
        <v>122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 t="shared" si="285"/>
        <v>22:13:27.000</v>
      </c>
      <c r="T952" t="str">
        <f t="shared" si="285"/>
        <v>22:13:27.000</v>
      </c>
      <c r="U952" t="str">
        <f t="shared" si="269"/>
        <v>A9D71F</v>
      </c>
      <c r="V952">
        <v>0</v>
      </c>
      <c r="W952">
        <v>0</v>
      </c>
      <c r="X952">
        <v>2</v>
      </c>
      <c r="Z952">
        <v>1</v>
      </c>
      <c r="AA952">
        <v>7</v>
      </c>
      <c r="AB952">
        <v>3</v>
      </c>
      <c r="AC952">
        <v>0</v>
      </c>
      <c r="AD952">
        <v>9</v>
      </c>
      <c r="AE952">
        <v>0</v>
      </c>
      <c r="AF952">
        <v>3</v>
      </c>
      <c r="AG952">
        <v>1</v>
      </c>
      <c r="AH952">
        <v>0</v>
      </c>
      <c r="AI952" t="s">
        <v>522</v>
      </c>
      <c r="AJ952">
        <v>33.154592999999998</v>
      </c>
      <c r="AK952" t="s">
        <v>523</v>
      </c>
      <c r="AL952">
        <v>-97.724011000000004</v>
      </c>
      <c r="AM952">
        <v>25</v>
      </c>
      <c r="AN952">
        <v>3500</v>
      </c>
      <c r="AO952" t="s">
        <v>118</v>
      </c>
      <c r="AP952">
        <v>51</v>
      </c>
      <c r="AQ952">
        <v>-89</v>
      </c>
      <c r="AR952">
        <v>64</v>
      </c>
      <c r="AZ952">
        <v>1200</v>
      </c>
      <c r="BA952">
        <v>1</v>
      </c>
      <c r="BB952" t="str">
        <f t="shared" si="276"/>
        <v xml:space="preserve">N733KP  </v>
      </c>
      <c r="BC952">
        <v>1</v>
      </c>
      <c r="BE952">
        <v>0</v>
      </c>
      <c r="BF952">
        <v>0</v>
      </c>
      <c r="BG952">
        <v>0</v>
      </c>
      <c r="BH952">
        <v>3475</v>
      </c>
      <c r="BI952">
        <v>1</v>
      </c>
      <c r="BJ952">
        <v>1</v>
      </c>
      <c r="BK952">
        <v>0</v>
      </c>
      <c r="BL952">
        <v>0</v>
      </c>
      <c r="BO952">
        <v>0</v>
      </c>
      <c r="BP952">
        <v>0</v>
      </c>
      <c r="BW952" t="str">
        <f>"22:13:27.734"</f>
        <v>22:13:27.734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364</v>
      </c>
      <c r="CR952">
        <v>0</v>
      </c>
      <c r="CW952">
        <v>1400124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"03/24/2022 22:13:28.709"</f>
        <v>03/24/2022 22:13:28.709</v>
      </c>
      <c r="C953" t="str">
        <f t="shared" si="275"/>
        <v>FFDFD3C0</v>
      </c>
      <c r="D953" t="s">
        <v>113</v>
      </c>
      <c r="E953">
        <v>24</v>
      </c>
      <c r="F953">
        <v>2024</v>
      </c>
      <c r="G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 t="shared" ref="S953:T956" si="286">"22:13:28.000"</f>
        <v>22:13:28.000</v>
      </c>
      <c r="T953" t="str">
        <f t="shared" si="286"/>
        <v>22:13:28.000</v>
      </c>
      <c r="U953" t="str">
        <f t="shared" si="269"/>
        <v>A9D71F</v>
      </c>
      <c r="V953">
        <v>0</v>
      </c>
      <c r="W953">
        <v>0</v>
      </c>
      <c r="X953">
        <v>2</v>
      </c>
      <c r="Z953">
        <v>1</v>
      </c>
      <c r="AA953">
        <v>7</v>
      </c>
      <c r="AB953">
        <v>3</v>
      </c>
      <c r="AC953">
        <v>0</v>
      </c>
      <c r="AD953">
        <v>9</v>
      </c>
      <c r="AE953">
        <v>0</v>
      </c>
      <c r="AF953">
        <v>3</v>
      </c>
      <c r="AG953">
        <v>1</v>
      </c>
      <c r="AH953">
        <v>0</v>
      </c>
      <c r="AI953" t="s">
        <v>524</v>
      </c>
      <c r="AJ953">
        <v>33.154206000000002</v>
      </c>
      <c r="AK953" t="s">
        <v>525</v>
      </c>
      <c r="AL953">
        <v>-97.723753000000002</v>
      </c>
      <c r="AM953">
        <v>25</v>
      </c>
      <c r="AN953">
        <v>3500</v>
      </c>
      <c r="AO953" t="s">
        <v>118</v>
      </c>
      <c r="AP953">
        <v>51</v>
      </c>
      <c r="AQ953">
        <v>-89</v>
      </c>
      <c r="AR953">
        <v>0</v>
      </c>
      <c r="AZ953">
        <v>1200</v>
      </c>
      <c r="BA953">
        <v>1</v>
      </c>
      <c r="BB953" t="str">
        <f t="shared" si="276"/>
        <v xml:space="preserve">N733KP  </v>
      </c>
      <c r="BC953">
        <v>1</v>
      </c>
      <c r="BE953">
        <v>0</v>
      </c>
      <c r="BF953">
        <v>0</v>
      </c>
      <c r="BG953">
        <v>0</v>
      </c>
      <c r="BH953">
        <v>3475</v>
      </c>
      <c r="BI953">
        <v>1</v>
      </c>
      <c r="BJ953">
        <v>1</v>
      </c>
      <c r="BK953">
        <v>0</v>
      </c>
      <c r="BL953">
        <v>0</v>
      </c>
      <c r="BO953">
        <v>0</v>
      </c>
      <c r="BP953">
        <v>0</v>
      </c>
      <c r="BW953" t="str">
        <f>"22:13:28.560"</f>
        <v>22:13:28.560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364</v>
      </c>
      <c r="CR953">
        <v>0</v>
      </c>
      <c r="CW953">
        <v>1400232</v>
      </c>
      <c r="CY953">
        <v>1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"03/24/2022 22:13:28.709"</f>
        <v>03/24/2022 22:13:28.709</v>
      </c>
      <c r="C954" t="str">
        <f t="shared" si="275"/>
        <v>FFDFD3C0</v>
      </c>
      <c r="D954" t="s">
        <v>123</v>
      </c>
      <c r="E954">
        <v>8</v>
      </c>
      <c r="H954">
        <v>31</v>
      </c>
      <c r="I954" t="s">
        <v>124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 t="shared" si="286"/>
        <v>22:13:28.000</v>
      </c>
      <c r="T954" t="str">
        <f t="shared" si="286"/>
        <v>22:13:28.000</v>
      </c>
      <c r="U954" t="str">
        <f t="shared" si="269"/>
        <v>A9D71F</v>
      </c>
      <c r="V954">
        <v>0</v>
      </c>
      <c r="W954">
        <v>0</v>
      </c>
      <c r="X954">
        <v>2</v>
      </c>
      <c r="Z954">
        <v>1</v>
      </c>
      <c r="AA954">
        <v>7</v>
      </c>
      <c r="AB954">
        <v>3</v>
      </c>
      <c r="AC954">
        <v>0</v>
      </c>
      <c r="AD954">
        <v>9</v>
      </c>
      <c r="AE954">
        <v>0</v>
      </c>
      <c r="AF954">
        <v>3</v>
      </c>
      <c r="AG954">
        <v>1</v>
      </c>
      <c r="AH954">
        <v>0</v>
      </c>
      <c r="AI954" t="s">
        <v>524</v>
      </c>
      <c r="AJ954">
        <v>33.154206000000002</v>
      </c>
      <c r="AK954" t="s">
        <v>525</v>
      </c>
      <c r="AL954">
        <v>-97.723753000000002</v>
      </c>
      <c r="AM954">
        <v>25</v>
      </c>
      <c r="AN954">
        <v>3500</v>
      </c>
      <c r="AO954" t="s">
        <v>118</v>
      </c>
      <c r="AP954">
        <v>51</v>
      </c>
      <c r="AQ954">
        <v>-89</v>
      </c>
      <c r="AR954">
        <v>0</v>
      </c>
      <c r="AZ954">
        <v>1200</v>
      </c>
      <c r="BA954">
        <v>1</v>
      </c>
      <c r="BB954" t="str">
        <f t="shared" si="276"/>
        <v xml:space="preserve">N733KP  </v>
      </c>
      <c r="BC954">
        <v>1</v>
      </c>
      <c r="BE954">
        <v>0</v>
      </c>
      <c r="BF954">
        <v>0</v>
      </c>
      <c r="BG954">
        <v>0</v>
      </c>
      <c r="BH954">
        <v>3475</v>
      </c>
      <c r="BI954">
        <v>1</v>
      </c>
      <c r="BJ954">
        <v>1</v>
      </c>
      <c r="BK954">
        <v>0</v>
      </c>
      <c r="BL954">
        <v>0</v>
      </c>
      <c r="BO954">
        <v>0</v>
      </c>
      <c r="BP954">
        <v>0</v>
      </c>
      <c r="BW954" t="str">
        <f>"22:13:28.560"</f>
        <v>22:13:28.560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364</v>
      </c>
      <c r="CR954">
        <v>0</v>
      </c>
      <c r="CW954">
        <v>1400232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"03/24/2022 22:13:28.771"</f>
        <v>03/24/2022 22:13:28.771</v>
      </c>
      <c r="C955" t="str">
        <f t="shared" si="275"/>
        <v>FFDFD3C0</v>
      </c>
      <c r="D955" t="s">
        <v>120</v>
      </c>
      <c r="E955">
        <v>14</v>
      </c>
      <c r="F955">
        <v>1014</v>
      </c>
      <c r="G955" t="s">
        <v>121</v>
      </c>
      <c r="J955" t="s">
        <v>122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 t="shared" si="286"/>
        <v>22:13:28.000</v>
      </c>
      <c r="T955" t="str">
        <f t="shared" si="286"/>
        <v>22:13:28.000</v>
      </c>
      <c r="U955" t="str">
        <f t="shared" si="269"/>
        <v>A9D71F</v>
      </c>
      <c r="V955">
        <v>0</v>
      </c>
      <c r="W955">
        <v>0</v>
      </c>
      <c r="X955">
        <v>2</v>
      </c>
      <c r="Z955">
        <v>1</v>
      </c>
      <c r="AA955">
        <v>7</v>
      </c>
      <c r="AB955">
        <v>3</v>
      </c>
      <c r="AC955">
        <v>0</v>
      </c>
      <c r="AD955">
        <v>9</v>
      </c>
      <c r="AE955">
        <v>0</v>
      </c>
      <c r="AF955">
        <v>3</v>
      </c>
      <c r="AG955">
        <v>1</v>
      </c>
      <c r="AH955">
        <v>0</v>
      </c>
      <c r="AI955" t="s">
        <v>524</v>
      </c>
      <c r="AJ955">
        <v>33.154206000000002</v>
      </c>
      <c r="AK955" t="s">
        <v>525</v>
      </c>
      <c r="AL955">
        <v>-97.723753000000002</v>
      </c>
      <c r="AM955">
        <v>25</v>
      </c>
      <c r="AN955">
        <v>3500</v>
      </c>
      <c r="AO955" t="s">
        <v>118</v>
      </c>
      <c r="AP955">
        <v>51</v>
      </c>
      <c r="AQ955">
        <v>-89</v>
      </c>
      <c r="AR955">
        <v>0</v>
      </c>
      <c r="AZ955">
        <v>1200</v>
      </c>
      <c r="BA955">
        <v>1</v>
      </c>
      <c r="BB955" t="str">
        <f t="shared" si="276"/>
        <v xml:space="preserve">N733KP  </v>
      </c>
      <c r="BC955">
        <v>1</v>
      </c>
      <c r="BE955">
        <v>0</v>
      </c>
      <c r="BF955">
        <v>0</v>
      </c>
      <c r="BG955">
        <v>0</v>
      </c>
      <c r="BH955">
        <v>3475</v>
      </c>
      <c r="BI955">
        <v>1</v>
      </c>
      <c r="BJ955">
        <v>1</v>
      </c>
      <c r="BK955">
        <v>0</v>
      </c>
      <c r="BL955">
        <v>0</v>
      </c>
      <c r="BO955">
        <v>0</v>
      </c>
      <c r="BP955">
        <v>0</v>
      </c>
      <c r="BW955" t="str">
        <f>"22:13:28.560"</f>
        <v>22:13:28.560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364</v>
      </c>
      <c r="CR955">
        <v>0</v>
      </c>
      <c r="CW955">
        <v>1400232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"03/24/2022 22:13:28.787"</f>
        <v>03/24/2022 22:13:28.787</v>
      </c>
      <c r="C956" t="str">
        <f t="shared" si="275"/>
        <v>FFDFD3C0</v>
      </c>
      <c r="D956" t="s">
        <v>126</v>
      </c>
      <c r="E956">
        <v>3</v>
      </c>
      <c r="H956">
        <v>160</v>
      </c>
      <c r="I956" t="s">
        <v>121</v>
      </c>
      <c r="J956" t="s">
        <v>127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 t="shared" si="286"/>
        <v>22:13:28.000</v>
      </c>
      <c r="T956" t="str">
        <f t="shared" si="286"/>
        <v>22:13:28.000</v>
      </c>
      <c r="U956" t="str">
        <f t="shared" si="269"/>
        <v>A9D71F</v>
      </c>
      <c r="V956">
        <v>0</v>
      </c>
      <c r="W956">
        <v>0</v>
      </c>
      <c r="X956">
        <v>2</v>
      </c>
      <c r="Z956">
        <v>1</v>
      </c>
      <c r="AA956">
        <v>7</v>
      </c>
      <c r="AB956">
        <v>3</v>
      </c>
      <c r="AC956">
        <v>0</v>
      </c>
      <c r="AD956">
        <v>9</v>
      </c>
      <c r="AE956">
        <v>0</v>
      </c>
      <c r="AF956">
        <v>3</v>
      </c>
      <c r="AG956">
        <v>1</v>
      </c>
      <c r="AH956">
        <v>0</v>
      </c>
      <c r="AI956" t="s">
        <v>524</v>
      </c>
      <c r="AJ956">
        <v>33.154206000000002</v>
      </c>
      <c r="AK956" t="s">
        <v>525</v>
      </c>
      <c r="AL956">
        <v>-97.723753000000002</v>
      </c>
      <c r="AM956">
        <v>25</v>
      </c>
      <c r="AN956">
        <v>3500</v>
      </c>
      <c r="AO956" t="s">
        <v>118</v>
      </c>
      <c r="AP956">
        <v>51</v>
      </c>
      <c r="AQ956">
        <v>-89</v>
      </c>
      <c r="AR956">
        <v>0</v>
      </c>
      <c r="AZ956">
        <v>1200</v>
      </c>
      <c r="BA956">
        <v>1</v>
      </c>
      <c r="BB956" t="str">
        <f t="shared" si="276"/>
        <v xml:space="preserve">N733KP  </v>
      </c>
      <c r="BC956">
        <v>1</v>
      </c>
      <c r="BE956">
        <v>0</v>
      </c>
      <c r="BF956">
        <v>0</v>
      </c>
      <c r="BG956">
        <v>0</v>
      </c>
      <c r="BH956">
        <v>3475</v>
      </c>
      <c r="BI956">
        <v>1</v>
      </c>
      <c r="BJ956">
        <v>1</v>
      </c>
      <c r="BK956">
        <v>0</v>
      </c>
      <c r="BL956">
        <v>0</v>
      </c>
      <c r="BO956">
        <v>0</v>
      </c>
      <c r="BP956">
        <v>0</v>
      </c>
      <c r="BW956" t="str">
        <f>"22:13:28.560"</f>
        <v>22:13:28.560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364</v>
      </c>
      <c r="CR956">
        <v>0</v>
      </c>
      <c r="CW956">
        <v>1400232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"03/24/2022 22:13:29.896"</f>
        <v>03/24/2022 22:13:29.896</v>
      </c>
      <c r="C957" t="str">
        <f t="shared" si="275"/>
        <v>FFDFD3C0</v>
      </c>
      <c r="D957" t="s">
        <v>120</v>
      </c>
      <c r="E957">
        <v>14</v>
      </c>
      <c r="F957">
        <v>1014</v>
      </c>
      <c r="G957" t="s">
        <v>121</v>
      </c>
      <c r="J957" t="s">
        <v>122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 t="shared" ref="S957:T960" si="287">"22:13:29.000"</f>
        <v>22:13:29.000</v>
      </c>
      <c r="T957" t="str">
        <f t="shared" si="287"/>
        <v>22:13:29.000</v>
      </c>
      <c r="U957" t="str">
        <f t="shared" si="269"/>
        <v>A9D71F</v>
      </c>
      <c r="V957">
        <v>0</v>
      </c>
      <c r="W957">
        <v>0</v>
      </c>
      <c r="X957">
        <v>2</v>
      </c>
      <c r="Z957">
        <v>1</v>
      </c>
      <c r="AA957">
        <v>7</v>
      </c>
      <c r="AB957">
        <v>3</v>
      </c>
      <c r="AC957">
        <v>0</v>
      </c>
      <c r="AD957">
        <v>9</v>
      </c>
      <c r="AE957">
        <v>0</v>
      </c>
      <c r="AF957">
        <v>3</v>
      </c>
      <c r="AG957">
        <v>1</v>
      </c>
      <c r="AH957">
        <v>0</v>
      </c>
      <c r="AI957" t="s">
        <v>526</v>
      </c>
      <c r="AJ957">
        <v>33.153798999999999</v>
      </c>
      <c r="AK957" t="s">
        <v>527</v>
      </c>
      <c r="AL957">
        <v>-97.723474999999993</v>
      </c>
      <c r="AM957">
        <v>25</v>
      </c>
      <c r="AN957">
        <v>3500</v>
      </c>
      <c r="AO957" t="s">
        <v>118</v>
      </c>
      <c r="AP957">
        <v>52</v>
      </c>
      <c r="AQ957">
        <v>-89</v>
      </c>
      <c r="AR957">
        <v>-64</v>
      </c>
      <c r="AZ957">
        <v>1200</v>
      </c>
      <c r="BA957">
        <v>1</v>
      </c>
      <c r="BB957" t="str">
        <f t="shared" si="276"/>
        <v xml:space="preserve">N733KP  </v>
      </c>
      <c r="BC957">
        <v>1</v>
      </c>
      <c r="BE957">
        <v>0</v>
      </c>
      <c r="BF957">
        <v>0</v>
      </c>
      <c r="BG957">
        <v>0</v>
      </c>
      <c r="BH957">
        <v>3475</v>
      </c>
      <c r="BI957">
        <v>1</v>
      </c>
      <c r="BJ957">
        <v>1</v>
      </c>
      <c r="BK957">
        <v>0</v>
      </c>
      <c r="BL957">
        <v>0</v>
      </c>
      <c r="BO957">
        <v>0</v>
      </c>
      <c r="BP957">
        <v>0</v>
      </c>
      <c r="BW957" t="str">
        <f>"22:13:29.687"</f>
        <v>22:13:29.687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364</v>
      </c>
      <c r="CR957">
        <v>0</v>
      </c>
      <c r="CW957">
        <v>1400397</v>
      </c>
      <c r="CY957">
        <v>1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"03/24/2022 22:13:29.896"</f>
        <v>03/24/2022 22:13:29.896</v>
      </c>
      <c r="C958" t="str">
        <f t="shared" si="275"/>
        <v>FFDFD3C0</v>
      </c>
      <c r="D958" t="s">
        <v>126</v>
      </c>
      <c r="E958">
        <v>3</v>
      </c>
      <c r="H958">
        <v>160</v>
      </c>
      <c r="I958" t="s">
        <v>121</v>
      </c>
      <c r="J958" t="s">
        <v>127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 t="shared" si="287"/>
        <v>22:13:29.000</v>
      </c>
      <c r="T958" t="str">
        <f t="shared" si="287"/>
        <v>22:13:29.000</v>
      </c>
      <c r="U958" t="str">
        <f t="shared" si="269"/>
        <v>A9D71F</v>
      </c>
      <c r="V958">
        <v>0</v>
      </c>
      <c r="W958">
        <v>0</v>
      </c>
      <c r="X958">
        <v>2</v>
      </c>
      <c r="Z958">
        <v>1</v>
      </c>
      <c r="AA958">
        <v>7</v>
      </c>
      <c r="AB958">
        <v>3</v>
      </c>
      <c r="AC958">
        <v>0</v>
      </c>
      <c r="AD958">
        <v>9</v>
      </c>
      <c r="AE958">
        <v>0</v>
      </c>
      <c r="AF958">
        <v>3</v>
      </c>
      <c r="AG958">
        <v>1</v>
      </c>
      <c r="AH958">
        <v>0</v>
      </c>
      <c r="AI958" t="s">
        <v>526</v>
      </c>
      <c r="AJ958">
        <v>33.153798999999999</v>
      </c>
      <c r="AK958" t="s">
        <v>527</v>
      </c>
      <c r="AL958">
        <v>-97.723474999999993</v>
      </c>
      <c r="AM958">
        <v>25</v>
      </c>
      <c r="AN958">
        <v>3500</v>
      </c>
      <c r="AO958" t="s">
        <v>118</v>
      </c>
      <c r="AP958">
        <v>52</v>
      </c>
      <c r="AQ958">
        <v>-89</v>
      </c>
      <c r="AR958">
        <v>-64</v>
      </c>
      <c r="AZ958">
        <v>1200</v>
      </c>
      <c r="BA958">
        <v>1</v>
      </c>
      <c r="BB958" t="str">
        <f t="shared" si="276"/>
        <v xml:space="preserve">N733KP  </v>
      </c>
      <c r="BC958">
        <v>1</v>
      </c>
      <c r="BE958">
        <v>0</v>
      </c>
      <c r="BF958">
        <v>0</v>
      </c>
      <c r="BG958">
        <v>0</v>
      </c>
      <c r="BH958">
        <v>3475</v>
      </c>
      <c r="BI958">
        <v>1</v>
      </c>
      <c r="BJ958">
        <v>1</v>
      </c>
      <c r="BK958">
        <v>0</v>
      </c>
      <c r="BL958">
        <v>0</v>
      </c>
      <c r="BO958">
        <v>0</v>
      </c>
      <c r="BP958">
        <v>0</v>
      </c>
      <c r="BW958" t="str">
        <f>"22:13:29.687"</f>
        <v>22:13:29.687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364</v>
      </c>
      <c r="CR958">
        <v>0</v>
      </c>
      <c r="CW958">
        <v>1400397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"03/24/2022 22:13:29.896"</f>
        <v>03/24/2022 22:13:29.896</v>
      </c>
      <c r="C959" t="str">
        <f t="shared" si="275"/>
        <v>FFDFD3C0</v>
      </c>
      <c r="D959" t="s">
        <v>123</v>
      </c>
      <c r="E959">
        <v>8</v>
      </c>
      <c r="H959">
        <v>31</v>
      </c>
      <c r="I959" t="s">
        <v>124</v>
      </c>
      <c r="J959" t="s">
        <v>125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 t="shared" si="287"/>
        <v>22:13:29.000</v>
      </c>
      <c r="T959" t="str">
        <f t="shared" si="287"/>
        <v>22:13:29.000</v>
      </c>
      <c r="U959" t="str">
        <f t="shared" si="269"/>
        <v>A9D71F</v>
      </c>
      <c r="V959">
        <v>0</v>
      </c>
      <c r="W959">
        <v>0</v>
      </c>
      <c r="X959">
        <v>2</v>
      </c>
      <c r="Z959">
        <v>1</v>
      </c>
      <c r="AA959">
        <v>7</v>
      </c>
      <c r="AB959">
        <v>3</v>
      </c>
      <c r="AC959">
        <v>0</v>
      </c>
      <c r="AD959">
        <v>9</v>
      </c>
      <c r="AE959">
        <v>0</v>
      </c>
      <c r="AF959">
        <v>3</v>
      </c>
      <c r="AG959">
        <v>1</v>
      </c>
      <c r="AH959">
        <v>0</v>
      </c>
      <c r="AI959" t="s">
        <v>526</v>
      </c>
      <c r="AJ959">
        <v>33.153798999999999</v>
      </c>
      <c r="AK959" t="s">
        <v>527</v>
      </c>
      <c r="AL959">
        <v>-97.723474999999993</v>
      </c>
      <c r="AM959">
        <v>25</v>
      </c>
      <c r="AN959">
        <v>3500</v>
      </c>
      <c r="AO959" t="s">
        <v>118</v>
      </c>
      <c r="AP959">
        <v>52</v>
      </c>
      <c r="AQ959">
        <v>-89</v>
      </c>
      <c r="AR959">
        <v>-64</v>
      </c>
      <c r="AZ959">
        <v>1200</v>
      </c>
      <c r="BA959">
        <v>1</v>
      </c>
      <c r="BB959" t="str">
        <f t="shared" si="276"/>
        <v xml:space="preserve">N733KP  </v>
      </c>
      <c r="BC959">
        <v>1</v>
      </c>
      <c r="BE959">
        <v>0</v>
      </c>
      <c r="BF959">
        <v>0</v>
      </c>
      <c r="BG959">
        <v>0</v>
      </c>
      <c r="BH959">
        <v>3475</v>
      </c>
      <c r="BI959">
        <v>1</v>
      </c>
      <c r="BJ959">
        <v>1</v>
      </c>
      <c r="BK959">
        <v>0</v>
      </c>
      <c r="BL959">
        <v>0</v>
      </c>
      <c r="BO959">
        <v>0</v>
      </c>
      <c r="BP959">
        <v>0</v>
      </c>
      <c r="BW959" t="str">
        <f>"22:13:29.687"</f>
        <v>22:13:29.687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364</v>
      </c>
      <c r="CR959">
        <v>0</v>
      </c>
      <c r="CW959">
        <v>1400397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"03/24/2022 22:13:29.896"</f>
        <v>03/24/2022 22:13:29.896</v>
      </c>
      <c r="C960" t="str">
        <f t="shared" si="275"/>
        <v>FFDFD3C0</v>
      </c>
      <c r="D960" t="s">
        <v>113</v>
      </c>
      <c r="E960">
        <v>24</v>
      </c>
      <c r="F960">
        <v>2024</v>
      </c>
      <c r="G960" t="s">
        <v>114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 t="shared" si="287"/>
        <v>22:13:29.000</v>
      </c>
      <c r="T960" t="str">
        <f t="shared" si="287"/>
        <v>22:13:29.000</v>
      </c>
      <c r="U960" t="str">
        <f t="shared" si="269"/>
        <v>A9D71F</v>
      </c>
      <c r="V960">
        <v>0</v>
      </c>
      <c r="W960">
        <v>0</v>
      </c>
      <c r="X960">
        <v>2</v>
      </c>
      <c r="Z960">
        <v>1</v>
      </c>
      <c r="AA960">
        <v>7</v>
      </c>
      <c r="AB960">
        <v>3</v>
      </c>
      <c r="AC960">
        <v>0</v>
      </c>
      <c r="AD960">
        <v>9</v>
      </c>
      <c r="AE960">
        <v>0</v>
      </c>
      <c r="AF960">
        <v>3</v>
      </c>
      <c r="AG960">
        <v>1</v>
      </c>
      <c r="AH960">
        <v>0</v>
      </c>
      <c r="AI960" t="s">
        <v>526</v>
      </c>
      <c r="AJ960">
        <v>33.153798999999999</v>
      </c>
      <c r="AK960" t="s">
        <v>527</v>
      </c>
      <c r="AL960">
        <v>-97.723474999999993</v>
      </c>
      <c r="AM960">
        <v>25</v>
      </c>
      <c r="AN960">
        <v>3500</v>
      </c>
      <c r="AO960" t="s">
        <v>118</v>
      </c>
      <c r="AP960">
        <v>52</v>
      </c>
      <c r="AQ960">
        <v>-89</v>
      </c>
      <c r="AR960">
        <v>-64</v>
      </c>
      <c r="AZ960">
        <v>1200</v>
      </c>
      <c r="BA960">
        <v>1</v>
      </c>
      <c r="BB960" t="str">
        <f t="shared" si="276"/>
        <v xml:space="preserve">N733KP  </v>
      </c>
      <c r="BC960">
        <v>1</v>
      </c>
      <c r="BE960">
        <v>0</v>
      </c>
      <c r="BF960">
        <v>0</v>
      </c>
      <c r="BG960">
        <v>0</v>
      </c>
      <c r="BH960">
        <v>3475</v>
      </c>
      <c r="BI960">
        <v>1</v>
      </c>
      <c r="BJ960">
        <v>1</v>
      </c>
      <c r="BK960">
        <v>0</v>
      </c>
      <c r="BL960">
        <v>0</v>
      </c>
      <c r="BO960">
        <v>0</v>
      </c>
      <c r="BP960">
        <v>0</v>
      </c>
      <c r="BW960" t="str">
        <f>"22:13:29.687"</f>
        <v>22:13:29.687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364</v>
      </c>
      <c r="CR960">
        <v>0</v>
      </c>
      <c r="CW960">
        <v>1400397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"03/24/2022 22:13:31.131"</f>
        <v>03/24/2022 22:13:31.131</v>
      </c>
      <c r="C961" t="str">
        <f t="shared" si="275"/>
        <v>FFDFD3C0</v>
      </c>
      <c r="D961" t="s">
        <v>126</v>
      </c>
      <c r="E961">
        <v>3</v>
      </c>
      <c r="H961">
        <v>160</v>
      </c>
      <c r="I961" t="s">
        <v>121</v>
      </c>
      <c r="J961" t="s">
        <v>127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 t="shared" ref="S961:T964" si="288">"22:13:30.000"</f>
        <v>22:13:30.000</v>
      </c>
      <c r="T961" t="str">
        <f t="shared" si="288"/>
        <v>22:13:30.000</v>
      </c>
      <c r="U961" t="str">
        <f t="shared" si="269"/>
        <v>A9D71F</v>
      </c>
      <c r="V961">
        <v>0</v>
      </c>
      <c r="W961">
        <v>0</v>
      </c>
      <c r="X961">
        <v>2</v>
      </c>
      <c r="Z961">
        <v>1</v>
      </c>
      <c r="AA961">
        <v>7</v>
      </c>
      <c r="AB961">
        <v>3</v>
      </c>
      <c r="AC961">
        <v>0</v>
      </c>
      <c r="AD961">
        <v>9</v>
      </c>
      <c r="AE961">
        <v>0</v>
      </c>
      <c r="AF961">
        <v>3</v>
      </c>
      <c r="AG961">
        <v>1</v>
      </c>
      <c r="AH961">
        <v>0</v>
      </c>
      <c r="AI961" t="s">
        <v>528</v>
      </c>
      <c r="AJ961">
        <v>33.153368999999998</v>
      </c>
      <c r="AK961" t="s">
        <v>529</v>
      </c>
      <c r="AL961">
        <v>-97.723174</v>
      </c>
      <c r="AM961">
        <v>25</v>
      </c>
      <c r="AN961">
        <v>3500</v>
      </c>
      <c r="AO961" t="s">
        <v>118</v>
      </c>
      <c r="AP961">
        <v>51</v>
      </c>
      <c r="AQ961">
        <v>-89</v>
      </c>
      <c r="AR961">
        <v>-128</v>
      </c>
      <c r="AZ961">
        <v>1200</v>
      </c>
      <c r="BA961">
        <v>1</v>
      </c>
      <c r="BB961" t="str">
        <f t="shared" si="276"/>
        <v xml:space="preserve">N733KP  </v>
      </c>
      <c r="BC961">
        <v>1</v>
      </c>
      <c r="BE961">
        <v>0</v>
      </c>
      <c r="BF961">
        <v>0</v>
      </c>
      <c r="BG961">
        <v>0</v>
      </c>
      <c r="BH961">
        <v>3475</v>
      </c>
      <c r="BI961">
        <v>1</v>
      </c>
      <c r="BJ961">
        <v>1</v>
      </c>
      <c r="BK961">
        <v>0</v>
      </c>
      <c r="BL961">
        <v>0</v>
      </c>
      <c r="BO961">
        <v>0</v>
      </c>
      <c r="BP961">
        <v>0</v>
      </c>
      <c r="BW961" t="str">
        <f>"22:13:30.904"</f>
        <v>22:13:30.904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364</v>
      </c>
      <c r="CR961">
        <v>0</v>
      </c>
      <c r="CW961">
        <v>1400573</v>
      </c>
      <c r="CY961">
        <v>1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"03/24/2022 22:13:31.146"</f>
        <v>03/24/2022 22:13:31.146</v>
      </c>
      <c r="C962" t="str">
        <f t="shared" si="275"/>
        <v>FFDFD3C0</v>
      </c>
      <c r="D962" t="s">
        <v>123</v>
      </c>
      <c r="E962">
        <v>8</v>
      </c>
      <c r="H962">
        <v>31</v>
      </c>
      <c r="I962" t="s">
        <v>124</v>
      </c>
      <c r="J962" t="s">
        <v>125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 t="shared" si="288"/>
        <v>22:13:30.000</v>
      </c>
      <c r="T962" t="str">
        <f t="shared" si="288"/>
        <v>22:13:30.000</v>
      </c>
      <c r="U962" t="str">
        <f t="shared" ref="U962:U1025" si="289">"A9D71F"</f>
        <v>A9D71F</v>
      </c>
      <c r="V962">
        <v>0</v>
      </c>
      <c r="W962">
        <v>0</v>
      </c>
      <c r="X962">
        <v>2</v>
      </c>
      <c r="Z962">
        <v>1</v>
      </c>
      <c r="AA962">
        <v>7</v>
      </c>
      <c r="AB962">
        <v>3</v>
      </c>
      <c r="AC962">
        <v>0</v>
      </c>
      <c r="AD962">
        <v>9</v>
      </c>
      <c r="AE962">
        <v>0</v>
      </c>
      <c r="AF962">
        <v>3</v>
      </c>
      <c r="AG962">
        <v>1</v>
      </c>
      <c r="AH962">
        <v>0</v>
      </c>
      <c r="AI962" t="s">
        <v>528</v>
      </c>
      <c r="AJ962">
        <v>33.153368999999998</v>
      </c>
      <c r="AK962" t="s">
        <v>529</v>
      </c>
      <c r="AL962">
        <v>-97.723174</v>
      </c>
      <c r="AM962">
        <v>25</v>
      </c>
      <c r="AN962">
        <v>3500</v>
      </c>
      <c r="AO962" t="s">
        <v>118</v>
      </c>
      <c r="AP962">
        <v>51</v>
      </c>
      <c r="AQ962">
        <v>-89</v>
      </c>
      <c r="AR962">
        <v>-128</v>
      </c>
      <c r="AZ962">
        <v>1200</v>
      </c>
      <c r="BA962">
        <v>1</v>
      </c>
      <c r="BB962" t="str">
        <f t="shared" si="276"/>
        <v xml:space="preserve">N733KP  </v>
      </c>
      <c r="BC962">
        <v>1</v>
      </c>
      <c r="BE962">
        <v>0</v>
      </c>
      <c r="BF962">
        <v>0</v>
      </c>
      <c r="BG962">
        <v>0</v>
      </c>
      <c r="BH962">
        <v>3475</v>
      </c>
      <c r="BI962">
        <v>1</v>
      </c>
      <c r="BJ962">
        <v>1</v>
      </c>
      <c r="BK962">
        <v>0</v>
      </c>
      <c r="BL962">
        <v>0</v>
      </c>
      <c r="BO962">
        <v>0</v>
      </c>
      <c r="BP962">
        <v>0</v>
      </c>
      <c r="BW962" t="str">
        <f>"22:13:30.904"</f>
        <v>22:13:30.904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364</v>
      </c>
      <c r="CR962">
        <v>0</v>
      </c>
      <c r="CW962">
        <v>1400573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"03/24/2022 22:13:31.146"</f>
        <v>03/24/2022 22:13:31.146</v>
      </c>
      <c r="C963" t="str">
        <f t="shared" si="275"/>
        <v>FFDFD3C0</v>
      </c>
      <c r="D963" t="s">
        <v>120</v>
      </c>
      <c r="E963">
        <v>14</v>
      </c>
      <c r="F963">
        <v>1014</v>
      </c>
      <c r="G963" t="s">
        <v>121</v>
      </c>
      <c r="J963" t="s">
        <v>122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 t="shared" si="288"/>
        <v>22:13:30.000</v>
      </c>
      <c r="T963" t="str">
        <f t="shared" si="288"/>
        <v>22:13:30.000</v>
      </c>
      <c r="U963" t="str">
        <f t="shared" si="289"/>
        <v>A9D71F</v>
      </c>
      <c r="V963">
        <v>0</v>
      </c>
      <c r="W963">
        <v>0</v>
      </c>
      <c r="X963">
        <v>2</v>
      </c>
      <c r="Z963">
        <v>1</v>
      </c>
      <c r="AA963">
        <v>7</v>
      </c>
      <c r="AB963">
        <v>3</v>
      </c>
      <c r="AC963">
        <v>0</v>
      </c>
      <c r="AD963">
        <v>9</v>
      </c>
      <c r="AE963">
        <v>0</v>
      </c>
      <c r="AF963">
        <v>3</v>
      </c>
      <c r="AG963">
        <v>1</v>
      </c>
      <c r="AH963">
        <v>0</v>
      </c>
      <c r="AI963" t="s">
        <v>528</v>
      </c>
      <c r="AJ963">
        <v>33.153368999999998</v>
      </c>
      <c r="AK963" t="s">
        <v>529</v>
      </c>
      <c r="AL963">
        <v>-97.723174</v>
      </c>
      <c r="AM963">
        <v>25</v>
      </c>
      <c r="AN963">
        <v>3500</v>
      </c>
      <c r="AO963" t="s">
        <v>118</v>
      </c>
      <c r="AP963">
        <v>51</v>
      </c>
      <c r="AQ963">
        <v>-89</v>
      </c>
      <c r="AR963">
        <v>-128</v>
      </c>
      <c r="AZ963">
        <v>1200</v>
      </c>
      <c r="BA963">
        <v>1</v>
      </c>
      <c r="BB963" t="str">
        <f t="shared" si="276"/>
        <v xml:space="preserve">N733KP  </v>
      </c>
      <c r="BC963">
        <v>1</v>
      </c>
      <c r="BE963">
        <v>0</v>
      </c>
      <c r="BF963">
        <v>0</v>
      </c>
      <c r="BG963">
        <v>0</v>
      </c>
      <c r="BH963">
        <v>3475</v>
      </c>
      <c r="BI963">
        <v>1</v>
      </c>
      <c r="BJ963">
        <v>1</v>
      </c>
      <c r="BK963">
        <v>0</v>
      </c>
      <c r="BL963">
        <v>0</v>
      </c>
      <c r="BO963">
        <v>0</v>
      </c>
      <c r="BP963">
        <v>0</v>
      </c>
      <c r="BW963" t="str">
        <f>"22:13:30.904"</f>
        <v>22:13:30.904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364</v>
      </c>
      <c r="CR963">
        <v>0</v>
      </c>
      <c r="CW963">
        <v>1400573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"03/24/2022 22:13:31.146"</f>
        <v>03/24/2022 22:13:31.146</v>
      </c>
      <c r="C964" t="str">
        <f t="shared" si="275"/>
        <v>FFDFD3C0</v>
      </c>
      <c r="D964" t="s">
        <v>113</v>
      </c>
      <c r="E964">
        <v>24</v>
      </c>
      <c r="F964">
        <v>2024</v>
      </c>
      <c r="G964" t="s">
        <v>114</v>
      </c>
      <c r="J964" t="s">
        <v>115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 t="shared" si="288"/>
        <v>22:13:30.000</v>
      </c>
      <c r="T964" t="str">
        <f t="shared" si="288"/>
        <v>22:13:30.000</v>
      </c>
      <c r="U964" t="str">
        <f t="shared" si="289"/>
        <v>A9D71F</v>
      </c>
      <c r="V964">
        <v>0</v>
      </c>
      <c r="W964">
        <v>0</v>
      </c>
      <c r="X964">
        <v>2</v>
      </c>
      <c r="Z964">
        <v>1</v>
      </c>
      <c r="AA964">
        <v>7</v>
      </c>
      <c r="AB964">
        <v>3</v>
      </c>
      <c r="AC964">
        <v>0</v>
      </c>
      <c r="AD964">
        <v>9</v>
      </c>
      <c r="AE964">
        <v>0</v>
      </c>
      <c r="AF964">
        <v>3</v>
      </c>
      <c r="AG964">
        <v>1</v>
      </c>
      <c r="AH964">
        <v>0</v>
      </c>
      <c r="AI964" t="s">
        <v>528</v>
      </c>
      <c r="AJ964">
        <v>33.153368999999998</v>
      </c>
      <c r="AK964" t="s">
        <v>529</v>
      </c>
      <c r="AL964">
        <v>-97.723174</v>
      </c>
      <c r="AM964">
        <v>25</v>
      </c>
      <c r="AN964">
        <v>3500</v>
      </c>
      <c r="AO964" t="s">
        <v>118</v>
      </c>
      <c r="AP964">
        <v>51</v>
      </c>
      <c r="AQ964">
        <v>-89</v>
      </c>
      <c r="AR964">
        <v>-128</v>
      </c>
      <c r="AZ964">
        <v>1200</v>
      </c>
      <c r="BA964">
        <v>1</v>
      </c>
      <c r="BB964" t="str">
        <f t="shared" si="276"/>
        <v xml:space="preserve">N733KP  </v>
      </c>
      <c r="BC964">
        <v>1</v>
      </c>
      <c r="BE964">
        <v>0</v>
      </c>
      <c r="BF964">
        <v>0</v>
      </c>
      <c r="BG964">
        <v>0</v>
      </c>
      <c r="BH964">
        <v>3475</v>
      </c>
      <c r="BI964">
        <v>1</v>
      </c>
      <c r="BJ964">
        <v>1</v>
      </c>
      <c r="BK964">
        <v>0</v>
      </c>
      <c r="BL964">
        <v>0</v>
      </c>
      <c r="BO964">
        <v>0</v>
      </c>
      <c r="BP964">
        <v>0</v>
      </c>
      <c r="BW964" t="str">
        <f>"22:13:30.904"</f>
        <v>22:13:30.904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364</v>
      </c>
      <c r="CR964">
        <v>0</v>
      </c>
      <c r="CW964">
        <v>1400573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"03/24/2022 22:13:32.007"</f>
        <v>03/24/2022 22:13:32.007</v>
      </c>
      <c r="C965" t="str">
        <f t="shared" si="275"/>
        <v>FFDFD3C0</v>
      </c>
      <c r="D965" t="s">
        <v>123</v>
      </c>
      <c r="E965">
        <v>8</v>
      </c>
      <c r="H965">
        <v>31</v>
      </c>
      <c r="I965" t="s">
        <v>124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 t="shared" ref="S965:T968" si="290">"22:13:31.000"</f>
        <v>22:13:31.000</v>
      </c>
      <c r="T965" t="str">
        <f t="shared" si="290"/>
        <v>22:13:31.000</v>
      </c>
      <c r="U965" t="str">
        <f t="shared" si="289"/>
        <v>A9D71F</v>
      </c>
      <c r="V965">
        <v>0</v>
      </c>
      <c r="W965">
        <v>0</v>
      </c>
      <c r="X965">
        <v>2</v>
      </c>
      <c r="Z965">
        <v>1</v>
      </c>
      <c r="AA965">
        <v>7</v>
      </c>
      <c r="AB965">
        <v>3</v>
      </c>
      <c r="AC965">
        <v>0</v>
      </c>
      <c r="AD965">
        <v>9</v>
      </c>
      <c r="AE965">
        <v>0</v>
      </c>
      <c r="AF965">
        <v>3</v>
      </c>
      <c r="AG965">
        <v>1</v>
      </c>
      <c r="AH965">
        <v>0</v>
      </c>
      <c r="AI965" t="s">
        <v>530</v>
      </c>
      <c r="AJ965">
        <v>33.152940000000001</v>
      </c>
      <c r="AK965" t="s">
        <v>531</v>
      </c>
      <c r="AL965">
        <v>-97.722874000000004</v>
      </c>
      <c r="AM965">
        <v>25</v>
      </c>
      <c r="AN965">
        <v>3500</v>
      </c>
      <c r="AO965" t="s">
        <v>118</v>
      </c>
      <c r="AP965">
        <v>51</v>
      </c>
      <c r="AQ965">
        <v>-89</v>
      </c>
      <c r="AR965">
        <v>-128</v>
      </c>
      <c r="AZ965">
        <v>1200</v>
      </c>
      <c r="BA965">
        <v>1</v>
      </c>
      <c r="BB965" t="str">
        <f t="shared" si="276"/>
        <v xml:space="preserve">N733KP  </v>
      </c>
      <c r="BC965">
        <v>1</v>
      </c>
      <c r="BE965">
        <v>0</v>
      </c>
      <c r="BF965">
        <v>0</v>
      </c>
      <c r="BG965">
        <v>0</v>
      </c>
      <c r="BH965">
        <v>3475</v>
      </c>
      <c r="BI965">
        <v>1</v>
      </c>
      <c r="BJ965">
        <v>1</v>
      </c>
      <c r="BK965">
        <v>0</v>
      </c>
      <c r="BL965">
        <v>0</v>
      </c>
      <c r="BO965">
        <v>0</v>
      </c>
      <c r="BP965">
        <v>0</v>
      </c>
      <c r="BW965" t="str">
        <f>"22:13:31.838"</f>
        <v>22:13:31.838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364</v>
      </c>
      <c r="CR965">
        <v>0</v>
      </c>
      <c r="CW965">
        <v>1400706</v>
      </c>
      <c r="CY965">
        <v>1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"03/24/2022 22:13:32.007"</f>
        <v>03/24/2022 22:13:32.007</v>
      </c>
      <c r="C966" t="str">
        <f t="shared" si="275"/>
        <v>FFDFD3C0</v>
      </c>
      <c r="D966" t="s">
        <v>120</v>
      </c>
      <c r="E966">
        <v>14</v>
      </c>
      <c r="F966">
        <v>1014</v>
      </c>
      <c r="G966" t="s">
        <v>121</v>
      </c>
      <c r="J966" t="s">
        <v>122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 t="shared" si="290"/>
        <v>22:13:31.000</v>
      </c>
      <c r="T966" t="str">
        <f t="shared" si="290"/>
        <v>22:13:31.000</v>
      </c>
      <c r="U966" t="str">
        <f t="shared" si="289"/>
        <v>A9D71F</v>
      </c>
      <c r="V966">
        <v>0</v>
      </c>
      <c r="W966">
        <v>0</v>
      </c>
      <c r="X966">
        <v>2</v>
      </c>
      <c r="Z966">
        <v>1</v>
      </c>
      <c r="AA966">
        <v>7</v>
      </c>
      <c r="AB966">
        <v>3</v>
      </c>
      <c r="AC966">
        <v>0</v>
      </c>
      <c r="AD966">
        <v>9</v>
      </c>
      <c r="AE966">
        <v>0</v>
      </c>
      <c r="AF966">
        <v>3</v>
      </c>
      <c r="AG966">
        <v>1</v>
      </c>
      <c r="AH966">
        <v>0</v>
      </c>
      <c r="AI966" t="s">
        <v>530</v>
      </c>
      <c r="AJ966">
        <v>33.152940000000001</v>
      </c>
      <c r="AK966" t="s">
        <v>531</v>
      </c>
      <c r="AL966">
        <v>-97.722874000000004</v>
      </c>
      <c r="AM966">
        <v>25</v>
      </c>
      <c r="AN966">
        <v>3500</v>
      </c>
      <c r="AO966" t="s">
        <v>118</v>
      </c>
      <c r="AP966">
        <v>51</v>
      </c>
      <c r="AQ966">
        <v>-89</v>
      </c>
      <c r="AR966">
        <v>-128</v>
      </c>
      <c r="AZ966">
        <v>1200</v>
      </c>
      <c r="BA966">
        <v>1</v>
      </c>
      <c r="BB966" t="str">
        <f t="shared" si="276"/>
        <v xml:space="preserve">N733KP  </v>
      </c>
      <c r="BC966">
        <v>1</v>
      </c>
      <c r="BE966">
        <v>0</v>
      </c>
      <c r="BF966">
        <v>0</v>
      </c>
      <c r="BG966">
        <v>0</v>
      </c>
      <c r="BH966">
        <v>3475</v>
      </c>
      <c r="BI966">
        <v>1</v>
      </c>
      <c r="BJ966">
        <v>1</v>
      </c>
      <c r="BK966">
        <v>0</v>
      </c>
      <c r="BL966">
        <v>0</v>
      </c>
      <c r="BO966">
        <v>0</v>
      </c>
      <c r="BP966">
        <v>0</v>
      </c>
      <c r="BW966" t="str">
        <f>"22:13:31.838"</f>
        <v>22:13:31.838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364</v>
      </c>
      <c r="CR966">
        <v>0</v>
      </c>
      <c r="CW966">
        <v>1400706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"03/24/2022 22:13:32.007"</f>
        <v>03/24/2022 22:13:32.007</v>
      </c>
      <c r="C967" t="str">
        <f t="shared" si="275"/>
        <v>FFDFD3C0</v>
      </c>
      <c r="D967" t="s">
        <v>113</v>
      </c>
      <c r="E967">
        <v>24</v>
      </c>
      <c r="F967">
        <v>2024</v>
      </c>
      <c r="G967" t="s">
        <v>114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 t="shared" si="290"/>
        <v>22:13:31.000</v>
      </c>
      <c r="T967" t="str">
        <f t="shared" si="290"/>
        <v>22:13:31.000</v>
      </c>
      <c r="U967" t="str">
        <f t="shared" si="289"/>
        <v>A9D71F</v>
      </c>
      <c r="V967">
        <v>0</v>
      </c>
      <c r="W967">
        <v>0</v>
      </c>
      <c r="X967">
        <v>2</v>
      </c>
      <c r="Z967">
        <v>1</v>
      </c>
      <c r="AA967">
        <v>7</v>
      </c>
      <c r="AB967">
        <v>3</v>
      </c>
      <c r="AC967">
        <v>0</v>
      </c>
      <c r="AD967">
        <v>9</v>
      </c>
      <c r="AE967">
        <v>0</v>
      </c>
      <c r="AF967">
        <v>3</v>
      </c>
      <c r="AG967">
        <v>1</v>
      </c>
      <c r="AH967">
        <v>0</v>
      </c>
      <c r="AI967" t="s">
        <v>530</v>
      </c>
      <c r="AJ967">
        <v>33.152940000000001</v>
      </c>
      <c r="AK967" t="s">
        <v>531</v>
      </c>
      <c r="AL967">
        <v>-97.722874000000004</v>
      </c>
      <c r="AM967">
        <v>25</v>
      </c>
      <c r="AN967">
        <v>3500</v>
      </c>
      <c r="AO967" t="s">
        <v>118</v>
      </c>
      <c r="AP967">
        <v>51</v>
      </c>
      <c r="AQ967">
        <v>-89</v>
      </c>
      <c r="AR967">
        <v>-128</v>
      </c>
      <c r="AZ967">
        <v>1200</v>
      </c>
      <c r="BA967">
        <v>1</v>
      </c>
      <c r="BB967" t="str">
        <f t="shared" si="276"/>
        <v xml:space="preserve">N733KP  </v>
      </c>
      <c r="BC967">
        <v>1</v>
      </c>
      <c r="BE967">
        <v>0</v>
      </c>
      <c r="BF967">
        <v>0</v>
      </c>
      <c r="BG967">
        <v>0</v>
      </c>
      <c r="BH967">
        <v>3475</v>
      </c>
      <c r="BI967">
        <v>1</v>
      </c>
      <c r="BJ967">
        <v>1</v>
      </c>
      <c r="BK967">
        <v>0</v>
      </c>
      <c r="BL967">
        <v>0</v>
      </c>
      <c r="BO967">
        <v>0</v>
      </c>
      <c r="BP967">
        <v>0</v>
      </c>
      <c r="BW967" t="str">
        <f>"22:13:31.838"</f>
        <v>22:13:31.838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364</v>
      </c>
      <c r="CR967">
        <v>0</v>
      </c>
      <c r="CW967">
        <v>1400706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"03/24/2022 22:13:32.038"</f>
        <v>03/24/2022 22:13:32.038</v>
      </c>
      <c r="C968" t="str">
        <f t="shared" si="275"/>
        <v>FFDFD3C0</v>
      </c>
      <c r="D968" t="s">
        <v>126</v>
      </c>
      <c r="E968">
        <v>3</v>
      </c>
      <c r="H968">
        <v>160</v>
      </c>
      <c r="I968" t="s">
        <v>121</v>
      </c>
      <c r="J968" t="s">
        <v>127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 t="shared" si="290"/>
        <v>22:13:31.000</v>
      </c>
      <c r="T968" t="str">
        <f t="shared" si="290"/>
        <v>22:13:31.000</v>
      </c>
      <c r="U968" t="str">
        <f t="shared" si="289"/>
        <v>A9D71F</v>
      </c>
      <c r="V968">
        <v>0</v>
      </c>
      <c r="W968">
        <v>0</v>
      </c>
      <c r="X968">
        <v>2</v>
      </c>
      <c r="Z968">
        <v>1</v>
      </c>
      <c r="AA968">
        <v>7</v>
      </c>
      <c r="AB968">
        <v>3</v>
      </c>
      <c r="AC968">
        <v>0</v>
      </c>
      <c r="AD968">
        <v>9</v>
      </c>
      <c r="AE968">
        <v>0</v>
      </c>
      <c r="AF968">
        <v>3</v>
      </c>
      <c r="AG968">
        <v>1</v>
      </c>
      <c r="AH968">
        <v>0</v>
      </c>
      <c r="AI968" t="s">
        <v>530</v>
      </c>
      <c r="AJ968">
        <v>33.152940000000001</v>
      </c>
      <c r="AK968" t="s">
        <v>531</v>
      </c>
      <c r="AL968">
        <v>-97.722874000000004</v>
      </c>
      <c r="AM968">
        <v>25</v>
      </c>
      <c r="AN968">
        <v>3500</v>
      </c>
      <c r="AO968" t="s">
        <v>118</v>
      </c>
      <c r="AP968">
        <v>51</v>
      </c>
      <c r="AQ968">
        <v>-89</v>
      </c>
      <c r="AR968">
        <v>-128</v>
      </c>
      <c r="AZ968">
        <v>1200</v>
      </c>
      <c r="BA968">
        <v>1</v>
      </c>
      <c r="BB968" t="str">
        <f t="shared" si="276"/>
        <v xml:space="preserve">N733KP  </v>
      </c>
      <c r="BC968">
        <v>1</v>
      </c>
      <c r="BE968">
        <v>0</v>
      </c>
      <c r="BF968">
        <v>0</v>
      </c>
      <c r="BG968">
        <v>0</v>
      </c>
      <c r="BH968">
        <v>3475</v>
      </c>
      <c r="BI968">
        <v>1</v>
      </c>
      <c r="BJ968">
        <v>1</v>
      </c>
      <c r="BK968">
        <v>0</v>
      </c>
      <c r="BL968">
        <v>0</v>
      </c>
      <c r="BO968">
        <v>0</v>
      </c>
      <c r="BP968">
        <v>0</v>
      </c>
      <c r="BW968" t="str">
        <f>"22:13:31.838"</f>
        <v>22:13:31.838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364</v>
      </c>
      <c r="CR968">
        <v>0</v>
      </c>
      <c r="CW968">
        <v>1400706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"03/24/2022 22:13:33.023"</f>
        <v>03/24/2022 22:13:33.023</v>
      </c>
      <c r="C969" t="str">
        <f t="shared" si="275"/>
        <v>FFDFD3C0</v>
      </c>
      <c r="D969" t="s">
        <v>126</v>
      </c>
      <c r="E969">
        <v>3</v>
      </c>
      <c r="H969">
        <v>160</v>
      </c>
      <c r="I969" t="s">
        <v>121</v>
      </c>
      <c r="J969" t="s">
        <v>127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 t="shared" ref="S969:T972" si="291">"22:13:32.000"</f>
        <v>22:13:32.000</v>
      </c>
      <c r="T969" t="str">
        <f t="shared" si="291"/>
        <v>22:13:32.000</v>
      </c>
      <c r="U969" t="str">
        <f t="shared" si="289"/>
        <v>A9D71F</v>
      </c>
      <c r="V969">
        <v>0</v>
      </c>
      <c r="W969">
        <v>0</v>
      </c>
      <c r="X969">
        <v>2</v>
      </c>
      <c r="Z969">
        <v>1</v>
      </c>
      <c r="AA969">
        <v>7</v>
      </c>
      <c r="AB969">
        <v>3</v>
      </c>
      <c r="AC969">
        <v>0</v>
      </c>
      <c r="AD969">
        <v>9</v>
      </c>
      <c r="AE969">
        <v>0</v>
      </c>
      <c r="AF969">
        <v>3</v>
      </c>
      <c r="AG969">
        <v>1</v>
      </c>
      <c r="AH969">
        <v>0</v>
      </c>
      <c r="AI969" t="s">
        <v>532</v>
      </c>
      <c r="AJ969">
        <v>33.152510999999997</v>
      </c>
      <c r="AK969" t="s">
        <v>533</v>
      </c>
      <c r="AL969">
        <v>-97.722572999999997</v>
      </c>
      <c r="AM969">
        <v>25</v>
      </c>
      <c r="AN969">
        <v>3500</v>
      </c>
      <c r="AO969" t="s">
        <v>118</v>
      </c>
      <c r="AP969">
        <v>51</v>
      </c>
      <c r="AQ969">
        <v>-88</v>
      </c>
      <c r="AR969">
        <v>-192</v>
      </c>
      <c r="AZ969">
        <v>1200</v>
      </c>
      <c r="BA969">
        <v>1</v>
      </c>
      <c r="BB969" t="str">
        <f t="shared" si="276"/>
        <v xml:space="preserve">N733KP  </v>
      </c>
      <c r="BC969">
        <v>1</v>
      </c>
      <c r="BE969">
        <v>0</v>
      </c>
      <c r="BF969">
        <v>0</v>
      </c>
      <c r="BG969">
        <v>0</v>
      </c>
      <c r="BH969">
        <v>3475</v>
      </c>
      <c r="BI969">
        <v>1</v>
      </c>
      <c r="BJ969">
        <v>1</v>
      </c>
      <c r="BK969">
        <v>0</v>
      </c>
      <c r="BL969">
        <v>0</v>
      </c>
      <c r="BO969">
        <v>0</v>
      </c>
      <c r="BP969">
        <v>0</v>
      </c>
      <c r="BW969" t="str">
        <f>"22:13:32.845"</f>
        <v>22:13:32.845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364</v>
      </c>
      <c r="CR969">
        <v>0</v>
      </c>
      <c r="CW969">
        <v>1400857</v>
      </c>
      <c r="CY969">
        <v>1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"03/24/2022 22:13:33.023"</f>
        <v>03/24/2022 22:13:33.023</v>
      </c>
      <c r="C970" t="str">
        <f t="shared" si="275"/>
        <v>FFDFD3C0</v>
      </c>
      <c r="D970" t="s">
        <v>123</v>
      </c>
      <c r="E970">
        <v>8</v>
      </c>
      <c r="H970">
        <v>31</v>
      </c>
      <c r="I970" t="s">
        <v>124</v>
      </c>
      <c r="J970" t="s">
        <v>125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 t="shared" si="291"/>
        <v>22:13:32.000</v>
      </c>
      <c r="T970" t="str">
        <f t="shared" si="291"/>
        <v>22:13:32.000</v>
      </c>
      <c r="U970" t="str">
        <f t="shared" si="289"/>
        <v>A9D71F</v>
      </c>
      <c r="V970">
        <v>0</v>
      </c>
      <c r="W970">
        <v>0</v>
      </c>
      <c r="X970">
        <v>2</v>
      </c>
      <c r="Z970">
        <v>1</v>
      </c>
      <c r="AA970">
        <v>7</v>
      </c>
      <c r="AB970">
        <v>3</v>
      </c>
      <c r="AC970">
        <v>0</v>
      </c>
      <c r="AD970">
        <v>9</v>
      </c>
      <c r="AE970">
        <v>0</v>
      </c>
      <c r="AF970">
        <v>3</v>
      </c>
      <c r="AG970">
        <v>1</v>
      </c>
      <c r="AH970">
        <v>0</v>
      </c>
      <c r="AI970" t="s">
        <v>532</v>
      </c>
      <c r="AJ970">
        <v>33.152510999999997</v>
      </c>
      <c r="AK970" t="s">
        <v>533</v>
      </c>
      <c r="AL970">
        <v>-97.722572999999997</v>
      </c>
      <c r="AM970">
        <v>25</v>
      </c>
      <c r="AN970">
        <v>3500</v>
      </c>
      <c r="AO970" t="s">
        <v>118</v>
      </c>
      <c r="AP970">
        <v>51</v>
      </c>
      <c r="AQ970">
        <v>-88</v>
      </c>
      <c r="AR970">
        <v>-192</v>
      </c>
      <c r="AZ970">
        <v>1200</v>
      </c>
      <c r="BA970">
        <v>1</v>
      </c>
      <c r="BB970" t="str">
        <f t="shared" si="276"/>
        <v xml:space="preserve">N733KP  </v>
      </c>
      <c r="BC970">
        <v>1</v>
      </c>
      <c r="BE970">
        <v>0</v>
      </c>
      <c r="BF970">
        <v>0</v>
      </c>
      <c r="BG970">
        <v>0</v>
      </c>
      <c r="BH970">
        <v>3475</v>
      </c>
      <c r="BI970">
        <v>1</v>
      </c>
      <c r="BJ970">
        <v>1</v>
      </c>
      <c r="BK970">
        <v>0</v>
      </c>
      <c r="BL970">
        <v>0</v>
      </c>
      <c r="BO970">
        <v>0</v>
      </c>
      <c r="BP970">
        <v>0</v>
      </c>
      <c r="BW970" t="str">
        <f>"22:13:32.845"</f>
        <v>22:13:32.845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364</v>
      </c>
      <c r="CR970">
        <v>0</v>
      </c>
      <c r="CW970">
        <v>1400857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"03/24/2022 22:13:33.023"</f>
        <v>03/24/2022 22:13:33.023</v>
      </c>
      <c r="C971" t="str">
        <f t="shared" si="275"/>
        <v>FFDFD3C0</v>
      </c>
      <c r="D971" t="s">
        <v>120</v>
      </c>
      <c r="E971">
        <v>14</v>
      </c>
      <c r="F971">
        <v>1014</v>
      </c>
      <c r="G971" t="s">
        <v>121</v>
      </c>
      <c r="J971" t="s">
        <v>122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 t="shared" si="291"/>
        <v>22:13:32.000</v>
      </c>
      <c r="T971" t="str">
        <f t="shared" si="291"/>
        <v>22:13:32.000</v>
      </c>
      <c r="U971" t="str">
        <f t="shared" si="289"/>
        <v>A9D71F</v>
      </c>
      <c r="V971">
        <v>0</v>
      </c>
      <c r="W971">
        <v>0</v>
      </c>
      <c r="X971">
        <v>2</v>
      </c>
      <c r="Z971">
        <v>1</v>
      </c>
      <c r="AA971">
        <v>7</v>
      </c>
      <c r="AB971">
        <v>3</v>
      </c>
      <c r="AC971">
        <v>0</v>
      </c>
      <c r="AD971">
        <v>9</v>
      </c>
      <c r="AE971">
        <v>0</v>
      </c>
      <c r="AF971">
        <v>3</v>
      </c>
      <c r="AG971">
        <v>1</v>
      </c>
      <c r="AH971">
        <v>0</v>
      </c>
      <c r="AI971" t="s">
        <v>532</v>
      </c>
      <c r="AJ971">
        <v>33.152510999999997</v>
      </c>
      <c r="AK971" t="s">
        <v>533</v>
      </c>
      <c r="AL971">
        <v>-97.722572999999997</v>
      </c>
      <c r="AM971">
        <v>25</v>
      </c>
      <c r="AN971">
        <v>3500</v>
      </c>
      <c r="AO971" t="s">
        <v>118</v>
      </c>
      <c r="AP971">
        <v>51</v>
      </c>
      <c r="AQ971">
        <v>-88</v>
      </c>
      <c r="AR971">
        <v>-192</v>
      </c>
      <c r="AZ971">
        <v>1200</v>
      </c>
      <c r="BA971">
        <v>1</v>
      </c>
      <c r="BB971" t="str">
        <f t="shared" si="276"/>
        <v xml:space="preserve">N733KP  </v>
      </c>
      <c r="BC971">
        <v>1</v>
      </c>
      <c r="BE971">
        <v>0</v>
      </c>
      <c r="BF971">
        <v>0</v>
      </c>
      <c r="BG971">
        <v>0</v>
      </c>
      <c r="BH971">
        <v>3475</v>
      </c>
      <c r="BI971">
        <v>1</v>
      </c>
      <c r="BJ971">
        <v>1</v>
      </c>
      <c r="BK971">
        <v>0</v>
      </c>
      <c r="BL971">
        <v>0</v>
      </c>
      <c r="BO971">
        <v>0</v>
      </c>
      <c r="BP971">
        <v>0</v>
      </c>
      <c r="BW971" t="str">
        <f>"22:13:32.845"</f>
        <v>22:13:32.845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364</v>
      </c>
      <c r="CR971">
        <v>0</v>
      </c>
      <c r="CW971">
        <v>1400857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"03/24/2022 22:13:33.023"</f>
        <v>03/24/2022 22:13:33.023</v>
      </c>
      <c r="C972" t="str">
        <f t="shared" si="275"/>
        <v>FFDFD3C0</v>
      </c>
      <c r="D972" t="s">
        <v>113</v>
      </c>
      <c r="E972">
        <v>24</v>
      </c>
      <c r="F972">
        <v>2024</v>
      </c>
      <c r="G972" t="s">
        <v>114</v>
      </c>
      <c r="J972" t="s">
        <v>115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 t="shared" si="291"/>
        <v>22:13:32.000</v>
      </c>
      <c r="T972" t="str">
        <f t="shared" si="291"/>
        <v>22:13:32.000</v>
      </c>
      <c r="U972" t="str">
        <f t="shared" si="289"/>
        <v>A9D71F</v>
      </c>
      <c r="V972">
        <v>0</v>
      </c>
      <c r="W972">
        <v>0</v>
      </c>
      <c r="X972">
        <v>2</v>
      </c>
      <c r="Z972">
        <v>1</v>
      </c>
      <c r="AA972">
        <v>7</v>
      </c>
      <c r="AB972">
        <v>3</v>
      </c>
      <c r="AC972">
        <v>0</v>
      </c>
      <c r="AD972">
        <v>9</v>
      </c>
      <c r="AE972">
        <v>0</v>
      </c>
      <c r="AF972">
        <v>3</v>
      </c>
      <c r="AG972">
        <v>1</v>
      </c>
      <c r="AH972">
        <v>0</v>
      </c>
      <c r="AI972" t="s">
        <v>532</v>
      </c>
      <c r="AJ972">
        <v>33.152510999999997</v>
      </c>
      <c r="AK972" t="s">
        <v>533</v>
      </c>
      <c r="AL972">
        <v>-97.722572999999997</v>
      </c>
      <c r="AM972">
        <v>25</v>
      </c>
      <c r="AN972">
        <v>3500</v>
      </c>
      <c r="AO972" t="s">
        <v>118</v>
      </c>
      <c r="AP972">
        <v>51</v>
      </c>
      <c r="AQ972">
        <v>-88</v>
      </c>
      <c r="AR972">
        <v>-192</v>
      </c>
      <c r="AZ972">
        <v>1200</v>
      </c>
      <c r="BA972">
        <v>1</v>
      </c>
      <c r="BB972" t="str">
        <f t="shared" si="276"/>
        <v xml:space="preserve">N733KP  </v>
      </c>
      <c r="BC972">
        <v>1</v>
      </c>
      <c r="BE972">
        <v>0</v>
      </c>
      <c r="BF972">
        <v>0</v>
      </c>
      <c r="BG972">
        <v>0</v>
      </c>
      <c r="BH972">
        <v>3475</v>
      </c>
      <c r="BI972">
        <v>1</v>
      </c>
      <c r="BJ972">
        <v>1</v>
      </c>
      <c r="BK972">
        <v>0</v>
      </c>
      <c r="BL972">
        <v>0</v>
      </c>
      <c r="BO972">
        <v>0</v>
      </c>
      <c r="BP972">
        <v>0</v>
      </c>
      <c r="BW972" t="str">
        <f>"22:13:32.845"</f>
        <v>22:13:32.845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364</v>
      </c>
      <c r="CR972">
        <v>0</v>
      </c>
      <c r="CW972">
        <v>1400857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"03/24/2022 22:13:33.759"</f>
        <v>03/24/2022 22:13:33.759</v>
      </c>
      <c r="C973" t="str">
        <f t="shared" si="275"/>
        <v>FFDFD3C0</v>
      </c>
      <c r="D973" t="s">
        <v>126</v>
      </c>
      <c r="E973">
        <v>3</v>
      </c>
      <c r="H973">
        <v>160</v>
      </c>
      <c r="I973" t="s">
        <v>121</v>
      </c>
      <c r="J973" t="s">
        <v>127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 t="shared" ref="S973:T976" si="292">"22:13:33.000"</f>
        <v>22:13:33.000</v>
      </c>
      <c r="T973" t="str">
        <f t="shared" si="292"/>
        <v>22:13:33.000</v>
      </c>
      <c r="U973" t="str">
        <f t="shared" si="289"/>
        <v>A9D71F</v>
      </c>
      <c r="V973">
        <v>0</v>
      </c>
      <c r="W973">
        <v>0</v>
      </c>
      <c r="X973">
        <v>2</v>
      </c>
      <c r="Z973">
        <v>1</v>
      </c>
      <c r="AA973">
        <v>7</v>
      </c>
      <c r="AB973">
        <v>3</v>
      </c>
      <c r="AC973">
        <v>0</v>
      </c>
      <c r="AD973">
        <v>9</v>
      </c>
      <c r="AE973">
        <v>0</v>
      </c>
      <c r="AF973">
        <v>3</v>
      </c>
      <c r="AG973">
        <v>1</v>
      </c>
      <c r="AH973">
        <v>0</v>
      </c>
      <c r="AI973" t="s">
        <v>534</v>
      </c>
      <c r="AJ973">
        <v>33.152124999999998</v>
      </c>
      <c r="AK973" t="s">
        <v>535</v>
      </c>
      <c r="AL973">
        <v>-97.722316000000006</v>
      </c>
      <c r="AM973">
        <v>25</v>
      </c>
      <c r="AN973">
        <v>3500</v>
      </c>
      <c r="AO973" t="s">
        <v>118</v>
      </c>
      <c r="AP973">
        <v>51</v>
      </c>
      <c r="AQ973">
        <v>-89</v>
      </c>
      <c r="AR973">
        <v>-192</v>
      </c>
      <c r="AZ973">
        <v>1200</v>
      </c>
      <c r="BA973">
        <v>1</v>
      </c>
      <c r="BB973" t="str">
        <f t="shared" si="276"/>
        <v xml:space="preserve">N733KP  </v>
      </c>
      <c r="BC973">
        <v>1</v>
      </c>
      <c r="BE973">
        <v>0</v>
      </c>
      <c r="BF973">
        <v>0</v>
      </c>
      <c r="BG973">
        <v>0</v>
      </c>
      <c r="BH973">
        <v>3475</v>
      </c>
      <c r="BI973">
        <v>1</v>
      </c>
      <c r="BJ973">
        <v>1</v>
      </c>
      <c r="BK973">
        <v>0</v>
      </c>
      <c r="BL973">
        <v>0</v>
      </c>
      <c r="BO973">
        <v>0</v>
      </c>
      <c r="BP973">
        <v>0</v>
      </c>
      <c r="BW973" t="str">
        <f>"22:13:33.585"</f>
        <v>22:13:33.585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364</v>
      </c>
      <c r="CR973">
        <v>0</v>
      </c>
      <c r="CW973">
        <v>1400971</v>
      </c>
      <c r="CY973">
        <v>1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"03/24/2022 22:13:33.759"</f>
        <v>03/24/2022 22:13:33.759</v>
      </c>
      <c r="C974" t="str">
        <f t="shared" si="275"/>
        <v>FFDFD3C0</v>
      </c>
      <c r="D974" t="s">
        <v>123</v>
      </c>
      <c r="E974">
        <v>8</v>
      </c>
      <c r="H974">
        <v>31</v>
      </c>
      <c r="I974" t="s">
        <v>124</v>
      </c>
      <c r="J974" t="s">
        <v>125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 t="shared" si="292"/>
        <v>22:13:33.000</v>
      </c>
      <c r="T974" t="str">
        <f t="shared" si="292"/>
        <v>22:13:33.000</v>
      </c>
      <c r="U974" t="str">
        <f t="shared" si="289"/>
        <v>A9D71F</v>
      </c>
      <c r="V974">
        <v>0</v>
      </c>
      <c r="W974">
        <v>0</v>
      </c>
      <c r="X974">
        <v>2</v>
      </c>
      <c r="Z974">
        <v>1</v>
      </c>
      <c r="AA974">
        <v>7</v>
      </c>
      <c r="AB974">
        <v>3</v>
      </c>
      <c r="AC974">
        <v>0</v>
      </c>
      <c r="AD974">
        <v>9</v>
      </c>
      <c r="AE974">
        <v>0</v>
      </c>
      <c r="AF974">
        <v>3</v>
      </c>
      <c r="AG974">
        <v>1</v>
      </c>
      <c r="AH974">
        <v>0</v>
      </c>
      <c r="AI974" t="s">
        <v>534</v>
      </c>
      <c r="AJ974">
        <v>33.152124999999998</v>
      </c>
      <c r="AK974" t="s">
        <v>535</v>
      </c>
      <c r="AL974">
        <v>-97.722316000000006</v>
      </c>
      <c r="AM974">
        <v>25</v>
      </c>
      <c r="AN974">
        <v>3500</v>
      </c>
      <c r="AO974" t="s">
        <v>118</v>
      </c>
      <c r="AP974">
        <v>51</v>
      </c>
      <c r="AQ974">
        <v>-89</v>
      </c>
      <c r="AR974">
        <v>-192</v>
      </c>
      <c r="AZ974">
        <v>1200</v>
      </c>
      <c r="BA974">
        <v>1</v>
      </c>
      <c r="BB974" t="str">
        <f t="shared" si="276"/>
        <v xml:space="preserve">N733KP  </v>
      </c>
      <c r="BC974">
        <v>1</v>
      </c>
      <c r="BE974">
        <v>0</v>
      </c>
      <c r="BF974">
        <v>0</v>
      </c>
      <c r="BG974">
        <v>0</v>
      </c>
      <c r="BH974">
        <v>3475</v>
      </c>
      <c r="BI974">
        <v>1</v>
      </c>
      <c r="BJ974">
        <v>1</v>
      </c>
      <c r="BK974">
        <v>0</v>
      </c>
      <c r="BL974">
        <v>0</v>
      </c>
      <c r="BO974">
        <v>0</v>
      </c>
      <c r="BP974">
        <v>0</v>
      </c>
      <c r="BW974" t="str">
        <f>"22:13:33.585"</f>
        <v>22:13:33.585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364</v>
      </c>
      <c r="CR974">
        <v>0</v>
      </c>
      <c r="CW974">
        <v>1400971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"03/24/2022 22:13:33.790"</f>
        <v>03/24/2022 22:13:33.790</v>
      </c>
      <c r="C975" t="str">
        <f t="shared" si="275"/>
        <v>FFDFD3C0</v>
      </c>
      <c r="D975" t="s">
        <v>120</v>
      </c>
      <c r="E975">
        <v>14</v>
      </c>
      <c r="F975">
        <v>1014</v>
      </c>
      <c r="G975" t="s">
        <v>121</v>
      </c>
      <c r="J975" t="s">
        <v>122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 t="shared" si="292"/>
        <v>22:13:33.000</v>
      </c>
      <c r="T975" t="str">
        <f t="shared" si="292"/>
        <v>22:13:33.000</v>
      </c>
      <c r="U975" t="str">
        <f t="shared" si="289"/>
        <v>A9D71F</v>
      </c>
      <c r="V975">
        <v>0</v>
      </c>
      <c r="W975">
        <v>0</v>
      </c>
      <c r="X975">
        <v>2</v>
      </c>
      <c r="Z975">
        <v>1</v>
      </c>
      <c r="AA975">
        <v>7</v>
      </c>
      <c r="AB975">
        <v>3</v>
      </c>
      <c r="AC975">
        <v>0</v>
      </c>
      <c r="AD975">
        <v>9</v>
      </c>
      <c r="AE975">
        <v>0</v>
      </c>
      <c r="AF975">
        <v>3</v>
      </c>
      <c r="AG975">
        <v>1</v>
      </c>
      <c r="AH975">
        <v>0</v>
      </c>
      <c r="AI975" t="s">
        <v>534</v>
      </c>
      <c r="AJ975">
        <v>33.152124999999998</v>
      </c>
      <c r="AK975" t="s">
        <v>535</v>
      </c>
      <c r="AL975">
        <v>-97.722316000000006</v>
      </c>
      <c r="AM975">
        <v>25</v>
      </c>
      <c r="AN975">
        <v>3500</v>
      </c>
      <c r="AO975" t="s">
        <v>118</v>
      </c>
      <c r="AP975">
        <v>51</v>
      </c>
      <c r="AQ975">
        <v>-89</v>
      </c>
      <c r="AR975">
        <v>-192</v>
      </c>
      <c r="AZ975">
        <v>1200</v>
      </c>
      <c r="BA975">
        <v>1</v>
      </c>
      <c r="BB975" t="str">
        <f t="shared" si="276"/>
        <v xml:space="preserve">N733KP  </v>
      </c>
      <c r="BC975">
        <v>1</v>
      </c>
      <c r="BE975">
        <v>0</v>
      </c>
      <c r="BF975">
        <v>0</v>
      </c>
      <c r="BG975">
        <v>0</v>
      </c>
      <c r="BH975">
        <v>3475</v>
      </c>
      <c r="BI975">
        <v>1</v>
      </c>
      <c r="BJ975">
        <v>1</v>
      </c>
      <c r="BK975">
        <v>0</v>
      </c>
      <c r="BL975">
        <v>0</v>
      </c>
      <c r="BO975">
        <v>0</v>
      </c>
      <c r="BP975">
        <v>0</v>
      </c>
      <c r="BW975" t="str">
        <f>"22:13:33.585"</f>
        <v>22:13:33.585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364</v>
      </c>
      <c r="CR975">
        <v>0</v>
      </c>
      <c r="CW975">
        <v>1400971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"03/24/2022 22:13:33.790"</f>
        <v>03/24/2022 22:13:33.790</v>
      </c>
      <c r="C976" t="str">
        <f t="shared" si="275"/>
        <v>FFDFD3C0</v>
      </c>
      <c r="D976" t="s">
        <v>113</v>
      </c>
      <c r="E976">
        <v>24</v>
      </c>
      <c r="F976">
        <v>2024</v>
      </c>
      <c r="G976" t="s">
        <v>114</v>
      </c>
      <c r="J976" t="s">
        <v>115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 t="shared" si="292"/>
        <v>22:13:33.000</v>
      </c>
      <c r="T976" t="str">
        <f t="shared" si="292"/>
        <v>22:13:33.000</v>
      </c>
      <c r="U976" t="str">
        <f t="shared" si="289"/>
        <v>A9D71F</v>
      </c>
      <c r="V976">
        <v>0</v>
      </c>
      <c r="W976">
        <v>0</v>
      </c>
      <c r="X976">
        <v>2</v>
      </c>
      <c r="Z976">
        <v>1</v>
      </c>
      <c r="AA976">
        <v>7</v>
      </c>
      <c r="AB976">
        <v>3</v>
      </c>
      <c r="AC976">
        <v>0</v>
      </c>
      <c r="AD976">
        <v>9</v>
      </c>
      <c r="AE976">
        <v>0</v>
      </c>
      <c r="AF976">
        <v>3</v>
      </c>
      <c r="AG976">
        <v>1</v>
      </c>
      <c r="AH976">
        <v>0</v>
      </c>
      <c r="AI976" t="s">
        <v>534</v>
      </c>
      <c r="AJ976">
        <v>33.152124999999998</v>
      </c>
      <c r="AK976" t="s">
        <v>535</v>
      </c>
      <c r="AL976">
        <v>-97.722316000000006</v>
      </c>
      <c r="AM976">
        <v>25</v>
      </c>
      <c r="AN976">
        <v>3500</v>
      </c>
      <c r="AO976" t="s">
        <v>118</v>
      </c>
      <c r="AP976">
        <v>51</v>
      </c>
      <c r="AQ976">
        <v>-89</v>
      </c>
      <c r="AR976">
        <v>-192</v>
      </c>
      <c r="AZ976">
        <v>1200</v>
      </c>
      <c r="BA976">
        <v>1</v>
      </c>
      <c r="BB976" t="str">
        <f t="shared" si="276"/>
        <v xml:space="preserve">N733KP  </v>
      </c>
      <c r="BC976">
        <v>1</v>
      </c>
      <c r="BE976">
        <v>0</v>
      </c>
      <c r="BF976">
        <v>0</v>
      </c>
      <c r="BG976">
        <v>0</v>
      </c>
      <c r="BH976">
        <v>3475</v>
      </c>
      <c r="BI976">
        <v>1</v>
      </c>
      <c r="BJ976">
        <v>1</v>
      </c>
      <c r="BK976">
        <v>0</v>
      </c>
      <c r="BL976">
        <v>0</v>
      </c>
      <c r="BO976">
        <v>0</v>
      </c>
      <c r="BP976">
        <v>0</v>
      </c>
      <c r="BW976" t="str">
        <f>"22:13:33.585"</f>
        <v>22:13:33.585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364</v>
      </c>
      <c r="CR976">
        <v>0</v>
      </c>
      <c r="CW976">
        <v>1400971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"03/24/2022 22:13:34.931"</f>
        <v>03/24/2022 22:13:34.931</v>
      </c>
      <c r="C977" t="str">
        <f t="shared" si="275"/>
        <v>FFDFD3C0</v>
      </c>
      <c r="D977" t="s">
        <v>120</v>
      </c>
      <c r="E977">
        <v>14</v>
      </c>
      <c r="F977">
        <v>1014</v>
      </c>
      <c r="G977" t="s">
        <v>121</v>
      </c>
      <c r="J977" t="s">
        <v>122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S977" t="str">
        <f t="shared" ref="S977:T980" si="293">"22:13:34.000"</f>
        <v>22:13:34.000</v>
      </c>
      <c r="T977" t="str">
        <f t="shared" si="293"/>
        <v>22:13:34.000</v>
      </c>
      <c r="U977" t="str">
        <f t="shared" si="289"/>
        <v>A9D71F</v>
      </c>
      <c r="V977">
        <v>0</v>
      </c>
      <c r="W977">
        <v>0</v>
      </c>
      <c r="X977">
        <v>2</v>
      </c>
      <c r="Z977">
        <v>1</v>
      </c>
      <c r="AA977">
        <v>7</v>
      </c>
      <c r="AB977">
        <v>3</v>
      </c>
      <c r="AC977">
        <v>0</v>
      </c>
      <c r="AD977">
        <v>9</v>
      </c>
      <c r="AE977">
        <v>0</v>
      </c>
      <c r="AF977">
        <v>3</v>
      </c>
      <c r="AG977">
        <v>1</v>
      </c>
      <c r="AH977">
        <v>0</v>
      </c>
      <c r="AI977" t="s">
        <v>536</v>
      </c>
      <c r="AJ977">
        <v>33.151716999999998</v>
      </c>
      <c r="AK977" t="s">
        <v>537</v>
      </c>
      <c r="AL977">
        <v>-97.722037</v>
      </c>
      <c r="AM977">
        <v>25</v>
      </c>
      <c r="AN977">
        <v>3500</v>
      </c>
      <c r="AO977" t="s">
        <v>118</v>
      </c>
      <c r="AP977">
        <v>50</v>
      </c>
      <c r="AQ977">
        <v>-90</v>
      </c>
      <c r="AR977">
        <v>-256</v>
      </c>
      <c r="AZ977">
        <v>1200</v>
      </c>
      <c r="BA977">
        <v>1</v>
      </c>
      <c r="BB977" t="str">
        <f t="shared" si="276"/>
        <v xml:space="preserve">N733KP  </v>
      </c>
      <c r="BC977">
        <v>1</v>
      </c>
      <c r="BE977">
        <v>0</v>
      </c>
      <c r="BF977">
        <v>0</v>
      </c>
      <c r="BG977">
        <v>0</v>
      </c>
      <c r="BH977">
        <v>3450</v>
      </c>
      <c r="BI977">
        <v>1</v>
      </c>
      <c r="BJ977">
        <v>1</v>
      </c>
      <c r="BK977">
        <v>0</v>
      </c>
      <c r="BL977">
        <v>0</v>
      </c>
      <c r="BO977">
        <v>0</v>
      </c>
      <c r="BP977">
        <v>0</v>
      </c>
      <c r="BW977" t="str">
        <f>"22:13:34.783"</f>
        <v>22:13:34.783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364</v>
      </c>
      <c r="CR977">
        <v>0</v>
      </c>
      <c r="CW977">
        <v>1401141</v>
      </c>
      <c r="CY977">
        <v>1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"03/24/2022 22:13:34.931"</f>
        <v>03/24/2022 22:13:34.931</v>
      </c>
      <c r="C978" t="str">
        <f t="shared" si="275"/>
        <v>FFDFD3C0</v>
      </c>
      <c r="D978" t="s">
        <v>113</v>
      </c>
      <c r="E978">
        <v>24</v>
      </c>
      <c r="F978">
        <v>2024</v>
      </c>
      <c r="G978" t="s">
        <v>114</v>
      </c>
      <c r="J978" t="s">
        <v>115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S978" t="str">
        <f t="shared" si="293"/>
        <v>22:13:34.000</v>
      </c>
      <c r="T978" t="str">
        <f t="shared" si="293"/>
        <v>22:13:34.000</v>
      </c>
      <c r="U978" t="str">
        <f t="shared" si="289"/>
        <v>A9D71F</v>
      </c>
      <c r="V978">
        <v>0</v>
      </c>
      <c r="W978">
        <v>0</v>
      </c>
      <c r="X978">
        <v>2</v>
      </c>
      <c r="Z978">
        <v>1</v>
      </c>
      <c r="AA978">
        <v>7</v>
      </c>
      <c r="AB978">
        <v>3</v>
      </c>
      <c r="AC978">
        <v>0</v>
      </c>
      <c r="AD978">
        <v>9</v>
      </c>
      <c r="AE978">
        <v>0</v>
      </c>
      <c r="AF978">
        <v>3</v>
      </c>
      <c r="AG978">
        <v>1</v>
      </c>
      <c r="AH978">
        <v>0</v>
      </c>
      <c r="AI978" t="s">
        <v>536</v>
      </c>
      <c r="AJ978">
        <v>33.151716999999998</v>
      </c>
      <c r="AK978" t="s">
        <v>537</v>
      </c>
      <c r="AL978">
        <v>-97.722037</v>
      </c>
      <c r="AM978">
        <v>25</v>
      </c>
      <c r="AN978">
        <v>3500</v>
      </c>
      <c r="AO978" t="s">
        <v>118</v>
      </c>
      <c r="AP978">
        <v>50</v>
      </c>
      <c r="AQ978">
        <v>-90</v>
      </c>
      <c r="AR978">
        <v>-256</v>
      </c>
      <c r="AZ978">
        <v>1200</v>
      </c>
      <c r="BA978">
        <v>1</v>
      </c>
      <c r="BB978" t="str">
        <f t="shared" si="276"/>
        <v xml:space="preserve">N733KP  </v>
      </c>
      <c r="BC978">
        <v>1</v>
      </c>
      <c r="BE978">
        <v>0</v>
      </c>
      <c r="BF978">
        <v>0</v>
      </c>
      <c r="BG978">
        <v>0</v>
      </c>
      <c r="BH978">
        <v>3450</v>
      </c>
      <c r="BI978">
        <v>1</v>
      </c>
      <c r="BJ978">
        <v>1</v>
      </c>
      <c r="BK978">
        <v>0</v>
      </c>
      <c r="BL978">
        <v>0</v>
      </c>
      <c r="BO978">
        <v>0</v>
      </c>
      <c r="BP978">
        <v>0</v>
      </c>
      <c r="BW978" t="str">
        <f>"22:13:34.783"</f>
        <v>22:13:34.783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364</v>
      </c>
      <c r="CR978">
        <v>0</v>
      </c>
      <c r="CW978">
        <v>1401141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"03/24/2022 22:13:34.994"</f>
        <v>03/24/2022 22:13:34.994</v>
      </c>
      <c r="C979" t="str">
        <f t="shared" si="275"/>
        <v>FFDFD3C0</v>
      </c>
      <c r="D979" t="s">
        <v>126</v>
      </c>
      <c r="E979">
        <v>3</v>
      </c>
      <c r="H979">
        <v>160</v>
      </c>
      <c r="I979" t="s">
        <v>121</v>
      </c>
      <c r="J979" t="s">
        <v>127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S979" t="str">
        <f t="shared" si="293"/>
        <v>22:13:34.000</v>
      </c>
      <c r="T979" t="str">
        <f t="shared" si="293"/>
        <v>22:13:34.000</v>
      </c>
      <c r="U979" t="str">
        <f t="shared" si="289"/>
        <v>A9D71F</v>
      </c>
      <c r="V979">
        <v>0</v>
      </c>
      <c r="W979">
        <v>0</v>
      </c>
      <c r="X979">
        <v>2</v>
      </c>
      <c r="Z979">
        <v>1</v>
      </c>
      <c r="AA979">
        <v>7</v>
      </c>
      <c r="AB979">
        <v>3</v>
      </c>
      <c r="AC979">
        <v>0</v>
      </c>
      <c r="AD979">
        <v>9</v>
      </c>
      <c r="AE979">
        <v>0</v>
      </c>
      <c r="AF979">
        <v>3</v>
      </c>
      <c r="AG979">
        <v>1</v>
      </c>
      <c r="AH979">
        <v>0</v>
      </c>
      <c r="AI979" t="s">
        <v>536</v>
      </c>
      <c r="AJ979">
        <v>33.151716999999998</v>
      </c>
      <c r="AK979" t="s">
        <v>537</v>
      </c>
      <c r="AL979">
        <v>-97.722037</v>
      </c>
      <c r="AM979">
        <v>25</v>
      </c>
      <c r="AN979">
        <v>3500</v>
      </c>
      <c r="AO979" t="s">
        <v>118</v>
      </c>
      <c r="AP979">
        <v>50</v>
      </c>
      <c r="AQ979">
        <v>-90</v>
      </c>
      <c r="AR979">
        <v>-256</v>
      </c>
      <c r="AZ979">
        <v>1200</v>
      </c>
      <c r="BA979">
        <v>1</v>
      </c>
      <c r="BB979" t="str">
        <f t="shared" si="276"/>
        <v xml:space="preserve">N733KP  </v>
      </c>
      <c r="BC979">
        <v>1</v>
      </c>
      <c r="BE979">
        <v>0</v>
      </c>
      <c r="BF979">
        <v>0</v>
      </c>
      <c r="BG979">
        <v>0</v>
      </c>
      <c r="BH979">
        <v>3450</v>
      </c>
      <c r="BI979">
        <v>1</v>
      </c>
      <c r="BJ979">
        <v>1</v>
      </c>
      <c r="BK979">
        <v>0</v>
      </c>
      <c r="BL979">
        <v>0</v>
      </c>
      <c r="BO979">
        <v>0</v>
      </c>
      <c r="BP979">
        <v>0</v>
      </c>
      <c r="BW979" t="str">
        <f>"22:13:34.783"</f>
        <v>22:13:34.783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364</v>
      </c>
      <c r="CR979">
        <v>0</v>
      </c>
      <c r="CW979">
        <v>1401141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"03/24/2022 22:13:34.994"</f>
        <v>03/24/2022 22:13:34.994</v>
      </c>
      <c r="C980" t="str">
        <f t="shared" si="275"/>
        <v>FFDFD3C0</v>
      </c>
      <c r="D980" t="s">
        <v>123</v>
      </c>
      <c r="E980">
        <v>8</v>
      </c>
      <c r="H980">
        <v>31</v>
      </c>
      <c r="I980" t="s">
        <v>124</v>
      </c>
      <c r="J980" t="s">
        <v>125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S980" t="str">
        <f t="shared" si="293"/>
        <v>22:13:34.000</v>
      </c>
      <c r="T980" t="str">
        <f t="shared" si="293"/>
        <v>22:13:34.000</v>
      </c>
      <c r="U980" t="str">
        <f t="shared" si="289"/>
        <v>A9D71F</v>
      </c>
      <c r="V980">
        <v>0</v>
      </c>
      <c r="W980">
        <v>0</v>
      </c>
      <c r="X980">
        <v>2</v>
      </c>
      <c r="Z980">
        <v>1</v>
      </c>
      <c r="AA980">
        <v>7</v>
      </c>
      <c r="AB980">
        <v>3</v>
      </c>
      <c r="AC980">
        <v>0</v>
      </c>
      <c r="AD980">
        <v>9</v>
      </c>
      <c r="AE980">
        <v>0</v>
      </c>
      <c r="AF980">
        <v>3</v>
      </c>
      <c r="AG980">
        <v>1</v>
      </c>
      <c r="AH980">
        <v>0</v>
      </c>
      <c r="AI980" t="s">
        <v>536</v>
      </c>
      <c r="AJ980">
        <v>33.151716999999998</v>
      </c>
      <c r="AK980" t="s">
        <v>537</v>
      </c>
      <c r="AL980">
        <v>-97.722037</v>
      </c>
      <c r="AM980">
        <v>25</v>
      </c>
      <c r="AN980">
        <v>3500</v>
      </c>
      <c r="AO980" t="s">
        <v>118</v>
      </c>
      <c r="AP980">
        <v>50</v>
      </c>
      <c r="AQ980">
        <v>-90</v>
      </c>
      <c r="AR980">
        <v>-256</v>
      </c>
      <c r="AZ980">
        <v>1200</v>
      </c>
      <c r="BA980">
        <v>1</v>
      </c>
      <c r="BB980" t="str">
        <f t="shared" si="276"/>
        <v xml:space="preserve">N733KP  </v>
      </c>
      <c r="BC980">
        <v>1</v>
      </c>
      <c r="BE980">
        <v>0</v>
      </c>
      <c r="BF980">
        <v>0</v>
      </c>
      <c r="BG980">
        <v>0</v>
      </c>
      <c r="BH980">
        <v>3450</v>
      </c>
      <c r="BI980">
        <v>1</v>
      </c>
      <c r="BJ980">
        <v>1</v>
      </c>
      <c r="BK980">
        <v>0</v>
      </c>
      <c r="BL980">
        <v>0</v>
      </c>
      <c r="BO980">
        <v>0</v>
      </c>
      <c r="BP980">
        <v>0</v>
      </c>
      <c r="BW980" t="str">
        <f>"22:13:34.783"</f>
        <v>22:13:34.783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364</v>
      </c>
      <c r="CR980">
        <v>0</v>
      </c>
      <c r="CW980">
        <v>1401141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"03/24/2022 22:13:35.744"</f>
        <v>03/24/2022 22:13:35.744</v>
      </c>
      <c r="C981" t="str">
        <f t="shared" si="275"/>
        <v>FFDFD3C0</v>
      </c>
      <c r="D981" t="s">
        <v>120</v>
      </c>
      <c r="E981">
        <v>14</v>
      </c>
      <c r="F981">
        <v>1014</v>
      </c>
      <c r="G981" t="s">
        <v>121</v>
      </c>
      <c r="J981" t="s">
        <v>122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S981" t="str">
        <f t="shared" ref="S981:T984" si="294">"22:13:35.000"</f>
        <v>22:13:35.000</v>
      </c>
      <c r="T981" t="str">
        <f t="shared" si="294"/>
        <v>22:13:35.000</v>
      </c>
      <c r="U981" t="str">
        <f t="shared" si="289"/>
        <v>A9D71F</v>
      </c>
      <c r="V981">
        <v>0</v>
      </c>
      <c r="W981">
        <v>0</v>
      </c>
      <c r="X981">
        <v>2</v>
      </c>
      <c r="Z981">
        <v>1</v>
      </c>
      <c r="AA981">
        <v>7</v>
      </c>
      <c r="AB981">
        <v>3</v>
      </c>
      <c r="AC981">
        <v>0</v>
      </c>
      <c r="AD981">
        <v>9</v>
      </c>
      <c r="AE981">
        <v>0</v>
      </c>
      <c r="AF981">
        <v>3</v>
      </c>
      <c r="AG981">
        <v>1</v>
      </c>
      <c r="AH981">
        <v>0</v>
      </c>
      <c r="AI981" t="s">
        <v>538</v>
      </c>
      <c r="AJ981">
        <v>33.151266999999997</v>
      </c>
      <c r="AK981" t="s">
        <v>539</v>
      </c>
      <c r="AL981">
        <v>-97.721715000000003</v>
      </c>
      <c r="AM981">
        <v>25</v>
      </c>
      <c r="AN981">
        <v>3500</v>
      </c>
      <c r="AO981" t="s">
        <v>118</v>
      </c>
      <c r="AP981">
        <v>51</v>
      </c>
      <c r="AQ981">
        <v>-92</v>
      </c>
      <c r="AR981">
        <v>-320</v>
      </c>
      <c r="AZ981">
        <v>1200</v>
      </c>
      <c r="BA981">
        <v>1</v>
      </c>
      <c r="BB981" t="str">
        <f t="shared" si="276"/>
        <v xml:space="preserve">N733KP  </v>
      </c>
      <c r="BC981">
        <v>1</v>
      </c>
      <c r="BE981">
        <v>0</v>
      </c>
      <c r="BF981">
        <v>0</v>
      </c>
      <c r="BG981">
        <v>0</v>
      </c>
      <c r="BH981">
        <v>3450</v>
      </c>
      <c r="BI981">
        <v>1</v>
      </c>
      <c r="BJ981">
        <v>1</v>
      </c>
      <c r="BK981">
        <v>0</v>
      </c>
      <c r="BL981">
        <v>0</v>
      </c>
      <c r="BO981">
        <v>0</v>
      </c>
      <c r="BP981">
        <v>0</v>
      </c>
      <c r="BW981" t="str">
        <f>"22:13:35.530"</f>
        <v>22:13:35.530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3</v>
      </c>
      <c r="CP981" t="s">
        <v>119</v>
      </c>
      <c r="CQ981">
        <v>365</v>
      </c>
      <c r="CR981">
        <v>0</v>
      </c>
      <c r="CW981">
        <v>11447563</v>
      </c>
      <c r="CY981">
        <v>1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"03/24/2022 22:13:35.744"</f>
        <v>03/24/2022 22:13:35.744</v>
      </c>
      <c r="C982" t="str">
        <f t="shared" ref="C982:C1045" si="295">"FFDFD3C0"</f>
        <v>FFDFD3C0</v>
      </c>
      <c r="D982" t="s">
        <v>113</v>
      </c>
      <c r="E982">
        <v>24</v>
      </c>
      <c r="F982">
        <v>2024</v>
      </c>
      <c r="G982" t="s">
        <v>114</v>
      </c>
      <c r="J982" t="s">
        <v>115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S982" t="str">
        <f t="shared" si="294"/>
        <v>22:13:35.000</v>
      </c>
      <c r="T982" t="str">
        <f t="shared" si="294"/>
        <v>22:13:35.000</v>
      </c>
      <c r="U982" t="str">
        <f t="shared" si="289"/>
        <v>A9D71F</v>
      </c>
      <c r="V982">
        <v>0</v>
      </c>
      <c r="W982">
        <v>0</v>
      </c>
      <c r="X982">
        <v>2</v>
      </c>
      <c r="Z982">
        <v>1</v>
      </c>
      <c r="AA982">
        <v>7</v>
      </c>
      <c r="AB982">
        <v>3</v>
      </c>
      <c r="AC982">
        <v>0</v>
      </c>
      <c r="AD982">
        <v>9</v>
      </c>
      <c r="AE982">
        <v>0</v>
      </c>
      <c r="AF982">
        <v>3</v>
      </c>
      <c r="AG982">
        <v>1</v>
      </c>
      <c r="AH982">
        <v>0</v>
      </c>
      <c r="AI982" t="s">
        <v>538</v>
      </c>
      <c r="AJ982">
        <v>33.151266999999997</v>
      </c>
      <c r="AK982" t="s">
        <v>539</v>
      </c>
      <c r="AL982">
        <v>-97.721715000000003</v>
      </c>
      <c r="AM982">
        <v>25</v>
      </c>
      <c r="AN982">
        <v>3500</v>
      </c>
      <c r="AO982" t="s">
        <v>118</v>
      </c>
      <c r="AP982">
        <v>51</v>
      </c>
      <c r="AQ982">
        <v>-92</v>
      </c>
      <c r="AR982">
        <v>-320</v>
      </c>
      <c r="AZ982">
        <v>1200</v>
      </c>
      <c r="BA982">
        <v>1</v>
      </c>
      <c r="BB982" t="str">
        <f t="shared" ref="BB982:BB1045" si="296">"N733KP  "</f>
        <v xml:space="preserve">N733KP  </v>
      </c>
      <c r="BC982">
        <v>1</v>
      </c>
      <c r="BE982">
        <v>0</v>
      </c>
      <c r="BF982">
        <v>0</v>
      </c>
      <c r="BG982">
        <v>0</v>
      </c>
      <c r="BH982">
        <v>3450</v>
      </c>
      <c r="BI982">
        <v>1</v>
      </c>
      <c r="BJ982">
        <v>1</v>
      </c>
      <c r="BK982">
        <v>0</v>
      </c>
      <c r="BL982">
        <v>0</v>
      </c>
      <c r="BO982">
        <v>0</v>
      </c>
      <c r="BP982">
        <v>0</v>
      </c>
      <c r="BW982" t="str">
        <f>"22:13:35.530"</f>
        <v>22:13:35.530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3</v>
      </c>
      <c r="CP982" t="s">
        <v>119</v>
      </c>
      <c r="CQ982">
        <v>365</v>
      </c>
      <c r="CR982">
        <v>0</v>
      </c>
      <c r="CW982">
        <v>11447563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"03/24/2022 22:13:35.744"</f>
        <v>03/24/2022 22:13:35.744</v>
      </c>
      <c r="C983" t="str">
        <f t="shared" si="295"/>
        <v>FFDFD3C0</v>
      </c>
      <c r="D983" t="s">
        <v>126</v>
      </c>
      <c r="E983">
        <v>3</v>
      </c>
      <c r="H983">
        <v>160</v>
      </c>
      <c r="I983" t="s">
        <v>121</v>
      </c>
      <c r="J983" t="s">
        <v>127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S983" t="str">
        <f t="shared" si="294"/>
        <v>22:13:35.000</v>
      </c>
      <c r="T983" t="str">
        <f t="shared" si="294"/>
        <v>22:13:35.000</v>
      </c>
      <c r="U983" t="str">
        <f t="shared" si="289"/>
        <v>A9D71F</v>
      </c>
      <c r="V983">
        <v>0</v>
      </c>
      <c r="W983">
        <v>0</v>
      </c>
      <c r="X983">
        <v>2</v>
      </c>
      <c r="Z983">
        <v>1</v>
      </c>
      <c r="AA983">
        <v>7</v>
      </c>
      <c r="AB983">
        <v>3</v>
      </c>
      <c r="AC983">
        <v>0</v>
      </c>
      <c r="AD983">
        <v>9</v>
      </c>
      <c r="AE983">
        <v>0</v>
      </c>
      <c r="AF983">
        <v>3</v>
      </c>
      <c r="AG983">
        <v>1</v>
      </c>
      <c r="AH983">
        <v>0</v>
      </c>
      <c r="AI983" t="s">
        <v>538</v>
      </c>
      <c r="AJ983">
        <v>33.151266999999997</v>
      </c>
      <c r="AK983" t="s">
        <v>539</v>
      </c>
      <c r="AL983">
        <v>-97.721715000000003</v>
      </c>
      <c r="AM983">
        <v>25</v>
      </c>
      <c r="AN983">
        <v>3500</v>
      </c>
      <c r="AO983" t="s">
        <v>118</v>
      </c>
      <c r="AP983">
        <v>51</v>
      </c>
      <c r="AQ983">
        <v>-92</v>
      </c>
      <c r="AR983">
        <v>-320</v>
      </c>
      <c r="AZ983">
        <v>1200</v>
      </c>
      <c r="BA983">
        <v>1</v>
      </c>
      <c r="BB983" t="str">
        <f t="shared" si="296"/>
        <v xml:space="preserve">N733KP  </v>
      </c>
      <c r="BC983">
        <v>1</v>
      </c>
      <c r="BE983">
        <v>0</v>
      </c>
      <c r="BF983">
        <v>0</v>
      </c>
      <c r="BG983">
        <v>0</v>
      </c>
      <c r="BH983">
        <v>3450</v>
      </c>
      <c r="BI983">
        <v>1</v>
      </c>
      <c r="BJ983">
        <v>1</v>
      </c>
      <c r="BK983">
        <v>0</v>
      </c>
      <c r="BL983">
        <v>0</v>
      </c>
      <c r="BO983">
        <v>0</v>
      </c>
      <c r="BP983">
        <v>0</v>
      </c>
      <c r="BW983" t="str">
        <f>"22:13:35.530"</f>
        <v>22:13:35.530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3</v>
      </c>
      <c r="CP983" t="s">
        <v>119</v>
      </c>
      <c r="CQ983">
        <v>365</v>
      </c>
      <c r="CR983">
        <v>0</v>
      </c>
      <c r="CW983">
        <v>11447563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"03/24/2022 22:13:35.744"</f>
        <v>03/24/2022 22:13:35.744</v>
      </c>
      <c r="C984" t="str">
        <f t="shared" si="295"/>
        <v>FFDFD3C0</v>
      </c>
      <c r="D984" t="s">
        <v>123</v>
      </c>
      <c r="E984">
        <v>8</v>
      </c>
      <c r="H984">
        <v>31</v>
      </c>
      <c r="I984" t="s">
        <v>124</v>
      </c>
      <c r="J984" t="s">
        <v>125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S984" t="str">
        <f t="shared" si="294"/>
        <v>22:13:35.000</v>
      </c>
      <c r="T984" t="str">
        <f t="shared" si="294"/>
        <v>22:13:35.000</v>
      </c>
      <c r="U984" t="str">
        <f t="shared" si="289"/>
        <v>A9D71F</v>
      </c>
      <c r="V984">
        <v>0</v>
      </c>
      <c r="W984">
        <v>0</v>
      </c>
      <c r="X984">
        <v>2</v>
      </c>
      <c r="Z984">
        <v>1</v>
      </c>
      <c r="AA984">
        <v>7</v>
      </c>
      <c r="AB984">
        <v>3</v>
      </c>
      <c r="AC984">
        <v>0</v>
      </c>
      <c r="AD984">
        <v>9</v>
      </c>
      <c r="AE984">
        <v>0</v>
      </c>
      <c r="AF984">
        <v>3</v>
      </c>
      <c r="AG984">
        <v>1</v>
      </c>
      <c r="AH984">
        <v>0</v>
      </c>
      <c r="AI984" t="s">
        <v>538</v>
      </c>
      <c r="AJ984">
        <v>33.151266999999997</v>
      </c>
      <c r="AK984" t="s">
        <v>539</v>
      </c>
      <c r="AL984">
        <v>-97.721715000000003</v>
      </c>
      <c r="AM984">
        <v>25</v>
      </c>
      <c r="AN984">
        <v>3500</v>
      </c>
      <c r="AO984" t="s">
        <v>118</v>
      </c>
      <c r="AP984">
        <v>51</v>
      </c>
      <c r="AQ984">
        <v>-92</v>
      </c>
      <c r="AR984">
        <v>-320</v>
      </c>
      <c r="AZ984">
        <v>1200</v>
      </c>
      <c r="BA984">
        <v>1</v>
      </c>
      <c r="BB984" t="str">
        <f t="shared" si="296"/>
        <v xml:space="preserve">N733KP  </v>
      </c>
      <c r="BC984">
        <v>1</v>
      </c>
      <c r="BE984">
        <v>0</v>
      </c>
      <c r="BF984">
        <v>0</v>
      </c>
      <c r="BG984">
        <v>0</v>
      </c>
      <c r="BH984">
        <v>3450</v>
      </c>
      <c r="BI984">
        <v>1</v>
      </c>
      <c r="BJ984">
        <v>1</v>
      </c>
      <c r="BK984">
        <v>0</v>
      </c>
      <c r="BL984">
        <v>0</v>
      </c>
      <c r="BO984">
        <v>0</v>
      </c>
      <c r="BP984">
        <v>0</v>
      </c>
      <c r="BW984" t="str">
        <f>"22:13:35.530"</f>
        <v>22:13:35.530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3</v>
      </c>
      <c r="CP984" t="s">
        <v>119</v>
      </c>
      <c r="CQ984">
        <v>365</v>
      </c>
      <c r="CR984">
        <v>0</v>
      </c>
      <c r="CW984">
        <v>11447563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"03/24/2022 22:13:36.870"</f>
        <v>03/24/2022 22:13:36.870</v>
      </c>
      <c r="C985" t="str">
        <f t="shared" si="295"/>
        <v>FFDFD3C0</v>
      </c>
      <c r="D985" t="s">
        <v>120</v>
      </c>
      <c r="E985">
        <v>14</v>
      </c>
      <c r="F985">
        <v>1014</v>
      </c>
      <c r="G985" t="s">
        <v>121</v>
      </c>
      <c r="J985" t="s">
        <v>122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S985" t="str">
        <f t="shared" ref="S985:T988" si="297">"22:13:36.000"</f>
        <v>22:13:36.000</v>
      </c>
      <c r="T985" t="str">
        <f t="shared" si="297"/>
        <v>22:13:36.000</v>
      </c>
      <c r="U985" t="str">
        <f t="shared" si="289"/>
        <v>A9D71F</v>
      </c>
      <c r="V985">
        <v>0</v>
      </c>
      <c r="W985">
        <v>0</v>
      </c>
      <c r="X985">
        <v>2</v>
      </c>
      <c r="Z985">
        <v>1</v>
      </c>
      <c r="AA985">
        <v>7</v>
      </c>
      <c r="AB985">
        <v>3</v>
      </c>
      <c r="AC985">
        <v>0</v>
      </c>
      <c r="AD985">
        <v>9</v>
      </c>
      <c r="AE985">
        <v>0</v>
      </c>
      <c r="AF985">
        <v>3</v>
      </c>
      <c r="AG985">
        <v>1</v>
      </c>
      <c r="AH985">
        <v>0</v>
      </c>
      <c r="AI985" t="s">
        <v>540</v>
      </c>
      <c r="AJ985">
        <v>33.150815999999999</v>
      </c>
      <c r="AK985" t="s">
        <v>541</v>
      </c>
      <c r="AL985">
        <v>-97.721414999999993</v>
      </c>
      <c r="AM985">
        <v>25</v>
      </c>
      <c r="AN985">
        <v>3500</v>
      </c>
      <c r="AO985" t="s">
        <v>118</v>
      </c>
      <c r="AP985">
        <v>49</v>
      </c>
      <c r="AQ985">
        <v>-92</v>
      </c>
      <c r="AR985">
        <v>-256</v>
      </c>
      <c r="AZ985">
        <v>1200</v>
      </c>
      <c r="BA985">
        <v>1</v>
      </c>
      <c r="BB985" t="str">
        <f t="shared" si="296"/>
        <v xml:space="preserve">N733KP  </v>
      </c>
      <c r="BC985">
        <v>1</v>
      </c>
      <c r="BE985">
        <v>0</v>
      </c>
      <c r="BF985">
        <v>0</v>
      </c>
      <c r="BG985">
        <v>0</v>
      </c>
      <c r="BH985">
        <v>3450</v>
      </c>
      <c r="BI985">
        <v>1</v>
      </c>
      <c r="BJ985">
        <v>1</v>
      </c>
      <c r="BK985">
        <v>0</v>
      </c>
      <c r="BL985">
        <v>0</v>
      </c>
      <c r="BO985">
        <v>0</v>
      </c>
      <c r="BP985">
        <v>0</v>
      </c>
      <c r="BW985" t="str">
        <f>"22:13:36.717"</f>
        <v>22:13:36.717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364</v>
      </c>
      <c r="CR985">
        <v>0</v>
      </c>
      <c r="CW985">
        <v>1401431</v>
      </c>
      <c r="CY985">
        <v>1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"03/24/2022 22:13:36.870"</f>
        <v>03/24/2022 22:13:36.870</v>
      </c>
      <c r="C986" t="str">
        <f t="shared" si="295"/>
        <v>FFDFD3C0</v>
      </c>
      <c r="D986" t="s">
        <v>113</v>
      </c>
      <c r="E986">
        <v>24</v>
      </c>
      <c r="F986">
        <v>2024</v>
      </c>
      <c r="G986" t="s">
        <v>114</v>
      </c>
      <c r="J986" t="s">
        <v>115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S986" t="str">
        <f t="shared" si="297"/>
        <v>22:13:36.000</v>
      </c>
      <c r="T986" t="str">
        <f t="shared" si="297"/>
        <v>22:13:36.000</v>
      </c>
      <c r="U986" t="str">
        <f t="shared" si="289"/>
        <v>A9D71F</v>
      </c>
      <c r="V986">
        <v>0</v>
      </c>
      <c r="W986">
        <v>0</v>
      </c>
      <c r="X986">
        <v>2</v>
      </c>
      <c r="Z986">
        <v>1</v>
      </c>
      <c r="AA986">
        <v>7</v>
      </c>
      <c r="AB986">
        <v>3</v>
      </c>
      <c r="AC986">
        <v>0</v>
      </c>
      <c r="AD986">
        <v>9</v>
      </c>
      <c r="AE986">
        <v>0</v>
      </c>
      <c r="AF986">
        <v>3</v>
      </c>
      <c r="AG986">
        <v>1</v>
      </c>
      <c r="AH986">
        <v>0</v>
      </c>
      <c r="AI986" t="s">
        <v>540</v>
      </c>
      <c r="AJ986">
        <v>33.150815999999999</v>
      </c>
      <c r="AK986" t="s">
        <v>541</v>
      </c>
      <c r="AL986">
        <v>-97.721414999999993</v>
      </c>
      <c r="AM986">
        <v>25</v>
      </c>
      <c r="AN986">
        <v>3500</v>
      </c>
      <c r="AO986" t="s">
        <v>118</v>
      </c>
      <c r="AP986">
        <v>49</v>
      </c>
      <c r="AQ986">
        <v>-92</v>
      </c>
      <c r="AR986">
        <v>-256</v>
      </c>
      <c r="AZ986">
        <v>1200</v>
      </c>
      <c r="BA986">
        <v>1</v>
      </c>
      <c r="BB986" t="str">
        <f t="shared" si="296"/>
        <v xml:space="preserve">N733KP  </v>
      </c>
      <c r="BC986">
        <v>1</v>
      </c>
      <c r="BE986">
        <v>0</v>
      </c>
      <c r="BF986">
        <v>0</v>
      </c>
      <c r="BG986">
        <v>0</v>
      </c>
      <c r="BH986">
        <v>3450</v>
      </c>
      <c r="BI986">
        <v>1</v>
      </c>
      <c r="BJ986">
        <v>1</v>
      </c>
      <c r="BK986">
        <v>0</v>
      </c>
      <c r="BL986">
        <v>0</v>
      </c>
      <c r="BO986">
        <v>0</v>
      </c>
      <c r="BP986">
        <v>0</v>
      </c>
      <c r="BW986" t="str">
        <f>"22:13:36.717"</f>
        <v>22:13:36.717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364</v>
      </c>
      <c r="CR986">
        <v>0</v>
      </c>
      <c r="CW986">
        <v>1401431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"03/24/2022 22:13:36.885"</f>
        <v>03/24/2022 22:13:36.885</v>
      </c>
      <c r="C987" t="str">
        <f t="shared" si="295"/>
        <v>FFDFD3C0</v>
      </c>
      <c r="D987" t="s">
        <v>126</v>
      </c>
      <c r="E987">
        <v>3</v>
      </c>
      <c r="H987">
        <v>160</v>
      </c>
      <c r="I987" t="s">
        <v>121</v>
      </c>
      <c r="J987" t="s">
        <v>127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S987" t="str">
        <f t="shared" si="297"/>
        <v>22:13:36.000</v>
      </c>
      <c r="T987" t="str">
        <f t="shared" si="297"/>
        <v>22:13:36.000</v>
      </c>
      <c r="U987" t="str">
        <f t="shared" si="289"/>
        <v>A9D71F</v>
      </c>
      <c r="V987">
        <v>0</v>
      </c>
      <c r="W987">
        <v>0</v>
      </c>
      <c r="X987">
        <v>2</v>
      </c>
      <c r="Z987">
        <v>1</v>
      </c>
      <c r="AA987">
        <v>7</v>
      </c>
      <c r="AB987">
        <v>3</v>
      </c>
      <c r="AC987">
        <v>0</v>
      </c>
      <c r="AD987">
        <v>9</v>
      </c>
      <c r="AE987">
        <v>0</v>
      </c>
      <c r="AF987">
        <v>3</v>
      </c>
      <c r="AG987">
        <v>1</v>
      </c>
      <c r="AH987">
        <v>0</v>
      </c>
      <c r="AI987" t="s">
        <v>540</v>
      </c>
      <c r="AJ987">
        <v>33.150815999999999</v>
      </c>
      <c r="AK987" t="s">
        <v>541</v>
      </c>
      <c r="AL987">
        <v>-97.721414999999993</v>
      </c>
      <c r="AM987">
        <v>25</v>
      </c>
      <c r="AN987">
        <v>3500</v>
      </c>
      <c r="AO987" t="s">
        <v>118</v>
      </c>
      <c r="AP987">
        <v>49</v>
      </c>
      <c r="AQ987">
        <v>-92</v>
      </c>
      <c r="AR987">
        <v>-256</v>
      </c>
      <c r="AZ987">
        <v>1200</v>
      </c>
      <c r="BA987">
        <v>1</v>
      </c>
      <c r="BB987" t="str">
        <f t="shared" si="296"/>
        <v xml:space="preserve">N733KP  </v>
      </c>
      <c r="BC987">
        <v>1</v>
      </c>
      <c r="BE987">
        <v>0</v>
      </c>
      <c r="BF987">
        <v>0</v>
      </c>
      <c r="BG987">
        <v>0</v>
      </c>
      <c r="BH987">
        <v>3450</v>
      </c>
      <c r="BI987">
        <v>1</v>
      </c>
      <c r="BJ987">
        <v>1</v>
      </c>
      <c r="BK987">
        <v>0</v>
      </c>
      <c r="BL987">
        <v>0</v>
      </c>
      <c r="BO987">
        <v>0</v>
      </c>
      <c r="BP987">
        <v>0</v>
      </c>
      <c r="BW987" t="str">
        <f>"22:13:36.717"</f>
        <v>22:13:36.717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364</v>
      </c>
      <c r="CR987">
        <v>0</v>
      </c>
      <c r="CW987">
        <v>1401431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"03/24/2022 22:13:36.901"</f>
        <v>03/24/2022 22:13:36.901</v>
      </c>
      <c r="C988" t="str">
        <f t="shared" si="295"/>
        <v>FFDFD3C0</v>
      </c>
      <c r="D988" t="s">
        <v>123</v>
      </c>
      <c r="E988">
        <v>8</v>
      </c>
      <c r="H988">
        <v>31</v>
      </c>
      <c r="I988" t="s">
        <v>124</v>
      </c>
      <c r="J988" t="s">
        <v>125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S988" t="str">
        <f t="shared" si="297"/>
        <v>22:13:36.000</v>
      </c>
      <c r="T988" t="str">
        <f t="shared" si="297"/>
        <v>22:13:36.000</v>
      </c>
      <c r="U988" t="str">
        <f t="shared" si="289"/>
        <v>A9D71F</v>
      </c>
      <c r="V988">
        <v>0</v>
      </c>
      <c r="W988">
        <v>0</v>
      </c>
      <c r="X988">
        <v>2</v>
      </c>
      <c r="Z988">
        <v>1</v>
      </c>
      <c r="AA988">
        <v>7</v>
      </c>
      <c r="AB988">
        <v>3</v>
      </c>
      <c r="AC988">
        <v>0</v>
      </c>
      <c r="AD988">
        <v>9</v>
      </c>
      <c r="AE988">
        <v>0</v>
      </c>
      <c r="AF988">
        <v>3</v>
      </c>
      <c r="AG988">
        <v>1</v>
      </c>
      <c r="AH988">
        <v>0</v>
      </c>
      <c r="AI988" t="s">
        <v>540</v>
      </c>
      <c r="AJ988">
        <v>33.150815999999999</v>
      </c>
      <c r="AK988" t="s">
        <v>541</v>
      </c>
      <c r="AL988">
        <v>-97.721414999999993</v>
      </c>
      <c r="AM988">
        <v>25</v>
      </c>
      <c r="AN988">
        <v>3500</v>
      </c>
      <c r="AO988" t="s">
        <v>118</v>
      </c>
      <c r="AP988">
        <v>49</v>
      </c>
      <c r="AQ988">
        <v>-92</v>
      </c>
      <c r="AR988">
        <v>-256</v>
      </c>
      <c r="AZ988">
        <v>1200</v>
      </c>
      <c r="BA988">
        <v>1</v>
      </c>
      <c r="BB988" t="str">
        <f t="shared" si="296"/>
        <v xml:space="preserve">N733KP  </v>
      </c>
      <c r="BC988">
        <v>1</v>
      </c>
      <c r="BE988">
        <v>0</v>
      </c>
      <c r="BF988">
        <v>0</v>
      </c>
      <c r="BG988">
        <v>0</v>
      </c>
      <c r="BH988">
        <v>3450</v>
      </c>
      <c r="BI988">
        <v>1</v>
      </c>
      <c r="BJ988">
        <v>1</v>
      </c>
      <c r="BK988">
        <v>0</v>
      </c>
      <c r="BL988">
        <v>0</v>
      </c>
      <c r="BO988">
        <v>0</v>
      </c>
      <c r="BP988">
        <v>0</v>
      </c>
      <c r="BW988" t="str">
        <f>"22:13:36.717"</f>
        <v>22:13:36.717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364</v>
      </c>
      <c r="CR988">
        <v>0</v>
      </c>
      <c r="CW988">
        <v>1401431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"03/24/2022 22:13:38.261"</f>
        <v>03/24/2022 22:13:38.261</v>
      </c>
      <c r="C989" t="str">
        <f t="shared" si="295"/>
        <v>FFDFD3C0</v>
      </c>
      <c r="D989" t="s">
        <v>126</v>
      </c>
      <c r="E989">
        <v>3</v>
      </c>
      <c r="H989">
        <v>160</v>
      </c>
      <c r="I989" t="s">
        <v>121</v>
      </c>
      <c r="J989" t="s">
        <v>127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S989" t="str">
        <f t="shared" ref="S989:T992" si="298">"22:13:37.000"</f>
        <v>22:13:37.000</v>
      </c>
      <c r="T989" t="str">
        <f t="shared" si="298"/>
        <v>22:13:37.000</v>
      </c>
      <c r="U989" t="str">
        <f t="shared" si="289"/>
        <v>A9D71F</v>
      </c>
      <c r="V989">
        <v>0</v>
      </c>
      <c r="W989">
        <v>0</v>
      </c>
      <c r="X989">
        <v>2</v>
      </c>
      <c r="Z989">
        <v>1</v>
      </c>
      <c r="AA989">
        <v>7</v>
      </c>
      <c r="AB989">
        <v>3</v>
      </c>
      <c r="AC989">
        <v>0</v>
      </c>
      <c r="AD989">
        <v>9</v>
      </c>
      <c r="AE989">
        <v>0</v>
      </c>
      <c r="AF989">
        <v>3</v>
      </c>
      <c r="AG989">
        <v>1</v>
      </c>
      <c r="AH989">
        <v>0</v>
      </c>
      <c r="AI989" t="s">
        <v>542</v>
      </c>
      <c r="AJ989">
        <v>33.150407999999999</v>
      </c>
      <c r="AK989" t="s">
        <v>543</v>
      </c>
      <c r="AL989">
        <v>-97.721157000000005</v>
      </c>
      <c r="AM989">
        <v>25</v>
      </c>
      <c r="AN989">
        <v>3500</v>
      </c>
      <c r="AO989" t="s">
        <v>118</v>
      </c>
      <c r="AP989">
        <v>50</v>
      </c>
      <c r="AQ989">
        <v>-92</v>
      </c>
      <c r="AR989">
        <v>-128</v>
      </c>
      <c r="AZ989">
        <v>1200</v>
      </c>
      <c r="BA989">
        <v>1</v>
      </c>
      <c r="BB989" t="str">
        <f t="shared" si="296"/>
        <v xml:space="preserve">N733KP  </v>
      </c>
      <c r="BC989">
        <v>1</v>
      </c>
      <c r="BE989">
        <v>0</v>
      </c>
      <c r="BF989">
        <v>0</v>
      </c>
      <c r="BG989">
        <v>0</v>
      </c>
      <c r="BH989">
        <v>3425</v>
      </c>
      <c r="BI989">
        <v>1</v>
      </c>
      <c r="BJ989">
        <v>1</v>
      </c>
      <c r="BK989">
        <v>0</v>
      </c>
      <c r="BL989">
        <v>0</v>
      </c>
      <c r="BO989">
        <v>0</v>
      </c>
      <c r="BP989">
        <v>0</v>
      </c>
      <c r="BW989" t="str">
        <f>"22:13:37.871"</f>
        <v>22:13:37.871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364</v>
      </c>
      <c r="CR989">
        <v>0</v>
      </c>
      <c r="CW989">
        <v>1401618</v>
      </c>
      <c r="CY989">
        <v>1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"03/24/2022 22:13:38.261"</f>
        <v>03/24/2022 22:13:38.261</v>
      </c>
      <c r="C990" t="str">
        <f t="shared" si="295"/>
        <v>FFDFD3C0</v>
      </c>
      <c r="D990" t="s">
        <v>123</v>
      </c>
      <c r="E990">
        <v>8</v>
      </c>
      <c r="H990">
        <v>31</v>
      </c>
      <c r="I990" t="s">
        <v>124</v>
      </c>
      <c r="J990" t="s">
        <v>125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S990" t="str">
        <f t="shared" si="298"/>
        <v>22:13:37.000</v>
      </c>
      <c r="T990" t="str">
        <f t="shared" si="298"/>
        <v>22:13:37.000</v>
      </c>
      <c r="U990" t="str">
        <f t="shared" si="289"/>
        <v>A9D71F</v>
      </c>
      <c r="V990">
        <v>0</v>
      </c>
      <c r="W990">
        <v>0</v>
      </c>
      <c r="X990">
        <v>2</v>
      </c>
      <c r="Z990">
        <v>1</v>
      </c>
      <c r="AA990">
        <v>7</v>
      </c>
      <c r="AB990">
        <v>3</v>
      </c>
      <c r="AC990">
        <v>0</v>
      </c>
      <c r="AD990">
        <v>9</v>
      </c>
      <c r="AE990">
        <v>0</v>
      </c>
      <c r="AF990">
        <v>3</v>
      </c>
      <c r="AG990">
        <v>1</v>
      </c>
      <c r="AH990">
        <v>0</v>
      </c>
      <c r="AI990" t="s">
        <v>542</v>
      </c>
      <c r="AJ990">
        <v>33.150407999999999</v>
      </c>
      <c r="AK990" t="s">
        <v>543</v>
      </c>
      <c r="AL990">
        <v>-97.721157000000005</v>
      </c>
      <c r="AM990">
        <v>25</v>
      </c>
      <c r="AN990">
        <v>3500</v>
      </c>
      <c r="AO990" t="s">
        <v>118</v>
      </c>
      <c r="AP990">
        <v>50</v>
      </c>
      <c r="AQ990">
        <v>-92</v>
      </c>
      <c r="AR990">
        <v>-128</v>
      </c>
      <c r="AZ990">
        <v>1200</v>
      </c>
      <c r="BA990">
        <v>1</v>
      </c>
      <c r="BB990" t="str">
        <f t="shared" si="296"/>
        <v xml:space="preserve">N733KP  </v>
      </c>
      <c r="BC990">
        <v>1</v>
      </c>
      <c r="BE990">
        <v>0</v>
      </c>
      <c r="BF990">
        <v>0</v>
      </c>
      <c r="BG990">
        <v>0</v>
      </c>
      <c r="BH990">
        <v>3425</v>
      </c>
      <c r="BI990">
        <v>1</v>
      </c>
      <c r="BJ990">
        <v>1</v>
      </c>
      <c r="BK990">
        <v>0</v>
      </c>
      <c r="BL990">
        <v>0</v>
      </c>
      <c r="BO990">
        <v>0</v>
      </c>
      <c r="BP990">
        <v>0</v>
      </c>
      <c r="BW990" t="str">
        <f>"22:13:37.871"</f>
        <v>22:13:37.871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364</v>
      </c>
      <c r="CR990">
        <v>0</v>
      </c>
      <c r="CW990">
        <v>1401618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"03/24/2022 22:13:38.355"</f>
        <v>03/24/2022 22:13:38.355</v>
      </c>
      <c r="C991" t="str">
        <f t="shared" si="295"/>
        <v>FFDFD3C0</v>
      </c>
      <c r="D991" t="s">
        <v>120</v>
      </c>
      <c r="E991">
        <v>14</v>
      </c>
      <c r="F991">
        <v>1014</v>
      </c>
      <c r="G991" t="s">
        <v>121</v>
      </c>
      <c r="J991" t="s">
        <v>122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S991" t="str">
        <f t="shared" si="298"/>
        <v>22:13:37.000</v>
      </c>
      <c r="T991" t="str">
        <f t="shared" si="298"/>
        <v>22:13:37.000</v>
      </c>
      <c r="U991" t="str">
        <f t="shared" si="289"/>
        <v>A9D71F</v>
      </c>
      <c r="V991">
        <v>0</v>
      </c>
      <c r="W991">
        <v>0</v>
      </c>
      <c r="X991">
        <v>2</v>
      </c>
      <c r="Z991">
        <v>1</v>
      </c>
      <c r="AA991">
        <v>7</v>
      </c>
      <c r="AB991">
        <v>3</v>
      </c>
      <c r="AC991">
        <v>0</v>
      </c>
      <c r="AD991">
        <v>9</v>
      </c>
      <c r="AE991">
        <v>0</v>
      </c>
      <c r="AF991">
        <v>3</v>
      </c>
      <c r="AG991">
        <v>1</v>
      </c>
      <c r="AH991">
        <v>0</v>
      </c>
      <c r="AI991" t="s">
        <v>542</v>
      </c>
      <c r="AJ991">
        <v>33.150407999999999</v>
      </c>
      <c r="AK991" t="s">
        <v>543</v>
      </c>
      <c r="AL991">
        <v>-97.721157000000005</v>
      </c>
      <c r="AM991">
        <v>25</v>
      </c>
      <c r="AN991">
        <v>3500</v>
      </c>
      <c r="AO991" t="s">
        <v>118</v>
      </c>
      <c r="AP991">
        <v>50</v>
      </c>
      <c r="AQ991">
        <v>-92</v>
      </c>
      <c r="AR991">
        <v>-128</v>
      </c>
      <c r="AZ991">
        <v>1200</v>
      </c>
      <c r="BA991">
        <v>1</v>
      </c>
      <c r="BB991" t="str">
        <f t="shared" si="296"/>
        <v xml:space="preserve">N733KP  </v>
      </c>
      <c r="BC991">
        <v>1</v>
      </c>
      <c r="BE991">
        <v>0</v>
      </c>
      <c r="BF991">
        <v>0</v>
      </c>
      <c r="BG991">
        <v>0</v>
      </c>
      <c r="BH991">
        <v>3425</v>
      </c>
      <c r="BI991">
        <v>1</v>
      </c>
      <c r="BJ991">
        <v>1</v>
      </c>
      <c r="BK991">
        <v>0</v>
      </c>
      <c r="BL991">
        <v>0</v>
      </c>
      <c r="BO991">
        <v>0</v>
      </c>
      <c r="BP991">
        <v>0</v>
      </c>
      <c r="BW991" t="str">
        <f>"22:13:37.871"</f>
        <v>22:13:37.871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364</v>
      </c>
      <c r="CR991">
        <v>0</v>
      </c>
      <c r="CW991">
        <v>1401618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"03/24/2022 22:13:38.355"</f>
        <v>03/24/2022 22:13:38.355</v>
      </c>
      <c r="C992" t="str">
        <f t="shared" si="295"/>
        <v>FFDFD3C0</v>
      </c>
      <c r="D992" t="s">
        <v>113</v>
      </c>
      <c r="E992">
        <v>24</v>
      </c>
      <c r="F992">
        <v>2024</v>
      </c>
      <c r="G992" t="s">
        <v>114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S992" t="str">
        <f t="shared" si="298"/>
        <v>22:13:37.000</v>
      </c>
      <c r="T992" t="str">
        <f t="shared" si="298"/>
        <v>22:13:37.000</v>
      </c>
      <c r="U992" t="str">
        <f t="shared" si="289"/>
        <v>A9D71F</v>
      </c>
      <c r="V992">
        <v>0</v>
      </c>
      <c r="W992">
        <v>0</v>
      </c>
      <c r="X992">
        <v>2</v>
      </c>
      <c r="Z992">
        <v>1</v>
      </c>
      <c r="AA992">
        <v>7</v>
      </c>
      <c r="AB992">
        <v>3</v>
      </c>
      <c r="AC992">
        <v>0</v>
      </c>
      <c r="AD992">
        <v>9</v>
      </c>
      <c r="AE992">
        <v>0</v>
      </c>
      <c r="AF992">
        <v>3</v>
      </c>
      <c r="AG992">
        <v>1</v>
      </c>
      <c r="AH992">
        <v>0</v>
      </c>
      <c r="AI992" t="s">
        <v>542</v>
      </c>
      <c r="AJ992">
        <v>33.150407999999999</v>
      </c>
      <c r="AK992" t="s">
        <v>543</v>
      </c>
      <c r="AL992">
        <v>-97.721157000000005</v>
      </c>
      <c r="AM992">
        <v>25</v>
      </c>
      <c r="AN992">
        <v>3500</v>
      </c>
      <c r="AO992" t="s">
        <v>118</v>
      </c>
      <c r="AP992">
        <v>50</v>
      </c>
      <c r="AQ992">
        <v>-92</v>
      </c>
      <c r="AR992">
        <v>-128</v>
      </c>
      <c r="AZ992">
        <v>1200</v>
      </c>
      <c r="BA992">
        <v>1</v>
      </c>
      <c r="BB992" t="str">
        <f t="shared" si="296"/>
        <v xml:space="preserve">N733KP  </v>
      </c>
      <c r="BC992">
        <v>1</v>
      </c>
      <c r="BE992">
        <v>0</v>
      </c>
      <c r="BF992">
        <v>0</v>
      </c>
      <c r="BG992">
        <v>0</v>
      </c>
      <c r="BH992">
        <v>3425</v>
      </c>
      <c r="BI992">
        <v>1</v>
      </c>
      <c r="BJ992">
        <v>1</v>
      </c>
      <c r="BK992">
        <v>0</v>
      </c>
      <c r="BL992">
        <v>0</v>
      </c>
      <c r="BO992">
        <v>0</v>
      </c>
      <c r="BP992">
        <v>0</v>
      </c>
      <c r="BW992" t="str">
        <f>"22:13:37.871"</f>
        <v>22:13:37.871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364</v>
      </c>
      <c r="CR992">
        <v>0</v>
      </c>
      <c r="CW992">
        <v>1401618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"03/24/2022 22:13:38.450"</f>
        <v>03/24/2022 22:13:38.450</v>
      </c>
      <c r="C993" t="str">
        <f t="shared" si="295"/>
        <v>FFDFD3C0</v>
      </c>
      <c r="D993" t="s">
        <v>126</v>
      </c>
      <c r="E993">
        <v>3</v>
      </c>
      <c r="H993">
        <v>160</v>
      </c>
      <c r="I993" t="s">
        <v>121</v>
      </c>
      <c r="J993" t="s">
        <v>127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S993" t="str">
        <f t="shared" ref="S993:T996" si="299">"22:13:38.000"</f>
        <v>22:13:38.000</v>
      </c>
      <c r="T993" t="str">
        <f t="shared" si="299"/>
        <v>22:13:38.000</v>
      </c>
      <c r="U993" t="str">
        <f t="shared" si="289"/>
        <v>A9D71F</v>
      </c>
      <c r="V993">
        <v>0</v>
      </c>
      <c r="W993">
        <v>0</v>
      </c>
      <c r="X993">
        <v>2</v>
      </c>
      <c r="Z993">
        <v>1</v>
      </c>
      <c r="AA993">
        <v>7</v>
      </c>
      <c r="AB993">
        <v>3</v>
      </c>
      <c r="AC993">
        <v>0</v>
      </c>
      <c r="AD993">
        <v>9</v>
      </c>
      <c r="AE993">
        <v>0</v>
      </c>
      <c r="AF993">
        <v>3</v>
      </c>
      <c r="AG993">
        <v>1</v>
      </c>
      <c r="AH993">
        <v>0</v>
      </c>
      <c r="AI993" t="s">
        <v>544</v>
      </c>
      <c r="AJ993">
        <v>33.149979000000002</v>
      </c>
      <c r="AK993" t="s">
        <v>545</v>
      </c>
      <c r="AL993">
        <v>-97.720877999999999</v>
      </c>
      <c r="AM993">
        <v>25</v>
      </c>
      <c r="AN993">
        <v>3500</v>
      </c>
      <c r="AO993" t="s">
        <v>118</v>
      </c>
      <c r="AP993">
        <v>51</v>
      </c>
      <c r="AQ993">
        <v>-93</v>
      </c>
      <c r="AR993">
        <v>-128</v>
      </c>
      <c r="AZ993">
        <v>1200</v>
      </c>
      <c r="BA993">
        <v>1</v>
      </c>
      <c r="BB993" t="str">
        <f t="shared" si="296"/>
        <v xml:space="preserve">N733KP  </v>
      </c>
      <c r="BC993">
        <v>1</v>
      </c>
      <c r="BE993">
        <v>0</v>
      </c>
      <c r="BF993">
        <v>0</v>
      </c>
      <c r="BG993">
        <v>0</v>
      </c>
      <c r="BH993">
        <v>3425</v>
      </c>
      <c r="BI993">
        <v>1</v>
      </c>
      <c r="BJ993">
        <v>1</v>
      </c>
      <c r="BK993">
        <v>0</v>
      </c>
      <c r="BL993">
        <v>0</v>
      </c>
      <c r="BO993">
        <v>0</v>
      </c>
      <c r="BP993">
        <v>0</v>
      </c>
      <c r="BW993" t="str">
        <f>"22:13:38.248"</f>
        <v>22:13:38.248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364</v>
      </c>
      <c r="CR993">
        <v>0</v>
      </c>
      <c r="CW993">
        <v>1401668</v>
      </c>
      <c r="CY993">
        <v>1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"03/24/2022 22:13:38.450"</f>
        <v>03/24/2022 22:13:38.450</v>
      </c>
      <c r="C994" t="str">
        <f t="shared" si="295"/>
        <v>FFDFD3C0</v>
      </c>
      <c r="D994" t="s">
        <v>123</v>
      </c>
      <c r="E994">
        <v>8</v>
      </c>
      <c r="H994">
        <v>31</v>
      </c>
      <c r="I994" t="s">
        <v>124</v>
      </c>
      <c r="J994" t="s">
        <v>125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S994" t="str">
        <f t="shared" si="299"/>
        <v>22:13:38.000</v>
      </c>
      <c r="T994" t="str">
        <f t="shared" si="299"/>
        <v>22:13:38.000</v>
      </c>
      <c r="U994" t="str">
        <f t="shared" si="289"/>
        <v>A9D71F</v>
      </c>
      <c r="V994">
        <v>0</v>
      </c>
      <c r="W994">
        <v>0</v>
      </c>
      <c r="X994">
        <v>2</v>
      </c>
      <c r="Z994">
        <v>1</v>
      </c>
      <c r="AA994">
        <v>7</v>
      </c>
      <c r="AB994">
        <v>3</v>
      </c>
      <c r="AC994">
        <v>0</v>
      </c>
      <c r="AD994">
        <v>9</v>
      </c>
      <c r="AE994">
        <v>0</v>
      </c>
      <c r="AF994">
        <v>3</v>
      </c>
      <c r="AG994">
        <v>1</v>
      </c>
      <c r="AH994">
        <v>0</v>
      </c>
      <c r="AI994" t="s">
        <v>544</v>
      </c>
      <c r="AJ994">
        <v>33.149979000000002</v>
      </c>
      <c r="AK994" t="s">
        <v>545</v>
      </c>
      <c r="AL994">
        <v>-97.720877999999999</v>
      </c>
      <c r="AM994">
        <v>25</v>
      </c>
      <c r="AN994">
        <v>3500</v>
      </c>
      <c r="AO994" t="s">
        <v>118</v>
      </c>
      <c r="AP994">
        <v>51</v>
      </c>
      <c r="AQ994">
        <v>-93</v>
      </c>
      <c r="AR994">
        <v>-128</v>
      </c>
      <c r="AZ994">
        <v>1200</v>
      </c>
      <c r="BA994">
        <v>1</v>
      </c>
      <c r="BB994" t="str">
        <f t="shared" si="296"/>
        <v xml:space="preserve">N733KP  </v>
      </c>
      <c r="BC994">
        <v>1</v>
      </c>
      <c r="BE994">
        <v>0</v>
      </c>
      <c r="BF994">
        <v>0</v>
      </c>
      <c r="BG994">
        <v>0</v>
      </c>
      <c r="BH994">
        <v>3425</v>
      </c>
      <c r="BI994">
        <v>1</v>
      </c>
      <c r="BJ994">
        <v>1</v>
      </c>
      <c r="BK994">
        <v>0</v>
      </c>
      <c r="BL994">
        <v>0</v>
      </c>
      <c r="BO994">
        <v>0</v>
      </c>
      <c r="BP994">
        <v>0</v>
      </c>
      <c r="BW994" t="str">
        <f>"22:13:38.248"</f>
        <v>22:13:38.248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364</v>
      </c>
      <c r="CR994">
        <v>0</v>
      </c>
      <c r="CW994">
        <v>1401668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"03/24/2022 22:13:38.450"</f>
        <v>03/24/2022 22:13:38.450</v>
      </c>
      <c r="C995" t="str">
        <f t="shared" si="295"/>
        <v>FFDFD3C0</v>
      </c>
      <c r="D995" t="s">
        <v>120</v>
      </c>
      <c r="E995">
        <v>14</v>
      </c>
      <c r="F995">
        <v>1014</v>
      </c>
      <c r="G995" t="s">
        <v>121</v>
      </c>
      <c r="J995" t="s">
        <v>122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S995" t="str">
        <f t="shared" si="299"/>
        <v>22:13:38.000</v>
      </c>
      <c r="T995" t="str">
        <f t="shared" si="299"/>
        <v>22:13:38.000</v>
      </c>
      <c r="U995" t="str">
        <f t="shared" si="289"/>
        <v>A9D71F</v>
      </c>
      <c r="V995">
        <v>0</v>
      </c>
      <c r="W995">
        <v>0</v>
      </c>
      <c r="X995">
        <v>2</v>
      </c>
      <c r="Z995">
        <v>1</v>
      </c>
      <c r="AA995">
        <v>7</v>
      </c>
      <c r="AB995">
        <v>3</v>
      </c>
      <c r="AC995">
        <v>0</v>
      </c>
      <c r="AD995">
        <v>9</v>
      </c>
      <c r="AE995">
        <v>0</v>
      </c>
      <c r="AF995">
        <v>3</v>
      </c>
      <c r="AG995">
        <v>1</v>
      </c>
      <c r="AH995">
        <v>0</v>
      </c>
      <c r="AI995" t="s">
        <v>544</v>
      </c>
      <c r="AJ995">
        <v>33.149979000000002</v>
      </c>
      <c r="AK995" t="s">
        <v>545</v>
      </c>
      <c r="AL995">
        <v>-97.720877999999999</v>
      </c>
      <c r="AM995">
        <v>25</v>
      </c>
      <c r="AN995">
        <v>3500</v>
      </c>
      <c r="AO995" t="s">
        <v>118</v>
      </c>
      <c r="AP995">
        <v>51</v>
      </c>
      <c r="AQ995">
        <v>-93</v>
      </c>
      <c r="AR995">
        <v>-128</v>
      </c>
      <c r="AZ995">
        <v>1200</v>
      </c>
      <c r="BA995">
        <v>1</v>
      </c>
      <c r="BB995" t="str">
        <f t="shared" si="296"/>
        <v xml:space="preserve">N733KP  </v>
      </c>
      <c r="BC995">
        <v>1</v>
      </c>
      <c r="BE995">
        <v>0</v>
      </c>
      <c r="BF995">
        <v>0</v>
      </c>
      <c r="BG995">
        <v>0</v>
      </c>
      <c r="BH995">
        <v>3425</v>
      </c>
      <c r="BI995">
        <v>1</v>
      </c>
      <c r="BJ995">
        <v>1</v>
      </c>
      <c r="BK995">
        <v>0</v>
      </c>
      <c r="BL995">
        <v>0</v>
      </c>
      <c r="BO995">
        <v>0</v>
      </c>
      <c r="BP995">
        <v>0</v>
      </c>
      <c r="BW995" t="str">
        <f>"22:13:38.248"</f>
        <v>22:13:38.248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364</v>
      </c>
      <c r="CR995">
        <v>0</v>
      </c>
      <c r="CW995">
        <v>1401668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"03/24/2022 22:13:38.450"</f>
        <v>03/24/2022 22:13:38.450</v>
      </c>
      <c r="C996" t="str">
        <f t="shared" si="295"/>
        <v>FFDFD3C0</v>
      </c>
      <c r="D996" t="s">
        <v>113</v>
      </c>
      <c r="E996">
        <v>24</v>
      </c>
      <c r="F996">
        <v>2024</v>
      </c>
      <c r="G996" t="s">
        <v>114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S996" t="str">
        <f t="shared" si="299"/>
        <v>22:13:38.000</v>
      </c>
      <c r="T996" t="str">
        <f t="shared" si="299"/>
        <v>22:13:38.000</v>
      </c>
      <c r="U996" t="str">
        <f t="shared" si="289"/>
        <v>A9D71F</v>
      </c>
      <c r="V996">
        <v>0</v>
      </c>
      <c r="W996">
        <v>0</v>
      </c>
      <c r="X996">
        <v>2</v>
      </c>
      <c r="Z996">
        <v>1</v>
      </c>
      <c r="AA996">
        <v>7</v>
      </c>
      <c r="AB996">
        <v>3</v>
      </c>
      <c r="AC996">
        <v>0</v>
      </c>
      <c r="AD996">
        <v>9</v>
      </c>
      <c r="AE996">
        <v>0</v>
      </c>
      <c r="AF996">
        <v>3</v>
      </c>
      <c r="AG996">
        <v>1</v>
      </c>
      <c r="AH996">
        <v>0</v>
      </c>
      <c r="AI996" t="s">
        <v>544</v>
      </c>
      <c r="AJ996">
        <v>33.149979000000002</v>
      </c>
      <c r="AK996" t="s">
        <v>545</v>
      </c>
      <c r="AL996">
        <v>-97.720877999999999</v>
      </c>
      <c r="AM996">
        <v>25</v>
      </c>
      <c r="AN996">
        <v>3500</v>
      </c>
      <c r="AO996" t="s">
        <v>118</v>
      </c>
      <c r="AP996">
        <v>51</v>
      </c>
      <c r="AQ996">
        <v>-93</v>
      </c>
      <c r="AR996">
        <v>-128</v>
      </c>
      <c r="AZ996">
        <v>1200</v>
      </c>
      <c r="BA996">
        <v>1</v>
      </c>
      <c r="BB996" t="str">
        <f t="shared" si="296"/>
        <v xml:space="preserve">N733KP  </v>
      </c>
      <c r="BC996">
        <v>1</v>
      </c>
      <c r="BE996">
        <v>0</v>
      </c>
      <c r="BF996">
        <v>0</v>
      </c>
      <c r="BG996">
        <v>0</v>
      </c>
      <c r="BH996">
        <v>3425</v>
      </c>
      <c r="BI996">
        <v>1</v>
      </c>
      <c r="BJ996">
        <v>1</v>
      </c>
      <c r="BK996">
        <v>0</v>
      </c>
      <c r="BL996">
        <v>0</v>
      </c>
      <c r="BO996">
        <v>0</v>
      </c>
      <c r="BP996">
        <v>0</v>
      </c>
      <c r="BW996" t="str">
        <f>"22:13:38.248"</f>
        <v>22:13:38.248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364</v>
      </c>
      <c r="CR996">
        <v>0</v>
      </c>
      <c r="CW996">
        <v>1401668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"03/24/2022 22:13:39.763"</f>
        <v>03/24/2022 22:13:39.763</v>
      </c>
      <c r="C997" t="str">
        <f t="shared" si="295"/>
        <v>FFDFD3C0</v>
      </c>
      <c r="D997" t="s">
        <v>120</v>
      </c>
      <c r="E997">
        <v>14</v>
      </c>
      <c r="F997">
        <v>1014</v>
      </c>
      <c r="G997" t="s">
        <v>121</v>
      </c>
      <c r="J997" t="s">
        <v>122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S997" t="str">
        <f t="shared" ref="S997:T1000" si="300">"22:13:39.000"</f>
        <v>22:13:39.000</v>
      </c>
      <c r="T997" t="str">
        <f t="shared" si="300"/>
        <v>22:13:39.000</v>
      </c>
      <c r="U997" t="str">
        <f t="shared" si="289"/>
        <v>A9D71F</v>
      </c>
      <c r="V997">
        <v>0</v>
      </c>
      <c r="W997">
        <v>0</v>
      </c>
      <c r="X997">
        <v>2</v>
      </c>
      <c r="Z997">
        <v>1</v>
      </c>
      <c r="AA997">
        <v>7</v>
      </c>
      <c r="AB997">
        <v>3</v>
      </c>
      <c r="AC997">
        <v>0</v>
      </c>
      <c r="AD997">
        <v>9</v>
      </c>
      <c r="AE997">
        <v>0</v>
      </c>
      <c r="AF997">
        <v>3</v>
      </c>
      <c r="AG997">
        <v>1</v>
      </c>
      <c r="AH997">
        <v>0</v>
      </c>
      <c r="AI997" t="s">
        <v>546</v>
      </c>
      <c r="AJ997">
        <v>33.149529000000001</v>
      </c>
      <c r="AK997" t="s">
        <v>547</v>
      </c>
      <c r="AL997">
        <v>-97.720599000000007</v>
      </c>
      <c r="AM997">
        <v>25</v>
      </c>
      <c r="AN997">
        <v>3500</v>
      </c>
      <c r="AO997" t="s">
        <v>118</v>
      </c>
      <c r="AP997">
        <v>51</v>
      </c>
      <c r="AQ997">
        <v>-94</v>
      </c>
      <c r="AR997">
        <v>-64</v>
      </c>
      <c r="AZ997">
        <v>1200</v>
      </c>
      <c r="BA997">
        <v>1</v>
      </c>
      <c r="BB997" t="str">
        <f t="shared" si="296"/>
        <v xml:space="preserve">N733KP  </v>
      </c>
      <c r="BC997">
        <v>1</v>
      </c>
      <c r="BE997">
        <v>0</v>
      </c>
      <c r="BF997">
        <v>0</v>
      </c>
      <c r="BG997">
        <v>0</v>
      </c>
      <c r="BH997">
        <v>3425</v>
      </c>
      <c r="BI997">
        <v>1</v>
      </c>
      <c r="BJ997">
        <v>1</v>
      </c>
      <c r="BK997">
        <v>0</v>
      </c>
      <c r="BL997">
        <v>0</v>
      </c>
      <c r="BO997">
        <v>0</v>
      </c>
      <c r="BP997">
        <v>0</v>
      </c>
      <c r="BW997" t="str">
        <f>"22:13:39.609"</f>
        <v>22:13:39.609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6</v>
      </c>
      <c r="CP997" t="s">
        <v>119</v>
      </c>
      <c r="CQ997">
        <v>364</v>
      </c>
      <c r="CR997">
        <v>0</v>
      </c>
      <c r="CW997">
        <v>1401879</v>
      </c>
      <c r="CY997">
        <v>1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"03/24/2022 22:13:39.763"</f>
        <v>03/24/2022 22:13:39.763</v>
      </c>
      <c r="C998" t="str">
        <f t="shared" si="295"/>
        <v>FFDFD3C0</v>
      </c>
      <c r="D998" t="s">
        <v>126</v>
      </c>
      <c r="E998">
        <v>3</v>
      </c>
      <c r="H998">
        <v>160</v>
      </c>
      <c r="I998" t="s">
        <v>121</v>
      </c>
      <c r="J998" t="s">
        <v>127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S998" t="str">
        <f t="shared" si="300"/>
        <v>22:13:39.000</v>
      </c>
      <c r="T998" t="str">
        <f t="shared" si="300"/>
        <v>22:13:39.000</v>
      </c>
      <c r="U998" t="str">
        <f t="shared" si="289"/>
        <v>A9D71F</v>
      </c>
      <c r="V998">
        <v>0</v>
      </c>
      <c r="W998">
        <v>0</v>
      </c>
      <c r="X998">
        <v>2</v>
      </c>
      <c r="Z998">
        <v>1</v>
      </c>
      <c r="AA998">
        <v>7</v>
      </c>
      <c r="AB998">
        <v>3</v>
      </c>
      <c r="AC998">
        <v>0</v>
      </c>
      <c r="AD998">
        <v>9</v>
      </c>
      <c r="AE998">
        <v>0</v>
      </c>
      <c r="AF998">
        <v>3</v>
      </c>
      <c r="AG998">
        <v>1</v>
      </c>
      <c r="AH998">
        <v>0</v>
      </c>
      <c r="AI998" t="s">
        <v>546</v>
      </c>
      <c r="AJ998">
        <v>33.149529000000001</v>
      </c>
      <c r="AK998" t="s">
        <v>547</v>
      </c>
      <c r="AL998">
        <v>-97.720599000000007</v>
      </c>
      <c r="AM998">
        <v>25</v>
      </c>
      <c r="AN998">
        <v>3500</v>
      </c>
      <c r="AO998" t="s">
        <v>118</v>
      </c>
      <c r="AP998">
        <v>51</v>
      </c>
      <c r="AQ998">
        <v>-94</v>
      </c>
      <c r="AR998">
        <v>-64</v>
      </c>
      <c r="AZ998">
        <v>1200</v>
      </c>
      <c r="BA998">
        <v>1</v>
      </c>
      <c r="BB998" t="str">
        <f t="shared" si="296"/>
        <v xml:space="preserve">N733KP  </v>
      </c>
      <c r="BC998">
        <v>1</v>
      </c>
      <c r="BE998">
        <v>0</v>
      </c>
      <c r="BF998">
        <v>0</v>
      </c>
      <c r="BG998">
        <v>0</v>
      </c>
      <c r="BH998">
        <v>3425</v>
      </c>
      <c r="BI998">
        <v>1</v>
      </c>
      <c r="BJ998">
        <v>1</v>
      </c>
      <c r="BK998">
        <v>0</v>
      </c>
      <c r="BL998">
        <v>0</v>
      </c>
      <c r="BO998">
        <v>0</v>
      </c>
      <c r="BP998">
        <v>0</v>
      </c>
      <c r="BW998" t="str">
        <f>"22:13:39.609"</f>
        <v>22:13:39.609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6</v>
      </c>
      <c r="CP998" t="s">
        <v>119</v>
      </c>
      <c r="CQ998">
        <v>364</v>
      </c>
      <c r="CR998">
        <v>0</v>
      </c>
      <c r="CW998">
        <v>1401879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"03/24/2022 22:13:39.794"</f>
        <v>03/24/2022 22:13:39.794</v>
      </c>
      <c r="C999" t="str">
        <f t="shared" si="295"/>
        <v>FFDFD3C0</v>
      </c>
      <c r="D999" t="s">
        <v>123</v>
      </c>
      <c r="E999">
        <v>8</v>
      </c>
      <c r="H999">
        <v>31</v>
      </c>
      <c r="I999" t="s">
        <v>124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S999" t="str">
        <f t="shared" si="300"/>
        <v>22:13:39.000</v>
      </c>
      <c r="T999" t="str">
        <f t="shared" si="300"/>
        <v>22:13:39.000</v>
      </c>
      <c r="U999" t="str">
        <f t="shared" si="289"/>
        <v>A9D71F</v>
      </c>
      <c r="V999">
        <v>0</v>
      </c>
      <c r="W999">
        <v>0</v>
      </c>
      <c r="X999">
        <v>2</v>
      </c>
      <c r="Z999">
        <v>1</v>
      </c>
      <c r="AA999">
        <v>7</v>
      </c>
      <c r="AB999">
        <v>3</v>
      </c>
      <c r="AC999">
        <v>0</v>
      </c>
      <c r="AD999">
        <v>9</v>
      </c>
      <c r="AE999">
        <v>0</v>
      </c>
      <c r="AF999">
        <v>3</v>
      </c>
      <c r="AG999">
        <v>1</v>
      </c>
      <c r="AH999">
        <v>0</v>
      </c>
      <c r="AI999" t="s">
        <v>546</v>
      </c>
      <c r="AJ999">
        <v>33.149529000000001</v>
      </c>
      <c r="AK999" t="s">
        <v>547</v>
      </c>
      <c r="AL999">
        <v>-97.720599000000007</v>
      </c>
      <c r="AM999">
        <v>25</v>
      </c>
      <c r="AN999">
        <v>3500</v>
      </c>
      <c r="AO999" t="s">
        <v>118</v>
      </c>
      <c r="AP999">
        <v>51</v>
      </c>
      <c r="AQ999">
        <v>-94</v>
      </c>
      <c r="AR999">
        <v>-64</v>
      </c>
      <c r="AZ999">
        <v>1200</v>
      </c>
      <c r="BA999">
        <v>1</v>
      </c>
      <c r="BB999" t="str">
        <f t="shared" si="296"/>
        <v xml:space="preserve">N733KP  </v>
      </c>
      <c r="BC999">
        <v>1</v>
      </c>
      <c r="BE999">
        <v>0</v>
      </c>
      <c r="BF999">
        <v>0</v>
      </c>
      <c r="BG999">
        <v>0</v>
      </c>
      <c r="BH999">
        <v>3425</v>
      </c>
      <c r="BI999">
        <v>1</v>
      </c>
      <c r="BJ999">
        <v>1</v>
      </c>
      <c r="BK999">
        <v>0</v>
      </c>
      <c r="BL999">
        <v>0</v>
      </c>
      <c r="BO999">
        <v>0</v>
      </c>
      <c r="BP999">
        <v>0</v>
      </c>
      <c r="BW999" t="str">
        <f>"22:13:39.609"</f>
        <v>22:13:39.609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6</v>
      </c>
      <c r="CP999" t="s">
        <v>119</v>
      </c>
      <c r="CQ999">
        <v>364</v>
      </c>
      <c r="CR999">
        <v>0</v>
      </c>
      <c r="CW999">
        <v>1401879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"03/24/2022 22:13:39.810"</f>
        <v>03/24/2022 22:13:39.810</v>
      </c>
      <c r="C1000" t="str">
        <f t="shared" si="295"/>
        <v>FFDFD3C0</v>
      </c>
      <c r="D1000" t="s">
        <v>113</v>
      </c>
      <c r="E1000">
        <v>24</v>
      </c>
      <c r="F1000">
        <v>2024</v>
      </c>
      <c r="G1000" t="s">
        <v>114</v>
      </c>
      <c r="J1000" t="s">
        <v>115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S1000" t="str">
        <f t="shared" si="300"/>
        <v>22:13:39.000</v>
      </c>
      <c r="T1000" t="str">
        <f t="shared" si="300"/>
        <v>22:13:39.000</v>
      </c>
      <c r="U1000" t="str">
        <f t="shared" si="289"/>
        <v>A9D71F</v>
      </c>
      <c r="V1000">
        <v>0</v>
      </c>
      <c r="W1000">
        <v>0</v>
      </c>
      <c r="X1000">
        <v>2</v>
      </c>
      <c r="Z1000">
        <v>1</v>
      </c>
      <c r="AA1000">
        <v>7</v>
      </c>
      <c r="AB1000">
        <v>3</v>
      </c>
      <c r="AC1000">
        <v>0</v>
      </c>
      <c r="AD1000">
        <v>9</v>
      </c>
      <c r="AE1000">
        <v>0</v>
      </c>
      <c r="AF1000">
        <v>3</v>
      </c>
      <c r="AG1000">
        <v>1</v>
      </c>
      <c r="AH1000">
        <v>0</v>
      </c>
      <c r="AI1000" t="s">
        <v>546</v>
      </c>
      <c r="AJ1000">
        <v>33.149529000000001</v>
      </c>
      <c r="AK1000" t="s">
        <v>547</v>
      </c>
      <c r="AL1000">
        <v>-97.720599000000007</v>
      </c>
      <c r="AM1000">
        <v>25</v>
      </c>
      <c r="AN1000">
        <v>3500</v>
      </c>
      <c r="AO1000" t="s">
        <v>118</v>
      </c>
      <c r="AP1000">
        <v>51</v>
      </c>
      <c r="AQ1000">
        <v>-94</v>
      </c>
      <c r="AR1000">
        <v>-64</v>
      </c>
      <c r="AZ1000">
        <v>1200</v>
      </c>
      <c r="BA1000">
        <v>1</v>
      </c>
      <c r="BB1000" t="str">
        <f t="shared" si="296"/>
        <v xml:space="preserve">N733KP  </v>
      </c>
      <c r="BC1000">
        <v>1</v>
      </c>
      <c r="BE1000">
        <v>0</v>
      </c>
      <c r="BF1000">
        <v>0</v>
      </c>
      <c r="BG1000">
        <v>0</v>
      </c>
      <c r="BH1000">
        <v>3425</v>
      </c>
      <c r="BI1000">
        <v>1</v>
      </c>
      <c r="BJ1000">
        <v>1</v>
      </c>
      <c r="BK1000">
        <v>0</v>
      </c>
      <c r="BL1000">
        <v>0</v>
      </c>
      <c r="BO1000">
        <v>0</v>
      </c>
      <c r="BP1000">
        <v>0</v>
      </c>
      <c r="BW1000" t="str">
        <f>"22:13:39.609"</f>
        <v>22:13:39.609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6</v>
      </c>
      <c r="CP1000" t="s">
        <v>119</v>
      </c>
      <c r="CQ1000">
        <v>364</v>
      </c>
      <c r="CR1000">
        <v>0</v>
      </c>
      <c r="CW1000">
        <v>1401879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"03/24/2022 22:13:40.732"</f>
        <v>03/24/2022 22:13:40.732</v>
      </c>
      <c r="C1001" t="str">
        <f t="shared" si="295"/>
        <v>FFDFD3C0</v>
      </c>
      <c r="D1001" t="s">
        <v>126</v>
      </c>
      <c r="E1001">
        <v>3</v>
      </c>
      <c r="H1001">
        <v>160</v>
      </c>
      <c r="I1001" t="s">
        <v>121</v>
      </c>
      <c r="J1001" t="s">
        <v>127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S1001" t="str">
        <f t="shared" ref="S1001:T1004" si="301">"22:13:40.000"</f>
        <v>22:13:40.000</v>
      </c>
      <c r="T1001" t="str">
        <f t="shared" si="301"/>
        <v>22:13:40.000</v>
      </c>
      <c r="U1001" t="str">
        <f t="shared" si="289"/>
        <v>A9D71F</v>
      </c>
      <c r="V1001">
        <v>0</v>
      </c>
      <c r="W1001">
        <v>0</v>
      </c>
      <c r="X1001">
        <v>2</v>
      </c>
      <c r="Z1001">
        <v>1</v>
      </c>
      <c r="AA1001">
        <v>7</v>
      </c>
      <c r="AB1001">
        <v>3</v>
      </c>
      <c r="AC1001">
        <v>0</v>
      </c>
      <c r="AD1001">
        <v>9</v>
      </c>
      <c r="AE1001">
        <v>0</v>
      </c>
      <c r="AF1001">
        <v>3</v>
      </c>
      <c r="AG1001">
        <v>1</v>
      </c>
      <c r="AH1001">
        <v>0</v>
      </c>
      <c r="AI1001" t="s">
        <v>548</v>
      </c>
      <c r="AJ1001">
        <v>33.149121000000001</v>
      </c>
      <c r="AK1001" t="s">
        <v>549</v>
      </c>
      <c r="AL1001">
        <v>-97.720342000000002</v>
      </c>
      <c r="AM1001">
        <v>25</v>
      </c>
      <c r="AN1001">
        <v>3500</v>
      </c>
      <c r="AO1001" t="s">
        <v>118</v>
      </c>
      <c r="AP1001">
        <v>50</v>
      </c>
      <c r="AQ1001">
        <v>-94</v>
      </c>
      <c r="AR1001">
        <v>-64</v>
      </c>
      <c r="AZ1001">
        <v>1200</v>
      </c>
      <c r="BA1001">
        <v>1</v>
      </c>
      <c r="BB1001" t="str">
        <f t="shared" si="296"/>
        <v xml:space="preserve">N733KP  </v>
      </c>
      <c r="BC1001">
        <v>1</v>
      </c>
      <c r="BE1001">
        <v>0</v>
      </c>
      <c r="BF1001">
        <v>0</v>
      </c>
      <c r="BG1001">
        <v>0</v>
      </c>
      <c r="BH1001">
        <v>3425</v>
      </c>
      <c r="BI1001">
        <v>1</v>
      </c>
      <c r="BJ1001">
        <v>1</v>
      </c>
      <c r="BK1001">
        <v>0</v>
      </c>
      <c r="BL1001">
        <v>0</v>
      </c>
      <c r="BO1001">
        <v>0</v>
      </c>
      <c r="BP1001">
        <v>0</v>
      </c>
      <c r="BW1001" t="str">
        <f>"22:13:40.576"</f>
        <v>22:13:40.576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6</v>
      </c>
      <c r="CP1001" t="s">
        <v>119</v>
      </c>
      <c r="CQ1001">
        <v>364</v>
      </c>
      <c r="CR1001">
        <v>0</v>
      </c>
      <c r="CW1001">
        <v>1402026</v>
      </c>
      <c r="CY1001">
        <v>1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"03/24/2022 22:13:40.732"</f>
        <v>03/24/2022 22:13:40.732</v>
      </c>
      <c r="C1002" t="str">
        <f t="shared" si="295"/>
        <v>FFDFD3C0</v>
      </c>
      <c r="D1002" t="s">
        <v>123</v>
      </c>
      <c r="E1002">
        <v>8</v>
      </c>
      <c r="H1002">
        <v>31</v>
      </c>
      <c r="I1002" t="s">
        <v>124</v>
      </c>
      <c r="J1002" t="s">
        <v>125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S1002" t="str">
        <f t="shared" si="301"/>
        <v>22:13:40.000</v>
      </c>
      <c r="T1002" t="str">
        <f t="shared" si="301"/>
        <v>22:13:40.000</v>
      </c>
      <c r="U1002" t="str">
        <f t="shared" si="289"/>
        <v>A9D71F</v>
      </c>
      <c r="V1002">
        <v>0</v>
      </c>
      <c r="W1002">
        <v>0</v>
      </c>
      <c r="X1002">
        <v>2</v>
      </c>
      <c r="Z1002">
        <v>1</v>
      </c>
      <c r="AA1002">
        <v>7</v>
      </c>
      <c r="AB1002">
        <v>3</v>
      </c>
      <c r="AC1002">
        <v>0</v>
      </c>
      <c r="AD1002">
        <v>9</v>
      </c>
      <c r="AE1002">
        <v>0</v>
      </c>
      <c r="AF1002">
        <v>3</v>
      </c>
      <c r="AG1002">
        <v>1</v>
      </c>
      <c r="AH1002">
        <v>0</v>
      </c>
      <c r="AI1002" t="s">
        <v>548</v>
      </c>
      <c r="AJ1002">
        <v>33.149121000000001</v>
      </c>
      <c r="AK1002" t="s">
        <v>549</v>
      </c>
      <c r="AL1002">
        <v>-97.720342000000002</v>
      </c>
      <c r="AM1002">
        <v>25</v>
      </c>
      <c r="AN1002">
        <v>3500</v>
      </c>
      <c r="AO1002" t="s">
        <v>118</v>
      </c>
      <c r="AP1002">
        <v>50</v>
      </c>
      <c r="AQ1002">
        <v>-94</v>
      </c>
      <c r="AR1002">
        <v>-64</v>
      </c>
      <c r="AZ1002">
        <v>1200</v>
      </c>
      <c r="BA1002">
        <v>1</v>
      </c>
      <c r="BB1002" t="str">
        <f t="shared" si="296"/>
        <v xml:space="preserve">N733KP  </v>
      </c>
      <c r="BC1002">
        <v>1</v>
      </c>
      <c r="BE1002">
        <v>0</v>
      </c>
      <c r="BF1002">
        <v>0</v>
      </c>
      <c r="BG1002">
        <v>0</v>
      </c>
      <c r="BH1002">
        <v>3425</v>
      </c>
      <c r="BI1002">
        <v>1</v>
      </c>
      <c r="BJ1002">
        <v>1</v>
      </c>
      <c r="BK1002">
        <v>0</v>
      </c>
      <c r="BL1002">
        <v>0</v>
      </c>
      <c r="BO1002">
        <v>0</v>
      </c>
      <c r="BP1002">
        <v>0</v>
      </c>
      <c r="BW1002" t="str">
        <f>"22:13:40.576"</f>
        <v>22:13:40.576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6</v>
      </c>
      <c r="CP1002" t="s">
        <v>119</v>
      </c>
      <c r="CQ1002">
        <v>364</v>
      </c>
      <c r="CR1002">
        <v>0</v>
      </c>
      <c r="CW1002">
        <v>1402026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"03/24/2022 22:13:40.763"</f>
        <v>03/24/2022 22:13:40.763</v>
      </c>
      <c r="C1003" t="str">
        <f t="shared" si="295"/>
        <v>FFDFD3C0</v>
      </c>
      <c r="D1003" t="s">
        <v>113</v>
      </c>
      <c r="E1003">
        <v>24</v>
      </c>
      <c r="F1003">
        <v>2024</v>
      </c>
      <c r="G1003" t="s">
        <v>114</v>
      </c>
      <c r="J1003" t="s">
        <v>115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S1003" t="str">
        <f t="shared" si="301"/>
        <v>22:13:40.000</v>
      </c>
      <c r="T1003" t="str">
        <f t="shared" si="301"/>
        <v>22:13:40.000</v>
      </c>
      <c r="U1003" t="str">
        <f t="shared" si="289"/>
        <v>A9D71F</v>
      </c>
      <c r="V1003">
        <v>0</v>
      </c>
      <c r="W1003">
        <v>0</v>
      </c>
      <c r="X1003">
        <v>2</v>
      </c>
      <c r="Z1003">
        <v>1</v>
      </c>
      <c r="AA1003">
        <v>7</v>
      </c>
      <c r="AB1003">
        <v>3</v>
      </c>
      <c r="AC1003">
        <v>0</v>
      </c>
      <c r="AD1003">
        <v>9</v>
      </c>
      <c r="AE1003">
        <v>0</v>
      </c>
      <c r="AF1003">
        <v>3</v>
      </c>
      <c r="AG1003">
        <v>1</v>
      </c>
      <c r="AH1003">
        <v>0</v>
      </c>
      <c r="AI1003" t="s">
        <v>548</v>
      </c>
      <c r="AJ1003">
        <v>33.149121000000001</v>
      </c>
      <c r="AK1003" t="s">
        <v>549</v>
      </c>
      <c r="AL1003">
        <v>-97.720342000000002</v>
      </c>
      <c r="AM1003">
        <v>25</v>
      </c>
      <c r="AN1003">
        <v>3500</v>
      </c>
      <c r="AO1003" t="s">
        <v>118</v>
      </c>
      <c r="AP1003">
        <v>50</v>
      </c>
      <c r="AQ1003">
        <v>-94</v>
      </c>
      <c r="AR1003">
        <v>-64</v>
      </c>
      <c r="AZ1003">
        <v>1200</v>
      </c>
      <c r="BA1003">
        <v>1</v>
      </c>
      <c r="BB1003" t="str">
        <f t="shared" si="296"/>
        <v xml:space="preserve">N733KP  </v>
      </c>
      <c r="BC1003">
        <v>1</v>
      </c>
      <c r="BE1003">
        <v>0</v>
      </c>
      <c r="BF1003">
        <v>0</v>
      </c>
      <c r="BG1003">
        <v>0</v>
      </c>
      <c r="BH1003">
        <v>3425</v>
      </c>
      <c r="BI1003">
        <v>1</v>
      </c>
      <c r="BJ1003">
        <v>1</v>
      </c>
      <c r="BK1003">
        <v>0</v>
      </c>
      <c r="BL1003">
        <v>0</v>
      </c>
      <c r="BO1003">
        <v>0</v>
      </c>
      <c r="BP1003">
        <v>0</v>
      </c>
      <c r="BW1003" t="str">
        <f>"22:13:40.576"</f>
        <v>22:13:40.576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6</v>
      </c>
      <c r="CP1003" t="s">
        <v>119</v>
      </c>
      <c r="CQ1003">
        <v>364</v>
      </c>
      <c r="CR1003">
        <v>0</v>
      </c>
      <c r="CW1003">
        <v>1402026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"03/24/2022 22:13:40.763"</f>
        <v>03/24/2022 22:13:40.763</v>
      </c>
      <c r="C1004" t="str">
        <f t="shared" si="295"/>
        <v>FFDFD3C0</v>
      </c>
      <c r="D1004" t="s">
        <v>120</v>
      </c>
      <c r="E1004">
        <v>14</v>
      </c>
      <c r="F1004">
        <v>1014</v>
      </c>
      <c r="G1004" t="s">
        <v>121</v>
      </c>
      <c r="J1004" t="s">
        <v>122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S1004" t="str">
        <f t="shared" si="301"/>
        <v>22:13:40.000</v>
      </c>
      <c r="T1004" t="str">
        <f t="shared" si="301"/>
        <v>22:13:40.000</v>
      </c>
      <c r="U1004" t="str">
        <f t="shared" si="289"/>
        <v>A9D71F</v>
      </c>
      <c r="V1004">
        <v>0</v>
      </c>
      <c r="W1004">
        <v>0</v>
      </c>
      <c r="X1004">
        <v>2</v>
      </c>
      <c r="Z1004">
        <v>1</v>
      </c>
      <c r="AA1004">
        <v>7</v>
      </c>
      <c r="AB1004">
        <v>3</v>
      </c>
      <c r="AC1004">
        <v>0</v>
      </c>
      <c r="AD1004">
        <v>9</v>
      </c>
      <c r="AE1004">
        <v>0</v>
      </c>
      <c r="AF1004">
        <v>3</v>
      </c>
      <c r="AG1004">
        <v>1</v>
      </c>
      <c r="AH1004">
        <v>0</v>
      </c>
      <c r="AI1004" t="s">
        <v>548</v>
      </c>
      <c r="AJ1004">
        <v>33.149121000000001</v>
      </c>
      <c r="AK1004" t="s">
        <v>549</v>
      </c>
      <c r="AL1004">
        <v>-97.720342000000002</v>
      </c>
      <c r="AM1004">
        <v>25</v>
      </c>
      <c r="AN1004">
        <v>3500</v>
      </c>
      <c r="AO1004" t="s">
        <v>118</v>
      </c>
      <c r="AP1004">
        <v>50</v>
      </c>
      <c r="AQ1004">
        <v>-94</v>
      </c>
      <c r="AR1004">
        <v>-64</v>
      </c>
      <c r="AZ1004">
        <v>1200</v>
      </c>
      <c r="BA1004">
        <v>1</v>
      </c>
      <c r="BB1004" t="str">
        <f t="shared" si="296"/>
        <v xml:space="preserve">N733KP  </v>
      </c>
      <c r="BC1004">
        <v>1</v>
      </c>
      <c r="BE1004">
        <v>0</v>
      </c>
      <c r="BF1004">
        <v>0</v>
      </c>
      <c r="BG1004">
        <v>0</v>
      </c>
      <c r="BH1004">
        <v>3425</v>
      </c>
      <c r="BI1004">
        <v>1</v>
      </c>
      <c r="BJ1004">
        <v>1</v>
      </c>
      <c r="BK1004">
        <v>0</v>
      </c>
      <c r="BL1004">
        <v>0</v>
      </c>
      <c r="BO1004">
        <v>0</v>
      </c>
      <c r="BP1004">
        <v>0</v>
      </c>
      <c r="BW1004" t="str">
        <f>"22:13:40.576"</f>
        <v>22:13:40.576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6</v>
      </c>
      <c r="CP1004" t="s">
        <v>119</v>
      </c>
      <c r="CQ1004">
        <v>364</v>
      </c>
      <c r="CR1004">
        <v>0</v>
      </c>
      <c r="CW1004">
        <v>1402026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"03/24/2022 22:13:41.685"</f>
        <v>03/24/2022 22:13:41.685</v>
      </c>
      <c r="C1005" t="str">
        <f t="shared" si="295"/>
        <v>FFDFD3C0</v>
      </c>
      <c r="D1005" t="s">
        <v>126</v>
      </c>
      <c r="E1005">
        <v>3</v>
      </c>
      <c r="H1005">
        <v>160</v>
      </c>
      <c r="I1005" t="s">
        <v>121</v>
      </c>
      <c r="J1005" t="s">
        <v>127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S1005" t="str">
        <f t="shared" ref="S1005:T1008" si="302">"22:13:41.000"</f>
        <v>22:13:41.000</v>
      </c>
      <c r="T1005" t="str">
        <f t="shared" si="302"/>
        <v>22:13:41.000</v>
      </c>
      <c r="U1005" t="str">
        <f t="shared" si="289"/>
        <v>A9D71F</v>
      </c>
      <c r="V1005">
        <v>0</v>
      </c>
      <c r="W1005">
        <v>0</v>
      </c>
      <c r="X1005">
        <v>2</v>
      </c>
      <c r="Z1005">
        <v>1</v>
      </c>
      <c r="AA1005">
        <v>7</v>
      </c>
      <c r="AB1005">
        <v>3</v>
      </c>
      <c r="AC1005">
        <v>0</v>
      </c>
      <c r="AD1005">
        <v>9</v>
      </c>
      <c r="AE1005">
        <v>0</v>
      </c>
      <c r="AF1005">
        <v>3</v>
      </c>
      <c r="AG1005">
        <v>1</v>
      </c>
      <c r="AH1005">
        <v>0</v>
      </c>
      <c r="AI1005" t="s">
        <v>550</v>
      </c>
      <c r="AJ1005">
        <v>33.148691999999997</v>
      </c>
      <c r="AK1005" t="s">
        <v>551</v>
      </c>
      <c r="AL1005">
        <v>-97.720084</v>
      </c>
      <c r="AM1005">
        <v>25</v>
      </c>
      <c r="AN1005">
        <v>3500</v>
      </c>
      <c r="AO1005" t="s">
        <v>118</v>
      </c>
      <c r="AP1005">
        <v>51</v>
      </c>
      <c r="AQ1005">
        <v>-95</v>
      </c>
      <c r="AR1005">
        <v>0</v>
      </c>
      <c r="AZ1005">
        <v>1200</v>
      </c>
      <c r="BA1005">
        <v>1</v>
      </c>
      <c r="BB1005" t="str">
        <f t="shared" si="296"/>
        <v xml:space="preserve">N733KP  </v>
      </c>
      <c r="BC1005">
        <v>1</v>
      </c>
      <c r="BE1005">
        <v>0</v>
      </c>
      <c r="BF1005">
        <v>0</v>
      </c>
      <c r="BG1005">
        <v>0</v>
      </c>
      <c r="BH1005">
        <v>3425</v>
      </c>
      <c r="BI1005">
        <v>1</v>
      </c>
      <c r="BJ1005">
        <v>1</v>
      </c>
      <c r="BK1005">
        <v>0</v>
      </c>
      <c r="BL1005">
        <v>0</v>
      </c>
      <c r="BO1005">
        <v>0</v>
      </c>
      <c r="BP1005">
        <v>0</v>
      </c>
      <c r="BW1005" t="str">
        <f>"22:13:41.542"</f>
        <v>22:13:41.542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6</v>
      </c>
      <c r="CP1005" t="s">
        <v>119</v>
      </c>
      <c r="CQ1005">
        <v>364</v>
      </c>
      <c r="CR1005">
        <v>0</v>
      </c>
      <c r="CW1005">
        <v>1402177</v>
      </c>
      <c r="CY1005">
        <v>1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"03/24/2022 22:13:41.700"</f>
        <v>03/24/2022 22:13:41.700</v>
      </c>
      <c r="C1006" t="str">
        <f t="shared" si="295"/>
        <v>FFDFD3C0</v>
      </c>
      <c r="D1006" t="s">
        <v>123</v>
      </c>
      <c r="E1006">
        <v>8</v>
      </c>
      <c r="H1006">
        <v>31</v>
      </c>
      <c r="I1006" t="s">
        <v>124</v>
      </c>
      <c r="J1006" t="s">
        <v>125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S1006" t="str">
        <f t="shared" si="302"/>
        <v>22:13:41.000</v>
      </c>
      <c r="T1006" t="str">
        <f t="shared" si="302"/>
        <v>22:13:41.000</v>
      </c>
      <c r="U1006" t="str">
        <f t="shared" si="289"/>
        <v>A9D71F</v>
      </c>
      <c r="V1006">
        <v>0</v>
      </c>
      <c r="W1006">
        <v>0</v>
      </c>
      <c r="X1006">
        <v>2</v>
      </c>
      <c r="Z1006">
        <v>1</v>
      </c>
      <c r="AA1006">
        <v>7</v>
      </c>
      <c r="AB1006">
        <v>3</v>
      </c>
      <c r="AC1006">
        <v>0</v>
      </c>
      <c r="AD1006">
        <v>9</v>
      </c>
      <c r="AE1006">
        <v>0</v>
      </c>
      <c r="AF1006">
        <v>3</v>
      </c>
      <c r="AG1006">
        <v>1</v>
      </c>
      <c r="AH1006">
        <v>0</v>
      </c>
      <c r="AI1006" t="s">
        <v>550</v>
      </c>
      <c r="AJ1006">
        <v>33.148691999999997</v>
      </c>
      <c r="AK1006" t="s">
        <v>551</v>
      </c>
      <c r="AL1006">
        <v>-97.720084</v>
      </c>
      <c r="AM1006">
        <v>25</v>
      </c>
      <c r="AN1006">
        <v>3500</v>
      </c>
      <c r="AO1006" t="s">
        <v>118</v>
      </c>
      <c r="AP1006">
        <v>51</v>
      </c>
      <c r="AQ1006">
        <v>-95</v>
      </c>
      <c r="AR1006">
        <v>0</v>
      </c>
      <c r="AZ1006">
        <v>1200</v>
      </c>
      <c r="BA1006">
        <v>1</v>
      </c>
      <c r="BB1006" t="str">
        <f t="shared" si="296"/>
        <v xml:space="preserve">N733KP  </v>
      </c>
      <c r="BC1006">
        <v>1</v>
      </c>
      <c r="BE1006">
        <v>0</v>
      </c>
      <c r="BF1006">
        <v>0</v>
      </c>
      <c r="BG1006">
        <v>0</v>
      </c>
      <c r="BH1006">
        <v>3425</v>
      </c>
      <c r="BI1006">
        <v>1</v>
      </c>
      <c r="BJ1006">
        <v>1</v>
      </c>
      <c r="BK1006">
        <v>0</v>
      </c>
      <c r="BL1006">
        <v>0</v>
      </c>
      <c r="BO1006">
        <v>0</v>
      </c>
      <c r="BP1006">
        <v>0</v>
      </c>
      <c r="BW1006" t="str">
        <f>"22:13:41.542"</f>
        <v>22:13:41.542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6</v>
      </c>
      <c r="CP1006" t="s">
        <v>119</v>
      </c>
      <c r="CQ1006">
        <v>364</v>
      </c>
      <c r="CR1006">
        <v>0</v>
      </c>
      <c r="CW1006">
        <v>1402177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"03/24/2022 22:13:41.747"</f>
        <v>03/24/2022 22:13:41.747</v>
      </c>
      <c r="C1007" t="str">
        <f t="shared" si="295"/>
        <v>FFDFD3C0</v>
      </c>
      <c r="D1007" t="s">
        <v>113</v>
      </c>
      <c r="E1007">
        <v>24</v>
      </c>
      <c r="F1007">
        <v>2024</v>
      </c>
      <c r="G1007" t="s">
        <v>114</v>
      </c>
      <c r="J1007" t="s">
        <v>115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S1007" t="str">
        <f t="shared" si="302"/>
        <v>22:13:41.000</v>
      </c>
      <c r="T1007" t="str">
        <f t="shared" si="302"/>
        <v>22:13:41.000</v>
      </c>
      <c r="U1007" t="str">
        <f t="shared" si="289"/>
        <v>A9D71F</v>
      </c>
      <c r="V1007">
        <v>0</v>
      </c>
      <c r="W1007">
        <v>0</v>
      </c>
      <c r="X1007">
        <v>2</v>
      </c>
      <c r="Z1007">
        <v>1</v>
      </c>
      <c r="AA1007">
        <v>7</v>
      </c>
      <c r="AB1007">
        <v>3</v>
      </c>
      <c r="AC1007">
        <v>0</v>
      </c>
      <c r="AD1007">
        <v>9</v>
      </c>
      <c r="AE1007">
        <v>0</v>
      </c>
      <c r="AF1007">
        <v>3</v>
      </c>
      <c r="AG1007">
        <v>1</v>
      </c>
      <c r="AH1007">
        <v>0</v>
      </c>
      <c r="AI1007" t="s">
        <v>550</v>
      </c>
      <c r="AJ1007">
        <v>33.148691999999997</v>
      </c>
      <c r="AK1007" t="s">
        <v>551</v>
      </c>
      <c r="AL1007">
        <v>-97.720084</v>
      </c>
      <c r="AM1007">
        <v>25</v>
      </c>
      <c r="AN1007">
        <v>3500</v>
      </c>
      <c r="AO1007" t="s">
        <v>118</v>
      </c>
      <c r="AP1007">
        <v>51</v>
      </c>
      <c r="AQ1007">
        <v>-95</v>
      </c>
      <c r="AR1007">
        <v>0</v>
      </c>
      <c r="AZ1007">
        <v>1200</v>
      </c>
      <c r="BA1007">
        <v>1</v>
      </c>
      <c r="BB1007" t="str">
        <f t="shared" si="296"/>
        <v xml:space="preserve">N733KP  </v>
      </c>
      <c r="BC1007">
        <v>1</v>
      </c>
      <c r="BE1007">
        <v>0</v>
      </c>
      <c r="BF1007">
        <v>0</v>
      </c>
      <c r="BG1007">
        <v>0</v>
      </c>
      <c r="BH1007">
        <v>3425</v>
      </c>
      <c r="BI1007">
        <v>1</v>
      </c>
      <c r="BJ1007">
        <v>1</v>
      </c>
      <c r="BK1007">
        <v>0</v>
      </c>
      <c r="BL1007">
        <v>0</v>
      </c>
      <c r="BO1007">
        <v>0</v>
      </c>
      <c r="BP1007">
        <v>0</v>
      </c>
      <c r="BW1007" t="str">
        <f>"22:13:41.542"</f>
        <v>22:13:41.542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6</v>
      </c>
      <c r="CP1007" t="s">
        <v>119</v>
      </c>
      <c r="CQ1007">
        <v>364</v>
      </c>
      <c r="CR1007">
        <v>0</v>
      </c>
      <c r="CW1007">
        <v>1402177</v>
      </c>
      <c r="CY1007">
        <v>1</v>
      </c>
      <c r="CZ1007">
        <v>0</v>
      </c>
      <c r="DA1007">
        <v>1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"03/24/2022 22:13:41.747"</f>
        <v>03/24/2022 22:13:41.747</v>
      </c>
      <c r="C1008" t="str">
        <f t="shared" si="295"/>
        <v>FFDFD3C0</v>
      </c>
      <c r="D1008" t="s">
        <v>120</v>
      </c>
      <c r="E1008">
        <v>14</v>
      </c>
      <c r="F1008">
        <v>1014</v>
      </c>
      <c r="G1008" t="s">
        <v>121</v>
      </c>
      <c r="J1008" t="s">
        <v>122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S1008" t="str">
        <f t="shared" si="302"/>
        <v>22:13:41.000</v>
      </c>
      <c r="T1008" t="str">
        <f t="shared" si="302"/>
        <v>22:13:41.000</v>
      </c>
      <c r="U1008" t="str">
        <f t="shared" si="289"/>
        <v>A9D71F</v>
      </c>
      <c r="V1008">
        <v>0</v>
      </c>
      <c r="W1008">
        <v>0</v>
      </c>
      <c r="X1008">
        <v>2</v>
      </c>
      <c r="Z1008">
        <v>1</v>
      </c>
      <c r="AA1008">
        <v>7</v>
      </c>
      <c r="AB1008">
        <v>3</v>
      </c>
      <c r="AC1008">
        <v>0</v>
      </c>
      <c r="AD1008">
        <v>9</v>
      </c>
      <c r="AE1008">
        <v>0</v>
      </c>
      <c r="AF1008">
        <v>3</v>
      </c>
      <c r="AG1008">
        <v>1</v>
      </c>
      <c r="AH1008">
        <v>0</v>
      </c>
      <c r="AI1008" t="s">
        <v>550</v>
      </c>
      <c r="AJ1008">
        <v>33.148691999999997</v>
      </c>
      <c r="AK1008" t="s">
        <v>551</v>
      </c>
      <c r="AL1008">
        <v>-97.720084</v>
      </c>
      <c r="AM1008">
        <v>25</v>
      </c>
      <c r="AN1008">
        <v>3500</v>
      </c>
      <c r="AO1008" t="s">
        <v>118</v>
      </c>
      <c r="AP1008">
        <v>51</v>
      </c>
      <c r="AQ1008">
        <v>-95</v>
      </c>
      <c r="AR1008">
        <v>0</v>
      </c>
      <c r="AZ1008">
        <v>1200</v>
      </c>
      <c r="BA1008">
        <v>1</v>
      </c>
      <c r="BB1008" t="str">
        <f t="shared" si="296"/>
        <v xml:space="preserve">N733KP  </v>
      </c>
      <c r="BC1008">
        <v>1</v>
      </c>
      <c r="BE1008">
        <v>0</v>
      </c>
      <c r="BF1008">
        <v>0</v>
      </c>
      <c r="BG1008">
        <v>0</v>
      </c>
      <c r="BH1008">
        <v>3425</v>
      </c>
      <c r="BI1008">
        <v>1</v>
      </c>
      <c r="BJ1008">
        <v>1</v>
      </c>
      <c r="BK1008">
        <v>0</v>
      </c>
      <c r="BL1008">
        <v>0</v>
      </c>
      <c r="BO1008">
        <v>0</v>
      </c>
      <c r="BP1008">
        <v>0</v>
      </c>
      <c r="BW1008" t="str">
        <f>"22:13:41.542"</f>
        <v>22:13:41.542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6</v>
      </c>
      <c r="CP1008" t="s">
        <v>119</v>
      </c>
      <c r="CQ1008">
        <v>364</v>
      </c>
      <c r="CR1008">
        <v>0</v>
      </c>
      <c r="CW1008">
        <v>1402177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"03/24/2022 22:13:43.108"</f>
        <v>03/24/2022 22:13:43.108</v>
      </c>
      <c r="C1009" t="str">
        <f t="shared" si="295"/>
        <v>FFDFD3C0</v>
      </c>
      <c r="D1009" t="s">
        <v>126</v>
      </c>
      <c r="E1009">
        <v>3</v>
      </c>
      <c r="H1009">
        <v>160</v>
      </c>
      <c r="I1009" t="s">
        <v>121</v>
      </c>
      <c r="J1009" t="s">
        <v>127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S1009" t="str">
        <f t="shared" ref="S1009:T1012" si="303">"22:13:42.000"</f>
        <v>22:13:42.000</v>
      </c>
      <c r="T1009" t="str">
        <f t="shared" si="303"/>
        <v>22:13:42.000</v>
      </c>
      <c r="U1009" t="str">
        <f t="shared" si="289"/>
        <v>A9D71F</v>
      </c>
      <c r="V1009">
        <v>0</v>
      </c>
      <c r="W1009">
        <v>0</v>
      </c>
      <c r="X1009">
        <v>2</v>
      </c>
      <c r="Z1009">
        <v>1</v>
      </c>
      <c r="AA1009">
        <v>7</v>
      </c>
      <c r="AB1009">
        <v>3</v>
      </c>
      <c r="AC1009">
        <v>0</v>
      </c>
      <c r="AD1009">
        <v>9</v>
      </c>
      <c r="AE1009">
        <v>0</v>
      </c>
      <c r="AF1009">
        <v>3</v>
      </c>
      <c r="AG1009">
        <v>1</v>
      </c>
      <c r="AH1009">
        <v>0</v>
      </c>
      <c r="AI1009" t="s">
        <v>552</v>
      </c>
      <c r="AJ1009">
        <v>33.148220000000002</v>
      </c>
      <c r="AK1009" t="s">
        <v>553</v>
      </c>
      <c r="AL1009">
        <v>-97.719762000000003</v>
      </c>
      <c r="AM1009">
        <v>25</v>
      </c>
      <c r="AN1009">
        <v>3500</v>
      </c>
      <c r="AO1009" t="s">
        <v>118</v>
      </c>
      <c r="AP1009">
        <v>52</v>
      </c>
      <c r="AQ1009">
        <v>-95</v>
      </c>
      <c r="AR1009">
        <v>-64</v>
      </c>
      <c r="AZ1009">
        <v>1200</v>
      </c>
      <c r="BA1009">
        <v>1</v>
      </c>
      <c r="BB1009" t="str">
        <f t="shared" si="296"/>
        <v xml:space="preserve">N733KP  </v>
      </c>
      <c r="BC1009">
        <v>1</v>
      </c>
      <c r="BE1009">
        <v>0</v>
      </c>
      <c r="BF1009">
        <v>0</v>
      </c>
      <c r="BG1009">
        <v>0</v>
      </c>
      <c r="BH1009">
        <v>3425</v>
      </c>
      <c r="BI1009">
        <v>1</v>
      </c>
      <c r="BJ1009">
        <v>1</v>
      </c>
      <c r="BK1009">
        <v>0</v>
      </c>
      <c r="BL1009">
        <v>0</v>
      </c>
      <c r="BO1009">
        <v>0</v>
      </c>
      <c r="BP1009">
        <v>0</v>
      </c>
      <c r="BW1009" t="str">
        <f>"22:13:42.899"</f>
        <v>22:13:42.899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6</v>
      </c>
      <c r="CP1009" t="s">
        <v>119</v>
      </c>
      <c r="CQ1009">
        <v>364</v>
      </c>
      <c r="CR1009">
        <v>0</v>
      </c>
      <c r="CW1009">
        <v>1402394</v>
      </c>
      <c r="CY1009">
        <v>1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"03/24/2022 22:13:43.108"</f>
        <v>03/24/2022 22:13:43.108</v>
      </c>
      <c r="C1010" t="str">
        <f t="shared" si="295"/>
        <v>FFDFD3C0</v>
      </c>
      <c r="D1010" t="s">
        <v>123</v>
      </c>
      <c r="E1010">
        <v>8</v>
      </c>
      <c r="H1010">
        <v>31</v>
      </c>
      <c r="I1010" t="s">
        <v>124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S1010" t="str">
        <f t="shared" si="303"/>
        <v>22:13:42.000</v>
      </c>
      <c r="T1010" t="str">
        <f t="shared" si="303"/>
        <v>22:13:42.000</v>
      </c>
      <c r="U1010" t="str">
        <f t="shared" si="289"/>
        <v>A9D71F</v>
      </c>
      <c r="V1010">
        <v>0</v>
      </c>
      <c r="W1010">
        <v>0</v>
      </c>
      <c r="X1010">
        <v>2</v>
      </c>
      <c r="Z1010">
        <v>1</v>
      </c>
      <c r="AA1010">
        <v>7</v>
      </c>
      <c r="AB1010">
        <v>3</v>
      </c>
      <c r="AC1010">
        <v>0</v>
      </c>
      <c r="AD1010">
        <v>9</v>
      </c>
      <c r="AE1010">
        <v>0</v>
      </c>
      <c r="AF1010">
        <v>3</v>
      </c>
      <c r="AG1010">
        <v>1</v>
      </c>
      <c r="AH1010">
        <v>0</v>
      </c>
      <c r="AI1010" t="s">
        <v>552</v>
      </c>
      <c r="AJ1010">
        <v>33.148220000000002</v>
      </c>
      <c r="AK1010" t="s">
        <v>553</v>
      </c>
      <c r="AL1010">
        <v>-97.719762000000003</v>
      </c>
      <c r="AM1010">
        <v>25</v>
      </c>
      <c r="AN1010">
        <v>3500</v>
      </c>
      <c r="AO1010" t="s">
        <v>118</v>
      </c>
      <c r="AP1010">
        <v>52</v>
      </c>
      <c r="AQ1010">
        <v>-95</v>
      </c>
      <c r="AR1010">
        <v>-64</v>
      </c>
      <c r="AZ1010">
        <v>1200</v>
      </c>
      <c r="BA1010">
        <v>1</v>
      </c>
      <c r="BB1010" t="str">
        <f t="shared" si="296"/>
        <v xml:space="preserve">N733KP  </v>
      </c>
      <c r="BC1010">
        <v>1</v>
      </c>
      <c r="BE1010">
        <v>0</v>
      </c>
      <c r="BF1010">
        <v>0</v>
      </c>
      <c r="BG1010">
        <v>0</v>
      </c>
      <c r="BH1010">
        <v>3425</v>
      </c>
      <c r="BI1010">
        <v>1</v>
      </c>
      <c r="BJ1010">
        <v>1</v>
      </c>
      <c r="BK1010">
        <v>0</v>
      </c>
      <c r="BL1010">
        <v>0</v>
      </c>
      <c r="BO1010">
        <v>0</v>
      </c>
      <c r="BP1010">
        <v>0</v>
      </c>
      <c r="BW1010" t="str">
        <f>"22:13:42.899"</f>
        <v>22:13:42.899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6</v>
      </c>
      <c r="CP1010" t="s">
        <v>119</v>
      </c>
      <c r="CQ1010">
        <v>364</v>
      </c>
      <c r="CR1010">
        <v>0</v>
      </c>
      <c r="CW1010">
        <v>1402394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"03/24/2022 22:13:43.139"</f>
        <v>03/24/2022 22:13:43.139</v>
      </c>
      <c r="C1011" t="str">
        <f t="shared" si="295"/>
        <v>FFDFD3C0</v>
      </c>
      <c r="D1011" t="s">
        <v>113</v>
      </c>
      <c r="E1011">
        <v>24</v>
      </c>
      <c r="F1011">
        <v>2024</v>
      </c>
      <c r="G1011" t="s">
        <v>114</v>
      </c>
      <c r="J1011" t="s">
        <v>115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S1011" t="str">
        <f t="shared" si="303"/>
        <v>22:13:42.000</v>
      </c>
      <c r="T1011" t="str">
        <f t="shared" si="303"/>
        <v>22:13:42.000</v>
      </c>
      <c r="U1011" t="str">
        <f t="shared" si="289"/>
        <v>A9D71F</v>
      </c>
      <c r="V1011">
        <v>0</v>
      </c>
      <c r="W1011">
        <v>0</v>
      </c>
      <c r="X1011">
        <v>2</v>
      </c>
      <c r="Z1011">
        <v>1</v>
      </c>
      <c r="AA1011">
        <v>7</v>
      </c>
      <c r="AB1011">
        <v>3</v>
      </c>
      <c r="AC1011">
        <v>0</v>
      </c>
      <c r="AD1011">
        <v>9</v>
      </c>
      <c r="AE1011">
        <v>0</v>
      </c>
      <c r="AF1011">
        <v>3</v>
      </c>
      <c r="AG1011">
        <v>1</v>
      </c>
      <c r="AH1011">
        <v>0</v>
      </c>
      <c r="AI1011" t="s">
        <v>552</v>
      </c>
      <c r="AJ1011">
        <v>33.148220000000002</v>
      </c>
      <c r="AK1011" t="s">
        <v>553</v>
      </c>
      <c r="AL1011">
        <v>-97.719762000000003</v>
      </c>
      <c r="AM1011">
        <v>25</v>
      </c>
      <c r="AN1011">
        <v>3500</v>
      </c>
      <c r="AO1011" t="s">
        <v>118</v>
      </c>
      <c r="AP1011">
        <v>52</v>
      </c>
      <c r="AQ1011">
        <v>-95</v>
      </c>
      <c r="AR1011">
        <v>-64</v>
      </c>
      <c r="AZ1011">
        <v>1200</v>
      </c>
      <c r="BA1011">
        <v>1</v>
      </c>
      <c r="BB1011" t="str">
        <f t="shared" si="296"/>
        <v xml:space="preserve">N733KP  </v>
      </c>
      <c r="BC1011">
        <v>1</v>
      </c>
      <c r="BE1011">
        <v>0</v>
      </c>
      <c r="BF1011">
        <v>0</v>
      </c>
      <c r="BG1011">
        <v>0</v>
      </c>
      <c r="BH1011">
        <v>3425</v>
      </c>
      <c r="BI1011">
        <v>1</v>
      </c>
      <c r="BJ1011">
        <v>1</v>
      </c>
      <c r="BK1011">
        <v>0</v>
      </c>
      <c r="BL1011">
        <v>0</v>
      </c>
      <c r="BO1011">
        <v>0</v>
      </c>
      <c r="BP1011">
        <v>0</v>
      </c>
      <c r="BW1011" t="str">
        <f>"22:13:42.899"</f>
        <v>22:13:42.899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6</v>
      </c>
      <c r="CP1011" t="s">
        <v>119</v>
      </c>
      <c r="CQ1011">
        <v>364</v>
      </c>
      <c r="CR1011">
        <v>0</v>
      </c>
      <c r="CW1011">
        <v>1402394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"03/24/2022 22:13:43.139"</f>
        <v>03/24/2022 22:13:43.139</v>
      </c>
      <c r="C1012" t="str">
        <f t="shared" si="295"/>
        <v>FFDFD3C0</v>
      </c>
      <c r="D1012" t="s">
        <v>120</v>
      </c>
      <c r="E1012">
        <v>14</v>
      </c>
      <c r="F1012">
        <v>1014</v>
      </c>
      <c r="G1012" t="s">
        <v>121</v>
      </c>
      <c r="J1012" t="s">
        <v>122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S1012" t="str">
        <f t="shared" si="303"/>
        <v>22:13:42.000</v>
      </c>
      <c r="T1012" t="str">
        <f t="shared" si="303"/>
        <v>22:13:42.000</v>
      </c>
      <c r="U1012" t="str">
        <f t="shared" si="289"/>
        <v>A9D71F</v>
      </c>
      <c r="V1012">
        <v>0</v>
      </c>
      <c r="W1012">
        <v>0</v>
      </c>
      <c r="X1012">
        <v>2</v>
      </c>
      <c r="Z1012">
        <v>1</v>
      </c>
      <c r="AA1012">
        <v>7</v>
      </c>
      <c r="AB1012">
        <v>3</v>
      </c>
      <c r="AC1012">
        <v>0</v>
      </c>
      <c r="AD1012">
        <v>9</v>
      </c>
      <c r="AE1012">
        <v>0</v>
      </c>
      <c r="AF1012">
        <v>3</v>
      </c>
      <c r="AG1012">
        <v>1</v>
      </c>
      <c r="AH1012">
        <v>0</v>
      </c>
      <c r="AI1012" t="s">
        <v>552</v>
      </c>
      <c r="AJ1012">
        <v>33.148220000000002</v>
      </c>
      <c r="AK1012" t="s">
        <v>553</v>
      </c>
      <c r="AL1012">
        <v>-97.719762000000003</v>
      </c>
      <c r="AM1012">
        <v>25</v>
      </c>
      <c r="AN1012">
        <v>3500</v>
      </c>
      <c r="AO1012" t="s">
        <v>118</v>
      </c>
      <c r="AP1012">
        <v>52</v>
      </c>
      <c r="AQ1012">
        <v>-95</v>
      </c>
      <c r="AR1012">
        <v>-64</v>
      </c>
      <c r="AZ1012">
        <v>1200</v>
      </c>
      <c r="BA1012">
        <v>1</v>
      </c>
      <c r="BB1012" t="str">
        <f t="shared" si="296"/>
        <v xml:space="preserve">N733KP  </v>
      </c>
      <c r="BC1012">
        <v>1</v>
      </c>
      <c r="BE1012">
        <v>0</v>
      </c>
      <c r="BF1012">
        <v>0</v>
      </c>
      <c r="BG1012">
        <v>0</v>
      </c>
      <c r="BH1012">
        <v>3425</v>
      </c>
      <c r="BI1012">
        <v>1</v>
      </c>
      <c r="BJ1012">
        <v>1</v>
      </c>
      <c r="BK1012">
        <v>0</v>
      </c>
      <c r="BL1012">
        <v>0</v>
      </c>
      <c r="BO1012">
        <v>0</v>
      </c>
      <c r="BP1012">
        <v>0</v>
      </c>
      <c r="BW1012" t="str">
        <f>"22:13:42.899"</f>
        <v>22:13:42.899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6</v>
      </c>
      <c r="CP1012" t="s">
        <v>119</v>
      </c>
      <c r="CQ1012">
        <v>364</v>
      </c>
      <c r="CR1012">
        <v>0</v>
      </c>
      <c r="CW1012">
        <v>1402394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"03/24/2022 22:13:43.437"</f>
        <v>03/24/2022 22:13:43.437</v>
      </c>
      <c r="C1013" t="str">
        <f t="shared" si="295"/>
        <v>FFDFD3C0</v>
      </c>
      <c r="D1013" t="s">
        <v>113</v>
      </c>
      <c r="E1013">
        <v>24</v>
      </c>
      <c r="F1013">
        <v>2024</v>
      </c>
      <c r="G1013" t="s">
        <v>114</v>
      </c>
      <c r="J1013" t="s">
        <v>115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S1013" t="str">
        <f t="shared" ref="S1013:T1016" si="304">"22:13:43.000"</f>
        <v>22:13:43.000</v>
      </c>
      <c r="T1013" t="str">
        <f t="shared" si="304"/>
        <v>22:13:43.000</v>
      </c>
      <c r="U1013" t="str">
        <f t="shared" si="289"/>
        <v>A9D71F</v>
      </c>
      <c r="V1013">
        <v>0</v>
      </c>
      <c r="W1013">
        <v>0</v>
      </c>
      <c r="X1013">
        <v>2</v>
      </c>
      <c r="Z1013">
        <v>1</v>
      </c>
      <c r="AA1013">
        <v>7</v>
      </c>
      <c r="AB1013">
        <v>3</v>
      </c>
      <c r="AC1013">
        <v>0</v>
      </c>
      <c r="AD1013">
        <v>9</v>
      </c>
      <c r="AE1013">
        <v>0</v>
      </c>
      <c r="AF1013">
        <v>3</v>
      </c>
      <c r="AG1013">
        <v>1</v>
      </c>
      <c r="AH1013">
        <v>0</v>
      </c>
      <c r="AI1013" t="s">
        <v>554</v>
      </c>
      <c r="AJ1013">
        <v>33.147790000000001</v>
      </c>
      <c r="AK1013" t="s">
        <v>555</v>
      </c>
      <c r="AL1013">
        <v>-97.719482999999997</v>
      </c>
      <c r="AM1013">
        <v>25</v>
      </c>
      <c r="AN1013">
        <v>3500</v>
      </c>
      <c r="AO1013" t="s">
        <v>118</v>
      </c>
      <c r="AP1013">
        <v>52</v>
      </c>
      <c r="AQ1013">
        <v>-94</v>
      </c>
      <c r="AR1013">
        <v>-64</v>
      </c>
      <c r="AZ1013">
        <v>1200</v>
      </c>
      <c r="BA1013">
        <v>1</v>
      </c>
      <c r="BB1013" t="str">
        <f t="shared" si="296"/>
        <v xml:space="preserve">N733KP  </v>
      </c>
      <c r="BC1013">
        <v>1</v>
      </c>
      <c r="BE1013">
        <v>0</v>
      </c>
      <c r="BF1013">
        <v>0</v>
      </c>
      <c r="BG1013">
        <v>0</v>
      </c>
      <c r="BH1013">
        <v>3425</v>
      </c>
      <c r="BI1013">
        <v>1</v>
      </c>
      <c r="BJ1013">
        <v>1</v>
      </c>
      <c r="BK1013">
        <v>0</v>
      </c>
      <c r="BL1013">
        <v>0</v>
      </c>
      <c r="BO1013">
        <v>0</v>
      </c>
      <c r="BP1013">
        <v>0</v>
      </c>
      <c r="BW1013" t="str">
        <f>"22:13:43.273"</f>
        <v>22:13:43.273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6</v>
      </c>
      <c r="CP1013" t="s">
        <v>119</v>
      </c>
      <c r="CQ1013">
        <v>364</v>
      </c>
      <c r="CR1013">
        <v>0</v>
      </c>
      <c r="CW1013">
        <v>1402461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"03/24/2022 22:13:43.454"</f>
        <v>03/24/2022 22:13:43.454</v>
      </c>
      <c r="C1014" t="str">
        <f t="shared" si="295"/>
        <v>FFDFD3C0</v>
      </c>
      <c r="D1014" t="s">
        <v>120</v>
      </c>
      <c r="E1014">
        <v>14</v>
      </c>
      <c r="F1014">
        <v>1014</v>
      </c>
      <c r="G1014" t="s">
        <v>121</v>
      </c>
      <c r="J1014" t="s">
        <v>122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S1014" t="str">
        <f t="shared" si="304"/>
        <v>22:13:43.000</v>
      </c>
      <c r="T1014" t="str">
        <f t="shared" si="304"/>
        <v>22:13:43.000</v>
      </c>
      <c r="U1014" t="str">
        <f t="shared" si="289"/>
        <v>A9D71F</v>
      </c>
      <c r="V1014">
        <v>0</v>
      </c>
      <c r="W1014">
        <v>0</v>
      </c>
      <c r="X1014">
        <v>2</v>
      </c>
      <c r="Z1014">
        <v>1</v>
      </c>
      <c r="AA1014">
        <v>7</v>
      </c>
      <c r="AB1014">
        <v>3</v>
      </c>
      <c r="AC1014">
        <v>0</v>
      </c>
      <c r="AD1014">
        <v>9</v>
      </c>
      <c r="AE1014">
        <v>0</v>
      </c>
      <c r="AF1014">
        <v>3</v>
      </c>
      <c r="AG1014">
        <v>1</v>
      </c>
      <c r="AH1014">
        <v>0</v>
      </c>
      <c r="AI1014" t="s">
        <v>554</v>
      </c>
      <c r="AJ1014">
        <v>33.147790000000001</v>
      </c>
      <c r="AK1014" t="s">
        <v>555</v>
      </c>
      <c r="AL1014">
        <v>-97.719482999999997</v>
      </c>
      <c r="AM1014">
        <v>25</v>
      </c>
      <c r="AN1014">
        <v>3500</v>
      </c>
      <c r="AO1014" t="s">
        <v>118</v>
      </c>
      <c r="AP1014">
        <v>52</v>
      </c>
      <c r="AQ1014">
        <v>-94</v>
      </c>
      <c r="AR1014">
        <v>-64</v>
      </c>
      <c r="AZ1014">
        <v>1200</v>
      </c>
      <c r="BA1014">
        <v>1</v>
      </c>
      <c r="BB1014" t="str">
        <f t="shared" si="296"/>
        <v xml:space="preserve">N733KP  </v>
      </c>
      <c r="BC1014">
        <v>1</v>
      </c>
      <c r="BE1014">
        <v>0</v>
      </c>
      <c r="BF1014">
        <v>0</v>
      </c>
      <c r="BG1014">
        <v>0</v>
      </c>
      <c r="BH1014">
        <v>3425</v>
      </c>
      <c r="BI1014">
        <v>1</v>
      </c>
      <c r="BJ1014">
        <v>1</v>
      </c>
      <c r="BK1014">
        <v>0</v>
      </c>
      <c r="BL1014">
        <v>0</v>
      </c>
      <c r="BO1014">
        <v>0</v>
      </c>
      <c r="BP1014">
        <v>0</v>
      </c>
      <c r="BW1014" t="str">
        <f>"22:13:43.273"</f>
        <v>22:13:43.273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6</v>
      </c>
      <c r="CP1014" t="s">
        <v>119</v>
      </c>
      <c r="CQ1014">
        <v>364</v>
      </c>
      <c r="CR1014">
        <v>0</v>
      </c>
      <c r="CW1014">
        <v>1402461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"03/24/2022 22:13:43.454"</f>
        <v>03/24/2022 22:13:43.454</v>
      </c>
      <c r="C1015" t="str">
        <f t="shared" si="295"/>
        <v>FFDFD3C0</v>
      </c>
      <c r="D1015" t="s">
        <v>126</v>
      </c>
      <c r="E1015">
        <v>3</v>
      </c>
      <c r="H1015">
        <v>160</v>
      </c>
      <c r="I1015" t="s">
        <v>121</v>
      </c>
      <c r="J1015" t="s">
        <v>127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S1015" t="str">
        <f t="shared" si="304"/>
        <v>22:13:43.000</v>
      </c>
      <c r="T1015" t="str">
        <f t="shared" si="304"/>
        <v>22:13:43.000</v>
      </c>
      <c r="U1015" t="str">
        <f t="shared" si="289"/>
        <v>A9D71F</v>
      </c>
      <c r="V1015">
        <v>0</v>
      </c>
      <c r="W1015">
        <v>0</v>
      </c>
      <c r="X1015">
        <v>2</v>
      </c>
      <c r="Z1015">
        <v>1</v>
      </c>
      <c r="AA1015">
        <v>7</v>
      </c>
      <c r="AB1015">
        <v>3</v>
      </c>
      <c r="AC1015">
        <v>0</v>
      </c>
      <c r="AD1015">
        <v>9</v>
      </c>
      <c r="AE1015">
        <v>0</v>
      </c>
      <c r="AF1015">
        <v>3</v>
      </c>
      <c r="AG1015">
        <v>1</v>
      </c>
      <c r="AH1015">
        <v>0</v>
      </c>
      <c r="AI1015" t="s">
        <v>554</v>
      </c>
      <c r="AJ1015">
        <v>33.147790000000001</v>
      </c>
      <c r="AK1015" t="s">
        <v>555</v>
      </c>
      <c r="AL1015">
        <v>-97.719482999999997</v>
      </c>
      <c r="AM1015">
        <v>25</v>
      </c>
      <c r="AN1015">
        <v>3500</v>
      </c>
      <c r="AO1015" t="s">
        <v>118</v>
      </c>
      <c r="AP1015">
        <v>52</v>
      </c>
      <c r="AQ1015">
        <v>-94</v>
      </c>
      <c r="AR1015">
        <v>-64</v>
      </c>
      <c r="AZ1015">
        <v>1200</v>
      </c>
      <c r="BA1015">
        <v>1</v>
      </c>
      <c r="BB1015" t="str">
        <f t="shared" si="296"/>
        <v xml:space="preserve">N733KP  </v>
      </c>
      <c r="BC1015">
        <v>1</v>
      </c>
      <c r="BE1015">
        <v>0</v>
      </c>
      <c r="BF1015">
        <v>0</v>
      </c>
      <c r="BG1015">
        <v>0</v>
      </c>
      <c r="BH1015">
        <v>3425</v>
      </c>
      <c r="BI1015">
        <v>1</v>
      </c>
      <c r="BJ1015">
        <v>1</v>
      </c>
      <c r="BK1015">
        <v>0</v>
      </c>
      <c r="BL1015">
        <v>0</v>
      </c>
      <c r="BO1015">
        <v>0</v>
      </c>
      <c r="BP1015">
        <v>0</v>
      </c>
      <c r="BW1015" t="str">
        <f>"22:13:43.273"</f>
        <v>22:13:43.273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6</v>
      </c>
      <c r="CP1015" t="s">
        <v>119</v>
      </c>
      <c r="CQ1015">
        <v>364</v>
      </c>
      <c r="CR1015">
        <v>0</v>
      </c>
      <c r="CW1015">
        <v>1402461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"03/24/2022 22:13:43.501"</f>
        <v>03/24/2022 22:13:43.501</v>
      </c>
      <c r="C1016" t="str">
        <f t="shared" si="295"/>
        <v>FFDFD3C0</v>
      </c>
      <c r="D1016" t="s">
        <v>123</v>
      </c>
      <c r="E1016">
        <v>8</v>
      </c>
      <c r="H1016">
        <v>31</v>
      </c>
      <c r="I1016" t="s">
        <v>124</v>
      </c>
      <c r="J1016" t="s">
        <v>125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S1016" t="str">
        <f t="shared" si="304"/>
        <v>22:13:43.000</v>
      </c>
      <c r="T1016" t="str">
        <f t="shared" si="304"/>
        <v>22:13:43.000</v>
      </c>
      <c r="U1016" t="str">
        <f t="shared" si="289"/>
        <v>A9D71F</v>
      </c>
      <c r="V1016">
        <v>0</v>
      </c>
      <c r="W1016">
        <v>0</v>
      </c>
      <c r="X1016">
        <v>2</v>
      </c>
      <c r="Z1016">
        <v>1</v>
      </c>
      <c r="AA1016">
        <v>7</v>
      </c>
      <c r="AB1016">
        <v>3</v>
      </c>
      <c r="AC1016">
        <v>0</v>
      </c>
      <c r="AD1016">
        <v>9</v>
      </c>
      <c r="AE1016">
        <v>0</v>
      </c>
      <c r="AF1016">
        <v>3</v>
      </c>
      <c r="AG1016">
        <v>1</v>
      </c>
      <c r="AH1016">
        <v>0</v>
      </c>
      <c r="AI1016" t="s">
        <v>554</v>
      </c>
      <c r="AJ1016">
        <v>33.147790000000001</v>
      </c>
      <c r="AK1016" t="s">
        <v>555</v>
      </c>
      <c r="AL1016">
        <v>-97.719482999999997</v>
      </c>
      <c r="AM1016">
        <v>25</v>
      </c>
      <c r="AN1016">
        <v>3500</v>
      </c>
      <c r="AO1016" t="s">
        <v>118</v>
      </c>
      <c r="AP1016">
        <v>52</v>
      </c>
      <c r="AQ1016">
        <v>-94</v>
      </c>
      <c r="AR1016">
        <v>-64</v>
      </c>
      <c r="AZ1016">
        <v>1200</v>
      </c>
      <c r="BA1016">
        <v>1</v>
      </c>
      <c r="BB1016" t="str">
        <f t="shared" si="296"/>
        <v xml:space="preserve">N733KP  </v>
      </c>
      <c r="BC1016">
        <v>1</v>
      </c>
      <c r="BE1016">
        <v>0</v>
      </c>
      <c r="BF1016">
        <v>0</v>
      </c>
      <c r="BG1016">
        <v>0</v>
      </c>
      <c r="BH1016">
        <v>3425</v>
      </c>
      <c r="BI1016">
        <v>1</v>
      </c>
      <c r="BJ1016">
        <v>1</v>
      </c>
      <c r="BK1016">
        <v>0</v>
      </c>
      <c r="BL1016">
        <v>0</v>
      </c>
      <c r="BO1016">
        <v>0</v>
      </c>
      <c r="BP1016">
        <v>0</v>
      </c>
      <c r="BW1016" t="str">
        <f>"22:13:43.273"</f>
        <v>22:13:43.273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6</v>
      </c>
      <c r="CP1016" t="s">
        <v>119</v>
      </c>
      <c r="CQ1016">
        <v>364</v>
      </c>
      <c r="CR1016">
        <v>0</v>
      </c>
      <c r="CW1016">
        <v>1402461</v>
      </c>
      <c r="CY1016">
        <v>1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"03/24/2022 22:13:45.005"</f>
        <v>03/24/2022 22:13:45.005</v>
      </c>
      <c r="C1017" t="str">
        <f t="shared" si="295"/>
        <v>FFDFD3C0</v>
      </c>
      <c r="D1017" t="s">
        <v>126</v>
      </c>
      <c r="E1017">
        <v>3</v>
      </c>
      <c r="H1017">
        <v>160</v>
      </c>
      <c r="I1017" t="s">
        <v>121</v>
      </c>
      <c r="J1017" t="s">
        <v>127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S1017" t="str">
        <f t="shared" ref="S1017:T1019" si="305">"22:13:44.000"</f>
        <v>22:13:44.000</v>
      </c>
      <c r="T1017" t="str">
        <f t="shared" si="305"/>
        <v>22:13:44.000</v>
      </c>
      <c r="U1017" t="str">
        <f t="shared" si="289"/>
        <v>A9D71F</v>
      </c>
      <c r="V1017">
        <v>0</v>
      </c>
      <c r="W1017">
        <v>0</v>
      </c>
      <c r="X1017">
        <v>2</v>
      </c>
      <c r="Z1017">
        <v>1</v>
      </c>
      <c r="AA1017">
        <v>7</v>
      </c>
      <c r="AB1017">
        <v>3</v>
      </c>
      <c r="AC1017">
        <v>0</v>
      </c>
      <c r="AD1017">
        <v>9</v>
      </c>
      <c r="AE1017">
        <v>0</v>
      </c>
      <c r="AF1017">
        <v>3</v>
      </c>
      <c r="AG1017">
        <v>1</v>
      </c>
      <c r="AH1017">
        <v>0</v>
      </c>
      <c r="AI1017" t="s">
        <v>556</v>
      </c>
      <c r="AJ1017">
        <v>33.14734</v>
      </c>
      <c r="AK1017" t="s">
        <v>557</v>
      </c>
      <c r="AL1017">
        <v>-97.719183000000001</v>
      </c>
      <c r="AM1017">
        <v>25</v>
      </c>
      <c r="AN1017">
        <v>3500</v>
      </c>
      <c r="AO1017" t="s">
        <v>118</v>
      </c>
      <c r="AP1017">
        <v>54</v>
      </c>
      <c r="AQ1017">
        <v>-94</v>
      </c>
      <c r="AR1017">
        <v>0</v>
      </c>
      <c r="AZ1017">
        <v>1200</v>
      </c>
      <c r="BA1017">
        <v>1</v>
      </c>
      <c r="BB1017" t="str">
        <f t="shared" si="296"/>
        <v xml:space="preserve">N733KP  </v>
      </c>
      <c r="BC1017">
        <v>1</v>
      </c>
      <c r="BE1017">
        <v>0</v>
      </c>
      <c r="BF1017">
        <v>0</v>
      </c>
      <c r="BG1017">
        <v>0</v>
      </c>
      <c r="BH1017">
        <v>3425</v>
      </c>
      <c r="BI1017">
        <v>1</v>
      </c>
      <c r="BJ1017">
        <v>1</v>
      </c>
      <c r="BK1017">
        <v>0</v>
      </c>
      <c r="BL1017">
        <v>0</v>
      </c>
      <c r="BO1017">
        <v>0</v>
      </c>
      <c r="BP1017">
        <v>0</v>
      </c>
      <c r="BW1017" t="str">
        <f>"22:13:44.819"</f>
        <v>22:13:44.819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3</v>
      </c>
      <c r="CP1017" t="s">
        <v>119</v>
      </c>
      <c r="CQ1017">
        <v>439</v>
      </c>
      <c r="CR1017">
        <v>0</v>
      </c>
      <c r="CW1017">
        <v>11500056</v>
      </c>
      <c r="CY1017">
        <v>1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"03/24/2022 22:13:45.068"</f>
        <v>03/24/2022 22:13:45.068</v>
      </c>
      <c r="C1018" t="str">
        <f t="shared" si="295"/>
        <v>FFDFD3C0</v>
      </c>
      <c r="D1018" t="s">
        <v>113</v>
      </c>
      <c r="E1018">
        <v>24</v>
      </c>
      <c r="F1018">
        <v>2024</v>
      </c>
      <c r="G1018" t="s">
        <v>114</v>
      </c>
      <c r="J1018" t="s">
        <v>115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S1018" t="str">
        <f t="shared" si="305"/>
        <v>22:13:44.000</v>
      </c>
      <c r="T1018" t="str">
        <f t="shared" si="305"/>
        <v>22:13:44.000</v>
      </c>
      <c r="U1018" t="str">
        <f t="shared" si="289"/>
        <v>A9D71F</v>
      </c>
      <c r="V1018">
        <v>0</v>
      </c>
      <c r="W1018">
        <v>0</v>
      </c>
      <c r="X1018">
        <v>2</v>
      </c>
      <c r="Z1018">
        <v>1</v>
      </c>
      <c r="AA1018">
        <v>7</v>
      </c>
      <c r="AB1018">
        <v>3</v>
      </c>
      <c r="AC1018">
        <v>0</v>
      </c>
      <c r="AD1018">
        <v>9</v>
      </c>
      <c r="AE1018">
        <v>0</v>
      </c>
      <c r="AF1018">
        <v>3</v>
      </c>
      <c r="AG1018">
        <v>1</v>
      </c>
      <c r="AH1018">
        <v>0</v>
      </c>
      <c r="AI1018" t="s">
        <v>556</v>
      </c>
      <c r="AJ1018">
        <v>33.14734</v>
      </c>
      <c r="AK1018" t="s">
        <v>557</v>
      </c>
      <c r="AL1018">
        <v>-97.719183000000001</v>
      </c>
      <c r="AM1018">
        <v>25</v>
      </c>
      <c r="AN1018">
        <v>3500</v>
      </c>
      <c r="AO1018" t="s">
        <v>118</v>
      </c>
      <c r="AP1018">
        <v>54</v>
      </c>
      <c r="AQ1018">
        <v>-94</v>
      </c>
      <c r="AR1018">
        <v>0</v>
      </c>
      <c r="AZ1018">
        <v>1200</v>
      </c>
      <c r="BA1018">
        <v>1</v>
      </c>
      <c r="BB1018" t="str">
        <f t="shared" si="296"/>
        <v xml:space="preserve">N733KP  </v>
      </c>
      <c r="BC1018">
        <v>1</v>
      </c>
      <c r="BE1018">
        <v>0</v>
      </c>
      <c r="BF1018">
        <v>0</v>
      </c>
      <c r="BG1018">
        <v>0</v>
      </c>
      <c r="BH1018">
        <v>3425</v>
      </c>
      <c r="BI1018">
        <v>1</v>
      </c>
      <c r="BJ1018">
        <v>1</v>
      </c>
      <c r="BK1018">
        <v>0</v>
      </c>
      <c r="BL1018">
        <v>0</v>
      </c>
      <c r="BO1018">
        <v>0</v>
      </c>
      <c r="BP1018">
        <v>0</v>
      </c>
      <c r="BW1018" t="str">
        <f>"22:13:44.819"</f>
        <v>22:13:44.819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3</v>
      </c>
      <c r="CP1018" t="s">
        <v>119</v>
      </c>
      <c r="CQ1018">
        <v>439</v>
      </c>
      <c r="CR1018">
        <v>0</v>
      </c>
      <c r="CW1018">
        <v>11500056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"03/24/2022 22:13:45.068"</f>
        <v>03/24/2022 22:13:45.068</v>
      </c>
      <c r="C1019" t="str">
        <f t="shared" si="295"/>
        <v>FFDFD3C0</v>
      </c>
      <c r="D1019" t="s">
        <v>120</v>
      </c>
      <c r="E1019">
        <v>14</v>
      </c>
      <c r="F1019">
        <v>1014</v>
      </c>
      <c r="G1019" t="s">
        <v>121</v>
      </c>
      <c r="J1019" t="s">
        <v>122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S1019" t="str">
        <f t="shared" si="305"/>
        <v>22:13:44.000</v>
      </c>
      <c r="T1019" t="str">
        <f t="shared" si="305"/>
        <v>22:13:44.000</v>
      </c>
      <c r="U1019" t="str">
        <f t="shared" si="289"/>
        <v>A9D71F</v>
      </c>
      <c r="V1019">
        <v>0</v>
      </c>
      <c r="W1019">
        <v>0</v>
      </c>
      <c r="X1019">
        <v>2</v>
      </c>
      <c r="Z1019">
        <v>1</v>
      </c>
      <c r="AA1019">
        <v>7</v>
      </c>
      <c r="AB1019">
        <v>3</v>
      </c>
      <c r="AC1019">
        <v>0</v>
      </c>
      <c r="AD1019">
        <v>9</v>
      </c>
      <c r="AE1019">
        <v>0</v>
      </c>
      <c r="AF1019">
        <v>3</v>
      </c>
      <c r="AG1019">
        <v>1</v>
      </c>
      <c r="AH1019">
        <v>0</v>
      </c>
      <c r="AI1019" t="s">
        <v>556</v>
      </c>
      <c r="AJ1019">
        <v>33.14734</v>
      </c>
      <c r="AK1019" t="s">
        <v>557</v>
      </c>
      <c r="AL1019">
        <v>-97.719183000000001</v>
      </c>
      <c r="AM1019">
        <v>25</v>
      </c>
      <c r="AN1019">
        <v>3500</v>
      </c>
      <c r="AO1019" t="s">
        <v>118</v>
      </c>
      <c r="AP1019">
        <v>54</v>
      </c>
      <c r="AQ1019">
        <v>-94</v>
      </c>
      <c r="AR1019">
        <v>0</v>
      </c>
      <c r="AZ1019">
        <v>1200</v>
      </c>
      <c r="BA1019">
        <v>1</v>
      </c>
      <c r="BB1019" t="str">
        <f t="shared" si="296"/>
        <v xml:space="preserve">N733KP  </v>
      </c>
      <c r="BC1019">
        <v>1</v>
      </c>
      <c r="BE1019">
        <v>0</v>
      </c>
      <c r="BF1019">
        <v>0</v>
      </c>
      <c r="BG1019">
        <v>0</v>
      </c>
      <c r="BH1019">
        <v>3425</v>
      </c>
      <c r="BI1019">
        <v>1</v>
      </c>
      <c r="BJ1019">
        <v>1</v>
      </c>
      <c r="BK1019">
        <v>0</v>
      </c>
      <c r="BL1019">
        <v>0</v>
      </c>
      <c r="BO1019">
        <v>0</v>
      </c>
      <c r="BP1019">
        <v>0</v>
      </c>
      <c r="BW1019" t="str">
        <f>"22:13:44.819"</f>
        <v>22:13:44.819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3</v>
      </c>
      <c r="CP1019" t="s">
        <v>119</v>
      </c>
      <c r="CQ1019">
        <v>439</v>
      </c>
      <c r="CR1019">
        <v>0</v>
      </c>
      <c r="CW1019">
        <v>11500056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"03/24/2022 22:13:45.990"</f>
        <v>03/24/2022 22:13:45.990</v>
      </c>
      <c r="C1020" t="str">
        <f t="shared" si="295"/>
        <v>FFDFD3C0</v>
      </c>
      <c r="D1020" t="s">
        <v>113</v>
      </c>
      <c r="E1020">
        <v>24</v>
      </c>
      <c r="F1020">
        <v>2024</v>
      </c>
      <c r="G1020" t="s">
        <v>114</v>
      </c>
      <c r="J1020" t="s">
        <v>115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S1020" t="str">
        <f t="shared" ref="S1020:T1023" si="306">"22:13:45.000"</f>
        <v>22:13:45.000</v>
      </c>
      <c r="T1020" t="str">
        <f t="shared" si="306"/>
        <v>22:13:45.000</v>
      </c>
      <c r="U1020" t="str">
        <f t="shared" si="289"/>
        <v>A9D71F</v>
      </c>
      <c r="V1020">
        <v>0</v>
      </c>
      <c r="W1020">
        <v>0</v>
      </c>
      <c r="X1020">
        <v>2</v>
      </c>
      <c r="Z1020">
        <v>1</v>
      </c>
      <c r="AA1020">
        <v>7</v>
      </c>
      <c r="AB1020">
        <v>3</v>
      </c>
      <c r="AC1020">
        <v>0</v>
      </c>
      <c r="AD1020">
        <v>9</v>
      </c>
      <c r="AE1020">
        <v>0</v>
      </c>
      <c r="AF1020">
        <v>3</v>
      </c>
      <c r="AG1020">
        <v>1</v>
      </c>
      <c r="AH1020">
        <v>0</v>
      </c>
      <c r="AI1020" t="s">
        <v>558</v>
      </c>
      <c r="AJ1020">
        <v>33.146911000000003</v>
      </c>
      <c r="AK1020" t="s">
        <v>559</v>
      </c>
      <c r="AL1020">
        <v>-97.718903999999995</v>
      </c>
      <c r="AM1020">
        <v>25</v>
      </c>
      <c r="AN1020">
        <v>3500</v>
      </c>
      <c r="AO1020" t="s">
        <v>118</v>
      </c>
      <c r="AP1020">
        <v>54</v>
      </c>
      <c r="AQ1020">
        <v>-93</v>
      </c>
      <c r="AR1020">
        <v>-64</v>
      </c>
      <c r="AZ1020">
        <v>1200</v>
      </c>
      <c r="BA1020">
        <v>1</v>
      </c>
      <c r="BB1020" t="str">
        <f t="shared" si="296"/>
        <v xml:space="preserve">N733KP  </v>
      </c>
      <c r="BC1020">
        <v>1</v>
      </c>
      <c r="BE1020">
        <v>0</v>
      </c>
      <c r="BF1020">
        <v>0</v>
      </c>
      <c r="BG1020">
        <v>0</v>
      </c>
      <c r="BH1020">
        <v>3425</v>
      </c>
      <c r="BI1020">
        <v>1</v>
      </c>
      <c r="BJ1020">
        <v>1</v>
      </c>
      <c r="BK1020">
        <v>0</v>
      </c>
      <c r="BL1020">
        <v>0</v>
      </c>
      <c r="BO1020">
        <v>0</v>
      </c>
      <c r="BP1020">
        <v>0</v>
      </c>
      <c r="BW1020" t="str">
        <f>"22:13:45.799"</f>
        <v>22:13:45.799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6</v>
      </c>
      <c r="CP1020" t="s">
        <v>119</v>
      </c>
      <c r="CQ1020">
        <v>364</v>
      </c>
      <c r="CR1020">
        <v>0</v>
      </c>
      <c r="CW1020">
        <v>1402915</v>
      </c>
      <c r="CY1020">
        <v>1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"03/24/2022 22:13:46.005"</f>
        <v>03/24/2022 22:13:46.005</v>
      </c>
      <c r="C1021" t="str">
        <f t="shared" si="295"/>
        <v>FFDFD3C0</v>
      </c>
      <c r="D1021" t="s">
        <v>120</v>
      </c>
      <c r="E1021">
        <v>14</v>
      </c>
      <c r="F1021">
        <v>1014</v>
      </c>
      <c r="G1021" t="s">
        <v>121</v>
      </c>
      <c r="J1021" t="s">
        <v>122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S1021" t="str">
        <f t="shared" si="306"/>
        <v>22:13:45.000</v>
      </c>
      <c r="T1021" t="str">
        <f t="shared" si="306"/>
        <v>22:13:45.000</v>
      </c>
      <c r="U1021" t="str">
        <f t="shared" si="289"/>
        <v>A9D71F</v>
      </c>
      <c r="V1021">
        <v>0</v>
      </c>
      <c r="W1021">
        <v>0</v>
      </c>
      <c r="X1021">
        <v>2</v>
      </c>
      <c r="Z1021">
        <v>1</v>
      </c>
      <c r="AA1021">
        <v>7</v>
      </c>
      <c r="AB1021">
        <v>3</v>
      </c>
      <c r="AC1021">
        <v>0</v>
      </c>
      <c r="AD1021">
        <v>9</v>
      </c>
      <c r="AE1021">
        <v>0</v>
      </c>
      <c r="AF1021">
        <v>3</v>
      </c>
      <c r="AG1021">
        <v>1</v>
      </c>
      <c r="AH1021">
        <v>0</v>
      </c>
      <c r="AI1021" t="s">
        <v>558</v>
      </c>
      <c r="AJ1021">
        <v>33.146911000000003</v>
      </c>
      <c r="AK1021" t="s">
        <v>559</v>
      </c>
      <c r="AL1021">
        <v>-97.718903999999995</v>
      </c>
      <c r="AM1021">
        <v>25</v>
      </c>
      <c r="AN1021">
        <v>3500</v>
      </c>
      <c r="AO1021" t="s">
        <v>118</v>
      </c>
      <c r="AP1021">
        <v>54</v>
      </c>
      <c r="AQ1021">
        <v>-93</v>
      </c>
      <c r="AR1021">
        <v>-64</v>
      </c>
      <c r="AZ1021">
        <v>1200</v>
      </c>
      <c r="BA1021">
        <v>1</v>
      </c>
      <c r="BB1021" t="str">
        <f t="shared" si="296"/>
        <v xml:space="preserve">N733KP  </v>
      </c>
      <c r="BC1021">
        <v>1</v>
      </c>
      <c r="BE1021">
        <v>0</v>
      </c>
      <c r="BF1021">
        <v>0</v>
      </c>
      <c r="BG1021">
        <v>0</v>
      </c>
      <c r="BH1021">
        <v>3425</v>
      </c>
      <c r="BI1021">
        <v>1</v>
      </c>
      <c r="BJ1021">
        <v>1</v>
      </c>
      <c r="BK1021">
        <v>0</v>
      </c>
      <c r="BL1021">
        <v>0</v>
      </c>
      <c r="BO1021">
        <v>0</v>
      </c>
      <c r="BP1021">
        <v>0</v>
      </c>
      <c r="BW1021" t="str">
        <f>"22:13:45.799"</f>
        <v>22:13:45.799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6</v>
      </c>
      <c r="CP1021" t="s">
        <v>119</v>
      </c>
      <c r="CQ1021">
        <v>364</v>
      </c>
      <c r="CR1021">
        <v>0</v>
      </c>
      <c r="CW1021">
        <v>1402915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"03/24/2022 22:13:46.005"</f>
        <v>03/24/2022 22:13:46.005</v>
      </c>
      <c r="C1022" t="str">
        <f t="shared" si="295"/>
        <v>FFDFD3C0</v>
      </c>
      <c r="D1022" t="s">
        <v>126</v>
      </c>
      <c r="E1022">
        <v>3</v>
      </c>
      <c r="H1022">
        <v>160</v>
      </c>
      <c r="I1022" t="s">
        <v>121</v>
      </c>
      <c r="J1022" t="s">
        <v>127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S1022" t="str">
        <f t="shared" si="306"/>
        <v>22:13:45.000</v>
      </c>
      <c r="T1022" t="str">
        <f t="shared" si="306"/>
        <v>22:13:45.000</v>
      </c>
      <c r="U1022" t="str">
        <f t="shared" si="289"/>
        <v>A9D71F</v>
      </c>
      <c r="V1022">
        <v>0</v>
      </c>
      <c r="W1022">
        <v>0</v>
      </c>
      <c r="X1022">
        <v>2</v>
      </c>
      <c r="Z1022">
        <v>1</v>
      </c>
      <c r="AA1022">
        <v>7</v>
      </c>
      <c r="AB1022">
        <v>3</v>
      </c>
      <c r="AC1022">
        <v>0</v>
      </c>
      <c r="AD1022">
        <v>9</v>
      </c>
      <c r="AE1022">
        <v>0</v>
      </c>
      <c r="AF1022">
        <v>3</v>
      </c>
      <c r="AG1022">
        <v>1</v>
      </c>
      <c r="AH1022">
        <v>0</v>
      </c>
      <c r="AI1022" t="s">
        <v>558</v>
      </c>
      <c r="AJ1022">
        <v>33.146911000000003</v>
      </c>
      <c r="AK1022" t="s">
        <v>559</v>
      </c>
      <c r="AL1022">
        <v>-97.718903999999995</v>
      </c>
      <c r="AM1022">
        <v>25</v>
      </c>
      <c r="AN1022">
        <v>3500</v>
      </c>
      <c r="AO1022" t="s">
        <v>118</v>
      </c>
      <c r="AP1022">
        <v>54</v>
      </c>
      <c r="AQ1022">
        <v>-93</v>
      </c>
      <c r="AR1022">
        <v>-64</v>
      </c>
      <c r="AZ1022">
        <v>1200</v>
      </c>
      <c r="BA1022">
        <v>1</v>
      </c>
      <c r="BB1022" t="str">
        <f t="shared" si="296"/>
        <v xml:space="preserve">N733KP  </v>
      </c>
      <c r="BC1022">
        <v>1</v>
      </c>
      <c r="BE1022">
        <v>0</v>
      </c>
      <c r="BF1022">
        <v>0</v>
      </c>
      <c r="BG1022">
        <v>0</v>
      </c>
      <c r="BH1022">
        <v>3425</v>
      </c>
      <c r="BI1022">
        <v>1</v>
      </c>
      <c r="BJ1022">
        <v>1</v>
      </c>
      <c r="BK1022">
        <v>0</v>
      </c>
      <c r="BL1022">
        <v>0</v>
      </c>
      <c r="BO1022">
        <v>0</v>
      </c>
      <c r="BP1022">
        <v>0</v>
      </c>
      <c r="BW1022" t="str">
        <f>"22:13:45.799"</f>
        <v>22:13:45.799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6</v>
      </c>
      <c r="CP1022" t="s">
        <v>119</v>
      </c>
      <c r="CQ1022">
        <v>364</v>
      </c>
      <c r="CR1022">
        <v>0</v>
      </c>
      <c r="CW1022">
        <v>1402915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"03/24/2022 22:13:46.005"</f>
        <v>03/24/2022 22:13:46.005</v>
      </c>
      <c r="C1023" t="str">
        <f t="shared" si="295"/>
        <v>FFDFD3C0</v>
      </c>
      <c r="D1023" t="s">
        <v>123</v>
      </c>
      <c r="E1023">
        <v>8</v>
      </c>
      <c r="H1023">
        <v>31</v>
      </c>
      <c r="I1023" t="s">
        <v>124</v>
      </c>
      <c r="J1023" t="s">
        <v>125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S1023" t="str">
        <f t="shared" si="306"/>
        <v>22:13:45.000</v>
      </c>
      <c r="T1023" t="str">
        <f t="shared" si="306"/>
        <v>22:13:45.000</v>
      </c>
      <c r="U1023" t="str">
        <f t="shared" si="289"/>
        <v>A9D71F</v>
      </c>
      <c r="V1023">
        <v>0</v>
      </c>
      <c r="W1023">
        <v>0</v>
      </c>
      <c r="X1023">
        <v>2</v>
      </c>
      <c r="Z1023">
        <v>1</v>
      </c>
      <c r="AA1023">
        <v>7</v>
      </c>
      <c r="AB1023">
        <v>3</v>
      </c>
      <c r="AC1023">
        <v>0</v>
      </c>
      <c r="AD1023">
        <v>9</v>
      </c>
      <c r="AE1023">
        <v>0</v>
      </c>
      <c r="AF1023">
        <v>3</v>
      </c>
      <c r="AG1023">
        <v>1</v>
      </c>
      <c r="AH1023">
        <v>0</v>
      </c>
      <c r="AI1023" t="s">
        <v>558</v>
      </c>
      <c r="AJ1023">
        <v>33.146911000000003</v>
      </c>
      <c r="AK1023" t="s">
        <v>559</v>
      </c>
      <c r="AL1023">
        <v>-97.718903999999995</v>
      </c>
      <c r="AM1023">
        <v>25</v>
      </c>
      <c r="AN1023">
        <v>3500</v>
      </c>
      <c r="AO1023" t="s">
        <v>118</v>
      </c>
      <c r="AP1023">
        <v>54</v>
      </c>
      <c r="AQ1023">
        <v>-93</v>
      </c>
      <c r="AR1023">
        <v>-64</v>
      </c>
      <c r="AZ1023">
        <v>1200</v>
      </c>
      <c r="BA1023">
        <v>1</v>
      </c>
      <c r="BB1023" t="str">
        <f t="shared" si="296"/>
        <v xml:space="preserve">N733KP  </v>
      </c>
      <c r="BC1023">
        <v>1</v>
      </c>
      <c r="BE1023">
        <v>0</v>
      </c>
      <c r="BF1023">
        <v>0</v>
      </c>
      <c r="BG1023">
        <v>0</v>
      </c>
      <c r="BH1023">
        <v>3425</v>
      </c>
      <c r="BI1023">
        <v>1</v>
      </c>
      <c r="BJ1023">
        <v>1</v>
      </c>
      <c r="BK1023">
        <v>0</v>
      </c>
      <c r="BL1023">
        <v>0</v>
      </c>
      <c r="BO1023">
        <v>0</v>
      </c>
      <c r="BP1023">
        <v>0</v>
      </c>
      <c r="BW1023" t="str">
        <f>"22:13:45.799"</f>
        <v>22:13:45.799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6</v>
      </c>
      <c r="CP1023" t="s">
        <v>119</v>
      </c>
      <c r="CQ1023">
        <v>364</v>
      </c>
      <c r="CR1023">
        <v>0</v>
      </c>
      <c r="CW1023">
        <v>1402915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"03/24/2022 22:13:47.319"</f>
        <v>03/24/2022 22:13:47.319</v>
      </c>
      <c r="C1024" t="str">
        <f t="shared" si="295"/>
        <v>FFDFD3C0</v>
      </c>
      <c r="D1024" t="s">
        <v>113</v>
      </c>
      <c r="E1024">
        <v>24</v>
      </c>
      <c r="F1024">
        <v>2024</v>
      </c>
      <c r="G1024" t="s">
        <v>114</v>
      </c>
      <c r="J1024" t="s">
        <v>115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S1024" t="str">
        <f t="shared" ref="S1024:T1027" si="307">"22:13:46.000"</f>
        <v>22:13:46.000</v>
      </c>
      <c r="T1024" t="str">
        <f t="shared" si="307"/>
        <v>22:13:46.000</v>
      </c>
      <c r="U1024" t="str">
        <f t="shared" si="289"/>
        <v>A9D71F</v>
      </c>
      <c r="V1024">
        <v>0</v>
      </c>
      <c r="W1024">
        <v>0</v>
      </c>
      <c r="X1024">
        <v>2</v>
      </c>
      <c r="Z1024">
        <v>1</v>
      </c>
      <c r="AA1024">
        <v>7</v>
      </c>
      <c r="AB1024">
        <v>3</v>
      </c>
      <c r="AC1024">
        <v>0</v>
      </c>
      <c r="AD1024">
        <v>9</v>
      </c>
      <c r="AE1024">
        <v>0</v>
      </c>
      <c r="AF1024">
        <v>3</v>
      </c>
      <c r="AG1024">
        <v>1</v>
      </c>
      <c r="AH1024">
        <v>0</v>
      </c>
      <c r="AI1024" t="s">
        <v>560</v>
      </c>
      <c r="AJ1024">
        <v>33.146503000000003</v>
      </c>
      <c r="AK1024" t="s">
        <v>561</v>
      </c>
      <c r="AL1024">
        <v>-97.718603999999999</v>
      </c>
      <c r="AM1024">
        <v>25</v>
      </c>
      <c r="AN1024">
        <v>3500</v>
      </c>
      <c r="AO1024" t="s">
        <v>118</v>
      </c>
      <c r="AP1024">
        <v>55</v>
      </c>
      <c r="AQ1024">
        <v>-93</v>
      </c>
      <c r="AR1024">
        <v>-128</v>
      </c>
      <c r="AZ1024">
        <v>1200</v>
      </c>
      <c r="BA1024">
        <v>1</v>
      </c>
      <c r="BB1024" t="str">
        <f t="shared" si="296"/>
        <v xml:space="preserve">N733KP  </v>
      </c>
      <c r="BC1024">
        <v>1</v>
      </c>
      <c r="BE1024">
        <v>0</v>
      </c>
      <c r="BF1024">
        <v>0</v>
      </c>
      <c r="BG1024">
        <v>0</v>
      </c>
      <c r="BH1024">
        <v>3425</v>
      </c>
      <c r="BI1024">
        <v>1</v>
      </c>
      <c r="BJ1024">
        <v>1</v>
      </c>
      <c r="BK1024">
        <v>0</v>
      </c>
      <c r="BL1024">
        <v>0</v>
      </c>
      <c r="BO1024">
        <v>0</v>
      </c>
      <c r="BP1024">
        <v>0</v>
      </c>
      <c r="BW1024" t="str">
        <f>"22:13:46.936"</f>
        <v>22:13:46.936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6</v>
      </c>
      <c r="CP1024" t="s">
        <v>119</v>
      </c>
      <c r="CQ1024">
        <v>364</v>
      </c>
      <c r="CR1024">
        <v>0</v>
      </c>
      <c r="CW1024">
        <v>1403093</v>
      </c>
      <c r="CY1024">
        <v>1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"03/24/2022 22:13:47.319"</f>
        <v>03/24/2022 22:13:47.319</v>
      </c>
      <c r="C1025" t="str">
        <f t="shared" si="295"/>
        <v>FFDFD3C0</v>
      </c>
      <c r="D1025" t="s">
        <v>120</v>
      </c>
      <c r="E1025">
        <v>14</v>
      </c>
      <c r="F1025">
        <v>1014</v>
      </c>
      <c r="G1025" t="s">
        <v>121</v>
      </c>
      <c r="J1025" t="s">
        <v>122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S1025" t="str">
        <f t="shared" si="307"/>
        <v>22:13:46.000</v>
      </c>
      <c r="T1025" t="str">
        <f t="shared" si="307"/>
        <v>22:13:46.000</v>
      </c>
      <c r="U1025" t="str">
        <f t="shared" si="289"/>
        <v>A9D71F</v>
      </c>
      <c r="V1025">
        <v>0</v>
      </c>
      <c r="W1025">
        <v>0</v>
      </c>
      <c r="X1025">
        <v>2</v>
      </c>
      <c r="Z1025">
        <v>1</v>
      </c>
      <c r="AA1025">
        <v>7</v>
      </c>
      <c r="AB1025">
        <v>3</v>
      </c>
      <c r="AC1025">
        <v>0</v>
      </c>
      <c r="AD1025">
        <v>9</v>
      </c>
      <c r="AE1025">
        <v>0</v>
      </c>
      <c r="AF1025">
        <v>3</v>
      </c>
      <c r="AG1025">
        <v>1</v>
      </c>
      <c r="AH1025">
        <v>0</v>
      </c>
      <c r="AI1025" t="s">
        <v>560</v>
      </c>
      <c r="AJ1025">
        <v>33.146503000000003</v>
      </c>
      <c r="AK1025" t="s">
        <v>561</v>
      </c>
      <c r="AL1025">
        <v>-97.718603999999999</v>
      </c>
      <c r="AM1025">
        <v>25</v>
      </c>
      <c r="AN1025">
        <v>3500</v>
      </c>
      <c r="AO1025" t="s">
        <v>118</v>
      </c>
      <c r="AP1025">
        <v>55</v>
      </c>
      <c r="AQ1025">
        <v>-93</v>
      </c>
      <c r="AR1025">
        <v>-128</v>
      </c>
      <c r="AZ1025">
        <v>1200</v>
      </c>
      <c r="BA1025">
        <v>1</v>
      </c>
      <c r="BB1025" t="str">
        <f t="shared" si="296"/>
        <v xml:space="preserve">N733KP  </v>
      </c>
      <c r="BC1025">
        <v>1</v>
      </c>
      <c r="BE1025">
        <v>0</v>
      </c>
      <c r="BF1025">
        <v>0</v>
      </c>
      <c r="BG1025">
        <v>0</v>
      </c>
      <c r="BH1025">
        <v>3425</v>
      </c>
      <c r="BI1025">
        <v>1</v>
      </c>
      <c r="BJ1025">
        <v>1</v>
      </c>
      <c r="BK1025">
        <v>0</v>
      </c>
      <c r="BL1025">
        <v>0</v>
      </c>
      <c r="BO1025">
        <v>0</v>
      </c>
      <c r="BP1025">
        <v>0</v>
      </c>
      <c r="BW1025" t="str">
        <f>"22:13:46.936"</f>
        <v>22:13:46.936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6</v>
      </c>
      <c r="CP1025" t="s">
        <v>119</v>
      </c>
      <c r="CQ1025">
        <v>364</v>
      </c>
      <c r="CR1025">
        <v>0</v>
      </c>
      <c r="CW1025">
        <v>1403093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"03/24/2022 22:13:47.319"</f>
        <v>03/24/2022 22:13:47.319</v>
      </c>
      <c r="C1026" t="str">
        <f t="shared" si="295"/>
        <v>FFDFD3C0</v>
      </c>
      <c r="D1026" t="s">
        <v>126</v>
      </c>
      <c r="E1026">
        <v>3</v>
      </c>
      <c r="H1026">
        <v>160</v>
      </c>
      <c r="I1026" t="s">
        <v>121</v>
      </c>
      <c r="J1026" t="s">
        <v>127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S1026" t="str">
        <f t="shared" si="307"/>
        <v>22:13:46.000</v>
      </c>
      <c r="T1026" t="str">
        <f t="shared" si="307"/>
        <v>22:13:46.000</v>
      </c>
      <c r="U1026" t="str">
        <f t="shared" ref="U1026:U1089" si="308">"A9D71F"</f>
        <v>A9D71F</v>
      </c>
      <c r="V1026">
        <v>0</v>
      </c>
      <c r="W1026">
        <v>0</v>
      </c>
      <c r="X1026">
        <v>2</v>
      </c>
      <c r="Z1026">
        <v>1</v>
      </c>
      <c r="AA1026">
        <v>7</v>
      </c>
      <c r="AB1026">
        <v>3</v>
      </c>
      <c r="AC1026">
        <v>0</v>
      </c>
      <c r="AD1026">
        <v>9</v>
      </c>
      <c r="AE1026">
        <v>0</v>
      </c>
      <c r="AF1026">
        <v>3</v>
      </c>
      <c r="AG1026">
        <v>1</v>
      </c>
      <c r="AH1026">
        <v>0</v>
      </c>
      <c r="AI1026" t="s">
        <v>560</v>
      </c>
      <c r="AJ1026">
        <v>33.146503000000003</v>
      </c>
      <c r="AK1026" t="s">
        <v>561</v>
      </c>
      <c r="AL1026">
        <v>-97.718603999999999</v>
      </c>
      <c r="AM1026">
        <v>25</v>
      </c>
      <c r="AN1026">
        <v>3500</v>
      </c>
      <c r="AO1026" t="s">
        <v>118</v>
      </c>
      <c r="AP1026">
        <v>55</v>
      </c>
      <c r="AQ1026">
        <v>-93</v>
      </c>
      <c r="AR1026">
        <v>-128</v>
      </c>
      <c r="AZ1026">
        <v>1200</v>
      </c>
      <c r="BA1026">
        <v>1</v>
      </c>
      <c r="BB1026" t="str">
        <f t="shared" si="296"/>
        <v xml:space="preserve">N733KP  </v>
      </c>
      <c r="BC1026">
        <v>1</v>
      </c>
      <c r="BE1026">
        <v>0</v>
      </c>
      <c r="BF1026">
        <v>0</v>
      </c>
      <c r="BG1026">
        <v>0</v>
      </c>
      <c r="BH1026">
        <v>3425</v>
      </c>
      <c r="BI1026">
        <v>1</v>
      </c>
      <c r="BJ1026">
        <v>1</v>
      </c>
      <c r="BK1026">
        <v>0</v>
      </c>
      <c r="BL1026">
        <v>0</v>
      </c>
      <c r="BO1026">
        <v>0</v>
      </c>
      <c r="BP1026">
        <v>0</v>
      </c>
      <c r="BW1026" t="str">
        <f>"22:13:46.936"</f>
        <v>22:13:46.936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6</v>
      </c>
      <c r="CP1026" t="s">
        <v>119</v>
      </c>
      <c r="CQ1026">
        <v>364</v>
      </c>
      <c r="CR1026">
        <v>0</v>
      </c>
      <c r="CW1026">
        <v>1403093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"03/24/2022 22:13:47.319"</f>
        <v>03/24/2022 22:13:47.319</v>
      </c>
      <c r="C1027" t="str">
        <f t="shared" si="295"/>
        <v>FFDFD3C0</v>
      </c>
      <c r="D1027" t="s">
        <v>123</v>
      </c>
      <c r="E1027">
        <v>8</v>
      </c>
      <c r="H1027">
        <v>31</v>
      </c>
      <c r="I1027" t="s">
        <v>124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S1027" t="str">
        <f t="shared" si="307"/>
        <v>22:13:46.000</v>
      </c>
      <c r="T1027" t="str">
        <f t="shared" si="307"/>
        <v>22:13:46.000</v>
      </c>
      <c r="U1027" t="str">
        <f t="shared" si="308"/>
        <v>A9D71F</v>
      </c>
      <c r="V1027">
        <v>0</v>
      </c>
      <c r="W1027">
        <v>0</v>
      </c>
      <c r="X1027">
        <v>2</v>
      </c>
      <c r="Z1027">
        <v>1</v>
      </c>
      <c r="AA1027">
        <v>7</v>
      </c>
      <c r="AB1027">
        <v>3</v>
      </c>
      <c r="AC1027">
        <v>0</v>
      </c>
      <c r="AD1027">
        <v>9</v>
      </c>
      <c r="AE1027">
        <v>0</v>
      </c>
      <c r="AF1027">
        <v>3</v>
      </c>
      <c r="AG1027">
        <v>1</v>
      </c>
      <c r="AH1027">
        <v>0</v>
      </c>
      <c r="AI1027" t="s">
        <v>560</v>
      </c>
      <c r="AJ1027">
        <v>33.146503000000003</v>
      </c>
      <c r="AK1027" t="s">
        <v>561</v>
      </c>
      <c r="AL1027">
        <v>-97.718603999999999</v>
      </c>
      <c r="AM1027">
        <v>25</v>
      </c>
      <c r="AN1027">
        <v>3500</v>
      </c>
      <c r="AO1027" t="s">
        <v>118</v>
      </c>
      <c r="AP1027">
        <v>55</v>
      </c>
      <c r="AQ1027">
        <v>-93</v>
      </c>
      <c r="AR1027">
        <v>-128</v>
      </c>
      <c r="AZ1027">
        <v>1200</v>
      </c>
      <c r="BA1027">
        <v>1</v>
      </c>
      <c r="BB1027" t="str">
        <f t="shared" si="296"/>
        <v xml:space="preserve">N733KP  </v>
      </c>
      <c r="BC1027">
        <v>1</v>
      </c>
      <c r="BE1027">
        <v>0</v>
      </c>
      <c r="BF1027">
        <v>0</v>
      </c>
      <c r="BG1027">
        <v>0</v>
      </c>
      <c r="BH1027">
        <v>3425</v>
      </c>
      <c r="BI1027">
        <v>1</v>
      </c>
      <c r="BJ1027">
        <v>1</v>
      </c>
      <c r="BK1027">
        <v>0</v>
      </c>
      <c r="BL1027">
        <v>0</v>
      </c>
      <c r="BO1027">
        <v>0</v>
      </c>
      <c r="BP1027">
        <v>0</v>
      </c>
      <c r="BW1027" t="str">
        <f>"22:13:46.936"</f>
        <v>22:13:46.936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6</v>
      </c>
      <c r="CP1027" t="s">
        <v>119</v>
      </c>
      <c r="CQ1027">
        <v>364</v>
      </c>
      <c r="CR1027">
        <v>0</v>
      </c>
      <c r="CW1027">
        <v>1403093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"03/24/2022 22:13:48.116"</f>
        <v>03/24/2022 22:13:48.116</v>
      </c>
      <c r="C1028" t="str">
        <f t="shared" si="295"/>
        <v>FFDFD3C0</v>
      </c>
      <c r="D1028" t="s">
        <v>113</v>
      </c>
      <c r="E1028">
        <v>24</v>
      </c>
      <c r="F1028">
        <v>2024</v>
      </c>
      <c r="G1028" t="s">
        <v>114</v>
      </c>
      <c r="J1028" t="s">
        <v>115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S1028" t="str">
        <f t="shared" ref="S1028:T1031" si="309">"22:13:47.000"</f>
        <v>22:13:47.000</v>
      </c>
      <c r="T1028" t="str">
        <f t="shared" si="309"/>
        <v>22:13:47.000</v>
      </c>
      <c r="U1028" t="str">
        <f t="shared" si="308"/>
        <v>A9D71F</v>
      </c>
      <c r="V1028">
        <v>0</v>
      </c>
      <c r="W1028">
        <v>0</v>
      </c>
      <c r="X1028">
        <v>2</v>
      </c>
      <c r="Z1028">
        <v>1</v>
      </c>
      <c r="AA1028">
        <v>7</v>
      </c>
      <c r="AB1028">
        <v>3</v>
      </c>
      <c r="AC1028">
        <v>0</v>
      </c>
      <c r="AD1028">
        <v>9</v>
      </c>
      <c r="AE1028">
        <v>0</v>
      </c>
      <c r="AF1028">
        <v>3</v>
      </c>
      <c r="AG1028">
        <v>1</v>
      </c>
      <c r="AH1028">
        <v>0</v>
      </c>
      <c r="AI1028" t="s">
        <v>562</v>
      </c>
      <c r="AJ1028">
        <v>33.146031000000001</v>
      </c>
      <c r="AK1028" t="s">
        <v>563</v>
      </c>
      <c r="AL1028">
        <v>-97.718282000000002</v>
      </c>
      <c r="AM1028">
        <v>25</v>
      </c>
      <c r="AN1028">
        <v>3400</v>
      </c>
      <c r="AO1028" t="s">
        <v>118</v>
      </c>
      <c r="AP1028">
        <v>56</v>
      </c>
      <c r="AQ1028">
        <v>-93</v>
      </c>
      <c r="AR1028">
        <v>-128</v>
      </c>
      <c r="AZ1028">
        <v>1200</v>
      </c>
      <c r="BA1028">
        <v>1</v>
      </c>
      <c r="BB1028" t="str">
        <f t="shared" si="296"/>
        <v xml:space="preserve">N733KP  </v>
      </c>
      <c r="BC1028">
        <v>1</v>
      </c>
      <c r="BE1028">
        <v>0</v>
      </c>
      <c r="BF1028">
        <v>0</v>
      </c>
      <c r="BG1028">
        <v>0</v>
      </c>
      <c r="BH1028">
        <v>3450</v>
      </c>
      <c r="BI1028">
        <v>1</v>
      </c>
      <c r="BJ1028">
        <v>1</v>
      </c>
      <c r="BK1028">
        <v>0</v>
      </c>
      <c r="BL1028">
        <v>0</v>
      </c>
      <c r="BO1028">
        <v>0</v>
      </c>
      <c r="BP1028">
        <v>0</v>
      </c>
      <c r="BW1028" t="str">
        <f>"22:13:47.923"</f>
        <v>22:13:47.923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6</v>
      </c>
      <c r="CP1028" t="s">
        <v>119</v>
      </c>
      <c r="CQ1028">
        <v>364</v>
      </c>
      <c r="CR1028">
        <v>0</v>
      </c>
      <c r="CW1028">
        <v>1403257</v>
      </c>
      <c r="CY1028">
        <v>1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"03/24/2022 22:13:48.163"</f>
        <v>03/24/2022 22:13:48.163</v>
      </c>
      <c r="C1029" t="str">
        <f t="shared" si="295"/>
        <v>FFDFD3C0</v>
      </c>
      <c r="D1029" t="s">
        <v>120</v>
      </c>
      <c r="E1029">
        <v>14</v>
      </c>
      <c r="F1029">
        <v>1014</v>
      </c>
      <c r="G1029" t="s">
        <v>121</v>
      </c>
      <c r="J1029" t="s">
        <v>122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S1029" t="str">
        <f t="shared" si="309"/>
        <v>22:13:47.000</v>
      </c>
      <c r="T1029" t="str">
        <f t="shared" si="309"/>
        <v>22:13:47.000</v>
      </c>
      <c r="U1029" t="str">
        <f t="shared" si="308"/>
        <v>A9D71F</v>
      </c>
      <c r="V1029">
        <v>0</v>
      </c>
      <c r="W1029">
        <v>0</v>
      </c>
      <c r="X1029">
        <v>2</v>
      </c>
      <c r="Z1029">
        <v>1</v>
      </c>
      <c r="AA1029">
        <v>7</v>
      </c>
      <c r="AB1029">
        <v>3</v>
      </c>
      <c r="AC1029">
        <v>0</v>
      </c>
      <c r="AD1029">
        <v>9</v>
      </c>
      <c r="AE1029">
        <v>0</v>
      </c>
      <c r="AF1029">
        <v>3</v>
      </c>
      <c r="AG1029">
        <v>1</v>
      </c>
      <c r="AH1029">
        <v>0</v>
      </c>
      <c r="AI1029" t="s">
        <v>562</v>
      </c>
      <c r="AJ1029">
        <v>33.146031000000001</v>
      </c>
      <c r="AK1029" t="s">
        <v>563</v>
      </c>
      <c r="AL1029">
        <v>-97.718282000000002</v>
      </c>
      <c r="AM1029">
        <v>25</v>
      </c>
      <c r="AN1029">
        <v>3400</v>
      </c>
      <c r="AO1029" t="s">
        <v>118</v>
      </c>
      <c r="AP1029">
        <v>56</v>
      </c>
      <c r="AQ1029">
        <v>-93</v>
      </c>
      <c r="AR1029">
        <v>-128</v>
      </c>
      <c r="AZ1029">
        <v>1200</v>
      </c>
      <c r="BA1029">
        <v>1</v>
      </c>
      <c r="BB1029" t="str">
        <f t="shared" si="296"/>
        <v xml:space="preserve">N733KP  </v>
      </c>
      <c r="BC1029">
        <v>1</v>
      </c>
      <c r="BE1029">
        <v>0</v>
      </c>
      <c r="BF1029">
        <v>0</v>
      </c>
      <c r="BG1029">
        <v>0</v>
      </c>
      <c r="BH1029">
        <v>3450</v>
      </c>
      <c r="BI1029">
        <v>1</v>
      </c>
      <c r="BJ1029">
        <v>1</v>
      </c>
      <c r="BK1029">
        <v>0</v>
      </c>
      <c r="BL1029">
        <v>0</v>
      </c>
      <c r="BO1029">
        <v>0</v>
      </c>
      <c r="BP1029">
        <v>0</v>
      </c>
      <c r="BW1029" t="str">
        <f>"22:13:47.923"</f>
        <v>22:13:47.923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6</v>
      </c>
      <c r="CP1029" t="s">
        <v>119</v>
      </c>
      <c r="CQ1029">
        <v>364</v>
      </c>
      <c r="CR1029">
        <v>0</v>
      </c>
      <c r="CW1029">
        <v>1403257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"03/24/2022 22:13:48.163"</f>
        <v>03/24/2022 22:13:48.163</v>
      </c>
      <c r="C1030" t="str">
        <f t="shared" si="295"/>
        <v>FFDFD3C0</v>
      </c>
      <c r="D1030" t="s">
        <v>123</v>
      </c>
      <c r="E1030">
        <v>8</v>
      </c>
      <c r="H1030">
        <v>31</v>
      </c>
      <c r="I1030" t="s">
        <v>124</v>
      </c>
      <c r="J1030" t="s">
        <v>125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S1030" t="str">
        <f t="shared" si="309"/>
        <v>22:13:47.000</v>
      </c>
      <c r="T1030" t="str">
        <f t="shared" si="309"/>
        <v>22:13:47.000</v>
      </c>
      <c r="U1030" t="str">
        <f t="shared" si="308"/>
        <v>A9D71F</v>
      </c>
      <c r="V1030">
        <v>0</v>
      </c>
      <c r="W1030">
        <v>0</v>
      </c>
      <c r="X1030">
        <v>2</v>
      </c>
      <c r="Z1030">
        <v>1</v>
      </c>
      <c r="AA1030">
        <v>7</v>
      </c>
      <c r="AB1030">
        <v>3</v>
      </c>
      <c r="AC1030">
        <v>0</v>
      </c>
      <c r="AD1030">
        <v>9</v>
      </c>
      <c r="AE1030">
        <v>0</v>
      </c>
      <c r="AF1030">
        <v>3</v>
      </c>
      <c r="AG1030">
        <v>1</v>
      </c>
      <c r="AH1030">
        <v>0</v>
      </c>
      <c r="AI1030" t="s">
        <v>562</v>
      </c>
      <c r="AJ1030">
        <v>33.146031000000001</v>
      </c>
      <c r="AK1030" t="s">
        <v>563</v>
      </c>
      <c r="AL1030">
        <v>-97.718282000000002</v>
      </c>
      <c r="AM1030">
        <v>25</v>
      </c>
      <c r="AN1030">
        <v>3400</v>
      </c>
      <c r="AO1030" t="s">
        <v>118</v>
      </c>
      <c r="AP1030">
        <v>56</v>
      </c>
      <c r="AQ1030">
        <v>-93</v>
      </c>
      <c r="AR1030">
        <v>-128</v>
      </c>
      <c r="AZ1030">
        <v>1200</v>
      </c>
      <c r="BA1030">
        <v>1</v>
      </c>
      <c r="BB1030" t="str">
        <f t="shared" si="296"/>
        <v xml:space="preserve">N733KP  </v>
      </c>
      <c r="BC1030">
        <v>1</v>
      </c>
      <c r="BE1030">
        <v>0</v>
      </c>
      <c r="BF1030">
        <v>0</v>
      </c>
      <c r="BG1030">
        <v>0</v>
      </c>
      <c r="BH1030">
        <v>3450</v>
      </c>
      <c r="BI1030">
        <v>1</v>
      </c>
      <c r="BJ1030">
        <v>1</v>
      </c>
      <c r="BK1030">
        <v>0</v>
      </c>
      <c r="BL1030">
        <v>0</v>
      </c>
      <c r="BO1030">
        <v>0</v>
      </c>
      <c r="BP1030">
        <v>0</v>
      </c>
      <c r="BW1030" t="str">
        <f>"22:13:47.923"</f>
        <v>22:13:47.923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6</v>
      </c>
      <c r="CP1030" t="s">
        <v>119</v>
      </c>
      <c r="CQ1030">
        <v>364</v>
      </c>
      <c r="CR1030">
        <v>0</v>
      </c>
      <c r="CW1030">
        <v>1403257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"03/24/2022 22:13:48.163"</f>
        <v>03/24/2022 22:13:48.163</v>
      </c>
      <c r="C1031" t="str">
        <f t="shared" si="295"/>
        <v>FFDFD3C0</v>
      </c>
      <c r="D1031" t="s">
        <v>126</v>
      </c>
      <c r="E1031">
        <v>3</v>
      </c>
      <c r="H1031">
        <v>160</v>
      </c>
      <c r="I1031" t="s">
        <v>121</v>
      </c>
      <c r="J1031" t="s">
        <v>127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S1031" t="str">
        <f t="shared" si="309"/>
        <v>22:13:47.000</v>
      </c>
      <c r="T1031" t="str">
        <f t="shared" si="309"/>
        <v>22:13:47.000</v>
      </c>
      <c r="U1031" t="str">
        <f t="shared" si="308"/>
        <v>A9D71F</v>
      </c>
      <c r="V1031">
        <v>0</v>
      </c>
      <c r="W1031">
        <v>0</v>
      </c>
      <c r="X1031">
        <v>2</v>
      </c>
      <c r="Z1031">
        <v>1</v>
      </c>
      <c r="AA1031">
        <v>7</v>
      </c>
      <c r="AB1031">
        <v>3</v>
      </c>
      <c r="AC1031">
        <v>0</v>
      </c>
      <c r="AD1031">
        <v>9</v>
      </c>
      <c r="AE1031">
        <v>0</v>
      </c>
      <c r="AF1031">
        <v>3</v>
      </c>
      <c r="AG1031">
        <v>1</v>
      </c>
      <c r="AH1031">
        <v>0</v>
      </c>
      <c r="AI1031" t="s">
        <v>562</v>
      </c>
      <c r="AJ1031">
        <v>33.146031000000001</v>
      </c>
      <c r="AK1031" t="s">
        <v>563</v>
      </c>
      <c r="AL1031">
        <v>-97.718282000000002</v>
      </c>
      <c r="AM1031">
        <v>25</v>
      </c>
      <c r="AN1031">
        <v>3400</v>
      </c>
      <c r="AO1031" t="s">
        <v>118</v>
      </c>
      <c r="AP1031">
        <v>56</v>
      </c>
      <c r="AQ1031">
        <v>-93</v>
      </c>
      <c r="AR1031">
        <v>-128</v>
      </c>
      <c r="AZ1031">
        <v>1200</v>
      </c>
      <c r="BA1031">
        <v>1</v>
      </c>
      <c r="BB1031" t="str">
        <f t="shared" si="296"/>
        <v xml:space="preserve">N733KP  </v>
      </c>
      <c r="BC1031">
        <v>1</v>
      </c>
      <c r="BE1031">
        <v>0</v>
      </c>
      <c r="BF1031">
        <v>0</v>
      </c>
      <c r="BG1031">
        <v>0</v>
      </c>
      <c r="BH1031">
        <v>3450</v>
      </c>
      <c r="BI1031">
        <v>1</v>
      </c>
      <c r="BJ1031">
        <v>1</v>
      </c>
      <c r="BK1031">
        <v>0</v>
      </c>
      <c r="BL1031">
        <v>0</v>
      </c>
      <c r="BO1031">
        <v>0</v>
      </c>
      <c r="BP1031">
        <v>0</v>
      </c>
      <c r="BW1031" t="str">
        <f>"22:13:47.923"</f>
        <v>22:13:47.923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6</v>
      </c>
      <c r="CP1031" t="s">
        <v>119</v>
      </c>
      <c r="CQ1031">
        <v>364</v>
      </c>
      <c r="CR1031">
        <v>0</v>
      </c>
      <c r="CW1031">
        <v>1403257</v>
      </c>
      <c r="CY1031">
        <v>1</v>
      </c>
      <c r="CZ1031">
        <v>0</v>
      </c>
      <c r="DA1031">
        <v>1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"03/24/2022 22:13:48.743"</f>
        <v>03/24/2022 22:13:48.743</v>
      </c>
      <c r="C1032" t="str">
        <f t="shared" si="295"/>
        <v>FFDFD3C0</v>
      </c>
      <c r="D1032" t="s">
        <v>113</v>
      </c>
      <c r="E1032">
        <v>24</v>
      </c>
      <c r="F1032">
        <v>2024</v>
      </c>
      <c r="G1032" t="s">
        <v>114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S1032" t="str">
        <f t="shared" ref="S1032:T1035" si="310">"22:13:48.000"</f>
        <v>22:13:48.000</v>
      </c>
      <c r="T1032" t="str">
        <f t="shared" si="310"/>
        <v>22:13:48.000</v>
      </c>
      <c r="U1032" t="str">
        <f t="shared" si="308"/>
        <v>A9D71F</v>
      </c>
      <c r="V1032">
        <v>0</v>
      </c>
      <c r="W1032">
        <v>0</v>
      </c>
      <c r="X1032">
        <v>2</v>
      </c>
      <c r="Z1032">
        <v>1</v>
      </c>
      <c r="AA1032">
        <v>7</v>
      </c>
      <c r="AB1032">
        <v>3</v>
      </c>
      <c r="AC1032">
        <v>0</v>
      </c>
      <c r="AD1032">
        <v>9</v>
      </c>
      <c r="AE1032">
        <v>0</v>
      </c>
      <c r="AF1032">
        <v>3</v>
      </c>
      <c r="AG1032">
        <v>1</v>
      </c>
      <c r="AH1032">
        <v>0</v>
      </c>
      <c r="AI1032" t="s">
        <v>564</v>
      </c>
      <c r="AJ1032">
        <v>33.145623000000001</v>
      </c>
      <c r="AK1032" t="s">
        <v>565</v>
      </c>
      <c r="AL1032">
        <v>-97.717980999999995</v>
      </c>
      <c r="AM1032">
        <v>25</v>
      </c>
      <c r="AN1032">
        <v>3400</v>
      </c>
      <c r="AO1032" t="s">
        <v>118</v>
      </c>
      <c r="AP1032">
        <v>56</v>
      </c>
      <c r="AQ1032">
        <v>-93</v>
      </c>
      <c r="AR1032">
        <v>-64</v>
      </c>
      <c r="AZ1032">
        <v>1200</v>
      </c>
      <c r="BA1032">
        <v>1</v>
      </c>
      <c r="BB1032" t="str">
        <f t="shared" si="296"/>
        <v xml:space="preserve">N733KP  </v>
      </c>
      <c r="BC1032">
        <v>1</v>
      </c>
      <c r="BE1032">
        <v>0</v>
      </c>
      <c r="BF1032">
        <v>0</v>
      </c>
      <c r="BG1032">
        <v>0</v>
      </c>
      <c r="BH1032">
        <v>3450</v>
      </c>
      <c r="BI1032">
        <v>1</v>
      </c>
      <c r="BJ1032">
        <v>1</v>
      </c>
      <c r="BK1032">
        <v>0</v>
      </c>
      <c r="BL1032">
        <v>0</v>
      </c>
      <c r="BO1032">
        <v>0</v>
      </c>
      <c r="BP1032">
        <v>0</v>
      </c>
      <c r="BW1032" t="str">
        <f>"22:13:48.450"</f>
        <v>22:13:48.450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6</v>
      </c>
      <c r="CP1032" t="s">
        <v>119</v>
      </c>
      <c r="CQ1032">
        <v>364</v>
      </c>
      <c r="CR1032">
        <v>0</v>
      </c>
      <c r="CW1032">
        <v>1403354</v>
      </c>
      <c r="CY1032">
        <v>1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"03/24/2022 22:13:48.743"</f>
        <v>03/24/2022 22:13:48.743</v>
      </c>
      <c r="C1033" t="str">
        <f t="shared" si="295"/>
        <v>FFDFD3C0</v>
      </c>
      <c r="D1033" t="s">
        <v>120</v>
      </c>
      <c r="E1033">
        <v>14</v>
      </c>
      <c r="F1033">
        <v>1014</v>
      </c>
      <c r="G1033" t="s">
        <v>121</v>
      </c>
      <c r="J1033" t="s">
        <v>122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S1033" t="str">
        <f t="shared" si="310"/>
        <v>22:13:48.000</v>
      </c>
      <c r="T1033" t="str">
        <f t="shared" si="310"/>
        <v>22:13:48.000</v>
      </c>
      <c r="U1033" t="str">
        <f t="shared" si="308"/>
        <v>A9D71F</v>
      </c>
      <c r="V1033">
        <v>0</v>
      </c>
      <c r="W1033">
        <v>0</v>
      </c>
      <c r="X1033">
        <v>2</v>
      </c>
      <c r="Z1033">
        <v>1</v>
      </c>
      <c r="AA1033">
        <v>7</v>
      </c>
      <c r="AB1033">
        <v>3</v>
      </c>
      <c r="AC1033">
        <v>0</v>
      </c>
      <c r="AD1033">
        <v>9</v>
      </c>
      <c r="AE1033">
        <v>0</v>
      </c>
      <c r="AF1033">
        <v>3</v>
      </c>
      <c r="AG1033">
        <v>1</v>
      </c>
      <c r="AH1033">
        <v>0</v>
      </c>
      <c r="AI1033" t="s">
        <v>564</v>
      </c>
      <c r="AJ1033">
        <v>33.145623000000001</v>
      </c>
      <c r="AK1033" t="s">
        <v>565</v>
      </c>
      <c r="AL1033">
        <v>-97.717980999999995</v>
      </c>
      <c r="AM1033">
        <v>25</v>
      </c>
      <c r="AN1033">
        <v>3400</v>
      </c>
      <c r="AO1033" t="s">
        <v>118</v>
      </c>
      <c r="AP1033">
        <v>56</v>
      </c>
      <c r="AQ1033">
        <v>-93</v>
      </c>
      <c r="AR1033">
        <v>-64</v>
      </c>
      <c r="AZ1033">
        <v>1200</v>
      </c>
      <c r="BA1033">
        <v>1</v>
      </c>
      <c r="BB1033" t="str">
        <f t="shared" si="296"/>
        <v xml:space="preserve">N733KP  </v>
      </c>
      <c r="BC1033">
        <v>1</v>
      </c>
      <c r="BE1033">
        <v>0</v>
      </c>
      <c r="BF1033">
        <v>0</v>
      </c>
      <c r="BG1033">
        <v>0</v>
      </c>
      <c r="BH1033">
        <v>3450</v>
      </c>
      <c r="BI1033">
        <v>1</v>
      </c>
      <c r="BJ1033">
        <v>1</v>
      </c>
      <c r="BK1033">
        <v>0</v>
      </c>
      <c r="BL1033">
        <v>0</v>
      </c>
      <c r="BO1033">
        <v>0</v>
      </c>
      <c r="BP1033">
        <v>0</v>
      </c>
      <c r="BW1033" t="str">
        <f>"22:13:48.450"</f>
        <v>22:13:48.450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6</v>
      </c>
      <c r="CP1033" t="s">
        <v>119</v>
      </c>
      <c r="CQ1033">
        <v>364</v>
      </c>
      <c r="CR1033">
        <v>0</v>
      </c>
      <c r="CW1033">
        <v>1403354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"03/24/2022 22:13:48.743"</f>
        <v>03/24/2022 22:13:48.743</v>
      </c>
      <c r="C1034" t="str">
        <f t="shared" si="295"/>
        <v>FFDFD3C0</v>
      </c>
      <c r="D1034" t="s">
        <v>123</v>
      </c>
      <c r="E1034">
        <v>8</v>
      </c>
      <c r="H1034">
        <v>31</v>
      </c>
      <c r="I1034" t="s">
        <v>124</v>
      </c>
      <c r="J1034" t="s">
        <v>125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S1034" t="str">
        <f t="shared" si="310"/>
        <v>22:13:48.000</v>
      </c>
      <c r="T1034" t="str">
        <f t="shared" si="310"/>
        <v>22:13:48.000</v>
      </c>
      <c r="U1034" t="str">
        <f t="shared" si="308"/>
        <v>A9D71F</v>
      </c>
      <c r="V1034">
        <v>0</v>
      </c>
      <c r="W1034">
        <v>0</v>
      </c>
      <c r="X1034">
        <v>2</v>
      </c>
      <c r="Z1034">
        <v>1</v>
      </c>
      <c r="AA1034">
        <v>7</v>
      </c>
      <c r="AB1034">
        <v>3</v>
      </c>
      <c r="AC1034">
        <v>0</v>
      </c>
      <c r="AD1034">
        <v>9</v>
      </c>
      <c r="AE1034">
        <v>0</v>
      </c>
      <c r="AF1034">
        <v>3</v>
      </c>
      <c r="AG1034">
        <v>1</v>
      </c>
      <c r="AH1034">
        <v>0</v>
      </c>
      <c r="AI1034" t="s">
        <v>564</v>
      </c>
      <c r="AJ1034">
        <v>33.145623000000001</v>
      </c>
      <c r="AK1034" t="s">
        <v>565</v>
      </c>
      <c r="AL1034">
        <v>-97.717980999999995</v>
      </c>
      <c r="AM1034">
        <v>25</v>
      </c>
      <c r="AN1034">
        <v>3400</v>
      </c>
      <c r="AO1034" t="s">
        <v>118</v>
      </c>
      <c r="AP1034">
        <v>56</v>
      </c>
      <c r="AQ1034">
        <v>-93</v>
      </c>
      <c r="AR1034">
        <v>-64</v>
      </c>
      <c r="AZ1034">
        <v>1200</v>
      </c>
      <c r="BA1034">
        <v>1</v>
      </c>
      <c r="BB1034" t="str">
        <f t="shared" si="296"/>
        <v xml:space="preserve">N733KP  </v>
      </c>
      <c r="BC1034">
        <v>1</v>
      </c>
      <c r="BE1034">
        <v>0</v>
      </c>
      <c r="BF1034">
        <v>0</v>
      </c>
      <c r="BG1034">
        <v>0</v>
      </c>
      <c r="BH1034">
        <v>3450</v>
      </c>
      <c r="BI1034">
        <v>1</v>
      </c>
      <c r="BJ1034">
        <v>1</v>
      </c>
      <c r="BK1034">
        <v>0</v>
      </c>
      <c r="BL1034">
        <v>0</v>
      </c>
      <c r="BO1034">
        <v>0</v>
      </c>
      <c r="BP1034">
        <v>0</v>
      </c>
      <c r="BW1034" t="str">
        <f>"22:13:48.450"</f>
        <v>22:13:48.450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6</v>
      </c>
      <c r="CP1034" t="s">
        <v>119</v>
      </c>
      <c r="CQ1034">
        <v>364</v>
      </c>
      <c r="CR1034">
        <v>0</v>
      </c>
      <c r="CW1034">
        <v>1403354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"03/24/2022 22:13:48.743"</f>
        <v>03/24/2022 22:13:48.743</v>
      </c>
      <c r="C1035" t="str">
        <f t="shared" si="295"/>
        <v>FFDFD3C0</v>
      </c>
      <c r="D1035" t="s">
        <v>126</v>
      </c>
      <c r="E1035">
        <v>3</v>
      </c>
      <c r="H1035">
        <v>160</v>
      </c>
      <c r="I1035" t="s">
        <v>121</v>
      </c>
      <c r="J1035" t="s">
        <v>127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S1035" t="str">
        <f t="shared" si="310"/>
        <v>22:13:48.000</v>
      </c>
      <c r="T1035" t="str">
        <f t="shared" si="310"/>
        <v>22:13:48.000</v>
      </c>
      <c r="U1035" t="str">
        <f t="shared" si="308"/>
        <v>A9D71F</v>
      </c>
      <c r="V1035">
        <v>0</v>
      </c>
      <c r="W1035">
        <v>0</v>
      </c>
      <c r="X1035">
        <v>2</v>
      </c>
      <c r="Z1035">
        <v>1</v>
      </c>
      <c r="AA1035">
        <v>7</v>
      </c>
      <c r="AB1035">
        <v>3</v>
      </c>
      <c r="AC1035">
        <v>0</v>
      </c>
      <c r="AD1035">
        <v>9</v>
      </c>
      <c r="AE1035">
        <v>0</v>
      </c>
      <c r="AF1035">
        <v>3</v>
      </c>
      <c r="AG1035">
        <v>1</v>
      </c>
      <c r="AH1035">
        <v>0</v>
      </c>
      <c r="AI1035" t="s">
        <v>564</v>
      </c>
      <c r="AJ1035">
        <v>33.145623000000001</v>
      </c>
      <c r="AK1035" t="s">
        <v>565</v>
      </c>
      <c r="AL1035">
        <v>-97.717980999999995</v>
      </c>
      <c r="AM1035">
        <v>25</v>
      </c>
      <c r="AN1035">
        <v>3400</v>
      </c>
      <c r="AO1035" t="s">
        <v>118</v>
      </c>
      <c r="AP1035">
        <v>56</v>
      </c>
      <c r="AQ1035">
        <v>-93</v>
      </c>
      <c r="AR1035">
        <v>-64</v>
      </c>
      <c r="AZ1035">
        <v>1200</v>
      </c>
      <c r="BA1035">
        <v>1</v>
      </c>
      <c r="BB1035" t="str">
        <f t="shared" si="296"/>
        <v xml:space="preserve">N733KP  </v>
      </c>
      <c r="BC1035">
        <v>1</v>
      </c>
      <c r="BE1035">
        <v>0</v>
      </c>
      <c r="BF1035">
        <v>0</v>
      </c>
      <c r="BG1035">
        <v>0</v>
      </c>
      <c r="BH1035">
        <v>3450</v>
      </c>
      <c r="BI1035">
        <v>1</v>
      </c>
      <c r="BJ1035">
        <v>1</v>
      </c>
      <c r="BK1035">
        <v>0</v>
      </c>
      <c r="BL1035">
        <v>0</v>
      </c>
      <c r="BO1035">
        <v>0</v>
      </c>
      <c r="BP1035">
        <v>0</v>
      </c>
      <c r="BW1035" t="str">
        <f>"22:13:48.450"</f>
        <v>22:13:48.450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6</v>
      </c>
      <c r="CP1035" t="s">
        <v>119</v>
      </c>
      <c r="CQ1035">
        <v>364</v>
      </c>
      <c r="CR1035">
        <v>0</v>
      </c>
      <c r="CW1035">
        <v>1403354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"03/24/2022 22:13:49.415"</f>
        <v>03/24/2022 22:13:49.415</v>
      </c>
      <c r="C1036" t="str">
        <f t="shared" si="295"/>
        <v>FFDFD3C0</v>
      </c>
      <c r="D1036" t="s">
        <v>113</v>
      </c>
      <c r="E1036">
        <v>24</v>
      </c>
      <c r="F1036">
        <v>2024</v>
      </c>
      <c r="G1036" t="s">
        <v>114</v>
      </c>
      <c r="J1036" t="s">
        <v>115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S1036" t="str">
        <f t="shared" ref="S1036:T1039" si="311">"22:13:49.000"</f>
        <v>22:13:49.000</v>
      </c>
      <c r="T1036" t="str">
        <f t="shared" si="311"/>
        <v>22:13:49.000</v>
      </c>
      <c r="U1036" t="str">
        <f t="shared" si="308"/>
        <v>A9D71F</v>
      </c>
      <c r="V1036">
        <v>0</v>
      </c>
      <c r="W1036">
        <v>0</v>
      </c>
      <c r="X1036">
        <v>2</v>
      </c>
      <c r="Z1036">
        <v>1</v>
      </c>
      <c r="AA1036">
        <v>7</v>
      </c>
      <c r="AB1036">
        <v>3</v>
      </c>
      <c r="AC1036">
        <v>0</v>
      </c>
      <c r="AD1036">
        <v>9</v>
      </c>
      <c r="AE1036">
        <v>0</v>
      </c>
      <c r="AF1036">
        <v>3</v>
      </c>
      <c r="AG1036">
        <v>1</v>
      </c>
      <c r="AH1036">
        <v>0</v>
      </c>
      <c r="AI1036" t="s">
        <v>566</v>
      </c>
      <c r="AJ1036">
        <v>33.145173</v>
      </c>
      <c r="AK1036" t="s">
        <v>567</v>
      </c>
      <c r="AL1036">
        <v>-97.717637999999994</v>
      </c>
      <c r="AM1036">
        <v>25</v>
      </c>
      <c r="AN1036">
        <v>3400</v>
      </c>
      <c r="AO1036" t="s">
        <v>118</v>
      </c>
      <c r="AP1036">
        <v>56</v>
      </c>
      <c r="AQ1036">
        <v>-94</v>
      </c>
      <c r="AR1036">
        <v>0</v>
      </c>
      <c r="AZ1036">
        <v>1200</v>
      </c>
      <c r="BA1036">
        <v>1</v>
      </c>
      <c r="BB1036" t="str">
        <f t="shared" si="296"/>
        <v xml:space="preserve">N733KP  </v>
      </c>
      <c r="BC1036">
        <v>1</v>
      </c>
      <c r="BE1036">
        <v>0</v>
      </c>
      <c r="BF1036">
        <v>0</v>
      </c>
      <c r="BG1036">
        <v>0</v>
      </c>
      <c r="BH1036">
        <v>3450</v>
      </c>
      <c r="BI1036">
        <v>1</v>
      </c>
      <c r="BJ1036">
        <v>1</v>
      </c>
      <c r="BK1036">
        <v>0</v>
      </c>
      <c r="BL1036">
        <v>0</v>
      </c>
      <c r="BO1036">
        <v>0</v>
      </c>
      <c r="BP1036">
        <v>0</v>
      </c>
      <c r="BW1036" t="str">
        <f>"22:13:49.245"</f>
        <v>22:13:49.245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6</v>
      </c>
      <c r="CP1036" t="s">
        <v>119</v>
      </c>
      <c r="CQ1036">
        <v>364</v>
      </c>
      <c r="CR1036">
        <v>0</v>
      </c>
      <c r="CW1036">
        <v>1403497</v>
      </c>
      <c r="CY1036">
        <v>1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"03/24/2022 22:13:49.430"</f>
        <v>03/24/2022 22:13:49.430</v>
      </c>
      <c r="C1037" t="str">
        <f t="shared" si="295"/>
        <v>FFDFD3C0</v>
      </c>
      <c r="D1037" t="s">
        <v>120</v>
      </c>
      <c r="E1037">
        <v>14</v>
      </c>
      <c r="F1037">
        <v>1014</v>
      </c>
      <c r="G1037" t="s">
        <v>121</v>
      </c>
      <c r="J1037" t="s">
        <v>122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S1037" t="str">
        <f t="shared" si="311"/>
        <v>22:13:49.000</v>
      </c>
      <c r="T1037" t="str">
        <f t="shared" si="311"/>
        <v>22:13:49.000</v>
      </c>
      <c r="U1037" t="str">
        <f t="shared" si="308"/>
        <v>A9D71F</v>
      </c>
      <c r="V1037">
        <v>0</v>
      </c>
      <c r="W1037">
        <v>0</v>
      </c>
      <c r="X1037">
        <v>2</v>
      </c>
      <c r="Z1037">
        <v>1</v>
      </c>
      <c r="AA1037">
        <v>7</v>
      </c>
      <c r="AB1037">
        <v>3</v>
      </c>
      <c r="AC1037">
        <v>0</v>
      </c>
      <c r="AD1037">
        <v>9</v>
      </c>
      <c r="AE1037">
        <v>0</v>
      </c>
      <c r="AF1037">
        <v>3</v>
      </c>
      <c r="AG1037">
        <v>1</v>
      </c>
      <c r="AH1037">
        <v>0</v>
      </c>
      <c r="AI1037" t="s">
        <v>566</v>
      </c>
      <c r="AJ1037">
        <v>33.145173</v>
      </c>
      <c r="AK1037" t="s">
        <v>567</v>
      </c>
      <c r="AL1037">
        <v>-97.717637999999994</v>
      </c>
      <c r="AM1037">
        <v>25</v>
      </c>
      <c r="AN1037">
        <v>3400</v>
      </c>
      <c r="AO1037" t="s">
        <v>118</v>
      </c>
      <c r="AP1037">
        <v>56</v>
      </c>
      <c r="AQ1037">
        <v>-94</v>
      </c>
      <c r="AR1037">
        <v>0</v>
      </c>
      <c r="AZ1037">
        <v>1200</v>
      </c>
      <c r="BA1037">
        <v>1</v>
      </c>
      <c r="BB1037" t="str">
        <f t="shared" si="296"/>
        <v xml:space="preserve">N733KP  </v>
      </c>
      <c r="BC1037">
        <v>1</v>
      </c>
      <c r="BE1037">
        <v>0</v>
      </c>
      <c r="BF1037">
        <v>0</v>
      </c>
      <c r="BG1037">
        <v>0</v>
      </c>
      <c r="BH1037">
        <v>3450</v>
      </c>
      <c r="BI1037">
        <v>1</v>
      </c>
      <c r="BJ1037">
        <v>1</v>
      </c>
      <c r="BK1037">
        <v>0</v>
      </c>
      <c r="BL1037">
        <v>0</v>
      </c>
      <c r="BO1037">
        <v>0</v>
      </c>
      <c r="BP1037">
        <v>0</v>
      </c>
      <c r="BW1037" t="str">
        <f>"22:13:49.245"</f>
        <v>22:13:49.245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6</v>
      </c>
      <c r="CP1037" t="s">
        <v>119</v>
      </c>
      <c r="CQ1037">
        <v>364</v>
      </c>
      <c r="CR1037">
        <v>0</v>
      </c>
      <c r="CW1037">
        <v>1403497</v>
      </c>
      <c r="CY1037">
        <v>1</v>
      </c>
      <c r="CZ1037">
        <v>0</v>
      </c>
      <c r="DA1037">
        <v>1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"03/24/2022 22:13:49.430"</f>
        <v>03/24/2022 22:13:49.430</v>
      </c>
      <c r="C1038" t="str">
        <f t="shared" si="295"/>
        <v>FFDFD3C0</v>
      </c>
      <c r="D1038" t="s">
        <v>123</v>
      </c>
      <c r="E1038">
        <v>8</v>
      </c>
      <c r="H1038">
        <v>31</v>
      </c>
      <c r="I1038" t="s">
        <v>124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S1038" t="str">
        <f t="shared" si="311"/>
        <v>22:13:49.000</v>
      </c>
      <c r="T1038" t="str">
        <f t="shared" si="311"/>
        <v>22:13:49.000</v>
      </c>
      <c r="U1038" t="str">
        <f t="shared" si="308"/>
        <v>A9D71F</v>
      </c>
      <c r="V1038">
        <v>0</v>
      </c>
      <c r="W1038">
        <v>0</v>
      </c>
      <c r="X1038">
        <v>2</v>
      </c>
      <c r="Z1038">
        <v>1</v>
      </c>
      <c r="AA1038">
        <v>7</v>
      </c>
      <c r="AB1038">
        <v>3</v>
      </c>
      <c r="AC1038">
        <v>0</v>
      </c>
      <c r="AD1038">
        <v>9</v>
      </c>
      <c r="AE1038">
        <v>0</v>
      </c>
      <c r="AF1038">
        <v>3</v>
      </c>
      <c r="AG1038">
        <v>1</v>
      </c>
      <c r="AH1038">
        <v>0</v>
      </c>
      <c r="AI1038" t="s">
        <v>566</v>
      </c>
      <c r="AJ1038">
        <v>33.145173</v>
      </c>
      <c r="AK1038" t="s">
        <v>567</v>
      </c>
      <c r="AL1038">
        <v>-97.717637999999994</v>
      </c>
      <c r="AM1038">
        <v>25</v>
      </c>
      <c r="AN1038">
        <v>3400</v>
      </c>
      <c r="AO1038" t="s">
        <v>118</v>
      </c>
      <c r="AP1038">
        <v>56</v>
      </c>
      <c r="AQ1038">
        <v>-94</v>
      </c>
      <c r="AR1038">
        <v>0</v>
      </c>
      <c r="AZ1038">
        <v>1200</v>
      </c>
      <c r="BA1038">
        <v>1</v>
      </c>
      <c r="BB1038" t="str">
        <f t="shared" si="296"/>
        <v xml:space="preserve">N733KP  </v>
      </c>
      <c r="BC1038">
        <v>1</v>
      </c>
      <c r="BE1038">
        <v>0</v>
      </c>
      <c r="BF1038">
        <v>0</v>
      </c>
      <c r="BG1038">
        <v>0</v>
      </c>
      <c r="BH1038">
        <v>3450</v>
      </c>
      <c r="BI1038">
        <v>1</v>
      </c>
      <c r="BJ1038">
        <v>1</v>
      </c>
      <c r="BK1038">
        <v>0</v>
      </c>
      <c r="BL1038">
        <v>0</v>
      </c>
      <c r="BO1038">
        <v>0</v>
      </c>
      <c r="BP1038">
        <v>0</v>
      </c>
      <c r="BW1038" t="str">
        <f>"22:13:49.245"</f>
        <v>22:13:49.245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6</v>
      </c>
      <c r="CP1038" t="s">
        <v>119</v>
      </c>
      <c r="CQ1038">
        <v>364</v>
      </c>
      <c r="CR1038">
        <v>0</v>
      </c>
      <c r="CW1038">
        <v>1403497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"03/24/2022 22:13:49.446"</f>
        <v>03/24/2022 22:13:49.446</v>
      </c>
      <c r="C1039" t="str">
        <f t="shared" si="295"/>
        <v>FFDFD3C0</v>
      </c>
      <c r="D1039" t="s">
        <v>126</v>
      </c>
      <c r="E1039">
        <v>3</v>
      </c>
      <c r="H1039">
        <v>160</v>
      </c>
      <c r="I1039" t="s">
        <v>121</v>
      </c>
      <c r="J1039" t="s">
        <v>127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S1039" t="str">
        <f t="shared" si="311"/>
        <v>22:13:49.000</v>
      </c>
      <c r="T1039" t="str">
        <f t="shared" si="311"/>
        <v>22:13:49.000</v>
      </c>
      <c r="U1039" t="str">
        <f t="shared" si="308"/>
        <v>A9D71F</v>
      </c>
      <c r="V1039">
        <v>0</v>
      </c>
      <c r="W1039">
        <v>0</v>
      </c>
      <c r="X1039">
        <v>2</v>
      </c>
      <c r="Z1039">
        <v>1</v>
      </c>
      <c r="AA1039">
        <v>7</v>
      </c>
      <c r="AB1039">
        <v>3</v>
      </c>
      <c r="AC1039">
        <v>0</v>
      </c>
      <c r="AD1039">
        <v>9</v>
      </c>
      <c r="AE1039">
        <v>0</v>
      </c>
      <c r="AF1039">
        <v>3</v>
      </c>
      <c r="AG1039">
        <v>1</v>
      </c>
      <c r="AH1039">
        <v>0</v>
      </c>
      <c r="AI1039" t="s">
        <v>566</v>
      </c>
      <c r="AJ1039">
        <v>33.145173</v>
      </c>
      <c r="AK1039" t="s">
        <v>567</v>
      </c>
      <c r="AL1039">
        <v>-97.717637999999994</v>
      </c>
      <c r="AM1039">
        <v>25</v>
      </c>
      <c r="AN1039">
        <v>3400</v>
      </c>
      <c r="AO1039" t="s">
        <v>118</v>
      </c>
      <c r="AP1039">
        <v>56</v>
      </c>
      <c r="AQ1039">
        <v>-94</v>
      </c>
      <c r="AR1039">
        <v>0</v>
      </c>
      <c r="AZ1039">
        <v>1200</v>
      </c>
      <c r="BA1039">
        <v>1</v>
      </c>
      <c r="BB1039" t="str">
        <f t="shared" si="296"/>
        <v xml:space="preserve">N733KP  </v>
      </c>
      <c r="BC1039">
        <v>1</v>
      </c>
      <c r="BE1039">
        <v>0</v>
      </c>
      <c r="BF1039">
        <v>0</v>
      </c>
      <c r="BG1039">
        <v>0</v>
      </c>
      <c r="BH1039">
        <v>3450</v>
      </c>
      <c r="BI1039">
        <v>1</v>
      </c>
      <c r="BJ1039">
        <v>1</v>
      </c>
      <c r="BK1039">
        <v>0</v>
      </c>
      <c r="BL1039">
        <v>0</v>
      </c>
      <c r="BO1039">
        <v>0</v>
      </c>
      <c r="BP1039">
        <v>0</v>
      </c>
      <c r="BW1039" t="str">
        <f>"22:13:49.245"</f>
        <v>22:13:49.245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6</v>
      </c>
      <c r="CP1039" t="s">
        <v>119</v>
      </c>
      <c r="CQ1039">
        <v>364</v>
      </c>
      <c r="CR1039">
        <v>0</v>
      </c>
      <c r="CW1039">
        <v>1403497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"03/24/2022 22:13:50.993"</f>
        <v>03/24/2022 22:13:50.993</v>
      </c>
      <c r="C1040" t="str">
        <f t="shared" si="295"/>
        <v>FFDFD3C0</v>
      </c>
      <c r="D1040" t="s">
        <v>120</v>
      </c>
      <c r="E1040">
        <v>14</v>
      </c>
      <c r="F1040">
        <v>1014</v>
      </c>
      <c r="G1040" t="s">
        <v>121</v>
      </c>
      <c r="J1040" t="s">
        <v>122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S1040" t="str">
        <f t="shared" ref="S1040:T1043" si="312">"22:13:50.000"</f>
        <v>22:13:50.000</v>
      </c>
      <c r="T1040" t="str">
        <f t="shared" si="312"/>
        <v>22:13:50.000</v>
      </c>
      <c r="U1040" t="str">
        <f t="shared" si="308"/>
        <v>A9D71F</v>
      </c>
      <c r="V1040">
        <v>0</v>
      </c>
      <c r="W1040">
        <v>0</v>
      </c>
      <c r="X1040">
        <v>2</v>
      </c>
      <c r="Z1040">
        <v>1</v>
      </c>
      <c r="AA1040">
        <v>7</v>
      </c>
      <c r="AB1040">
        <v>3</v>
      </c>
      <c r="AC1040">
        <v>0</v>
      </c>
      <c r="AD1040">
        <v>9</v>
      </c>
      <c r="AE1040">
        <v>0</v>
      </c>
      <c r="AF1040">
        <v>3</v>
      </c>
      <c r="AG1040">
        <v>1</v>
      </c>
      <c r="AH1040">
        <v>0</v>
      </c>
      <c r="AI1040" t="s">
        <v>568</v>
      </c>
      <c r="AJ1040">
        <v>33.144700999999998</v>
      </c>
      <c r="AK1040" t="s">
        <v>569</v>
      </c>
      <c r="AL1040">
        <v>-97.717315999999997</v>
      </c>
      <c r="AM1040">
        <v>25</v>
      </c>
      <c r="AN1040">
        <v>3400</v>
      </c>
      <c r="AO1040" t="s">
        <v>118</v>
      </c>
      <c r="AP1040">
        <v>57</v>
      </c>
      <c r="AQ1040">
        <v>-94</v>
      </c>
      <c r="AR1040">
        <v>128</v>
      </c>
      <c r="AZ1040">
        <v>1200</v>
      </c>
      <c r="BA1040">
        <v>1</v>
      </c>
      <c r="BB1040" t="str">
        <f t="shared" si="296"/>
        <v xml:space="preserve">N733KP  </v>
      </c>
      <c r="BC1040">
        <v>1</v>
      </c>
      <c r="BE1040">
        <v>0</v>
      </c>
      <c r="BF1040">
        <v>0</v>
      </c>
      <c r="BG1040">
        <v>0</v>
      </c>
      <c r="BH1040">
        <v>3425</v>
      </c>
      <c r="BI1040">
        <v>1</v>
      </c>
      <c r="BJ1040">
        <v>1</v>
      </c>
      <c r="BK1040">
        <v>0</v>
      </c>
      <c r="BL1040">
        <v>0</v>
      </c>
      <c r="BO1040">
        <v>0</v>
      </c>
      <c r="BP1040">
        <v>0</v>
      </c>
      <c r="BW1040" t="str">
        <f>"22:13:50.760"</f>
        <v>22:13:50.760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6</v>
      </c>
      <c r="CP1040" t="s">
        <v>119</v>
      </c>
      <c r="CQ1040">
        <v>364</v>
      </c>
      <c r="CR1040">
        <v>0</v>
      </c>
      <c r="CW1040">
        <v>1403762</v>
      </c>
      <c r="CY1040">
        <v>1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"03/24/2022 22:13:50.993"</f>
        <v>03/24/2022 22:13:50.993</v>
      </c>
      <c r="C1041" t="str">
        <f t="shared" si="295"/>
        <v>FFDFD3C0</v>
      </c>
      <c r="D1041" t="s">
        <v>113</v>
      </c>
      <c r="E1041">
        <v>24</v>
      </c>
      <c r="F1041">
        <v>2024</v>
      </c>
      <c r="G1041" t="s">
        <v>114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S1041" t="str">
        <f t="shared" si="312"/>
        <v>22:13:50.000</v>
      </c>
      <c r="T1041" t="str">
        <f t="shared" si="312"/>
        <v>22:13:50.000</v>
      </c>
      <c r="U1041" t="str">
        <f t="shared" si="308"/>
        <v>A9D71F</v>
      </c>
      <c r="V1041">
        <v>0</v>
      </c>
      <c r="W1041">
        <v>0</v>
      </c>
      <c r="X1041">
        <v>2</v>
      </c>
      <c r="Z1041">
        <v>1</v>
      </c>
      <c r="AA1041">
        <v>7</v>
      </c>
      <c r="AB1041">
        <v>3</v>
      </c>
      <c r="AC1041">
        <v>0</v>
      </c>
      <c r="AD1041">
        <v>9</v>
      </c>
      <c r="AE1041">
        <v>0</v>
      </c>
      <c r="AF1041">
        <v>3</v>
      </c>
      <c r="AG1041">
        <v>1</v>
      </c>
      <c r="AH1041">
        <v>0</v>
      </c>
      <c r="AI1041" t="s">
        <v>568</v>
      </c>
      <c r="AJ1041">
        <v>33.144700999999998</v>
      </c>
      <c r="AK1041" t="s">
        <v>569</v>
      </c>
      <c r="AL1041">
        <v>-97.717315999999997</v>
      </c>
      <c r="AM1041">
        <v>25</v>
      </c>
      <c r="AN1041">
        <v>3400</v>
      </c>
      <c r="AO1041" t="s">
        <v>118</v>
      </c>
      <c r="AP1041">
        <v>57</v>
      </c>
      <c r="AQ1041">
        <v>-94</v>
      </c>
      <c r="AR1041">
        <v>128</v>
      </c>
      <c r="AZ1041">
        <v>1200</v>
      </c>
      <c r="BA1041">
        <v>1</v>
      </c>
      <c r="BB1041" t="str">
        <f t="shared" si="296"/>
        <v xml:space="preserve">N733KP  </v>
      </c>
      <c r="BC1041">
        <v>1</v>
      </c>
      <c r="BE1041">
        <v>0</v>
      </c>
      <c r="BF1041">
        <v>0</v>
      </c>
      <c r="BG1041">
        <v>0</v>
      </c>
      <c r="BH1041">
        <v>3425</v>
      </c>
      <c r="BI1041">
        <v>1</v>
      </c>
      <c r="BJ1041">
        <v>1</v>
      </c>
      <c r="BK1041">
        <v>0</v>
      </c>
      <c r="BL1041">
        <v>0</v>
      </c>
      <c r="BO1041">
        <v>0</v>
      </c>
      <c r="BP1041">
        <v>0</v>
      </c>
      <c r="BW1041" t="str">
        <f>"22:13:50.760"</f>
        <v>22:13:50.760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6</v>
      </c>
      <c r="CP1041" t="s">
        <v>119</v>
      </c>
      <c r="CQ1041">
        <v>364</v>
      </c>
      <c r="CR1041">
        <v>0</v>
      </c>
      <c r="CW1041">
        <v>1403762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"03/24/2022 22:13:50.993"</f>
        <v>03/24/2022 22:13:50.993</v>
      </c>
      <c r="C1042" t="str">
        <f t="shared" si="295"/>
        <v>FFDFD3C0</v>
      </c>
      <c r="D1042" t="s">
        <v>126</v>
      </c>
      <c r="E1042">
        <v>3</v>
      </c>
      <c r="H1042">
        <v>160</v>
      </c>
      <c r="I1042" t="s">
        <v>121</v>
      </c>
      <c r="J1042" t="s">
        <v>127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S1042" t="str">
        <f t="shared" si="312"/>
        <v>22:13:50.000</v>
      </c>
      <c r="T1042" t="str">
        <f t="shared" si="312"/>
        <v>22:13:50.000</v>
      </c>
      <c r="U1042" t="str">
        <f t="shared" si="308"/>
        <v>A9D71F</v>
      </c>
      <c r="V1042">
        <v>0</v>
      </c>
      <c r="W1042">
        <v>0</v>
      </c>
      <c r="X1042">
        <v>2</v>
      </c>
      <c r="Z1042">
        <v>1</v>
      </c>
      <c r="AA1042">
        <v>7</v>
      </c>
      <c r="AB1042">
        <v>3</v>
      </c>
      <c r="AC1042">
        <v>0</v>
      </c>
      <c r="AD1042">
        <v>9</v>
      </c>
      <c r="AE1042">
        <v>0</v>
      </c>
      <c r="AF1042">
        <v>3</v>
      </c>
      <c r="AG1042">
        <v>1</v>
      </c>
      <c r="AH1042">
        <v>0</v>
      </c>
      <c r="AI1042" t="s">
        <v>568</v>
      </c>
      <c r="AJ1042">
        <v>33.144700999999998</v>
      </c>
      <c r="AK1042" t="s">
        <v>569</v>
      </c>
      <c r="AL1042">
        <v>-97.717315999999997</v>
      </c>
      <c r="AM1042">
        <v>25</v>
      </c>
      <c r="AN1042">
        <v>3400</v>
      </c>
      <c r="AO1042" t="s">
        <v>118</v>
      </c>
      <c r="AP1042">
        <v>57</v>
      </c>
      <c r="AQ1042">
        <v>-94</v>
      </c>
      <c r="AR1042">
        <v>128</v>
      </c>
      <c r="AZ1042">
        <v>1200</v>
      </c>
      <c r="BA1042">
        <v>1</v>
      </c>
      <c r="BB1042" t="str">
        <f t="shared" si="296"/>
        <v xml:space="preserve">N733KP  </v>
      </c>
      <c r="BC1042">
        <v>1</v>
      </c>
      <c r="BE1042">
        <v>0</v>
      </c>
      <c r="BF1042">
        <v>0</v>
      </c>
      <c r="BG1042">
        <v>0</v>
      </c>
      <c r="BH1042">
        <v>3425</v>
      </c>
      <c r="BI1042">
        <v>1</v>
      </c>
      <c r="BJ1042">
        <v>1</v>
      </c>
      <c r="BK1042">
        <v>0</v>
      </c>
      <c r="BL1042">
        <v>0</v>
      </c>
      <c r="BO1042">
        <v>0</v>
      </c>
      <c r="BP1042">
        <v>0</v>
      </c>
      <c r="BW1042" t="str">
        <f>"22:13:50.760"</f>
        <v>22:13:50.760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6</v>
      </c>
      <c r="CP1042" t="s">
        <v>119</v>
      </c>
      <c r="CQ1042">
        <v>364</v>
      </c>
      <c r="CR1042">
        <v>0</v>
      </c>
      <c r="CW1042">
        <v>1403762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"03/24/2022 22:13:50.993"</f>
        <v>03/24/2022 22:13:50.993</v>
      </c>
      <c r="C1043" t="str">
        <f t="shared" si="295"/>
        <v>FFDFD3C0</v>
      </c>
      <c r="D1043" t="s">
        <v>123</v>
      </c>
      <c r="E1043">
        <v>8</v>
      </c>
      <c r="H1043">
        <v>31</v>
      </c>
      <c r="I1043" t="s">
        <v>124</v>
      </c>
      <c r="J1043" t="s">
        <v>125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S1043" t="str">
        <f t="shared" si="312"/>
        <v>22:13:50.000</v>
      </c>
      <c r="T1043" t="str">
        <f t="shared" si="312"/>
        <v>22:13:50.000</v>
      </c>
      <c r="U1043" t="str">
        <f t="shared" si="308"/>
        <v>A9D71F</v>
      </c>
      <c r="V1043">
        <v>0</v>
      </c>
      <c r="W1043">
        <v>0</v>
      </c>
      <c r="X1043">
        <v>2</v>
      </c>
      <c r="Z1043">
        <v>1</v>
      </c>
      <c r="AA1043">
        <v>7</v>
      </c>
      <c r="AB1043">
        <v>3</v>
      </c>
      <c r="AC1043">
        <v>0</v>
      </c>
      <c r="AD1043">
        <v>9</v>
      </c>
      <c r="AE1043">
        <v>0</v>
      </c>
      <c r="AF1043">
        <v>3</v>
      </c>
      <c r="AG1043">
        <v>1</v>
      </c>
      <c r="AH1043">
        <v>0</v>
      </c>
      <c r="AI1043" t="s">
        <v>568</v>
      </c>
      <c r="AJ1043">
        <v>33.144700999999998</v>
      </c>
      <c r="AK1043" t="s">
        <v>569</v>
      </c>
      <c r="AL1043">
        <v>-97.717315999999997</v>
      </c>
      <c r="AM1043">
        <v>25</v>
      </c>
      <c r="AN1043">
        <v>3400</v>
      </c>
      <c r="AO1043" t="s">
        <v>118</v>
      </c>
      <c r="AP1043">
        <v>57</v>
      </c>
      <c r="AQ1043">
        <v>-94</v>
      </c>
      <c r="AR1043">
        <v>128</v>
      </c>
      <c r="AZ1043">
        <v>1200</v>
      </c>
      <c r="BA1043">
        <v>1</v>
      </c>
      <c r="BB1043" t="str">
        <f t="shared" si="296"/>
        <v xml:space="preserve">N733KP  </v>
      </c>
      <c r="BC1043">
        <v>1</v>
      </c>
      <c r="BE1043">
        <v>0</v>
      </c>
      <c r="BF1043">
        <v>0</v>
      </c>
      <c r="BG1043">
        <v>0</v>
      </c>
      <c r="BH1043">
        <v>3425</v>
      </c>
      <c r="BI1043">
        <v>1</v>
      </c>
      <c r="BJ1043">
        <v>1</v>
      </c>
      <c r="BK1043">
        <v>0</v>
      </c>
      <c r="BL1043">
        <v>0</v>
      </c>
      <c r="BO1043">
        <v>0</v>
      </c>
      <c r="BP1043">
        <v>0</v>
      </c>
      <c r="BW1043" t="str">
        <f>"22:13:50.760"</f>
        <v>22:13:50.760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6</v>
      </c>
      <c r="CP1043" t="s">
        <v>119</v>
      </c>
      <c r="CQ1043">
        <v>364</v>
      </c>
      <c r="CR1043">
        <v>0</v>
      </c>
      <c r="CW1043">
        <v>1403762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"03/24/2022 22:13:51.603"</f>
        <v>03/24/2022 22:13:51.603</v>
      </c>
      <c r="C1044" t="str">
        <f t="shared" si="295"/>
        <v>FFDFD3C0</v>
      </c>
      <c r="D1044" t="s">
        <v>120</v>
      </c>
      <c r="E1044">
        <v>14</v>
      </c>
      <c r="F1044">
        <v>1014</v>
      </c>
      <c r="G1044" t="s">
        <v>121</v>
      </c>
      <c r="J1044" t="s">
        <v>122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S1044" t="str">
        <f t="shared" ref="S1044:T1047" si="313">"22:13:51.000"</f>
        <v>22:13:51.000</v>
      </c>
      <c r="T1044" t="str">
        <f t="shared" si="313"/>
        <v>22:13:51.000</v>
      </c>
      <c r="U1044" t="str">
        <f t="shared" si="308"/>
        <v>A9D71F</v>
      </c>
      <c r="V1044">
        <v>0</v>
      </c>
      <c r="W1044">
        <v>0</v>
      </c>
      <c r="X1044">
        <v>2</v>
      </c>
      <c r="Z1044">
        <v>1</v>
      </c>
      <c r="AA1044">
        <v>7</v>
      </c>
      <c r="AB1044">
        <v>3</v>
      </c>
      <c r="AC1044">
        <v>0</v>
      </c>
      <c r="AD1044">
        <v>9</v>
      </c>
      <c r="AE1044">
        <v>0</v>
      </c>
      <c r="AF1044">
        <v>3</v>
      </c>
      <c r="AG1044">
        <v>1</v>
      </c>
      <c r="AH1044">
        <v>0</v>
      </c>
      <c r="AI1044" t="s">
        <v>570</v>
      </c>
      <c r="AJ1044">
        <v>33.144292999999998</v>
      </c>
      <c r="AK1044" t="s">
        <v>571</v>
      </c>
      <c r="AL1044">
        <v>-97.717037000000005</v>
      </c>
      <c r="AM1044">
        <v>25</v>
      </c>
      <c r="AN1044">
        <v>3500</v>
      </c>
      <c r="AO1044" t="s">
        <v>118</v>
      </c>
      <c r="AP1044">
        <v>57</v>
      </c>
      <c r="AQ1044">
        <v>-94</v>
      </c>
      <c r="AR1044">
        <v>192</v>
      </c>
      <c r="AZ1044">
        <v>1200</v>
      </c>
      <c r="BA1044">
        <v>1</v>
      </c>
      <c r="BB1044" t="str">
        <f t="shared" si="296"/>
        <v xml:space="preserve">N733KP  </v>
      </c>
      <c r="BC1044">
        <v>1</v>
      </c>
      <c r="BE1044">
        <v>0</v>
      </c>
      <c r="BF1044">
        <v>0</v>
      </c>
      <c r="BG1044">
        <v>0</v>
      </c>
      <c r="BH1044">
        <v>3425</v>
      </c>
      <c r="BI1044">
        <v>1</v>
      </c>
      <c r="BJ1044">
        <v>1</v>
      </c>
      <c r="BK1044">
        <v>0</v>
      </c>
      <c r="BL1044">
        <v>0</v>
      </c>
      <c r="BO1044">
        <v>0</v>
      </c>
      <c r="BP1044">
        <v>0</v>
      </c>
      <c r="BW1044" t="str">
        <f>"22:13:51.362"</f>
        <v>22:13:51.362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364</v>
      </c>
      <c r="CR1044">
        <v>0</v>
      </c>
      <c r="CW1044">
        <v>1403863</v>
      </c>
      <c r="CY1044">
        <v>1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"03/24/2022 22:13:51.649"</f>
        <v>03/24/2022 22:13:51.649</v>
      </c>
      <c r="C1045" t="str">
        <f t="shared" si="295"/>
        <v>FFDFD3C0</v>
      </c>
      <c r="D1045" t="s">
        <v>113</v>
      </c>
      <c r="E1045">
        <v>24</v>
      </c>
      <c r="F1045">
        <v>2024</v>
      </c>
      <c r="G1045" t="s">
        <v>114</v>
      </c>
      <c r="J1045" t="s">
        <v>115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S1045" t="str">
        <f t="shared" si="313"/>
        <v>22:13:51.000</v>
      </c>
      <c r="T1045" t="str">
        <f t="shared" si="313"/>
        <v>22:13:51.000</v>
      </c>
      <c r="U1045" t="str">
        <f t="shared" si="308"/>
        <v>A9D71F</v>
      </c>
      <c r="V1045">
        <v>0</v>
      </c>
      <c r="W1045">
        <v>0</v>
      </c>
      <c r="X1045">
        <v>2</v>
      </c>
      <c r="Z1045">
        <v>1</v>
      </c>
      <c r="AA1045">
        <v>7</v>
      </c>
      <c r="AB1045">
        <v>3</v>
      </c>
      <c r="AC1045">
        <v>0</v>
      </c>
      <c r="AD1045">
        <v>9</v>
      </c>
      <c r="AE1045">
        <v>0</v>
      </c>
      <c r="AF1045">
        <v>3</v>
      </c>
      <c r="AG1045">
        <v>1</v>
      </c>
      <c r="AH1045">
        <v>0</v>
      </c>
      <c r="AI1045" t="s">
        <v>570</v>
      </c>
      <c r="AJ1045">
        <v>33.144292999999998</v>
      </c>
      <c r="AK1045" t="s">
        <v>571</v>
      </c>
      <c r="AL1045">
        <v>-97.717037000000005</v>
      </c>
      <c r="AM1045">
        <v>25</v>
      </c>
      <c r="AN1045">
        <v>3500</v>
      </c>
      <c r="AO1045" t="s">
        <v>118</v>
      </c>
      <c r="AP1045">
        <v>57</v>
      </c>
      <c r="AQ1045">
        <v>-94</v>
      </c>
      <c r="AR1045">
        <v>192</v>
      </c>
      <c r="AZ1045">
        <v>1200</v>
      </c>
      <c r="BA1045">
        <v>1</v>
      </c>
      <c r="BB1045" t="str">
        <f t="shared" si="296"/>
        <v xml:space="preserve">N733KP  </v>
      </c>
      <c r="BC1045">
        <v>1</v>
      </c>
      <c r="BE1045">
        <v>0</v>
      </c>
      <c r="BF1045">
        <v>0</v>
      </c>
      <c r="BG1045">
        <v>0</v>
      </c>
      <c r="BH1045">
        <v>3425</v>
      </c>
      <c r="BI1045">
        <v>1</v>
      </c>
      <c r="BJ1045">
        <v>1</v>
      </c>
      <c r="BK1045">
        <v>0</v>
      </c>
      <c r="BL1045">
        <v>0</v>
      </c>
      <c r="BO1045">
        <v>0</v>
      </c>
      <c r="BP1045">
        <v>0</v>
      </c>
      <c r="BW1045" t="str">
        <f>"22:13:51.362"</f>
        <v>22:13:51.362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7</v>
      </c>
      <c r="CP1045" t="s">
        <v>119</v>
      </c>
      <c r="CQ1045">
        <v>364</v>
      </c>
      <c r="CR1045">
        <v>0</v>
      </c>
      <c r="CW1045">
        <v>1403863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"03/24/2022 22:13:51.649"</f>
        <v>03/24/2022 22:13:51.649</v>
      </c>
      <c r="C1046" t="str">
        <f t="shared" ref="C1046:C1109" si="314">"FFDFD3C0"</f>
        <v>FFDFD3C0</v>
      </c>
      <c r="D1046" t="s">
        <v>123</v>
      </c>
      <c r="E1046">
        <v>8</v>
      </c>
      <c r="H1046">
        <v>31</v>
      </c>
      <c r="I1046" t="s">
        <v>124</v>
      </c>
      <c r="J1046" t="s">
        <v>125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S1046" t="str">
        <f t="shared" si="313"/>
        <v>22:13:51.000</v>
      </c>
      <c r="T1046" t="str">
        <f t="shared" si="313"/>
        <v>22:13:51.000</v>
      </c>
      <c r="U1046" t="str">
        <f t="shared" si="308"/>
        <v>A9D71F</v>
      </c>
      <c r="V1046">
        <v>0</v>
      </c>
      <c r="W1046">
        <v>0</v>
      </c>
      <c r="X1046">
        <v>2</v>
      </c>
      <c r="Z1046">
        <v>1</v>
      </c>
      <c r="AA1046">
        <v>7</v>
      </c>
      <c r="AB1046">
        <v>3</v>
      </c>
      <c r="AC1046">
        <v>0</v>
      </c>
      <c r="AD1046">
        <v>9</v>
      </c>
      <c r="AE1046">
        <v>0</v>
      </c>
      <c r="AF1046">
        <v>3</v>
      </c>
      <c r="AG1046">
        <v>1</v>
      </c>
      <c r="AH1046">
        <v>0</v>
      </c>
      <c r="AI1046" t="s">
        <v>570</v>
      </c>
      <c r="AJ1046">
        <v>33.144292999999998</v>
      </c>
      <c r="AK1046" t="s">
        <v>571</v>
      </c>
      <c r="AL1046">
        <v>-97.717037000000005</v>
      </c>
      <c r="AM1046">
        <v>25</v>
      </c>
      <c r="AN1046">
        <v>3500</v>
      </c>
      <c r="AO1046" t="s">
        <v>118</v>
      </c>
      <c r="AP1046">
        <v>57</v>
      </c>
      <c r="AQ1046">
        <v>-94</v>
      </c>
      <c r="AR1046">
        <v>192</v>
      </c>
      <c r="AZ1046">
        <v>1200</v>
      </c>
      <c r="BA1046">
        <v>1</v>
      </c>
      <c r="BB1046" t="str">
        <f t="shared" ref="BB1046:BB1109" si="315">"N733KP  "</f>
        <v xml:space="preserve">N733KP  </v>
      </c>
      <c r="BC1046">
        <v>1</v>
      </c>
      <c r="BE1046">
        <v>0</v>
      </c>
      <c r="BF1046">
        <v>0</v>
      </c>
      <c r="BG1046">
        <v>0</v>
      </c>
      <c r="BH1046">
        <v>3425</v>
      </c>
      <c r="BI1046">
        <v>1</v>
      </c>
      <c r="BJ1046">
        <v>1</v>
      </c>
      <c r="BK1046">
        <v>0</v>
      </c>
      <c r="BL1046">
        <v>0</v>
      </c>
      <c r="BO1046">
        <v>0</v>
      </c>
      <c r="BP1046">
        <v>0</v>
      </c>
      <c r="BW1046" t="str">
        <f>"22:13:51.362"</f>
        <v>22:13:51.362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364</v>
      </c>
      <c r="CR1046">
        <v>0</v>
      </c>
      <c r="CW1046">
        <v>1403863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"03/24/2022 22:13:51.649"</f>
        <v>03/24/2022 22:13:51.649</v>
      </c>
      <c r="C1047" t="str">
        <f t="shared" si="314"/>
        <v>FFDFD3C0</v>
      </c>
      <c r="D1047" t="s">
        <v>126</v>
      </c>
      <c r="E1047">
        <v>3</v>
      </c>
      <c r="H1047">
        <v>160</v>
      </c>
      <c r="I1047" t="s">
        <v>121</v>
      </c>
      <c r="J1047" t="s">
        <v>127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S1047" t="str">
        <f t="shared" si="313"/>
        <v>22:13:51.000</v>
      </c>
      <c r="T1047" t="str">
        <f t="shared" si="313"/>
        <v>22:13:51.000</v>
      </c>
      <c r="U1047" t="str">
        <f t="shared" si="308"/>
        <v>A9D71F</v>
      </c>
      <c r="V1047">
        <v>0</v>
      </c>
      <c r="W1047">
        <v>0</v>
      </c>
      <c r="X1047">
        <v>2</v>
      </c>
      <c r="Z1047">
        <v>1</v>
      </c>
      <c r="AA1047">
        <v>7</v>
      </c>
      <c r="AB1047">
        <v>3</v>
      </c>
      <c r="AC1047">
        <v>0</v>
      </c>
      <c r="AD1047">
        <v>9</v>
      </c>
      <c r="AE1047">
        <v>0</v>
      </c>
      <c r="AF1047">
        <v>3</v>
      </c>
      <c r="AG1047">
        <v>1</v>
      </c>
      <c r="AH1047">
        <v>0</v>
      </c>
      <c r="AI1047" t="s">
        <v>570</v>
      </c>
      <c r="AJ1047">
        <v>33.144292999999998</v>
      </c>
      <c r="AK1047" t="s">
        <v>571</v>
      </c>
      <c r="AL1047">
        <v>-97.717037000000005</v>
      </c>
      <c r="AM1047">
        <v>25</v>
      </c>
      <c r="AN1047">
        <v>3500</v>
      </c>
      <c r="AO1047" t="s">
        <v>118</v>
      </c>
      <c r="AP1047">
        <v>57</v>
      </c>
      <c r="AQ1047">
        <v>-94</v>
      </c>
      <c r="AR1047">
        <v>192</v>
      </c>
      <c r="AZ1047">
        <v>1200</v>
      </c>
      <c r="BA1047">
        <v>1</v>
      </c>
      <c r="BB1047" t="str">
        <f t="shared" si="315"/>
        <v xml:space="preserve">N733KP  </v>
      </c>
      <c r="BC1047">
        <v>1</v>
      </c>
      <c r="BE1047">
        <v>0</v>
      </c>
      <c r="BF1047">
        <v>0</v>
      </c>
      <c r="BG1047">
        <v>0</v>
      </c>
      <c r="BH1047">
        <v>3425</v>
      </c>
      <c r="BI1047">
        <v>1</v>
      </c>
      <c r="BJ1047">
        <v>1</v>
      </c>
      <c r="BK1047">
        <v>0</v>
      </c>
      <c r="BL1047">
        <v>0</v>
      </c>
      <c r="BO1047">
        <v>0</v>
      </c>
      <c r="BP1047">
        <v>0</v>
      </c>
      <c r="BW1047" t="str">
        <f>"22:13:51.362"</f>
        <v>22:13:51.362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364</v>
      </c>
      <c r="CR1047">
        <v>0</v>
      </c>
      <c r="CW1047">
        <v>1403863</v>
      </c>
      <c r="CY1047">
        <v>1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"03/24/2022 22:13:52.854"</f>
        <v>03/24/2022 22:13:52.854</v>
      </c>
      <c r="C1048" t="str">
        <f t="shared" si="314"/>
        <v>FFDFD3C0</v>
      </c>
      <c r="D1048" t="s">
        <v>120</v>
      </c>
      <c r="E1048">
        <v>14</v>
      </c>
      <c r="F1048">
        <v>1014</v>
      </c>
      <c r="G1048" t="s">
        <v>121</v>
      </c>
      <c r="J1048" t="s">
        <v>122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S1048" t="str">
        <f t="shared" ref="S1048:T1051" si="316">"22:13:52.000"</f>
        <v>22:13:52.000</v>
      </c>
      <c r="T1048" t="str">
        <f t="shared" si="316"/>
        <v>22:13:52.000</v>
      </c>
      <c r="U1048" t="str">
        <f t="shared" si="308"/>
        <v>A9D71F</v>
      </c>
      <c r="V1048">
        <v>0</v>
      </c>
      <c r="W1048">
        <v>0</v>
      </c>
      <c r="X1048">
        <v>2</v>
      </c>
      <c r="Z1048">
        <v>1</v>
      </c>
      <c r="AA1048">
        <v>7</v>
      </c>
      <c r="AB1048">
        <v>3</v>
      </c>
      <c r="AC1048">
        <v>0</v>
      </c>
      <c r="AD1048">
        <v>9</v>
      </c>
      <c r="AE1048">
        <v>0</v>
      </c>
      <c r="AF1048">
        <v>3</v>
      </c>
      <c r="AG1048">
        <v>1</v>
      </c>
      <c r="AH1048">
        <v>0</v>
      </c>
      <c r="AI1048" t="s">
        <v>572</v>
      </c>
      <c r="AJ1048">
        <v>33.143884999999997</v>
      </c>
      <c r="AK1048" t="s">
        <v>573</v>
      </c>
      <c r="AL1048">
        <v>-97.716736999999995</v>
      </c>
      <c r="AM1048">
        <v>25</v>
      </c>
      <c r="AN1048">
        <v>3500</v>
      </c>
      <c r="AO1048" t="s">
        <v>118</v>
      </c>
      <c r="AP1048">
        <v>57</v>
      </c>
      <c r="AQ1048">
        <v>-94</v>
      </c>
      <c r="AR1048">
        <v>320</v>
      </c>
      <c r="AZ1048">
        <v>1200</v>
      </c>
      <c r="BA1048">
        <v>1</v>
      </c>
      <c r="BB1048" t="str">
        <f t="shared" si="315"/>
        <v xml:space="preserve">N733KP  </v>
      </c>
      <c r="BC1048">
        <v>1</v>
      </c>
      <c r="BE1048">
        <v>0</v>
      </c>
      <c r="BF1048">
        <v>0</v>
      </c>
      <c r="BG1048">
        <v>0</v>
      </c>
      <c r="BH1048">
        <v>3425</v>
      </c>
      <c r="BI1048">
        <v>1</v>
      </c>
      <c r="BJ1048">
        <v>1</v>
      </c>
      <c r="BK1048">
        <v>0</v>
      </c>
      <c r="BL1048">
        <v>0</v>
      </c>
      <c r="BO1048">
        <v>0</v>
      </c>
      <c r="BP1048">
        <v>0</v>
      </c>
      <c r="BW1048" t="str">
        <f>"22:13:52.669"</f>
        <v>22:13:52.669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364</v>
      </c>
      <c r="CR1048">
        <v>0</v>
      </c>
      <c r="CW1048">
        <v>1404085</v>
      </c>
      <c r="CY1048">
        <v>1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"03/24/2022 22:13:52.901"</f>
        <v>03/24/2022 22:13:52.901</v>
      </c>
      <c r="C1049" t="str">
        <f t="shared" si="314"/>
        <v>FFDFD3C0</v>
      </c>
      <c r="D1049" t="s">
        <v>113</v>
      </c>
      <c r="E1049">
        <v>24</v>
      </c>
      <c r="F1049">
        <v>2024</v>
      </c>
      <c r="G1049" t="s">
        <v>114</v>
      </c>
      <c r="J1049" t="s">
        <v>115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S1049" t="str">
        <f t="shared" si="316"/>
        <v>22:13:52.000</v>
      </c>
      <c r="T1049" t="str">
        <f t="shared" si="316"/>
        <v>22:13:52.000</v>
      </c>
      <c r="U1049" t="str">
        <f t="shared" si="308"/>
        <v>A9D71F</v>
      </c>
      <c r="V1049">
        <v>0</v>
      </c>
      <c r="W1049">
        <v>0</v>
      </c>
      <c r="X1049">
        <v>2</v>
      </c>
      <c r="Z1049">
        <v>1</v>
      </c>
      <c r="AA1049">
        <v>7</v>
      </c>
      <c r="AB1049">
        <v>3</v>
      </c>
      <c r="AC1049">
        <v>0</v>
      </c>
      <c r="AD1049">
        <v>9</v>
      </c>
      <c r="AE1049">
        <v>0</v>
      </c>
      <c r="AF1049">
        <v>3</v>
      </c>
      <c r="AG1049">
        <v>1</v>
      </c>
      <c r="AH1049">
        <v>0</v>
      </c>
      <c r="AI1049" t="s">
        <v>572</v>
      </c>
      <c r="AJ1049">
        <v>33.143884999999997</v>
      </c>
      <c r="AK1049" t="s">
        <v>573</v>
      </c>
      <c r="AL1049">
        <v>-97.716736999999995</v>
      </c>
      <c r="AM1049">
        <v>25</v>
      </c>
      <c r="AN1049">
        <v>3500</v>
      </c>
      <c r="AO1049" t="s">
        <v>118</v>
      </c>
      <c r="AP1049">
        <v>57</v>
      </c>
      <c r="AQ1049">
        <v>-94</v>
      </c>
      <c r="AR1049">
        <v>320</v>
      </c>
      <c r="AZ1049">
        <v>1200</v>
      </c>
      <c r="BA1049">
        <v>1</v>
      </c>
      <c r="BB1049" t="str">
        <f t="shared" si="315"/>
        <v xml:space="preserve">N733KP  </v>
      </c>
      <c r="BC1049">
        <v>1</v>
      </c>
      <c r="BE1049">
        <v>0</v>
      </c>
      <c r="BF1049">
        <v>0</v>
      </c>
      <c r="BG1049">
        <v>0</v>
      </c>
      <c r="BH1049">
        <v>3425</v>
      </c>
      <c r="BI1049">
        <v>1</v>
      </c>
      <c r="BJ1049">
        <v>1</v>
      </c>
      <c r="BK1049">
        <v>0</v>
      </c>
      <c r="BL1049">
        <v>0</v>
      </c>
      <c r="BO1049">
        <v>0</v>
      </c>
      <c r="BP1049">
        <v>0</v>
      </c>
      <c r="BW1049" t="str">
        <f>"22:13:52.669"</f>
        <v>22:13:52.669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364</v>
      </c>
      <c r="CR1049">
        <v>0</v>
      </c>
      <c r="CW1049">
        <v>1404085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"03/24/2022 22:13:52.901"</f>
        <v>03/24/2022 22:13:52.901</v>
      </c>
      <c r="C1050" t="str">
        <f t="shared" si="314"/>
        <v>FFDFD3C0</v>
      </c>
      <c r="D1050" t="s">
        <v>126</v>
      </c>
      <c r="E1050">
        <v>3</v>
      </c>
      <c r="H1050">
        <v>160</v>
      </c>
      <c r="I1050" t="s">
        <v>121</v>
      </c>
      <c r="J1050" t="s">
        <v>127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S1050" t="str">
        <f t="shared" si="316"/>
        <v>22:13:52.000</v>
      </c>
      <c r="T1050" t="str">
        <f t="shared" si="316"/>
        <v>22:13:52.000</v>
      </c>
      <c r="U1050" t="str">
        <f t="shared" si="308"/>
        <v>A9D71F</v>
      </c>
      <c r="V1050">
        <v>0</v>
      </c>
      <c r="W1050">
        <v>0</v>
      </c>
      <c r="X1050">
        <v>2</v>
      </c>
      <c r="Z1050">
        <v>1</v>
      </c>
      <c r="AA1050">
        <v>7</v>
      </c>
      <c r="AB1050">
        <v>3</v>
      </c>
      <c r="AC1050">
        <v>0</v>
      </c>
      <c r="AD1050">
        <v>9</v>
      </c>
      <c r="AE1050">
        <v>0</v>
      </c>
      <c r="AF1050">
        <v>3</v>
      </c>
      <c r="AG1050">
        <v>1</v>
      </c>
      <c r="AH1050">
        <v>0</v>
      </c>
      <c r="AI1050" t="s">
        <v>572</v>
      </c>
      <c r="AJ1050">
        <v>33.143884999999997</v>
      </c>
      <c r="AK1050" t="s">
        <v>573</v>
      </c>
      <c r="AL1050">
        <v>-97.716736999999995</v>
      </c>
      <c r="AM1050">
        <v>25</v>
      </c>
      <c r="AN1050">
        <v>3500</v>
      </c>
      <c r="AO1050" t="s">
        <v>118</v>
      </c>
      <c r="AP1050">
        <v>57</v>
      </c>
      <c r="AQ1050">
        <v>-94</v>
      </c>
      <c r="AR1050">
        <v>320</v>
      </c>
      <c r="AZ1050">
        <v>1200</v>
      </c>
      <c r="BA1050">
        <v>1</v>
      </c>
      <c r="BB1050" t="str">
        <f t="shared" si="315"/>
        <v xml:space="preserve">N733KP  </v>
      </c>
      <c r="BC1050">
        <v>1</v>
      </c>
      <c r="BE1050">
        <v>0</v>
      </c>
      <c r="BF1050">
        <v>0</v>
      </c>
      <c r="BG1050">
        <v>0</v>
      </c>
      <c r="BH1050">
        <v>3425</v>
      </c>
      <c r="BI1050">
        <v>1</v>
      </c>
      <c r="BJ1050">
        <v>1</v>
      </c>
      <c r="BK1050">
        <v>0</v>
      </c>
      <c r="BL1050">
        <v>0</v>
      </c>
      <c r="BO1050">
        <v>0</v>
      </c>
      <c r="BP1050">
        <v>0</v>
      </c>
      <c r="BW1050" t="str">
        <f>"22:13:52.669"</f>
        <v>22:13:52.669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364</v>
      </c>
      <c r="CR1050">
        <v>0</v>
      </c>
      <c r="CW1050">
        <v>1404085</v>
      </c>
      <c r="CY1050">
        <v>1</v>
      </c>
      <c r="CZ1050">
        <v>0</v>
      </c>
      <c r="DA1050">
        <v>1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"03/24/2022 22:13:52.901"</f>
        <v>03/24/2022 22:13:52.901</v>
      </c>
      <c r="C1051" t="str">
        <f t="shared" si="314"/>
        <v>FFDFD3C0</v>
      </c>
      <c r="D1051" t="s">
        <v>123</v>
      </c>
      <c r="E1051">
        <v>8</v>
      </c>
      <c r="H1051">
        <v>31</v>
      </c>
      <c r="I1051" t="s">
        <v>124</v>
      </c>
      <c r="J1051" t="s">
        <v>125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S1051" t="str">
        <f t="shared" si="316"/>
        <v>22:13:52.000</v>
      </c>
      <c r="T1051" t="str">
        <f t="shared" si="316"/>
        <v>22:13:52.000</v>
      </c>
      <c r="U1051" t="str">
        <f t="shared" si="308"/>
        <v>A9D71F</v>
      </c>
      <c r="V1051">
        <v>0</v>
      </c>
      <c r="W1051">
        <v>0</v>
      </c>
      <c r="X1051">
        <v>2</v>
      </c>
      <c r="Z1051">
        <v>1</v>
      </c>
      <c r="AA1051">
        <v>7</v>
      </c>
      <c r="AB1051">
        <v>3</v>
      </c>
      <c r="AC1051">
        <v>0</v>
      </c>
      <c r="AD1051">
        <v>9</v>
      </c>
      <c r="AE1051">
        <v>0</v>
      </c>
      <c r="AF1051">
        <v>3</v>
      </c>
      <c r="AG1051">
        <v>1</v>
      </c>
      <c r="AH1051">
        <v>0</v>
      </c>
      <c r="AI1051" t="s">
        <v>572</v>
      </c>
      <c r="AJ1051">
        <v>33.143884999999997</v>
      </c>
      <c r="AK1051" t="s">
        <v>573</v>
      </c>
      <c r="AL1051">
        <v>-97.716736999999995</v>
      </c>
      <c r="AM1051">
        <v>25</v>
      </c>
      <c r="AN1051">
        <v>3500</v>
      </c>
      <c r="AO1051" t="s">
        <v>118</v>
      </c>
      <c r="AP1051">
        <v>57</v>
      </c>
      <c r="AQ1051">
        <v>-94</v>
      </c>
      <c r="AR1051">
        <v>320</v>
      </c>
      <c r="AZ1051">
        <v>1200</v>
      </c>
      <c r="BA1051">
        <v>1</v>
      </c>
      <c r="BB1051" t="str">
        <f t="shared" si="315"/>
        <v xml:space="preserve">N733KP  </v>
      </c>
      <c r="BC1051">
        <v>1</v>
      </c>
      <c r="BE1051">
        <v>0</v>
      </c>
      <c r="BF1051">
        <v>0</v>
      </c>
      <c r="BG1051">
        <v>0</v>
      </c>
      <c r="BH1051">
        <v>3425</v>
      </c>
      <c r="BI1051">
        <v>1</v>
      </c>
      <c r="BJ1051">
        <v>1</v>
      </c>
      <c r="BK1051">
        <v>0</v>
      </c>
      <c r="BL1051">
        <v>0</v>
      </c>
      <c r="BO1051">
        <v>0</v>
      </c>
      <c r="BP1051">
        <v>0</v>
      </c>
      <c r="BW1051" t="str">
        <f>"22:13:52.669"</f>
        <v>22:13:52.669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364</v>
      </c>
      <c r="CR1051">
        <v>0</v>
      </c>
      <c r="CW1051">
        <v>1404085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"03/24/2022 22:13:53.731"</f>
        <v>03/24/2022 22:13:53.731</v>
      </c>
      <c r="C1052" t="str">
        <f t="shared" si="314"/>
        <v>FFDFD3C0</v>
      </c>
      <c r="D1052" t="s">
        <v>113</v>
      </c>
      <c r="E1052">
        <v>24</v>
      </c>
      <c r="F1052">
        <v>2024</v>
      </c>
      <c r="G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S1052" t="str">
        <f t="shared" ref="S1052:T1055" si="317">"22:13:53.000"</f>
        <v>22:13:53.000</v>
      </c>
      <c r="T1052" t="str">
        <f t="shared" si="317"/>
        <v>22:13:53.000</v>
      </c>
      <c r="U1052" t="str">
        <f t="shared" si="308"/>
        <v>A9D71F</v>
      </c>
      <c r="V1052">
        <v>0</v>
      </c>
      <c r="W1052">
        <v>0</v>
      </c>
      <c r="X1052">
        <v>2</v>
      </c>
      <c r="Z1052">
        <v>1</v>
      </c>
      <c r="AA1052">
        <v>7</v>
      </c>
      <c r="AB1052">
        <v>3</v>
      </c>
      <c r="AC1052">
        <v>0</v>
      </c>
      <c r="AD1052">
        <v>9</v>
      </c>
      <c r="AE1052">
        <v>0</v>
      </c>
      <c r="AF1052">
        <v>3</v>
      </c>
      <c r="AG1052">
        <v>1</v>
      </c>
      <c r="AH1052">
        <v>0</v>
      </c>
      <c r="AI1052" t="s">
        <v>574</v>
      </c>
      <c r="AJ1052">
        <v>33.143456</v>
      </c>
      <c r="AK1052" t="s">
        <v>575</v>
      </c>
      <c r="AL1052">
        <v>-97.716414999999998</v>
      </c>
      <c r="AM1052">
        <v>25</v>
      </c>
      <c r="AN1052">
        <v>3500</v>
      </c>
      <c r="AO1052" t="s">
        <v>118</v>
      </c>
      <c r="AP1052">
        <v>57</v>
      </c>
      <c r="AQ1052">
        <v>-94</v>
      </c>
      <c r="AR1052">
        <v>384</v>
      </c>
      <c r="AZ1052">
        <v>1200</v>
      </c>
      <c r="BA1052">
        <v>1</v>
      </c>
      <c r="BB1052" t="str">
        <f t="shared" si="315"/>
        <v xml:space="preserve">N733KP  </v>
      </c>
      <c r="BC1052">
        <v>1</v>
      </c>
      <c r="BE1052">
        <v>0</v>
      </c>
      <c r="BF1052">
        <v>0</v>
      </c>
      <c r="BG1052">
        <v>0</v>
      </c>
      <c r="BH1052">
        <v>3450</v>
      </c>
      <c r="BI1052">
        <v>1</v>
      </c>
      <c r="BJ1052">
        <v>1</v>
      </c>
      <c r="BK1052">
        <v>0</v>
      </c>
      <c r="BL1052">
        <v>0</v>
      </c>
      <c r="BO1052">
        <v>0</v>
      </c>
      <c r="BP1052">
        <v>0</v>
      </c>
      <c r="BW1052" t="str">
        <f>"22:13:53.478"</f>
        <v>22:13:53.478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364</v>
      </c>
      <c r="CR1052">
        <v>0</v>
      </c>
      <c r="CW1052">
        <v>1404218</v>
      </c>
      <c r="CY1052">
        <v>1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"03/24/2022 22:13:53.731"</f>
        <v>03/24/2022 22:13:53.731</v>
      </c>
      <c r="C1053" t="str">
        <f t="shared" si="314"/>
        <v>FFDFD3C0</v>
      </c>
      <c r="D1053" t="s">
        <v>120</v>
      </c>
      <c r="E1053">
        <v>14</v>
      </c>
      <c r="F1053">
        <v>1014</v>
      </c>
      <c r="G1053" t="s">
        <v>121</v>
      </c>
      <c r="J1053" t="s">
        <v>122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S1053" t="str">
        <f t="shared" si="317"/>
        <v>22:13:53.000</v>
      </c>
      <c r="T1053" t="str">
        <f t="shared" si="317"/>
        <v>22:13:53.000</v>
      </c>
      <c r="U1053" t="str">
        <f t="shared" si="308"/>
        <v>A9D71F</v>
      </c>
      <c r="V1053">
        <v>0</v>
      </c>
      <c r="W1053">
        <v>0</v>
      </c>
      <c r="X1053">
        <v>2</v>
      </c>
      <c r="Z1053">
        <v>1</v>
      </c>
      <c r="AA1053">
        <v>7</v>
      </c>
      <c r="AB1053">
        <v>3</v>
      </c>
      <c r="AC1053">
        <v>0</v>
      </c>
      <c r="AD1053">
        <v>9</v>
      </c>
      <c r="AE1053">
        <v>0</v>
      </c>
      <c r="AF1053">
        <v>3</v>
      </c>
      <c r="AG1053">
        <v>1</v>
      </c>
      <c r="AH1053">
        <v>0</v>
      </c>
      <c r="AI1053" t="s">
        <v>574</v>
      </c>
      <c r="AJ1053">
        <v>33.143456</v>
      </c>
      <c r="AK1053" t="s">
        <v>575</v>
      </c>
      <c r="AL1053">
        <v>-97.716414999999998</v>
      </c>
      <c r="AM1053">
        <v>25</v>
      </c>
      <c r="AN1053">
        <v>3500</v>
      </c>
      <c r="AO1053" t="s">
        <v>118</v>
      </c>
      <c r="AP1053">
        <v>57</v>
      </c>
      <c r="AQ1053">
        <v>-94</v>
      </c>
      <c r="AR1053">
        <v>384</v>
      </c>
      <c r="AZ1053">
        <v>1200</v>
      </c>
      <c r="BA1053">
        <v>1</v>
      </c>
      <c r="BB1053" t="str">
        <f t="shared" si="315"/>
        <v xml:space="preserve">N733KP  </v>
      </c>
      <c r="BC1053">
        <v>1</v>
      </c>
      <c r="BE1053">
        <v>0</v>
      </c>
      <c r="BF1053">
        <v>0</v>
      </c>
      <c r="BG1053">
        <v>0</v>
      </c>
      <c r="BH1053">
        <v>3450</v>
      </c>
      <c r="BI1053">
        <v>1</v>
      </c>
      <c r="BJ1053">
        <v>1</v>
      </c>
      <c r="BK1053">
        <v>0</v>
      </c>
      <c r="BL1053">
        <v>0</v>
      </c>
      <c r="BO1053">
        <v>0</v>
      </c>
      <c r="BP1053">
        <v>0</v>
      </c>
      <c r="BW1053" t="str">
        <f>"22:13:53.478"</f>
        <v>22:13:53.478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364</v>
      </c>
      <c r="CR1053">
        <v>0</v>
      </c>
      <c r="CW1053">
        <v>1404218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"03/24/2022 22:13:53.763"</f>
        <v>03/24/2022 22:13:53.763</v>
      </c>
      <c r="C1054" t="str">
        <f t="shared" si="314"/>
        <v>FFDFD3C0</v>
      </c>
      <c r="D1054" t="s">
        <v>126</v>
      </c>
      <c r="E1054">
        <v>3</v>
      </c>
      <c r="H1054">
        <v>160</v>
      </c>
      <c r="I1054" t="s">
        <v>121</v>
      </c>
      <c r="J1054" t="s">
        <v>127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S1054" t="str">
        <f t="shared" si="317"/>
        <v>22:13:53.000</v>
      </c>
      <c r="T1054" t="str">
        <f t="shared" si="317"/>
        <v>22:13:53.000</v>
      </c>
      <c r="U1054" t="str">
        <f t="shared" si="308"/>
        <v>A9D71F</v>
      </c>
      <c r="V1054">
        <v>0</v>
      </c>
      <c r="W1054">
        <v>0</v>
      </c>
      <c r="X1054">
        <v>2</v>
      </c>
      <c r="Z1054">
        <v>1</v>
      </c>
      <c r="AA1054">
        <v>7</v>
      </c>
      <c r="AB1054">
        <v>3</v>
      </c>
      <c r="AC1054">
        <v>0</v>
      </c>
      <c r="AD1054">
        <v>9</v>
      </c>
      <c r="AE1054">
        <v>0</v>
      </c>
      <c r="AF1054">
        <v>3</v>
      </c>
      <c r="AG1054">
        <v>1</v>
      </c>
      <c r="AH1054">
        <v>0</v>
      </c>
      <c r="AI1054" t="s">
        <v>574</v>
      </c>
      <c r="AJ1054">
        <v>33.143456</v>
      </c>
      <c r="AK1054" t="s">
        <v>575</v>
      </c>
      <c r="AL1054">
        <v>-97.716414999999998</v>
      </c>
      <c r="AM1054">
        <v>25</v>
      </c>
      <c r="AN1054">
        <v>3500</v>
      </c>
      <c r="AO1054" t="s">
        <v>118</v>
      </c>
      <c r="AP1054">
        <v>57</v>
      </c>
      <c r="AQ1054">
        <v>-94</v>
      </c>
      <c r="AR1054">
        <v>384</v>
      </c>
      <c r="AZ1054">
        <v>1200</v>
      </c>
      <c r="BA1054">
        <v>1</v>
      </c>
      <c r="BB1054" t="str">
        <f t="shared" si="315"/>
        <v xml:space="preserve">N733KP  </v>
      </c>
      <c r="BC1054">
        <v>1</v>
      </c>
      <c r="BE1054">
        <v>0</v>
      </c>
      <c r="BF1054">
        <v>0</v>
      </c>
      <c r="BG1054">
        <v>0</v>
      </c>
      <c r="BH1054">
        <v>3450</v>
      </c>
      <c r="BI1054">
        <v>1</v>
      </c>
      <c r="BJ1054">
        <v>1</v>
      </c>
      <c r="BK1054">
        <v>0</v>
      </c>
      <c r="BL1054">
        <v>0</v>
      </c>
      <c r="BO1054">
        <v>0</v>
      </c>
      <c r="BP1054">
        <v>0</v>
      </c>
      <c r="BW1054" t="str">
        <f>"22:13:53.478"</f>
        <v>22:13:53.478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364</v>
      </c>
      <c r="CR1054">
        <v>0</v>
      </c>
      <c r="CW1054">
        <v>1404218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"03/24/2022 22:13:53.763"</f>
        <v>03/24/2022 22:13:53.763</v>
      </c>
      <c r="C1055" t="str">
        <f t="shared" si="314"/>
        <v>FFDFD3C0</v>
      </c>
      <c r="D1055" t="s">
        <v>123</v>
      </c>
      <c r="E1055">
        <v>8</v>
      </c>
      <c r="H1055">
        <v>31</v>
      </c>
      <c r="I1055" t="s">
        <v>124</v>
      </c>
      <c r="J1055" t="s">
        <v>125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S1055" t="str">
        <f t="shared" si="317"/>
        <v>22:13:53.000</v>
      </c>
      <c r="T1055" t="str">
        <f t="shared" si="317"/>
        <v>22:13:53.000</v>
      </c>
      <c r="U1055" t="str">
        <f t="shared" si="308"/>
        <v>A9D71F</v>
      </c>
      <c r="V1055">
        <v>0</v>
      </c>
      <c r="W1055">
        <v>0</v>
      </c>
      <c r="X1055">
        <v>2</v>
      </c>
      <c r="Z1055">
        <v>1</v>
      </c>
      <c r="AA1055">
        <v>7</v>
      </c>
      <c r="AB1055">
        <v>3</v>
      </c>
      <c r="AC1055">
        <v>0</v>
      </c>
      <c r="AD1055">
        <v>9</v>
      </c>
      <c r="AE1055">
        <v>0</v>
      </c>
      <c r="AF1055">
        <v>3</v>
      </c>
      <c r="AG1055">
        <v>1</v>
      </c>
      <c r="AH1055">
        <v>0</v>
      </c>
      <c r="AI1055" t="s">
        <v>574</v>
      </c>
      <c r="AJ1055">
        <v>33.143456</v>
      </c>
      <c r="AK1055" t="s">
        <v>575</v>
      </c>
      <c r="AL1055">
        <v>-97.716414999999998</v>
      </c>
      <c r="AM1055">
        <v>25</v>
      </c>
      <c r="AN1055">
        <v>3500</v>
      </c>
      <c r="AO1055" t="s">
        <v>118</v>
      </c>
      <c r="AP1055">
        <v>57</v>
      </c>
      <c r="AQ1055">
        <v>-94</v>
      </c>
      <c r="AR1055">
        <v>384</v>
      </c>
      <c r="AZ1055">
        <v>1200</v>
      </c>
      <c r="BA1055">
        <v>1</v>
      </c>
      <c r="BB1055" t="str">
        <f t="shared" si="315"/>
        <v xml:space="preserve">N733KP  </v>
      </c>
      <c r="BC1055">
        <v>1</v>
      </c>
      <c r="BE1055">
        <v>0</v>
      </c>
      <c r="BF1055">
        <v>0</v>
      </c>
      <c r="BG1055">
        <v>0</v>
      </c>
      <c r="BH1055">
        <v>3450</v>
      </c>
      <c r="BI1055">
        <v>1</v>
      </c>
      <c r="BJ1055">
        <v>1</v>
      </c>
      <c r="BK1055">
        <v>0</v>
      </c>
      <c r="BL1055">
        <v>0</v>
      </c>
      <c r="BO1055">
        <v>0</v>
      </c>
      <c r="BP1055">
        <v>0</v>
      </c>
      <c r="BW1055" t="str">
        <f>"22:13:53.478"</f>
        <v>22:13:53.478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364</v>
      </c>
      <c r="CR1055">
        <v>0</v>
      </c>
      <c r="CW1055">
        <v>1404218</v>
      </c>
      <c r="CY1055">
        <v>1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"03/24/2022 22:13:54.575"</f>
        <v>03/24/2022 22:13:54.575</v>
      </c>
      <c r="C1056" t="str">
        <f t="shared" si="314"/>
        <v>FFDFD3C0</v>
      </c>
      <c r="D1056" t="s">
        <v>120</v>
      </c>
      <c r="E1056">
        <v>14</v>
      </c>
      <c r="F1056">
        <v>1014</v>
      </c>
      <c r="G1056" t="s">
        <v>121</v>
      </c>
      <c r="J1056" t="s">
        <v>122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S1056" t="str">
        <f t="shared" ref="S1056:T1058" si="318">"22:13:54.000"</f>
        <v>22:13:54.000</v>
      </c>
      <c r="T1056" t="str">
        <f t="shared" si="318"/>
        <v>22:13:54.000</v>
      </c>
      <c r="U1056" t="str">
        <f t="shared" si="308"/>
        <v>A9D71F</v>
      </c>
      <c r="V1056">
        <v>0</v>
      </c>
      <c r="W1056">
        <v>0</v>
      </c>
      <c r="X1056">
        <v>2</v>
      </c>
      <c r="Z1056">
        <v>1</v>
      </c>
      <c r="AA1056">
        <v>7</v>
      </c>
      <c r="AB1056">
        <v>3</v>
      </c>
      <c r="AC1056">
        <v>0</v>
      </c>
      <c r="AD1056">
        <v>9</v>
      </c>
      <c r="AE1056">
        <v>0</v>
      </c>
      <c r="AF1056">
        <v>3</v>
      </c>
      <c r="AG1056">
        <v>1</v>
      </c>
      <c r="AH1056">
        <v>0</v>
      </c>
      <c r="AI1056" t="s">
        <v>576</v>
      </c>
      <c r="AJ1056">
        <v>33.142983999999998</v>
      </c>
      <c r="AK1056" t="s">
        <v>577</v>
      </c>
      <c r="AL1056">
        <v>-97.716071999999997</v>
      </c>
      <c r="AM1056">
        <v>25</v>
      </c>
      <c r="AN1056">
        <v>3500</v>
      </c>
      <c r="AO1056" t="s">
        <v>118</v>
      </c>
      <c r="AP1056">
        <v>57</v>
      </c>
      <c r="AQ1056">
        <v>-94</v>
      </c>
      <c r="AR1056">
        <v>448</v>
      </c>
      <c r="AZ1056">
        <v>1200</v>
      </c>
      <c r="BA1056">
        <v>1</v>
      </c>
      <c r="BB1056" t="str">
        <f t="shared" si="315"/>
        <v xml:space="preserve">N733KP  </v>
      </c>
      <c r="BC1056">
        <v>1</v>
      </c>
      <c r="BE1056">
        <v>0</v>
      </c>
      <c r="BF1056">
        <v>0</v>
      </c>
      <c r="BG1056">
        <v>0</v>
      </c>
      <c r="BH1056">
        <v>3450</v>
      </c>
      <c r="BI1056">
        <v>1</v>
      </c>
      <c r="BJ1056">
        <v>1</v>
      </c>
      <c r="BK1056">
        <v>0</v>
      </c>
      <c r="BL1056">
        <v>0</v>
      </c>
      <c r="BO1056">
        <v>0</v>
      </c>
      <c r="BP1056">
        <v>0</v>
      </c>
      <c r="BW1056" t="str">
        <f>"22:13:54.374"</f>
        <v>22:13:54.374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4</v>
      </c>
      <c r="CP1056" t="s">
        <v>119</v>
      </c>
      <c r="CQ1056">
        <v>439</v>
      </c>
      <c r="CR1056">
        <v>0</v>
      </c>
      <c r="CW1056">
        <v>11500354</v>
      </c>
      <c r="CY1056">
        <v>1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"03/24/2022 22:13:54.591"</f>
        <v>03/24/2022 22:13:54.591</v>
      </c>
      <c r="C1057" t="str">
        <f t="shared" si="314"/>
        <v>FFDFD3C0</v>
      </c>
      <c r="D1057" t="s">
        <v>126</v>
      </c>
      <c r="E1057">
        <v>3</v>
      </c>
      <c r="H1057">
        <v>160</v>
      </c>
      <c r="I1057" t="s">
        <v>121</v>
      </c>
      <c r="J1057" t="s">
        <v>127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S1057" t="str">
        <f t="shared" si="318"/>
        <v>22:13:54.000</v>
      </c>
      <c r="T1057" t="str">
        <f t="shared" si="318"/>
        <v>22:13:54.000</v>
      </c>
      <c r="U1057" t="str">
        <f t="shared" si="308"/>
        <v>A9D71F</v>
      </c>
      <c r="V1057">
        <v>0</v>
      </c>
      <c r="W1057">
        <v>0</v>
      </c>
      <c r="X1057">
        <v>2</v>
      </c>
      <c r="Z1057">
        <v>1</v>
      </c>
      <c r="AA1057">
        <v>7</v>
      </c>
      <c r="AB1057">
        <v>3</v>
      </c>
      <c r="AC1057">
        <v>0</v>
      </c>
      <c r="AD1057">
        <v>9</v>
      </c>
      <c r="AE1057">
        <v>0</v>
      </c>
      <c r="AF1057">
        <v>3</v>
      </c>
      <c r="AG1057">
        <v>1</v>
      </c>
      <c r="AH1057">
        <v>0</v>
      </c>
      <c r="AI1057" t="s">
        <v>576</v>
      </c>
      <c r="AJ1057">
        <v>33.142983999999998</v>
      </c>
      <c r="AK1057" t="s">
        <v>577</v>
      </c>
      <c r="AL1057">
        <v>-97.716071999999997</v>
      </c>
      <c r="AM1057">
        <v>25</v>
      </c>
      <c r="AN1057">
        <v>3500</v>
      </c>
      <c r="AO1057" t="s">
        <v>118</v>
      </c>
      <c r="AP1057">
        <v>57</v>
      </c>
      <c r="AQ1057">
        <v>-94</v>
      </c>
      <c r="AR1057">
        <v>448</v>
      </c>
      <c r="AZ1057">
        <v>1200</v>
      </c>
      <c r="BA1057">
        <v>1</v>
      </c>
      <c r="BB1057" t="str">
        <f t="shared" si="315"/>
        <v xml:space="preserve">N733KP  </v>
      </c>
      <c r="BC1057">
        <v>1</v>
      </c>
      <c r="BE1057">
        <v>0</v>
      </c>
      <c r="BF1057">
        <v>0</v>
      </c>
      <c r="BG1057">
        <v>0</v>
      </c>
      <c r="BH1057">
        <v>3450</v>
      </c>
      <c r="BI1057">
        <v>1</v>
      </c>
      <c r="BJ1057">
        <v>1</v>
      </c>
      <c r="BK1057">
        <v>0</v>
      </c>
      <c r="BL1057">
        <v>0</v>
      </c>
      <c r="BO1057">
        <v>0</v>
      </c>
      <c r="BP1057">
        <v>0</v>
      </c>
      <c r="BW1057" t="str">
        <f>"22:13:54.374"</f>
        <v>22:13:54.374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4</v>
      </c>
      <c r="CP1057" t="s">
        <v>119</v>
      </c>
      <c r="CQ1057">
        <v>439</v>
      </c>
      <c r="CR1057">
        <v>0</v>
      </c>
      <c r="CW1057">
        <v>11500354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"03/24/2022 22:13:54.591"</f>
        <v>03/24/2022 22:13:54.591</v>
      </c>
      <c r="C1058" t="str">
        <f t="shared" si="314"/>
        <v>FFDFD3C0</v>
      </c>
      <c r="D1058" t="s">
        <v>113</v>
      </c>
      <c r="E1058">
        <v>24</v>
      </c>
      <c r="F1058">
        <v>2024</v>
      </c>
      <c r="G1058" t="s">
        <v>114</v>
      </c>
      <c r="J1058" t="s">
        <v>115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S1058" t="str">
        <f t="shared" si="318"/>
        <v>22:13:54.000</v>
      </c>
      <c r="T1058" t="str">
        <f t="shared" si="318"/>
        <v>22:13:54.000</v>
      </c>
      <c r="U1058" t="str">
        <f t="shared" si="308"/>
        <v>A9D71F</v>
      </c>
      <c r="V1058">
        <v>0</v>
      </c>
      <c r="W1058">
        <v>0</v>
      </c>
      <c r="X1058">
        <v>2</v>
      </c>
      <c r="Z1058">
        <v>1</v>
      </c>
      <c r="AA1058">
        <v>7</v>
      </c>
      <c r="AB1058">
        <v>3</v>
      </c>
      <c r="AC1058">
        <v>0</v>
      </c>
      <c r="AD1058">
        <v>9</v>
      </c>
      <c r="AE1058">
        <v>0</v>
      </c>
      <c r="AF1058">
        <v>3</v>
      </c>
      <c r="AG1058">
        <v>1</v>
      </c>
      <c r="AH1058">
        <v>0</v>
      </c>
      <c r="AI1058" t="s">
        <v>576</v>
      </c>
      <c r="AJ1058">
        <v>33.142983999999998</v>
      </c>
      <c r="AK1058" t="s">
        <v>577</v>
      </c>
      <c r="AL1058">
        <v>-97.716071999999997</v>
      </c>
      <c r="AM1058">
        <v>25</v>
      </c>
      <c r="AN1058">
        <v>3500</v>
      </c>
      <c r="AO1058" t="s">
        <v>118</v>
      </c>
      <c r="AP1058">
        <v>57</v>
      </c>
      <c r="AQ1058">
        <v>-94</v>
      </c>
      <c r="AR1058">
        <v>448</v>
      </c>
      <c r="AZ1058">
        <v>1200</v>
      </c>
      <c r="BA1058">
        <v>1</v>
      </c>
      <c r="BB1058" t="str">
        <f t="shared" si="315"/>
        <v xml:space="preserve">N733KP  </v>
      </c>
      <c r="BC1058">
        <v>1</v>
      </c>
      <c r="BE1058">
        <v>0</v>
      </c>
      <c r="BF1058">
        <v>0</v>
      </c>
      <c r="BG1058">
        <v>0</v>
      </c>
      <c r="BH1058">
        <v>3450</v>
      </c>
      <c r="BI1058">
        <v>1</v>
      </c>
      <c r="BJ1058">
        <v>1</v>
      </c>
      <c r="BK1058">
        <v>0</v>
      </c>
      <c r="BL1058">
        <v>0</v>
      </c>
      <c r="BO1058">
        <v>0</v>
      </c>
      <c r="BP1058">
        <v>0</v>
      </c>
      <c r="BW1058" t="str">
        <f>"22:13:54.374"</f>
        <v>22:13:54.374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4</v>
      </c>
      <c r="CP1058" t="s">
        <v>119</v>
      </c>
      <c r="CQ1058">
        <v>439</v>
      </c>
      <c r="CR1058">
        <v>0</v>
      </c>
      <c r="CW1058">
        <v>11500354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"03/24/2022 22:13:56.169"</f>
        <v>03/24/2022 22:13:56.169</v>
      </c>
      <c r="C1059" t="str">
        <f t="shared" si="314"/>
        <v>FFDFD3C0</v>
      </c>
      <c r="D1059" t="s">
        <v>123</v>
      </c>
      <c r="E1059">
        <v>8</v>
      </c>
      <c r="H1059">
        <v>31</v>
      </c>
      <c r="I1059" t="s">
        <v>124</v>
      </c>
      <c r="J1059" t="s">
        <v>125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S1059" t="str">
        <f t="shared" ref="S1059:T1062" si="319">"22:13:55.000"</f>
        <v>22:13:55.000</v>
      </c>
      <c r="T1059" t="str">
        <f t="shared" si="319"/>
        <v>22:13:55.000</v>
      </c>
      <c r="U1059" t="str">
        <f t="shared" si="308"/>
        <v>A9D71F</v>
      </c>
      <c r="V1059">
        <v>0</v>
      </c>
      <c r="W1059">
        <v>0</v>
      </c>
      <c r="X1059">
        <v>2</v>
      </c>
      <c r="Z1059">
        <v>1</v>
      </c>
      <c r="AA1059">
        <v>7</v>
      </c>
      <c r="AB1059">
        <v>3</v>
      </c>
      <c r="AC1059">
        <v>0</v>
      </c>
      <c r="AD1059">
        <v>9</v>
      </c>
      <c r="AE1059">
        <v>0</v>
      </c>
      <c r="AF1059">
        <v>3</v>
      </c>
      <c r="AG1059">
        <v>1</v>
      </c>
      <c r="AH1059">
        <v>0</v>
      </c>
      <c r="AI1059" t="s">
        <v>578</v>
      </c>
      <c r="AJ1059">
        <v>33.142555000000002</v>
      </c>
      <c r="AK1059" t="s">
        <v>579</v>
      </c>
      <c r="AL1059">
        <v>-97.715771000000004</v>
      </c>
      <c r="AM1059">
        <v>25</v>
      </c>
      <c r="AN1059">
        <v>3500</v>
      </c>
      <c r="AO1059" t="s">
        <v>118</v>
      </c>
      <c r="AP1059">
        <v>55</v>
      </c>
      <c r="AQ1059">
        <v>-95</v>
      </c>
      <c r="AR1059">
        <v>512</v>
      </c>
      <c r="AZ1059">
        <v>1200</v>
      </c>
      <c r="BA1059">
        <v>1</v>
      </c>
      <c r="BB1059" t="str">
        <f t="shared" si="315"/>
        <v xml:space="preserve">N733KP  </v>
      </c>
      <c r="BC1059">
        <v>1</v>
      </c>
      <c r="BE1059">
        <v>0</v>
      </c>
      <c r="BF1059">
        <v>0</v>
      </c>
      <c r="BG1059">
        <v>0</v>
      </c>
      <c r="BH1059">
        <v>3450</v>
      </c>
      <c r="BI1059">
        <v>1</v>
      </c>
      <c r="BJ1059">
        <v>1</v>
      </c>
      <c r="BK1059">
        <v>0</v>
      </c>
      <c r="BL1059">
        <v>0</v>
      </c>
      <c r="BO1059">
        <v>0</v>
      </c>
      <c r="BP1059">
        <v>0</v>
      </c>
      <c r="BW1059" t="str">
        <f>"22:13:55.990"</f>
        <v>22:13:55.990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364</v>
      </c>
      <c r="CR1059">
        <v>0</v>
      </c>
      <c r="CW1059">
        <v>1404644</v>
      </c>
      <c r="CY1059">
        <v>1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"03/24/2022 22:13:56.169"</f>
        <v>03/24/2022 22:13:56.169</v>
      </c>
      <c r="C1060" t="str">
        <f t="shared" si="314"/>
        <v>FFDFD3C0</v>
      </c>
      <c r="D1060" t="s">
        <v>126</v>
      </c>
      <c r="E1060">
        <v>3</v>
      </c>
      <c r="H1060">
        <v>160</v>
      </c>
      <c r="I1060" t="s">
        <v>121</v>
      </c>
      <c r="J1060" t="s">
        <v>127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S1060" t="str">
        <f t="shared" si="319"/>
        <v>22:13:55.000</v>
      </c>
      <c r="T1060" t="str">
        <f t="shared" si="319"/>
        <v>22:13:55.000</v>
      </c>
      <c r="U1060" t="str">
        <f t="shared" si="308"/>
        <v>A9D71F</v>
      </c>
      <c r="V1060">
        <v>0</v>
      </c>
      <c r="W1060">
        <v>0</v>
      </c>
      <c r="X1060">
        <v>2</v>
      </c>
      <c r="Z1060">
        <v>1</v>
      </c>
      <c r="AA1060">
        <v>7</v>
      </c>
      <c r="AB1060">
        <v>3</v>
      </c>
      <c r="AC1060">
        <v>0</v>
      </c>
      <c r="AD1060">
        <v>9</v>
      </c>
      <c r="AE1060">
        <v>0</v>
      </c>
      <c r="AF1060">
        <v>3</v>
      </c>
      <c r="AG1060">
        <v>1</v>
      </c>
      <c r="AH1060">
        <v>0</v>
      </c>
      <c r="AI1060" t="s">
        <v>578</v>
      </c>
      <c r="AJ1060">
        <v>33.142555000000002</v>
      </c>
      <c r="AK1060" t="s">
        <v>579</v>
      </c>
      <c r="AL1060">
        <v>-97.715771000000004</v>
      </c>
      <c r="AM1060">
        <v>25</v>
      </c>
      <c r="AN1060">
        <v>3500</v>
      </c>
      <c r="AO1060" t="s">
        <v>118</v>
      </c>
      <c r="AP1060">
        <v>55</v>
      </c>
      <c r="AQ1060">
        <v>-95</v>
      </c>
      <c r="AR1060">
        <v>512</v>
      </c>
      <c r="AZ1060">
        <v>1200</v>
      </c>
      <c r="BA1060">
        <v>1</v>
      </c>
      <c r="BB1060" t="str">
        <f t="shared" si="315"/>
        <v xml:space="preserve">N733KP  </v>
      </c>
      <c r="BC1060">
        <v>1</v>
      </c>
      <c r="BE1060">
        <v>0</v>
      </c>
      <c r="BF1060">
        <v>0</v>
      </c>
      <c r="BG1060">
        <v>0</v>
      </c>
      <c r="BH1060">
        <v>3450</v>
      </c>
      <c r="BI1060">
        <v>1</v>
      </c>
      <c r="BJ1060">
        <v>1</v>
      </c>
      <c r="BK1060">
        <v>0</v>
      </c>
      <c r="BL1060">
        <v>0</v>
      </c>
      <c r="BO1060">
        <v>0</v>
      </c>
      <c r="BP1060">
        <v>0</v>
      </c>
      <c r="BW1060" t="str">
        <f>"22:13:55.990"</f>
        <v>22:13:55.990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364</v>
      </c>
      <c r="CR1060">
        <v>0</v>
      </c>
      <c r="CW1060">
        <v>1404644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"03/24/2022 22:13:56.169"</f>
        <v>03/24/2022 22:13:56.169</v>
      </c>
      <c r="C1061" t="str">
        <f t="shared" si="314"/>
        <v>FFDFD3C0</v>
      </c>
      <c r="D1061" t="s">
        <v>113</v>
      </c>
      <c r="E1061">
        <v>24</v>
      </c>
      <c r="F1061">
        <v>2024</v>
      </c>
      <c r="G1061" t="s">
        <v>114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S1061" t="str">
        <f t="shared" si="319"/>
        <v>22:13:55.000</v>
      </c>
      <c r="T1061" t="str">
        <f t="shared" si="319"/>
        <v>22:13:55.000</v>
      </c>
      <c r="U1061" t="str">
        <f t="shared" si="308"/>
        <v>A9D71F</v>
      </c>
      <c r="V1061">
        <v>0</v>
      </c>
      <c r="W1061">
        <v>0</v>
      </c>
      <c r="X1061">
        <v>2</v>
      </c>
      <c r="Z1061">
        <v>1</v>
      </c>
      <c r="AA1061">
        <v>7</v>
      </c>
      <c r="AB1061">
        <v>3</v>
      </c>
      <c r="AC1061">
        <v>0</v>
      </c>
      <c r="AD1061">
        <v>9</v>
      </c>
      <c r="AE1061">
        <v>0</v>
      </c>
      <c r="AF1061">
        <v>3</v>
      </c>
      <c r="AG1061">
        <v>1</v>
      </c>
      <c r="AH1061">
        <v>0</v>
      </c>
      <c r="AI1061" t="s">
        <v>578</v>
      </c>
      <c r="AJ1061">
        <v>33.142555000000002</v>
      </c>
      <c r="AK1061" t="s">
        <v>579</v>
      </c>
      <c r="AL1061">
        <v>-97.715771000000004</v>
      </c>
      <c r="AM1061">
        <v>25</v>
      </c>
      <c r="AN1061">
        <v>3500</v>
      </c>
      <c r="AO1061" t="s">
        <v>118</v>
      </c>
      <c r="AP1061">
        <v>55</v>
      </c>
      <c r="AQ1061">
        <v>-95</v>
      </c>
      <c r="AR1061">
        <v>512</v>
      </c>
      <c r="AZ1061">
        <v>1200</v>
      </c>
      <c r="BA1061">
        <v>1</v>
      </c>
      <c r="BB1061" t="str">
        <f t="shared" si="315"/>
        <v xml:space="preserve">N733KP  </v>
      </c>
      <c r="BC1061">
        <v>1</v>
      </c>
      <c r="BE1061">
        <v>0</v>
      </c>
      <c r="BF1061">
        <v>0</v>
      </c>
      <c r="BG1061">
        <v>0</v>
      </c>
      <c r="BH1061">
        <v>3450</v>
      </c>
      <c r="BI1061">
        <v>1</v>
      </c>
      <c r="BJ1061">
        <v>1</v>
      </c>
      <c r="BK1061">
        <v>0</v>
      </c>
      <c r="BL1061">
        <v>0</v>
      </c>
      <c r="BO1061">
        <v>0</v>
      </c>
      <c r="BP1061">
        <v>0</v>
      </c>
      <c r="BW1061" t="str">
        <f>"22:13:55.990"</f>
        <v>22:13:55.990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364</v>
      </c>
      <c r="CR1061">
        <v>0</v>
      </c>
      <c r="CW1061">
        <v>1404644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"03/24/2022 22:13:56.169"</f>
        <v>03/24/2022 22:13:56.169</v>
      </c>
      <c r="C1062" t="str">
        <f t="shared" si="314"/>
        <v>FFDFD3C0</v>
      </c>
      <c r="D1062" t="s">
        <v>120</v>
      </c>
      <c r="E1062">
        <v>14</v>
      </c>
      <c r="F1062">
        <v>1014</v>
      </c>
      <c r="G1062" t="s">
        <v>121</v>
      </c>
      <c r="J1062" t="s">
        <v>122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S1062" t="str">
        <f t="shared" si="319"/>
        <v>22:13:55.000</v>
      </c>
      <c r="T1062" t="str">
        <f t="shared" si="319"/>
        <v>22:13:55.000</v>
      </c>
      <c r="U1062" t="str">
        <f t="shared" si="308"/>
        <v>A9D71F</v>
      </c>
      <c r="V1062">
        <v>0</v>
      </c>
      <c r="W1062">
        <v>0</v>
      </c>
      <c r="X1062">
        <v>2</v>
      </c>
      <c r="Z1062">
        <v>1</v>
      </c>
      <c r="AA1062">
        <v>7</v>
      </c>
      <c r="AB1062">
        <v>3</v>
      </c>
      <c r="AC1062">
        <v>0</v>
      </c>
      <c r="AD1062">
        <v>9</v>
      </c>
      <c r="AE1062">
        <v>0</v>
      </c>
      <c r="AF1062">
        <v>3</v>
      </c>
      <c r="AG1062">
        <v>1</v>
      </c>
      <c r="AH1062">
        <v>0</v>
      </c>
      <c r="AI1062" t="s">
        <v>578</v>
      </c>
      <c r="AJ1062">
        <v>33.142555000000002</v>
      </c>
      <c r="AK1062" t="s">
        <v>579</v>
      </c>
      <c r="AL1062">
        <v>-97.715771000000004</v>
      </c>
      <c r="AM1062">
        <v>25</v>
      </c>
      <c r="AN1062">
        <v>3500</v>
      </c>
      <c r="AO1062" t="s">
        <v>118</v>
      </c>
      <c r="AP1062">
        <v>55</v>
      </c>
      <c r="AQ1062">
        <v>-95</v>
      </c>
      <c r="AR1062">
        <v>512</v>
      </c>
      <c r="AZ1062">
        <v>1200</v>
      </c>
      <c r="BA1062">
        <v>1</v>
      </c>
      <c r="BB1062" t="str">
        <f t="shared" si="315"/>
        <v xml:space="preserve">N733KP  </v>
      </c>
      <c r="BC1062">
        <v>1</v>
      </c>
      <c r="BE1062">
        <v>0</v>
      </c>
      <c r="BF1062">
        <v>0</v>
      </c>
      <c r="BG1062">
        <v>0</v>
      </c>
      <c r="BH1062">
        <v>3450</v>
      </c>
      <c r="BI1062">
        <v>1</v>
      </c>
      <c r="BJ1062">
        <v>1</v>
      </c>
      <c r="BK1062">
        <v>0</v>
      </c>
      <c r="BL1062">
        <v>0</v>
      </c>
      <c r="BO1062">
        <v>0</v>
      </c>
      <c r="BP1062">
        <v>0</v>
      </c>
      <c r="BW1062" t="str">
        <f>"22:13:55.990"</f>
        <v>22:13:55.990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364</v>
      </c>
      <c r="CR1062">
        <v>0</v>
      </c>
      <c r="CW1062">
        <v>1404644</v>
      </c>
      <c r="CY1062">
        <v>1</v>
      </c>
      <c r="CZ1062">
        <v>0</v>
      </c>
      <c r="DA1062">
        <v>1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"03/24/2022 22:13:56.654"</f>
        <v>03/24/2022 22:13:56.654</v>
      </c>
      <c r="C1063" t="str">
        <f t="shared" si="314"/>
        <v>FFDFD3C0</v>
      </c>
      <c r="D1063" t="s">
        <v>120</v>
      </c>
      <c r="E1063">
        <v>14</v>
      </c>
      <c r="F1063">
        <v>1014</v>
      </c>
      <c r="G1063" t="s">
        <v>121</v>
      </c>
      <c r="J1063" t="s">
        <v>122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S1063" t="str">
        <f t="shared" ref="S1063:T1066" si="320">"22:13:56.000"</f>
        <v>22:13:56.000</v>
      </c>
      <c r="T1063" t="str">
        <f t="shared" si="320"/>
        <v>22:13:56.000</v>
      </c>
      <c r="U1063" t="str">
        <f t="shared" si="308"/>
        <v>A9D71F</v>
      </c>
      <c r="V1063">
        <v>0</v>
      </c>
      <c r="W1063">
        <v>0</v>
      </c>
      <c r="X1063">
        <v>2</v>
      </c>
      <c r="Z1063">
        <v>1</v>
      </c>
      <c r="AA1063">
        <v>7</v>
      </c>
      <c r="AB1063">
        <v>3</v>
      </c>
      <c r="AC1063">
        <v>0</v>
      </c>
      <c r="AD1063">
        <v>9</v>
      </c>
      <c r="AE1063">
        <v>0</v>
      </c>
      <c r="AF1063">
        <v>3</v>
      </c>
      <c r="AG1063">
        <v>1</v>
      </c>
      <c r="AH1063">
        <v>0</v>
      </c>
      <c r="AI1063" t="s">
        <v>580</v>
      </c>
      <c r="AJ1063">
        <v>33.142125999999998</v>
      </c>
      <c r="AK1063" t="s">
        <v>581</v>
      </c>
      <c r="AL1063">
        <v>-97.715470999999994</v>
      </c>
      <c r="AM1063">
        <v>25</v>
      </c>
      <c r="AN1063">
        <v>3500</v>
      </c>
      <c r="AO1063" t="s">
        <v>118</v>
      </c>
      <c r="AP1063">
        <v>55</v>
      </c>
      <c r="AQ1063">
        <v>-94</v>
      </c>
      <c r="AR1063">
        <v>512</v>
      </c>
      <c r="AZ1063">
        <v>1200</v>
      </c>
      <c r="BA1063">
        <v>1</v>
      </c>
      <c r="BB1063" t="str">
        <f t="shared" si="315"/>
        <v xml:space="preserve">N733KP  </v>
      </c>
      <c r="BC1063">
        <v>1</v>
      </c>
      <c r="BE1063">
        <v>0</v>
      </c>
      <c r="BF1063">
        <v>0</v>
      </c>
      <c r="BG1063">
        <v>0</v>
      </c>
      <c r="BH1063">
        <v>3450</v>
      </c>
      <c r="BI1063">
        <v>1</v>
      </c>
      <c r="BJ1063">
        <v>1</v>
      </c>
      <c r="BK1063">
        <v>0</v>
      </c>
      <c r="BL1063">
        <v>0</v>
      </c>
      <c r="BO1063">
        <v>0</v>
      </c>
      <c r="BP1063">
        <v>0</v>
      </c>
      <c r="BW1063" t="str">
        <f>"22:13:56.476"</f>
        <v>22:13:56.476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364</v>
      </c>
      <c r="CR1063">
        <v>0</v>
      </c>
      <c r="CW1063">
        <v>1404723</v>
      </c>
      <c r="CY1063">
        <v>1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"03/24/2022 22:13:56.654"</f>
        <v>03/24/2022 22:13:56.654</v>
      </c>
      <c r="C1064" t="str">
        <f t="shared" si="314"/>
        <v>FFDFD3C0</v>
      </c>
      <c r="D1064" t="s">
        <v>126</v>
      </c>
      <c r="E1064">
        <v>3</v>
      </c>
      <c r="H1064">
        <v>160</v>
      </c>
      <c r="I1064" t="s">
        <v>121</v>
      </c>
      <c r="J1064" t="s">
        <v>127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S1064" t="str">
        <f t="shared" si="320"/>
        <v>22:13:56.000</v>
      </c>
      <c r="T1064" t="str">
        <f t="shared" si="320"/>
        <v>22:13:56.000</v>
      </c>
      <c r="U1064" t="str">
        <f t="shared" si="308"/>
        <v>A9D71F</v>
      </c>
      <c r="V1064">
        <v>0</v>
      </c>
      <c r="W1064">
        <v>0</v>
      </c>
      <c r="X1064">
        <v>2</v>
      </c>
      <c r="Z1064">
        <v>1</v>
      </c>
      <c r="AA1064">
        <v>7</v>
      </c>
      <c r="AB1064">
        <v>3</v>
      </c>
      <c r="AC1064">
        <v>0</v>
      </c>
      <c r="AD1064">
        <v>9</v>
      </c>
      <c r="AE1064">
        <v>0</v>
      </c>
      <c r="AF1064">
        <v>3</v>
      </c>
      <c r="AG1064">
        <v>1</v>
      </c>
      <c r="AH1064">
        <v>0</v>
      </c>
      <c r="AI1064" t="s">
        <v>580</v>
      </c>
      <c r="AJ1064">
        <v>33.142125999999998</v>
      </c>
      <c r="AK1064" t="s">
        <v>581</v>
      </c>
      <c r="AL1064">
        <v>-97.715470999999994</v>
      </c>
      <c r="AM1064">
        <v>25</v>
      </c>
      <c r="AN1064">
        <v>3500</v>
      </c>
      <c r="AO1064" t="s">
        <v>118</v>
      </c>
      <c r="AP1064">
        <v>55</v>
      </c>
      <c r="AQ1064">
        <v>-94</v>
      </c>
      <c r="AR1064">
        <v>512</v>
      </c>
      <c r="AZ1064">
        <v>1200</v>
      </c>
      <c r="BA1064">
        <v>1</v>
      </c>
      <c r="BB1064" t="str">
        <f t="shared" si="315"/>
        <v xml:space="preserve">N733KP  </v>
      </c>
      <c r="BC1064">
        <v>1</v>
      </c>
      <c r="BE1064">
        <v>0</v>
      </c>
      <c r="BF1064">
        <v>0</v>
      </c>
      <c r="BG1064">
        <v>0</v>
      </c>
      <c r="BH1064">
        <v>3450</v>
      </c>
      <c r="BI1064">
        <v>1</v>
      </c>
      <c r="BJ1064">
        <v>1</v>
      </c>
      <c r="BK1064">
        <v>0</v>
      </c>
      <c r="BL1064">
        <v>0</v>
      </c>
      <c r="BO1064">
        <v>0</v>
      </c>
      <c r="BP1064">
        <v>0</v>
      </c>
      <c r="BW1064" t="str">
        <f>"22:13:56.476"</f>
        <v>22:13:56.476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364</v>
      </c>
      <c r="CR1064">
        <v>0</v>
      </c>
      <c r="CW1064">
        <v>1404723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"03/24/2022 22:13:56.700"</f>
        <v>03/24/2022 22:13:56.700</v>
      </c>
      <c r="C1065" t="str">
        <f t="shared" si="314"/>
        <v>FFDFD3C0</v>
      </c>
      <c r="D1065" t="s">
        <v>123</v>
      </c>
      <c r="E1065">
        <v>8</v>
      </c>
      <c r="H1065">
        <v>31</v>
      </c>
      <c r="I1065" t="s">
        <v>124</v>
      </c>
      <c r="J1065" t="s">
        <v>125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S1065" t="str">
        <f t="shared" si="320"/>
        <v>22:13:56.000</v>
      </c>
      <c r="T1065" t="str">
        <f t="shared" si="320"/>
        <v>22:13:56.000</v>
      </c>
      <c r="U1065" t="str">
        <f t="shared" si="308"/>
        <v>A9D71F</v>
      </c>
      <c r="V1065">
        <v>0</v>
      </c>
      <c r="W1065">
        <v>0</v>
      </c>
      <c r="X1065">
        <v>2</v>
      </c>
      <c r="Z1065">
        <v>1</v>
      </c>
      <c r="AA1065">
        <v>7</v>
      </c>
      <c r="AB1065">
        <v>3</v>
      </c>
      <c r="AC1065">
        <v>0</v>
      </c>
      <c r="AD1065">
        <v>9</v>
      </c>
      <c r="AE1065">
        <v>0</v>
      </c>
      <c r="AF1065">
        <v>3</v>
      </c>
      <c r="AG1065">
        <v>1</v>
      </c>
      <c r="AH1065">
        <v>0</v>
      </c>
      <c r="AI1065" t="s">
        <v>580</v>
      </c>
      <c r="AJ1065">
        <v>33.142125999999998</v>
      </c>
      <c r="AK1065" t="s">
        <v>581</v>
      </c>
      <c r="AL1065">
        <v>-97.715470999999994</v>
      </c>
      <c r="AM1065">
        <v>25</v>
      </c>
      <c r="AN1065">
        <v>3500</v>
      </c>
      <c r="AO1065" t="s">
        <v>118</v>
      </c>
      <c r="AP1065">
        <v>55</v>
      </c>
      <c r="AQ1065">
        <v>-94</v>
      </c>
      <c r="AR1065">
        <v>512</v>
      </c>
      <c r="AZ1065">
        <v>1200</v>
      </c>
      <c r="BA1065">
        <v>1</v>
      </c>
      <c r="BB1065" t="str">
        <f t="shared" si="315"/>
        <v xml:space="preserve">N733KP  </v>
      </c>
      <c r="BC1065">
        <v>1</v>
      </c>
      <c r="BE1065">
        <v>0</v>
      </c>
      <c r="BF1065">
        <v>0</v>
      </c>
      <c r="BG1065">
        <v>0</v>
      </c>
      <c r="BH1065">
        <v>3450</v>
      </c>
      <c r="BI1065">
        <v>1</v>
      </c>
      <c r="BJ1065">
        <v>1</v>
      </c>
      <c r="BK1065">
        <v>0</v>
      </c>
      <c r="BL1065">
        <v>0</v>
      </c>
      <c r="BO1065">
        <v>0</v>
      </c>
      <c r="BP1065">
        <v>0</v>
      </c>
      <c r="BW1065" t="str">
        <f>"22:13:56.476"</f>
        <v>22:13:56.476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364</v>
      </c>
      <c r="CR1065">
        <v>0</v>
      </c>
      <c r="CW1065">
        <v>1404723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"03/24/2022 22:13:56.700"</f>
        <v>03/24/2022 22:13:56.700</v>
      </c>
      <c r="C1066" t="str">
        <f t="shared" si="314"/>
        <v>FFDFD3C0</v>
      </c>
      <c r="D1066" t="s">
        <v>113</v>
      </c>
      <c r="E1066">
        <v>24</v>
      </c>
      <c r="F1066">
        <v>2024</v>
      </c>
      <c r="G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S1066" t="str">
        <f t="shared" si="320"/>
        <v>22:13:56.000</v>
      </c>
      <c r="T1066" t="str">
        <f t="shared" si="320"/>
        <v>22:13:56.000</v>
      </c>
      <c r="U1066" t="str">
        <f t="shared" si="308"/>
        <v>A9D71F</v>
      </c>
      <c r="V1066">
        <v>0</v>
      </c>
      <c r="W1066">
        <v>0</v>
      </c>
      <c r="X1066">
        <v>2</v>
      </c>
      <c r="Z1066">
        <v>1</v>
      </c>
      <c r="AA1066">
        <v>7</v>
      </c>
      <c r="AB1066">
        <v>3</v>
      </c>
      <c r="AC1066">
        <v>0</v>
      </c>
      <c r="AD1066">
        <v>9</v>
      </c>
      <c r="AE1066">
        <v>0</v>
      </c>
      <c r="AF1066">
        <v>3</v>
      </c>
      <c r="AG1066">
        <v>1</v>
      </c>
      <c r="AH1066">
        <v>0</v>
      </c>
      <c r="AI1066" t="s">
        <v>580</v>
      </c>
      <c r="AJ1066">
        <v>33.142125999999998</v>
      </c>
      <c r="AK1066" t="s">
        <v>581</v>
      </c>
      <c r="AL1066">
        <v>-97.715470999999994</v>
      </c>
      <c r="AM1066">
        <v>25</v>
      </c>
      <c r="AN1066">
        <v>3500</v>
      </c>
      <c r="AO1066" t="s">
        <v>118</v>
      </c>
      <c r="AP1066">
        <v>55</v>
      </c>
      <c r="AQ1066">
        <v>-94</v>
      </c>
      <c r="AR1066">
        <v>512</v>
      </c>
      <c r="AZ1066">
        <v>1200</v>
      </c>
      <c r="BA1066">
        <v>1</v>
      </c>
      <c r="BB1066" t="str">
        <f t="shared" si="315"/>
        <v xml:space="preserve">N733KP  </v>
      </c>
      <c r="BC1066">
        <v>1</v>
      </c>
      <c r="BE1066">
        <v>0</v>
      </c>
      <c r="BF1066">
        <v>0</v>
      </c>
      <c r="BG1066">
        <v>0</v>
      </c>
      <c r="BH1066">
        <v>3450</v>
      </c>
      <c r="BI1066">
        <v>1</v>
      </c>
      <c r="BJ1066">
        <v>1</v>
      </c>
      <c r="BK1066">
        <v>0</v>
      </c>
      <c r="BL1066">
        <v>0</v>
      </c>
      <c r="BO1066">
        <v>0</v>
      </c>
      <c r="BP1066">
        <v>0</v>
      </c>
      <c r="BW1066" t="str">
        <f>"22:13:56.476"</f>
        <v>22:13:56.476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364</v>
      </c>
      <c r="CR1066">
        <v>0</v>
      </c>
      <c r="CW1066">
        <v>1404723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"03/24/2022 22:13:57.670"</f>
        <v>03/24/2022 22:13:57.670</v>
      </c>
      <c r="C1067" t="str">
        <f t="shared" si="314"/>
        <v>FFDFD3C0</v>
      </c>
      <c r="D1067" t="s">
        <v>120</v>
      </c>
      <c r="E1067">
        <v>14</v>
      </c>
      <c r="F1067">
        <v>1014</v>
      </c>
      <c r="G1067" t="s">
        <v>121</v>
      </c>
      <c r="J1067" t="s">
        <v>122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S1067" t="str">
        <f t="shared" ref="S1067:T1070" si="321">"22:13:57.000"</f>
        <v>22:13:57.000</v>
      </c>
      <c r="T1067" t="str">
        <f t="shared" si="321"/>
        <v>22:13:57.000</v>
      </c>
      <c r="U1067" t="str">
        <f t="shared" si="308"/>
        <v>A9D71F</v>
      </c>
      <c r="V1067">
        <v>0</v>
      </c>
      <c r="W1067">
        <v>0</v>
      </c>
      <c r="X1067">
        <v>2</v>
      </c>
      <c r="Z1067">
        <v>1</v>
      </c>
      <c r="AA1067">
        <v>7</v>
      </c>
      <c r="AB1067">
        <v>3</v>
      </c>
      <c r="AC1067">
        <v>0</v>
      </c>
      <c r="AD1067">
        <v>9</v>
      </c>
      <c r="AE1067">
        <v>0</v>
      </c>
      <c r="AF1067">
        <v>3</v>
      </c>
      <c r="AG1067">
        <v>1</v>
      </c>
      <c r="AH1067">
        <v>0</v>
      </c>
      <c r="AI1067" t="s">
        <v>582</v>
      </c>
      <c r="AJ1067">
        <v>33.141654000000003</v>
      </c>
      <c r="AK1067" t="s">
        <v>583</v>
      </c>
      <c r="AL1067">
        <v>-97.715148999999997</v>
      </c>
      <c r="AM1067">
        <v>25</v>
      </c>
      <c r="AN1067">
        <v>3500</v>
      </c>
      <c r="AO1067" t="s">
        <v>118</v>
      </c>
      <c r="AP1067">
        <v>55</v>
      </c>
      <c r="AQ1067">
        <v>-94</v>
      </c>
      <c r="AR1067">
        <v>576</v>
      </c>
      <c r="AZ1067">
        <v>1200</v>
      </c>
      <c r="BA1067">
        <v>1</v>
      </c>
      <c r="BB1067" t="str">
        <f t="shared" si="315"/>
        <v xml:space="preserve">N733KP  </v>
      </c>
      <c r="BC1067">
        <v>1</v>
      </c>
      <c r="BE1067">
        <v>0</v>
      </c>
      <c r="BF1067">
        <v>0</v>
      </c>
      <c r="BG1067">
        <v>0</v>
      </c>
      <c r="BH1067">
        <v>3450</v>
      </c>
      <c r="BI1067">
        <v>1</v>
      </c>
      <c r="BJ1067">
        <v>1</v>
      </c>
      <c r="BK1067">
        <v>0</v>
      </c>
      <c r="BL1067">
        <v>0</v>
      </c>
      <c r="BO1067">
        <v>0</v>
      </c>
      <c r="BP1067">
        <v>0</v>
      </c>
      <c r="BW1067" t="str">
        <f>"22:13:57.500"</f>
        <v>22:13:57.500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364</v>
      </c>
      <c r="CR1067">
        <v>0</v>
      </c>
      <c r="CW1067">
        <v>1404892</v>
      </c>
      <c r="CY1067">
        <v>1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"03/24/2022 22:13:57.686"</f>
        <v>03/24/2022 22:13:57.686</v>
      </c>
      <c r="C1068" t="str">
        <f t="shared" si="314"/>
        <v>FFDFD3C0</v>
      </c>
      <c r="D1068" t="s">
        <v>126</v>
      </c>
      <c r="E1068">
        <v>3</v>
      </c>
      <c r="H1068">
        <v>160</v>
      </c>
      <c r="I1068" t="s">
        <v>121</v>
      </c>
      <c r="J1068" t="s">
        <v>127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S1068" t="str">
        <f t="shared" si="321"/>
        <v>22:13:57.000</v>
      </c>
      <c r="T1068" t="str">
        <f t="shared" si="321"/>
        <v>22:13:57.000</v>
      </c>
      <c r="U1068" t="str">
        <f t="shared" si="308"/>
        <v>A9D71F</v>
      </c>
      <c r="V1068">
        <v>0</v>
      </c>
      <c r="W1068">
        <v>0</v>
      </c>
      <c r="X1068">
        <v>2</v>
      </c>
      <c r="Z1068">
        <v>1</v>
      </c>
      <c r="AA1068">
        <v>7</v>
      </c>
      <c r="AB1068">
        <v>3</v>
      </c>
      <c r="AC1068">
        <v>0</v>
      </c>
      <c r="AD1068">
        <v>9</v>
      </c>
      <c r="AE1068">
        <v>0</v>
      </c>
      <c r="AF1068">
        <v>3</v>
      </c>
      <c r="AG1068">
        <v>1</v>
      </c>
      <c r="AH1068">
        <v>0</v>
      </c>
      <c r="AI1068" t="s">
        <v>582</v>
      </c>
      <c r="AJ1068">
        <v>33.141654000000003</v>
      </c>
      <c r="AK1068" t="s">
        <v>583</v>
      </c>
      <c r="AL1068">
        <v>-97.715148999999997</v>
      </c>
      <c r="AM1068">
        <v>25</v>
      </c>
      <c r="AN1068">
        <v>3500</v>
      </c>
      <c r="AO1068" t="s">
        <v>118</v>
      </c>
      <c r="AP1068">
        <v>55</v>
      </c>
      <c r="AQ1068">
        <v>-94</v>
      </c>
      <c r="AR1068">
        <v>576</v>
      </c>
      <c r="AZ1068">
        <v>1200</v>
      </c>
      <c r="BA1068">
        <v>1</v>
      </c>
      <c r="BB1068" t="str">
        <f t="shared" si="315"/>
        <v xml:space="preserve">N733KP  </v>
      </c>
      <c r="BC1068">
        <v>1</v>
      </c>
      <c r="BE1068">
        <v>0</v>
      </c>
      <c r="BF1068">
        <v>0</v>
      </c>
      <c r="BG1068">
        <v>0</v>
      </c>
      <c r="BH1068">
        <v>3450</v>
      </c>
      <c r="BI1068">
        <v>1</v>
      </c>
      <c r="BJ1068">
        <v>1</v>
      </c>
      <c r="BK1068">
        <v>0</v>
      </c>
      <c r="BL1068">
        <v>0</v>
      </c>
      <c r="BO1068">
        <v>0</v>
      </c>
      <c r="BP1068">
        <v>0</v>
      </c>
      <c r="BW1068" t="str">
        <f>"22:13:57.500"</f>
        <v>22:13:57.500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364</v>
      </c>
      <c r="CR1068">
        <v>0</v>
      </c>
      <c r="CW1068">
        <v>1404892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"03/24/2022 22:13:57.686"</f>
        <v>03/24/2022 22:13:57.686</v>
      </c>
      <c r="C1069" t="str">
        <f t="shared" si="314"/>
        <v>FFDFD3C0</v>
      </c>
      <c r="D1069" t="s">
        <v>123</v>
      </c>
      <c r="E1069">
        <v>8</v>
      </c>
      <c r="H1069">
        <v>31</v>
      </c>
      <c r="I1069" t="s">
        <v>124</v>
      </c>
      <c r="J1069" t="s">
        <v>125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S1069" t="str">
        <f t="shared" si="321"/>
        <v>22:13:57.000</v>
      </c>
      <c r="T1069" t="str">
        <f t="shared" si="321"/>
        <v>22:13:57.000</v>
      </c>
      <c r="U1069" t="str">
        <f t="shared" si="308"/>
        <v>A9D71F</v>
      </c>
      <c r="V1069">
        <v>0</v>
      </c>
      <c r="W1069">
        <v>0</v>
      </c>
      <c r="X1069">
        <v>2</v>
      </c>
      <c r="Z1069">
        <v>1</v>
      </c>
      <c r="AA1069">
        <v>7</v>
      </c>
      <c r="AB1069">
        <v>3</v>
      </c>
      <c r="AC1069">
        <v>0</v>
      </c>
      <c r="AD1069">
        <v>9</v>
      </c>
      <c r="AE1069">
        <v>0</v>
      </c>
      <c r="AF1069">
        <v>3</v>
      </c>
      <c r="AG1069">
        <v>1</v>
      </c>
      <c r="AH1069">
        <v>0</v>
      </c>
      <c r="AI1069" t="s">
        <v>582</v>
      </c>
      <c r="AJ1069">
        <v>33.141654000000003</v>
      </c>
      <c r="AK1069" t="s">
        <v>583</v>
      </c>
      <c r="AL1069">
        <v>-97.715148999999997</v>
      </c>
      <c r="AM1069">
        <v>25</v>
      </c>
      <c r="AN1069">
        <v>3500</v>
      </c>
      <c r="AO1069" t="s">
        <v>118</v>
      </c>
      <c r="AP1069">
        <v>55</v>
      </c>
      <c r="AQ1069">
        <v>-94</v>
      </c>
      <c r="AR1069">
        <v>576</v>
      </c>
      <c r="AZ1069">
        <v>1200</v>
      </c>
      <c r="BA1069">
        <v>1</v>
      </c>
      <c r="BB1069" t="str">
        <f t="shared" si="315"/>
        <v xml:space="preserve">N733KP  </v>
      </c>
      <c r="BC1069">
        <v>1</v>
      </c>
      <c r="BE1069">
        <v>0</v>
      </c>
      <c r="BF1069">
        <v>0</v>
      </c>
      <c r="BG1069">
        <v>0</v>
      </c>
      <c r="BH1069">
        <v>3450</v>
      </c>
      <c r="BI1069">
        <v>1</v>
      </c>
      <c r="BJ1069">
        <v>1</v>
      </c>
      <c r="BK1069">
        <v>0</v>
      </c>
      <c r="BL1069">
        <v>0</v>
      </c>
      <c r="BO1069">
        <v>0</v>
      </c>
      <c r="BP1069">
        <v>0</v>
      </c>
      <c r="BW1069" t="str">
        <f>"22:13:57.500"</f>
        <v>22:13:57.500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364</v>
      </c>
      <c r="CR1069">
        <v>0</v>
      </c>
      <c r="CW1069">
        <v>1404892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"03/24/2022 22:13:57.686"</f>
        <v>03/24/2022 22:13:57.686</v>
      </c>
      <c r="C1070" t="str">
        <f t="shared" si="314"/>
        <v>FFDFD3C0</v>
      </c>
      <c r="D1070" t="s">
        <v>113</v>
      </c>
      <c r="E1070">
        <v>24</v>
      </c>
      <c r="F1070">
        <v>2024</v>
      </c>
      <c r="G1070" t="s">
        <v>114</v>
      </c>
      <c r="J1070" t="s">
        <v>115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S1070" t="str">
        <f t="shared" si="321"/>
        <v>22:13:57.000</v>
      </c>
      <c r="T1070" t="str">
        <f t="shared" si="321"/>
        <v>22:13:57.000</v>
      </c>
      <c r="U1070" t="str">
        <f t="shared" si="308"/>
        <v>A9D71F</v>
      </c>
      <c r="V1070">
        <v>0</v>
      </c>
      <c r="W1070">
        <v>0</v>
      </c>
      <c r="X1070">
        <v>2</v>
      </c>
      <c r="Z1070">
        <v>1</v>
      </c>
      <c r="AA1070">
        <v>7</v>
      </c>
      <c r="AB1070">
        <v>3</v>
      </c>
      <c r="AC1070">
        <v>0</v>
      </c>
      <c r="AD1070">
        <v>9</v>
      </c>
      <c r="AE1070">
        <v>0</v>
      </c>
      <c r="AF1070">
        <v>3</v>
      </c>
      <c r="AG1070">
        <v>1</v>
      </c>
      <c r="AH1070">
        <v>0</v>
      </c>
      <c r="AI1070" t="s">
        <v>582</v>
      </c>
      <c r="AJ1070">
        <v>33.141654000000003</v>
      </c>
      <c r="AK1070" t="s">
        <v>583</v>
      </c>
      <c r="AL1070">
        <v>-97.715148999999997</v>
      </c>
      <c r="AM1070">
        <v>25</v>
      </c>
      <c r="AN1070">
        <v>3500</v>
      </c>
      <c r="AO1070" t="s">
        <v>118</v>
      </c>
      <c r="AP1070">
        <v>55</v>
      </c>
      <c r="AQ1070">
        <v>-94</v>
      </c>
      <c r="AR1070">
        <v>576</v>
      </c>
      <c r="AZ1070">
        <v>1200</v>
      </c>
      <c r="BA1070">
        <v>1</v>
      </c>
      <c r="BB1070" t="str">
        <f t="shared" si="315"/>
        <v xml:space="preserve">N733KP  </v>
      </c>
      <c r="BC1070">
        <v>1</v>
      </c>
      <c r="BE1070">
        <v>0</v>
      </c>
      <c r="BF1070">
        <v>0</v>
      </c>
      <c r="BG1070">
        <v>0</v>
      </c>
      <c r="BH1070">
        <v>3450</v>
      </c>
      <c r="BI1070">
        <v>1</v>
      </c>
      <c r="BJ1070">
        <v>1</v>
      </c>
      <c r="BK1070">
        <v>0</v>
      </c>
      <c r="BL1070">
        <v>0</v>
      </c>
      <c r="BO1070">
        <v>0</v>
      </c>
      <c r="BP1070">
        <v>0</v>
      </c>
      <c r="BW1070" t="str">
        <f>"22:13:57.500"</f>
        <v>22:13:57.500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364</v>
      </c>
      <c r="CR1070">
        <v>0</v>
      </c>
      <c r="CW1070">
        <v>1404892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"03/24/2022 22:13:58.532"</f>
        <v>03/24/2022 22:13:58.532</v>
      </c>
      <c r="C1071" t="str">
        <f t="shared" si="314"/>
        <v>FFDFD3C0</v>
      </c>
      <c r="D1071" t="s">
        <v>126</v>
      </c>
      <c r="E1071">
        <v>3</v>
      </c>
      <c r="H1071">
        <v>160</v>
      </c>
      <c r="I1071" t="s">
        <v>121</v>
      </c>
      <c r="J1071" t="s">
        <v>127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S1071" t="str">
        <f t="shared" ref="S1071:T1074" si="322">"22:13:58.000"</f>
        <v>22:13:58.000</v>
      </c>
      <c r="T1071" t="str">
        <f t="shared" si="322"/>
        <v>22:13:58.000</v>
      </c>
      <c r="U1071" t="str">
        <f t="shared" si="308"/>
        <v>A9D71F</v>
      </c>
      <c r="V1071">
        <v>0</v>
      </c>
      <c r="W1071">
        <v>0</v>
      </c>
      <c r="X1071">
        <v>2</v>
      </c>
      <c r="Z1071">
        <v>1</v>
      </c>
      <c r="AA1071">
        <v>7</v>
      </c>
      <c r="AB1071">
        <v>3</v>
      </c>
      <c r="AC1071">
        <v>0</v>
      </c>
      <c r="AD1071">
        <v>9</v>
      </c>
      <c r="AE1071">
        <v>0</v>
      </c>
      <c r="AF1071">
        <v>3</v>
      </c>
      <c r="AG1071">
        <v>1</v>
      </c>
      <c r="AH1071">
        <v>0</v>
      </c>
      <c r="AI1071" t="s">
        <v>584</v>
      </c>
      <c r="AJ1071">
        <v>33.141224000000001</v>
      </c>
      <c r="AK1071" t="s">
        <v>585</v>
      </c>
      <c r="AL1071">
        <v>-97.714849000000001</v>
      </c>
      <c r="AM1071">
        <v>25</v>
      </c>
      <c r="AN1071">
        <v>3500</v>
      </c>
      <c r="AO1071" t="s">
        <v>118</v>
      </c>
      <c r="AP1071">
        <v>54</v>
      </c>
      <c r="AQ1071">
        <v>-92</v>
      </c>
      <c r="AR1071">
        <v>704</v>
      </c>
      <c r="AZ1071">
        <v>1200</v>
      </c>
      <c r="BA1071">
        <v>1</v>
      </c>
      <c r="BB1071" t="str">
        <f t="shared" si="315"/>
        <v xml:space="preserve">N733KP  </v>
      </c>
      <c r="BC1071">
        <v>1</v>
      </c>
      <c r="BE1071">
        <v>0</v>
      </c>
      <c r="BF1071">
        <v>0</v>
      </c>
      <c r="BG1071">
        <v>0</v>
      </c>
      <c r="BH1071">
        <v>3475</v>
      </c>
      <c r="BI1071">
        <v>1</v>
      </c>
      <c r="BJ1071">
        <v>1</v>
      </c>
      <c r="BK1071">
        <v>0</v>
      </c>
      <c r="BL1071">
        <v>0</v>
      </c>
      <c r="BO1071">
        <v>0</v>
      </c>
      <c r="BP1071">
        <v>0</v>
      </c>
      <c r="BW1071" t="str">
        <f>"22:13:58.375"</f>
        <v>22:13:58.375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364</v>
      </c>
      <c r="CR1071">
        <v>0</v>
      </c>
      <c r="CW1071">
        <v>1405033</v>
      </c>
      <c r="CY1071">
        <v>1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"03/24/2022 22:13:58.532"</f>
        <v>03/24/2022 22:13:58.532</v>
      </c>
      <c r="C1072" t="str">
        <f t="shared" si="314"/>
        <v>FFDFD3C0</v>
      </c>
      <c r="D1072" t="s">
        <v>123</v>
      </c>
      <c r="E1072">
        <v>8</v>
      </c>
      <c r="H1072">
        <v>31</v>
      </c>
      <c r="I1072" t="s">
        <v>124</v>
      </c>
      <c r="J1072" t="s">
        <v>125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S1072" t="str">
        <f t="shared" si="322"/>
        <v>22:13:58.000</v>
      </c>
      <c r="T1072" t="str">
        <f t="shared" si="322"/>
        <v>22:13:58.000</v>
      </c>
      <c r="U1072" t="str">
        <f t="shared" si="308"/>
        <v>A9D71F</v>
      </c>
      <c r="V1072">
        <v>0</v>
      </c>
      <c r="W1072">
        <v>0</v>
      </c>
      <c r="X1072">
        <v>2</v>
      </c>
      <c r="Z1072">
        <v>1</v>
      </c>
      <c r="AA1072">
        <v>7</v>
      </c>
      <c r="AB1072">
        <v>3</v>
      </c>
      <c r="AC1072">
        <v>0</v>
      </c>
      <c r="AD1072">
        <v>9</v>
      </c>
      <c r="AE1072">
        <v>0</v>
      </c>
      <c r="AF1072">
        <v>3</v>
      </c>
      <c r="AG1072">
        <v>1</v>
      </c>
      <c r="AH1072">
        <v>0</v>
      </c>
      <c r="AI1072" t="s">
        <v>584</v>
      </c>
      <c r="AJ1072">
        <v>33.141224000000001</v>
      </c>
      <c r="AK1072" t="s">
        <v>585</v>
      </c>
      <c r="AL1072">
        <v>-97.714849000000001</v>
      </c>
      <c r="AM1072">
        <v>25</v>
      </c>
      <c r="AN1072">
        <v>3500</v>
      </c>
      <c r="AO1072" t="s">
        <v>118</v>
      </c>
      <c r="AP1072">
        <v>54</v>
      </c>
      <c r="AQ1072">
        <v>-92</v>
      </c>
      <c r="AR1072">
        <v>704</v>
      </c>
      <c r="AZ1072">
        <v>1200</v>
      </c>
      <c r="BA1072">
        <v>1</v>
      </c>
      <c r="BB1072" t="str">
        <f t="shared" si="315"/>
        <v xml:space="preserve">N733KP  </v>
      </c>
      <c r="BC1072">
        <v>1</v>
      </c>
      <c r="BE1072">
        <v>0</v>
      </c>
      <c r="BF1072">
        <v>0</v>
      </c>
      <c r="BG1072">
        <v>0</v>
      </c>
      <c r="BH1072">
        <v>3475</v>
      </c>
      <c r="BI1072">
        <v>1</v>
      </c>
      <c r="BJ1072">
        <v>1</v>
      </c>
      <c r="BK1072">
        <v>0</v>
      </c>
      <c r="BL1072">
        <v>0</v>
      </c>
      <c r="BO1072">
        <v>0</v>
      </c>
      <c r="BP1072">
        <v>0</v>
      </c>
      <c r="BW1072" t="str">
        <f>"22:13:58.375"</f>
        <v>22:13:58.375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364</v>
      </c>
      <c r="CR1072">
        <v>0</v>
      </c>
      <c r="CW1072">
        <v>1405033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"03/24/2022 22:13:58.563"</f>
        <v>03/24/2022 22:13:58.563</v>
      </c>
      <c r="C1073" t="str">
        <f t="shared" si="314"/>
        <v>FFDFD3C0</v>
      </c>
      <c r="D1073" t="s">
        <v>113</v>
      </c>
      <c r="E1073">
        <v>24</v>
      </c>
      <c r="F1073">
        <v>2024</v>
      </c>
      <c r="G1073" t="s">
        <v>114</v>
      </c>
      <c r="J1073" t="s">
        <v>115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S1073" t="str">
        <f t="shared" si="322"/>
        <v>22:13:58.000</v>
      </c>
      <c r="T1073" t="str">
        <f t="shared" si="322"/>
        <v>22:13:58.000</v>
      </c>
      <c r="U1073" t="str">
        <f t="shared" si="308"/>
        <v>A9D71F</v>
      </c>
      <c r="V1073">
        <v>0</v>
      </c>
      <c r="W1073">
        <v>0</v>
      </c>
      <c r="X1073">
        <v>2</v>
      </c>
      <c r="Z1073">
        <v>1</v>
      </c>
      <c r="AA1073">
        <v>7</v>
      </c>
      <c r="AB1073">
        <v>3</v>
      </c>
      <c r="AC1073">
        <v>0</v>
      </c>
      <c r="AD1073">
        <v>9</v>
      </c>
      <c r="AE1073">
        <v>0</v>
      </c>
      <c r="AF1073">
        <v>3</v>
      </c>
      <c r="AG1073">
        <v>1</v>
      </c>
      <c r="AH1073">
        <v>0</v>
      </c>
      <c r="AI1073" t="s">
        <v>584</v>
      </c>
      <c r="AJ1073">
        <v>33.141224000000001</v>
      </c>
      <c r="AK1073" t="s">
        <v>585</v>
      </c>
      <c r="AL1073">
        <v>-97.714849000000001</v>
      </c>
      <c r="AM1073">
        <v>25</v>
      </c>
      <c r="AN1073">
        <v>3500</v>
      </c>
      <c r="AO1073" t="s">
        <v>118</v>
      </c>
      <c r="AP1073">
        <v>54</v>
      </c>
      <c r="AQ1073">
        <v>-92</v>
      </c>
      <c r="AR1073">
        <v>704</v>
      </c>
      <c r="AZ1073">
        <v>1200</v>
      </c>
      <c r="BA1073">
        <v>1</v>
      </c>
      <c r="BB1073" t="str">
        <f t="shared" si="315"/>
        <v xml:space="preserve">N733KP  </v>
      </c>
      <c r="BC1073">
        <v>1</v>
      </c>
      <c r="BE1073">
        <v>0</v>
      </c>
      <c r="BF1073">
        <v>0</v>
      </c>
      <c r="BG1073">
        <v>0</v>
      </c>
      <c r="BH1073">
        <v>3475</v>
      </c>
      <c r="BI1073">
        <v>1</v>
      </c>
      <c r="BJ1073">
        <v>1</v>
      </c>
      <c r="BK1073">
        <v>0</v>
      </c>
      <c r="BL1073">
        <v>0</v>
      </c>
      <c r="BO1073">
        <v>0</v>
      </c>
      <c r="BP1073">
        <v>0</v>
      </c>
      <c r="BW1073" t="str">
        <f>"22:13:58.375"</f>
        <v>22:13:58.375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364</v>
      </c>
      <c r="CR1073">
        <v>0</v>
      </c>
      <c r="CW1073">
        <v>1405033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"03/24/2022 22:13:58.563"</f>
        <v>03/24/2022 22:13:58.563</v>
      </c>
      <c r="C1074" t="str">
        <f t="shared" si="314"/>
        <v>FFDFD3C0</v>
      </c>
      <c r="D1074" t="s">
        <v>120</v>
      </c>
      <c r="E1074">
        <v>14</v>
      </c>
      <c r="F1074">
        <v>1014</v>
      </c>
      <c r="G1074" t="s">
        <v>121</v>
      </c>
      <c r="J1074" t="s">
        <v>122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S1074" t="str">
        <f t="shared" si="322"/>
        <v>22:13:58.000</v>
      </c>
      <c r="T1074" t="str">
        <f t="shared" si="322"/>
        <v>22:13:58.000</v>
      </c>
      <c r="U1074" t="str">
        <f t="shared" si="308"/>
        <v>A9D71F</v>
      </c>
      <c r="V1074">
        <v>0</v>
      </c>
      <c r="W1074">
        <v>0</v>
      </c>
      <c r="X1074">
        <v>2</v>
      </c>
      <c r="Z1074">
        <v>1</v>
      </c>
      <c r="AA1074">
        <v>7</v>
      </c>
      <c r="AB1074">
        <v>3</v>
      </c>
      <c r="AC1074">
        <v>0</v>
      </c>
      <c r="AD1074">
        <v>9</v>
      </c>
      <c r="AE1074">
        <v>0</v>
      </c>
      <c r="AF1074">
        <v>3</v>
      </c>
      <c r="AG1074">
        <v>1</v>
      </c>
      <c r="AH1074">
        <v>0</v>
      </c>
      <c r="AI1074" t="s">
        <v>584</v>
      </c>
      <c r="AJ1074">
        <v>33.141224000000001</v>
      </c>
      <c r="AK1074" t="s">
        <v>585</v>
      </c>
      <c r="AL1074">
        <v>-97.714849000000001</v>
      </c>
      <c r="AM1074">
        <v>25</v>
      </c>
      <c r="AN1074">
        <v>3500</v>
      </c>
      <c r="AO1074" t="s">
        <v>118</v>
      </c>
      <c r="AP1074">
        <v>54</v>
      </c>
      <c r="AQ1074">
        <v>-92</v>
      </c>
      <c r="AR1074">
        <v>704</v>
      </c>
      <c r="AZ1074">
        <v>1200</v>
      </c>
      <c r="BA1074">
        <v>1</v>
      </c>
      <c r="BB1074" t="str">
        <f t="shared" si="315"/>
        <v xml:space="preserve">N733KP  </v>
      </c>
      <c r="BC1074">
        <v>1</v>
      </c>
      <c r="BE1074">
        <v>0</v>
      </c>
      <c r="BF1074">
        <v>0</v>
      </c>
      <c r="BG1074">
        <v>0</v>
      </c>
      <c r="BH1074">
        <v>3475</v>
      </c>
      <c r="BI1074">
        <v>1</v>
      </c>
      <c r="BJ1074">
        <v>1</v>
      </c>
      <c r="BK1074">
        <v>0</v>
      </c>
      <c r="BL1074">
        <v>0</v>
      </c>
      <c r="BO1074">
        <v>0</v>
      </c>
      <c r="BP1074">
        <v>0</v>
      </c>
      <c r="BW1074" t="str">
        <f>"22:13:58.375"</f>
        <v>22:13:58.375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364</v>
      </c>
      <c r="CR1074">
        <v>0</v>
      </c>
      <c r="CW1074">
        <v>1405033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"03/24/2022 22:13:59.751"</f>
        <v>03/24/2022 22:13:59.751</v>
      </c>
      <c r="C1075" t="str">
        <f t="shared" si="314"/>
        <v>FFDFD3C0</v>
      </c>
      <c r="D1075" t="s">
        <v>113</v>
      </c>
      <c r="E1075">
        <v>24</v>
      </c>
      <c r="F1075">
        <v>2024</v>
      </c>
      <c r="G1075" t="s">
        <v>114</v>
      </c>
      <c r="J1075" t="s">
        <v>115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S1075" t="str">
        <f t="shared" ref="S1075:T1078" si="323">"22:13:59.000"</f>
        <v>22:13:59.000</v>
      </c>
      <c r="T1075" t="str">
        <f t="shared" si="323"/>
        <v>22:13:59.000</v>
      </c>
      <c r="U1075" t="str">
        <f t="shared" si="308"/>
        <v>A9D71F</v>
      </c>
      <c r="V1075">
        <v>0</v>
      </c>
      <c r="W1075">
        <v>0</v>
      </c>
      <c r="X1075">
        <v>2</v>
      </c>
      <c r="Z1075">
        <v>1</v>
      </c>
      <c r="AA1075">
        <v>7</v>
      </c>
      <c r="AB1075">
        <v>3</v>
      </c>
      <c r="AC1075">
        <v>0</v>
      </c>
      <c r="AD1075">
        <v>9</v>
      </c>
      <c r="AE1075">
        <v>0</v>
      </c>
      <c r="AF1075">
        <v>3</v>
      </c>
      <c r="AG1075">
        <v>1</v>
      </c>
      <c r="AH1075">
        <v>0</v>
      </c>
      <c r="AI1075" t="s">
        <v>586</v>
      </c>
      <c r="AJ1075">
        <v>33.140794999999997</v>
      </c>
      <c r="AK1075" t="s">
        <v>587</v>
      </c>
      <c r="AL1075">
        <v>-97.714569999999995</v>
      </c>
      <c r="AM1075">
        <v>25</v>
      </c>
      <c r="AN1075">
        <v>3500</v>
      </c>
      <c r="AO1075" t="s">
        <v>118</v>
      </c>
      <c r="AP1075">
        <v>54</v>
      </c>
      <c r="AQ1075">
        <v>-93</v>
      </c>
      <c r="AR1075">
        <v>640</v>
      </c>
      <c r="AZ1075">
        <v>1200</v>
      </c>
      <c r="BA1075">
        <v>1</v>
      </c>
      <c r="BB1075" t="str">
        <f t="shared" si="315"/>
        <v xml:space="preserve">N733KP  </v>
      </c>
      <c r="BC1075">
        <v>1</v>
      </c>
      <c r="BE1075">
        <v>0</v>
      </c>
      <c r="BF1075">
        <v>0</v>
      </c>
      <c r="BG1075">
        <v>0</v>
      </c>
      <c r="BH1075">
        <v>3475</v>
      </c>
      <c r="BI1075">
        <v>1</v>
      </c>
      <c r="BJ1075">
        <v>1</v>
      </c>
      <c r="BK1075">
        <v>0</v>
      </c>
      <c r="BL1075">
        <v>0</v>
      </c>
      <c r="BO1075">
        <v>0</v>
      </c>
      <c r="BP1075">
        <v>0</v>
      </c>
      <c r="BW1075" t="str">
        <f>"22:13:59.606"</f>
        <v>22:13:59.606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6</v>
      </c>
      <c r="CP1075" t="s">
        <v>119</v>
      </c>
      <c r="CQ1075">
        <v>364</v>
      </c>
      <c r="CR1075">
        <v>0</v>
      </c>
      <c r="CW1075">
        <v>1405227</v>
      </c>
      <c r="CY1075">
        <v>1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"03/24/2022 22:13:59.798"</f>
        <v>03/24/2022 22:13:59.798</v>
      </c>
      <c r="C1076" t="str">
        <f t="shared" si="314"/>
        <v>FFDFD3C0</v>
      </c>
      <c r="D1076" t="s">
        <v>120</v>
      </c>
      <c r="E1076">
        <v>14</v>
      </c>
      <c r="F1076">
        <v>1014</v>
      </c>
      <c r="G1076" t="s">
        <v>121</v>
      </c>
      <c r="J1076" t="s">
        <v>122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S1076" t="str">
        <f t="shared" si="323"/>
        <v>22:13:59.000</v>
      </c>
      <c r="T1076" t="str">
        <f t="shared" si="323"/>
        <v>22:13:59.000</v>
      </c>
      <c r="U1076" t="str">
        <f t="shared" si="308"/>
        <v>A9D71F</v>
      </c>
      <c r="V1076">
        <v>0</v>
      </c>
      <c r="W1076">
        <v>0</v>
      </c>
      <c r="X1076">
        <v>2</v>
      </c>
      <c r="Z1076">
        <v>1</v>
      </c>
      <c r="AA1076">
        <v>7</v>
      </c>
      <c r="AB1076">
        <v>3</v>
      </c>
      <c r="AC1076">
        <v>0</v>
      </c>
      <c r="AD1076">
        <v>9</v>
      </c>
      <c r="AE1076">
        <v>0</v>
      </c>
      <c r="AF1076">
        <v>3</v>
      </c>
      <c r="AG1076">
        <v>1</v>
      </c>
      <c r="AH1076">
        <v>0</v>
      </c>
      <c r="AI1076" t="s">
        <v>586</v>
      </c>
      <c r="AJ1076">
        <v>33.140794999999997</v>
      </c>
      <c r="AK1076" t="s">
        <v>587</v>
      </c>
      <c r="AL1076">
        <v>-97.714569999999995</v>
      </c>
      <c r="AM1076">
        <v>25</v>
      </c>
      <c r="AN1076">
        <v>3500</v>
      </c>
      <c r="AO1076" t="s">
        <v>118</v>
      </c>
      <c r="AP1076">
        <v>54</v>
      </c>
      <c r="AQ1076">
        <v>-93</v>
      </c>
      <c r="AR1076">
        <v>640</v>
      </c>
      <c r="AZ1076">
        <v>1200</v>
      </c>
      <c r="BA1076">
        <v>1</v>
      </c>
      <c r="BB1076" t="str">
        <f t="shared" si="315"/>
        <v xml:space="preserve">N733KP  </v>
      </c>
      <c r="BC1076">
        <v>1</v>
      </c>
      <c r="BE1076">
        <v>0</v>
      </c>
      <c r="BF1076">
        <v>0</v>
      </c>
      <c r="BG1076">
        <v>0</v>
      </c>
      <c r="BH1076">
        <v>3475</v>
      </c>
      <c r="BI1076">
        <v>1</v>
      </c>
      <c r="BJ1076">
        <v>1</v>
      </c>
      <c r="BK1076">
        <v>0</v>
      </c>
      <c r="BL1076">
        <v>0</v>
      </c>
      <c r="BO1076">
        <v>0</v>
      </c>
      <c r="BP1076">
        <v>0</v>
      </c>
      <c r="BW1076" t="str">
        <f>"22:13:59.606"</f>
        <v>22:13:59.606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6</v>
      </c>
      <c r="CP1076" t="s">
        <v>119</v>
      </c>
      <c r="CQ1076">
        <v>364</v>
      </c>
      <c r="CR1076">
        <v>0</v>
      </c>
      <c r="CW1076">
        <v>1405227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"03/24/2022 22:13:59.798"</f>
        <v>03/24/2022 22:13:59.798</v>
      </c>
      <c r="C1077" t="str">
        <f t="shared" si="314"/>
        <v>FFDFD3C0</v>
      </c>
      <c r="D1077" t="s">
        <v>126</v>
      </c>
      <c r="E1077">
        <v>3</v>
      </c>
      <c r="H1077">
        <v>160</v>
      </c>
      <c r="I1077" t="s">
        <v>121</v>
      </c>
      <c r="J1077" t="s">
        <v>127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S1077" t="str">
        <f t="shared" si="323"/>
        <v>22:13:59.000</v>
      </c>
      <c r="T1077" t="str">
        <f t="shared" si="323"/>
        <v>22:13:59.000</v>
      </c>
      <c r="U1077" t="str">
        <f t="shared" si="308"/>
        <v>A9D71F</v>
      </c>
      <c r="V1077">
        <v>0</v>
      </c>
      <c r="W1077">
        <v>0</v>
      </c>
      <c r="X1077">
        <v>2</v>
      </c>
      <c r="Z1077">
        <v>1</v>
      </c>
      <c r="AA1077">
        <v>7</v>
      </c>
      <c r="AB1077">
        <v>3</v>
      </c>
      <c r="AC1077">
        <v>0</v>
      </c>
      <c r="AD1077">
        <v>9</v>
      </c>
      <c r="AE1077">
        <v>0</v>
      </c>
      <c r="AF1077">
        <v>3</v>
      </c>
      <c r="AG1077">
        <v>1</v>
      </c>
      <c r="AH1077">
        <v>0</v>
      </c>
      <c r="AI1077" t="s">
        <v>586</v>
      </c>
      <c r="AJ1077">
        <v>33.140794999999997</v>
      </c>
      <c r="AK1077" t="s">
        <v>587</v>
      </c>
      <c r="AL1077">
        <v>-97.714569999999995</v>
      </c>
      <c r="AM1077">
        <v>25</v>
      </c>
      <c r="AN1077">
        <v>3500</v>
      </c>
      <c r="AO1077" t="s">
        <v>118</v>
      </c>
      <c r="AP1077">
        <v>54</v>
      </c>
      <c r="AQ1077">
        <v>-93</v>
      </c>
      <c r="AR1077">
        <v>640</v>
      </c>
      <c r="AZ1077">
        <v>1200</v>
      </c>
      <c r="BA1077">
        <v>1</v>
      </c>
      <c r="BB1077" t="str">
        <f t="shared" si="315"/>
        <v xml:space="preserve">N733KP  </v>
      </c>
      <c r="BC1077">
        <v>1</v>
      </c>
      <c r="BE1077">
        <v>0</v>
      </c>
      <c r="BF1077">
        <v>0</v>
      </c>
      <c r="BG1077">
        <v>0</v>
      </c>
      <c r="BH1077">
        <v>3475</v>
      </c>
      <c r="BI1077">
        <v>1</v>
      </c>
      <c r="BJ1077">
        <v>1</v>
      </c>
      <c r="BK1077">
        <v>0</v>
      </c>
      <c r="BL1077">
        <v>0</v>
      </c>
      <c r="BO1077">
        <v>0</v>
      </c>
      <c r="BP1077">
        <v>0</v>
      </c>
      <c r="BW1077" t="str">
        <f>"22:13:59.606"</f>
        <v>22:13:59.606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6</v>
      </c>
      <c r="CP1077" t="s">
        <v>119</v>
      </c>
      <c r="CQ1077">
        <v>364</v>
      </c>
      <c r="CR1077">
        <v>0</v>
      </c>
      <c r="CW1077">
        <v>1405227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"03/24/2022 22:13:59.798"</f>
        <v>03/24/2022 22:13:59.798</v>
      </c>
      <c r="C1078" t="str">
        <f t="shared" si="314"/>
        <v>FFDFD3C0</v>
      </c>
      <c r="D1078" t="s">
        <v>123</v>
      </c>
      <c r="E1078">
        <v>8</v>
      </c>
      <c r="H1078">
        <v>31</v>
      </c>
      <c r="I1078" t="s">
        <v>124</v>
      </c>
      <c r="J1078" t="s">
        <v>125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S1078" t="str">
        <f t="shared" si="323"/>
        <v>22:13:59.000</v>
      </c>
      <c r="T1078" t="str">
        <f t="shared" si="323"/>
        <v>22:13:59.000</v>
      </c>
      <c r="U1078" t="str">
        <f t="shared" si="308"/>
        <v>A9D71F</v>
      </c>
      <c r="V1078">
        <v>0</v>
      </c>
      <c r="W1078">
        <v>0</v>
      </c>
      <c r="X1078">
        <v>2</v>
      </c>
      <c r="Z1078">
        <v>1</v>
      </c>
      <c r="AA1078">
        <v>7</v>
      </c>
      <c r="AB1078">
        <v>3</v>
      </c>
      <c r="AC1078">
        <v>0</v>
      </c>
      <c r="AD1078">
        <v>9</v>
      </c>
      <c r="AE1078">
        <v>0</v>
      </c>
      <c r="AF1078">
        <v>3</v>
      </c>
      <c r="AG1078">
        <v>1</v>
      </c>
      <c r="AH1078">
        <v>0</v>
      </c>
      <c r="AI1078" t="s">
        <v>586</v>
      </c>
      <c r="AJ1078">
        <v>33.140794999999997</v>
      </c>
      <c r="AK1078" t="s">
        <v>587</v>
      </c>
      <c r="AL1078">
        <v>-97.714569999999995</v>
      </c>
      <c r="AM1078">
        <v>25</v>
      </c>
      <c r="AN1078">
        <v>3500</v>
      </c>
      <c r="AO1078" t="s">
        <v>118</v>
      </c>
      <c r="AP1078">
        <v>54</v>
      </c>
      <c r="AQ1078">
        <v>-93</v>
      </c>
      <c r="AR1078">
        <v>640</v>
      </c>
      <c r="AZ1078">
        <v>1200</v>
      </c>
      <c r="BA1078">
        <v>1</v>
      </c>
      <c r="BB1078" t="str">
        <f t="shared" si="315"/>
        <v xml:space="preserve">N733KP  </v>
      </c>
      <c r="BC1078">
        <v>1</v>
      </c>
      <c r="BE1078">
        <v>0</v>
      </c>
      <c r="BF1078">
        <v>0</v>
      </c>
      <c r="BG1078">
        <v>0</v>
      </c>
      <c r="BH1078">
        <v>3475</v>
      </c>
      <c r="BI1078">
        <v>1</v>
      </c>
      <c r="BJ1078">
        <v>1</v>
      </c>
      <c r="BK1078">
        <v>0</v>
      </c>
      <c r="BL1078">
        <v>0</v>
      </c>
      <c r="BO1078">
        <v>0</v>
      </c>
      <c r="BP1078">
        <v>0</v>
      </c>
      <c r="BW1078" t="str">
        <f>"22:13:59.606"</f>
        <v>22:13:59.606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6</v>
      </c>
      <c r="CP1078" t="s">
        <v>119</v>
      </c>
      <c r="CQ1078">
        <v>364</v>
      </c>
      <c r="CR1078">
        <v>0</v>
      </c>
      <c r="CW1078">
        <v>1405227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"03/24/2022 22:14:00.688"</f>
        <v>03/24/2022 22:14:00.688</v>
      </c>
      <c r="C1079" t="str">
        <f t="shared" si="314"/>
        <v>FFDFD3C0</v>
      </c>
      <c r="D1079" t="s">
        <v>120</v>
      </c>
      <c r="E1079">
        <v>14</v>
      </c>
      <c r="F1079">
        <v>1014</v>
      </c>
      <c r="G1079" t="s">
        <v>121</v>
      </c>
      <c r="J1079" t="s">
        <v>122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S1079" t="str">
        <f t="shared" ref="S1079:T1082" si="324">"22:14:00.000"</f>
        <v>22:14:00.000</v>
      </c>
      <c r="T1079" t="str">
        <f t="shared" si="324"/>
        <v>22:14:00.000</v>
      </c>
      <c r="U1079" t="str">
        <f t="shared" si="308"/>
        <v>A9D71F</v>
      </c>
      <c r="V1079">
        <v>0</v>
      </c>
      <c r="W1079">
        <v>0</v>
      </c>
      <c r="X1079">
        <v>2</v>
      </c>
      <c r="Z1079">
        <v>1</v>
      </c>
      <c r="AA1079">
        <v>7</v>
      </c>
      <c r="AB1079">
        <v>3</v>
      </c>
      <c r="AC1079">
        <v>0</v>
      </c>
      <c r="AD1079">
        <v>9</v>
      </c>
      <c r="AE1079">
        <v>0</v>
      </c>
      <c r="AF1079">
        <v>3</v>
      </c>
      <c r="AG1079">
        <v>1</v>
      </c>
      <c r="AH1079">
        <v>0</v>
      </c>
      <c r="AI1079" t="s">
        <v>588</v>
      </c>
      <c r="AJ1079">
        <v>33.140366</v>
      </c>
      <c r="AK1079" t="s">
        <v>589</v>
      </c>
      <c r="AL1079">
        <v>-97.714225999999996</v>
      </c>
      <c r="AM1079">
        <v>25</v>
      </c>
      <c r="AN1079">
        <v>3500</v>
      </c>
      <c r="AO1079" t="s">
        <v>118</v>
      </c>
      <c r="AP1079">
        <v>54</v>
      </c>
      <c r="AQ1079">
        <v>-94</v>
      </c>
      <c r="AR1079">
        <v>512</v>
      </c>
      <c r="AZ1079">
        <v>1200</v>
      </c>
      <c r="BA1079">
        <v>1</v>
      </c>
      <c r="BB1079" t="str">
        <f t="shared" si="315"/>
        <v xml:space="preserve">N733KP  </v>
      </c>
      <c r="BC1079">
        <v>1</v>
      </c>
      <c r="BE1079">
        <v>0</v>
      </c>
      <c r="BF1079">
        <v>0</v>
      </c>
      <c r="BG1079">
        <v>0</v>
      </c>
      <c r="BH1079">
        <v>3525</v>
      </c>
      <c r="BI1079">
        <v>1</v>
      </c>
      <c r="BJ1079">
        <v>1</v>
      </c>
      <c r="BK1079">
        <v>0</v>
      </c>
      <c r="BL1079">
        <v>0</v>
      </c>
      <c r="BO1079">
        <v>0</v>
      </c>
      <c r="BP1079">
        <v>0</v>
      </c>
      <c r="BW1079" t="str">
        <f>"22:14:00.471"</f>
        <v>22:14:00.471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364</v>
      </c>
      <c r="CR1079">
        <v>0</v>
      </c>
      <c r="CW1079">
        <v>1405371</v>
      </c>
      <c r="CY1079">
        <v>1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"03/24/2022 22:14:00.688"</f>
        <v>03/24/2022 22:14:00.688</v>
      </c>
      <c r="C1080" t="str">
        <f t="shared" si="314"/>
        <v>FFDFD3C0</v>
      </c>
      <c r="D1080" t="s">
        <v>123</v>
      </c>
      <c r="E1080">
        <v>8</v>
      </c>
      <c r="H1080">
        <v>31</v>
      </c>
      <c r="I1080" t="s">
        <v>124</v>
      </c>
      <c r="J1080" t="s">
        <v>125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S1080" t="str">
        <f t="shared" si="324"/>
        <v>22:14:00.000</v>
      </c>
      <c r="T1080" t="str">
        <f t="shared" si="324"/>
        <v>22:14:00.000</v>
      </c>
      <c r="U1080" t="str">
        <f t="shared" si="308"/>
        <v>A9D71F</v>
      </c>
      <c r="V1080">
        <v>0</v>
      </c>
      <c r="W1080">
        <v>0</v>
      </c>
      <c r="X1080">
        <v>2</v>
      </c>
      <c r="Z1080">
        <v>1</v>
      </c>
      <c r="AA1080">
        <v>7</v>
      </c>
      <c r="AB1080">
        <v>3</v>
      </c>
      <c r="AC1080">
        <v>0</v>
      </c>
      <c r="AD1080">
        <v>9</v>
      </c>
      <c r="AE1080">
        <v>0</v>
      </c>
      <c r="AF1080">
        <v>3</v>
      </c>
      <c r="AG1080">
        <v>1</v>
      </c>
      <c r="AH1080">
        <v>0</v>
      </c>
      <c r="AI1080" t="s">
        <v>588</v>
      </c>
      <c r="AJ1080">
        <v>33.140366</v>
      </c>
      <c r="AK1080" t="s">
        <v>589</v>
      </c>
      <c r="AL1080">
        <v>-97.714225999999996</v>
      </c>
      <c r="AM1080">
        <v>25</v>
      </c>
      <c r="AN1080">
        <v>3500</v>
      </c>
      <c r="AO1080" t="s">
        <v>118</v>
      </c>
      <c r="AP1080">
        <v>54</v>
      </c>
      <c r="AQ1080">
        <v>-94</v>
      </c>
      <c r="AR1080">
        <v>512</v>
      </c>
      <c r="AZ1080">
        <v>1200</v>
      </c>
      <c r="BA1080">
        <v>1</v>
      </c>
      <c r="BB1080" t="str">
        <f t="shared" si="315"/>
        <v xml:space="preserve">N733KP  </v>
      </c>
      <c r="BC1080">
        <v>1</v>
      </c>
      <c r="BE1080">
        <v>0</v>
      </c>
      <c r="BF1080">
        <v>0</v>
      </c>
      <c r="BG1080">
        <v>0</v>
      </c>
      <c r="BH1080">
        <v>3525</v>
      </c>
      <c r="BI1080">
        <v>1</v>
      </c>
      <c r="BJ1080">
        <v>1</v>
      </c>
      <c r="BK1080">
        <v>0</v>
      </c>
      <c r="BL1080">
        <v>0</v>
      </c>
      <c r="BO1080">
        <v>0</v>
      </c>
      <c r="BP1080">
        <v>0</v>
      </c>
      <c r="BW1080" t="str">
        <f>"22:14:00.471"</f>
        <v>22:14:00.471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364</v>
      </c>
      <c r="CR1080">
        <v>0</v>
      </c>
      <c r="CW1080">
        <v>1405371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"03/24/2022 22:14:00.688"</f>
        <v>03/24/2022 22:14:00.688</v>
      </c>
      <c r="C1081" t="str">
        <f t="shared" si="314"/>
        <v>FFDFD3C0</v>
      </c>
      <c r="D1081" t="s">
        <v>126</v>
      </c>
      <c r="E1081">
        <v>3</v>
      </c>
      <c r="H1081">
        <v>160</v>
      </c>
      <c r="I1081" t="s">
        <v>121</v>
      </c>
      <c r="J1081" t="s">
        <v>127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S1081" t="str">
        <f t="shared" si="324"/>
        <v>22:14:00.000</v>
      </c>
      <c r="T1081" t="str">
        <f t="shared" si="324"/>
        <v>22:14:00.000</v>
      </c>
      <c r="U1081" t="str">
        <f t="shared" si="308"/>
        <v>A9D71F</v>
      </c>
      <c r="V1081">
        <v>0</v>
      </c>
      <c r="W1081">
        <v>0</v>
      </c>
      <c r="X1081">
        <v>2</v>
      </c>
      <c r="Z1081">
        <v>1</v>
      </c>
      <c r="AA1081">
        <v>7</v>
      </c>
      <c r="AB1081">
        <v>3</v>
      </c>
      <c r="AC1081">
        <v>0</v>
      </c>
      <c r="AD1081">
        <v>9</v>
      </c>
      <c r="AE1081">
        <v>0</v>
      </c>
      <c r="AF1081">
        <v>3</v>
      </c>
      <c r="AG1081">
        <v>1</v>
      </c>
      <c r="AH1081">
        <v>0</v>
      </c>
      <c r="AI1081" t="s">
        <v>588</v>
      </c>
      <c r="AJ1081">
        <v>33.140366</v>
      </c>
      <c r="AK1081" t="s">
        <v>589</v>
      </c>
      <c r="AL1081">
        <v>-97.714225999999996</v>
      </c>
      <c r="AM1081">
        <v>25</v>
      </c>
      <c r="AN1081">
        <v>3500</v>
      </c>
      <c r="AO1081" t="s">
        <v>118</v>
      </c>
      <c r="AP1081">
        <v>54</v>
      </c>
      <c r="AQ1081">
        <v>-94</v>
      </c>
      <c r="AR1081">
        <v>512</v>
      </c>
      <c r="AZ1081">
        <v>1200</v>
      </c>
      <c r="BA1081">
        <v>1</v>
      </c>
      <c r="BB1081" t="str">
        <f t="shared" si="315"/>
        <v xml:space="preserve">N733KP  </v>
      </c>
      <c r="BC1081">
        <v>1</v>
      </c>
      <c r="BE1081">
        <v>0</v>
      </c>
      <c r="BF1081">
        <v>0</v>
      </c>
      <c r="BG1081">
        <v>0</v>
      </c>
      <c r="BH1081">
        <v>3525</v>
      </c>
      <c r="BI1081">
        <v>1</v>
      </c>
      <c r="BJ1081">
        <v>1</v>
      </c>
      <c r="BK1081">
        <v>0</v>
      </c>
      <c r="BL1081">
        <v>0</v>
      </c>
      <c r="BO1081">
        <v>0</v>
      </c>
      <c r="BP1081">
        <v>0</v>
      </c>
      <c r="BW1081" t="str">
        <f>"22:14:00.471"</f>
        <v>22:14:00.471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364</v>
      </c>
      <c r="CR1081">
        <v>0</v>
      </c>
      <c r="CW1081">
        <v>1405371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"03/24/2022 22:14:00.688"</f>
        <v>03/24/2022 22:14:00.688</v>
      </c>
      <c r="C1082" t="str">
        <f t="shared" si="314"/>
        <v>FFDFD3C0</v>
      </c>
      <c r="D1082" t="s">
        <v>113</v>
      </c>
      <c r="E1082">
        <v>24</v>
      </c>
      <c r="F1082">
        <v>2024</v>
      </c>
      <c r="G1082" t="s">
        <v>114</v>
      </c>
      <c r="J1082" t="s">
        <v>115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S1082" t="str">
        <f t="shared" si="324"/>
        <v>22:14:00.000</v>
      </c>
      <c r="T1082" t="str">
        <f t="shared" si="324"/>
        <v>22:14:00.000</v>
      </c>
      <c r="U1082" t="str">
        <f t="shared" si="308"/>
        <v>A9D71F</v>
      </c>
      <c r="V1082">
        <v>0</v>
      </c>
      <c r="W1082">
        <v>0</v>
      </c>
      <c r="X1082">
        <v>2</v>
      </c>
      <c r="Z1082">
        <v>1</v>
      </c>
      <c r="AA1082">
        <v>7</v>
      </c>
      <c r="AB1082">
        <v>3</v>
      </c>
      <c r="AC1082">
        <v>0</v>
      </c>
      <c r="AD1082">
        <v>9</v>
      </c>
      <c r="AE1082">
        <v>0</v>
      </c>
      <c r="AF1082">
        <v>3</v>
      </c>
      <c r="AG1082">
        <v>1</v>
      </c>
      <c r="AH1082">
        <v>0</v>
      </c>
      <c r="AI1082" t="s">
        <v>588</v>
      </c>
      <c r="AJ1082">
        <v>33.140366</v>
      </c>
      <c r="AK1082" t="s">
        <v>589</v>
      </c>
      <c r="AL1082">
        <v>-97.714225999999996</v>
      </c>
      <c r="AM1082">
        <v>25</v>
      </c>
      <c r="AN1082">
        <v>3500</v>
      </c>
      <c r="AO1082" t="s">
        <v>118</v>
      </c>
      <c r="AP1082">
        <v>54</v>
      </c>
      <c r="AQ1082">
        <v>-94</v>
      </c>
      <c r="AR1082">
        <v>512</v>
      </c>
      <c r="AZ1082">
        <v>1200</v>
      </c>
      <c r="BA1082">
        <v>1</v>
      </c>
      <c r="BB1082" t="str">
        <f t="shared" si="315"/>
        <v xml:space="preserve">N733KP  </v>
      </c>
      <c r="BC1082">
        <v>1</v>
      </c>
      <c r="BE1082">
        <v>0</v>
      </c>
      <c r="BF1082">
        <v>0</v>
      </c>
      <c r="BG1082">
        <v>0</v>
      </c>
      <c r="BH1082">
        <v>3525</v>
      </c>
      <c r="BI1082">
        <v>1</v>
      </c>
      <c r="BJ1082">
        <v>1</v>
      </c>
      <c r="BK1082">
        <v>0</v>
      </c>
      <c r="BL1082">
        <v>0</v>
      </c>
      <c r="BO1082">
        <v>0</v>
      </c>
      <c r="BP1082">
        <v>0</v>
      </c>
      <c r="BW1082" t="str">
        <f>"22:14:00.471"</f>
        <v>22:14:00.471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364</v>
      </c>
      <c r="CR1082">
        <v>0</v>
      </c>
      <c r="CW1082">
        <v>1405371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"03/24/2022 22:14:01.673"</f>
        <v>03/24/2022 22:14:01.673</v>
      </c>
      <c r="C1083" t="str">
        <f t="shared" si="314"/>
        <v>FFDFD3C0</v>
      </c>
      <c r="D1083" t="s">
        <v>120</v>
      </c>
      <c r="E1083">
        <v>14</v>
      </c>
      <c r="F1083">
        <v>1014</v>
      </c>
      <c r="G1083" t="s">
        <v>121</v>
      </c>
      <c r="J1083" t="s">
        <v>122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S1083" t="str">
        <f t="shared" ref="S1083:T1086" si="325">"22:14:01.000"</f>
        <v>22:14:01.000</v>
      </c>
      <c r="T1083" t="str">
        <f t="shared" si="325"/>
        <v>22:14:01.000</v>
      </c>
      <c r="U1083" t="str">
        <f t="shared" si="308"/>
        <v>A9D71F</v>
      </c>
      <c r="V1083">
        <v>0</v>
      </c>
      <c r="W1083">
        <v>0</v>
      </c>
      <c r="X1083">
        <v>2</v>
      </c>
      <c r="Z1083">
        <v>1</v>
      </c>
      <c r="AA1083">
        <v>7</v>
      </c>
      <c r="AB1083">
        <v>3</v>
      </c>
      <c r="AC1083">
        <v>0</v>
      </c>
      <c r="AD1083">
        <v>9</v>
      </c>
      <c r="AE1083">
        <v>0</v>
      </c>
      <c r="AF1083">
        <v>3</v>
      </c>
      <c r="AG1083">
        <v>1</v>
      </c>
      <c r="AH1083">
        <v>0</v>
      </c>
      <c r="AI1083" t="s">
        <v>590</v>
      </c>
      <c r="AJ1083">
        <v>33.139915000000002</v>
      </c>
      <c r="AK1083" t="s">
        <v>591</v>
      </c>
      <c r="AL1083">
        <v>-97.713947000000005</v>
      </c>
      <c r="AM1083">
        <v>25</v>
      </c>
      <c r="AN1083">
        <v>3500</v>
      </c>
      <c r="AO1083" t="s">
        <v>118</v>
      </c>
      <c r="AP1083">
        <v>53</v>
      </c>
      <c r="AQ1083">
        <v>-94</v>
      </c>
      <c r="AR1083">
        <v>384</v>
      </c>
      <c r="AZ1083">
        <v>1200</v>
      </c>
      <c r="BA1083">
        <v>1</v>
      </c>
      <c r="BB1083" t="str">
        <f t="shared" si="315"/>
        <v xml:space="preserve">N733KP  </v>
      </c>
      <c r="BC1083">
        <v>1</v>
      </c>
      <c r="BE1083">
        <v>0</v>
      </c>
      <c r="BF1083">
        <v>0</v>
      </c>
      <c r="BG1083">
        <v>0</v>
      </c>
      <c r="BH1083">
        <v>3525</v>
      </c>
      <c r="BI1083">
        <v>1</v>
      </c>
      <c r="BJ1083">
        <v>1</v>
      </c>
      <c r="BK1083">
        <v>0</v>
      </c>
      <c r="BL1083">
        <v>0</v>
      </c>
      <c r="BO1083">
        <v>0</v>
      </c>
      <c r="BP1083">
        <v>0</v>
      </c>
      <c r="BW1083" t="str">
        <f>"22:14:01.509"</f>
        <v>22:14:01.509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364</v>
      </c>
      <c r="CR1083">
        <v>0</v>
      </c>
      <c r="CW1083">
        <v>1405537</v>
      </c>
      <c r="CY1083">
        <v>1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"03/24/2022 22:14:01.673"</f>
        <v>03/24/2022 22:14:01.673</v>
      </c>
      <c r="C1084" t="str">
        <f t="shared" si="314"/>
        <v>FFDFD3C0</v>
      </c>
      <c r="D1084" t="s">
        <v>123</v>
      </c>
      <c r="E1084">
        <v>8</v>
      </c>
      <c r="H1084">
        <v>31</v>
      </c>
      <c r="I1084" t="s">
        <v>124</v>
      </c>
      <c r="J1084" t="s">
        <v>125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S1084" t="str">
        <f t="shared" si="325"/>
        <v>22:14:01.000</v>
      </c>
      <c r="T1084" t="str">
        <f t="shared" si="325"/>
        <v>22:14:01.000</v>
      </c>
      <c r="U1084" t="str">
        <f t="shared" si="308"/>
        <v>A9D71F</v>
      </c>
      <c r="V1084">
        <v>0</v>
      </c>
      <c r="W1084">
        <v>0</v>
      </c>
      <c r="X1084">
        <v>2</v>
      </c>
      <c r="Z1084">
        <v>1</v>
      </c>
      <c r="AA1084">
        <v>7</v>
      </c>
      <c r="AB1084">
        <v>3</v>
      </c>
      <c r="AC1084">
        <v>0</v>
      </c>
      <c r="AD1084">
        <v>9</v>
      </c>
      <c r="AE1084">
        <v>0</v>
      </c>
      <c r="AF1084">
        <v>3</v>
      </c>
      <c r="AG1084">
        <v>1</v>
      </c>
      <c r="AH1084">
        <v>0</v>
      </c>
      <c r="AI1084" t="s">
        <v>590</v>
      </c>
      <c r="AJ1084">
        <v>33.139915000000002</v>
      </c>
      <c r="AK1084" t="s">
        <v>591</v>
      </c>
      <c r="AL1084">
        <v>-97.713947000000005</v>
      </c>
      <c r="AM1084">
        <v>25</v>
      </c>
      <c r="AN1084">
        <v>3500</v>
      </c>
      <c r="AO1084" t="s">
        <v>118</v>
      </c>
      <c r="AP1084">
        <v>53</v>
      </c>
      <c r="AQ1084">
        <v>-94</v>
      </c>
      <c r="AR1084">
        <v>384</v>
      </c>
      <c r="AZ1084">
        <v>1200</v>
      </c>
      <c r="BA1084">
        <v>1</v>
      </c>
      <c r="BB1084" t="str">
        <f t="shared" si="315"/>
        <v xml:space="preserve">N733KP  </v>
      </c>
      <c r="BC1084">
        <v>1</v>
      </c>
      <c r="BE1084">
        <v>0</v>
      </c>
      <c r="BF1084">
        <v>0</v>
      </c>
      <c r="BG1084">
        <v>0</v>
      </c>
      <c r="BH1084">
        <v>3525</v>
      </c>
      <c r="BI1084">
        <v>1</v>
      </c>
      <c r="BJ1084">
        <v>1</v>
      </c>
      <c r="BK1084">
        <v>0</v>
      </c>
      <c r="BL1084">
        <v>0</v>
      </c>
      <c r="BO1084">
        <v>0</v>
      </c>
      <c r="BP1084">
        <v>0</v>
      </c>
      <c r="BW1084" t="str">
        <f>"22:14:01.509"</f>
        <v>22:14:01.509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364</v>
      </c>
      <c r="CR1084">
        <v>0</v>
      </c>
      <c r="CW1084">
        <v>1405537</v>
      </c>
      <c r="CY1084">
        <v>1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"03/24/2022 22:14:01.673"</f>
        <v>03/24/2022 22:14:01.673</v>
      </c>
      <c r="C1085" t="str">
        <f t="shared" si="314"/>
        <v>FFDFD3C0</v>
      </c>
      <c r="D1085" t="s">
        <v>126</v>
      </c>
      <c r="E1085">
        <v>3</v>
      </c>
      <c r="H1085">
        <v>160</v>
      </c>
      <c r="I1085" t="s">
        <v>121</v>
      </c>
      <c r="J1085" t="s">
        <v>127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S1085" t="str">
        <f t="shared" si="325"/>
        <v>22:14:01.000</v>
      </c>
      <c r="T1085" t="str">
        <f t="shared" si="325"/>
        <v>22:14:01.000</v>
      </c>
      <c r="U1085" t="str">
        <f t="shared" si="308"/>
        <v>A9D71F</v>
      </c>
      <c r="V1085">
        <v>0</v>
      </c>
      <c r="W1085">
        <v>0</v>
      </c>
      <c r="X1085">
        <v>2</v>
      </c>
      <c r="Z1085">
        <v>1</v>
      </c>
      <c r="AA1085">
        <v>7</v>
      </c>
      <c r="AB1085">
        <v>3</v>
      </c>
      <c r="AC1085">
        <v>0</v>
      </c>
      <c r="AD1085">
        <v>9</v>
      </c>
      <c r="AE1085">
        <v>0</v>
      </c>
      <c r="AF1085">
        <v>3</v>
      </c>
      <c r="AG1085">
        <v>1</v>
      </c>
      <c r="AH1085">
        <v>0</v>
      </c>
      <c r="AI1085" t="s">
        <v>590</v>
      </c>
      <c r="AJ1085">
        <v>33.139915000000002</v>
      </c>
      <c r="AK1085" t="s">
        <v>591</v>
      </c>
      <c r="AL1085">
        <v>-97.713947000000005</v>
      </c>
      <c r="AM1085">
        <v>25</v>
      </c>
      <c r="AN1085">
        <v>3500</v>
      </c>
      <c r="AO1085" t="s">
        <v>118</v>
      </c>
      <c r="AP1085">
        <v>53</v>
      </c>
      <c r="AQ1085">
        <v>-94</v>
      </c>
      <c r="AR1085">
        <v>384</v>
      </c>
      <c r="AZ1085">
        <v>1200</v>
      </c>
      <c r="BA1085">
        <v>1</v>
      </c>
      <c r="BB1085" t="str">
        <f t="shared" si="315"/>
        <v xml:space="preserve">N733KP  </v>
      </c>
      <c r="BC1085">
        <v>1</v>
      </c>
      <c r="BE1085">
        <v>0</v>
      </c>
      <c r="BF1085">
        <v>0</v>
      </c>
      <c r="BG1085">
        <v>0</v>
      </c>
      <c r="BH1085">
        <v>3525</v>
      </c>
      <c r="BI1085">
        <v>1</v>
      </c>
      <c r="BJ1085">
        <v>1</v>
      </c>
      <c r="BK1085">
        <v>0</v>
      </c>
      <c r="BL1085">
        <v>0</v>
      </c>
      <c r="BO1085">
        <v>0</v>
      </c>
      <c r="BP1085">
        <v>0</v>
      </c>
      <c r="BW1085" t="str">
        <f>"22:14:01.509"</f>
        <v>22:14:01.509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364</v>
      </c>
      <c r="CR1085">
        <v>0</v>
      </c>
      <c r="CW1085">
        <v>1405537</v>
      </c>
      <c r="CY1085">
        <v>1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"03/24/2022 22:14:01.688"</f>
        <v>03/24/2022 22:14:01.688</v>
      </c>
      <c r="C1086" t="str">
        <f t="shared" si="314"/>
        <v>FFDFD3C0</v>
      </c>
      <c r="D1086" t="s">
        <v>113</v>
      </c>
      <c r="E1086">
        <v>24</v>
      </c>
      <c r="F1086">
        <v>2024</v>
      </c>
      <c r="G1086" t="s">
        <v>114</v>
      </c>
      <c r="J1086" t="s">
        <v>115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S1086" t="str">
        <f t="shared" si="325"/>
        <v>22:14:01.000</v>
      </c>
      <c r="T1086" t="str">
        <f t="shared" si="325"/>
        <v>22:14:01.000</v>
      </c>
      <c r="U1086" t="str">
        <f t="shared" si="308"/>
        <v>A9D71F</v>
      </c>
      <c r="V1086">
        <v>0</v>
      </c>
      <c r="W1086">
        <v>0</v>
      </c>
      <c r="X1086">
        <v>2</v>
      </c>
      <c r="Z1086">
        <v>1</v>
      </c>
      <c r="AA1086">
        <v>7</v>
      </c>
      <c r="AB1086">
        <v>3</v>
      </c>
      <c r="AC1086">
        <v>0</v>
      </c>
      <c r="AD1086">
        <v>9</v>
      </c>
      <c r="AE1086">
        <v>0</v>
      </c>
      <c r="AF1086">
        <v>3</v>
      </c>
      <c r="AG1086">
        <v>1</v>
      </c>
      <c r="AH1086">
        <v>0</v>
      </c>
      <c r="AI1086" t="s">
        <v>590</v>
      </c>
      <c r="AJ1086">
        <v>33.139915000000002</v>
      </c>
      <c r="AK1086" t="s">
        <v>591</v>
      </c>
      <c r="AL1086">
        <v>-97.713947000000005</v>
      </c>
      <c r="AM1086">
        <v>25</v>
      </c>
      <c r="AN1086">
        <v>3500</v>
      </c>
      <c r="AO1086" t="s">
        <v>118</v>
      </c>
      <c r="AP1086">
        <v>53</v>
      </c>
      <c r="AQ1086">
        <v>-94</v>
      </c>
      <c r="AR1086">
        <v>384</v>
      </c>
      <c r="AZ1086">
        <v>1200</v>
      </c>
      <c r="BA1086">
        <v>1</v>
      </c>
      <c r="BB1086" t="str">
        <f t="shared" si="315"/>
        <v xml:space="preserve">N733KP  </v>
      </c>
      <c r="BC1086">
        <v>1</v>
      </c>
      <c r="BE1086">
        <v>0</v>
      </c>
      <c r="BF1086">
        <v>0</v>
      </c>
      <c r="BG1086">
        <v>0</v>
      </c>
      <c r="BH1086">
        <v>3525</v>
      </c>
      <c r="BI1086">
        <v>1</v>
      </c>
      <c r="BJ1086">
        <v>1</v>
      </c>
      <c r="BK1086">
        <v>0</v>
      </c>
      <c r="BL1086">
        <v>0</v>
      </c>
      <c r="BO1086">
        <v>0</v>
      </c>
      <c r="BP1086">
        <v>0</v>
      </c>
      <c r="BW1086" t="str">
        <f>"22:14:01.509"</f>
        <v>22:14:01.509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364</v>
      </c>
      <c r="CR1086">
        <v>0</v>
      </c>
      <c r="CW1086">
        <v>1405537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"03/24/2022 22:14:02.533"</f>
        <v>03/24/2022 22:14:02.533</v>
      </c>
      <c r="C1087" t="str">
        <f t="shared" si="314"/>
        <v>FFDFD3C0</v>
      </c>
      <c r="D1087" t="s">
        <v>120</v>
      </c>
      <c r="E1087">
        <v>14</v>
      </c>
      <c r="F1087">
        <v>1014</v>
      </c>
      <c r="G1087" t="s">
        <v>121</v>
      </c>
      <c r="J1087" t="s">
        <v>122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S1087" t="str">
        <f t="shared" ref="S1087:T1090" si="326">"22:14:02.000"</f>
        <v>22:14:02.000</v>
      </c>
      <c r="T1087" t="str">
        <f t="shared" si="326"/>
        <v>22:14:02.000</v>
      </c>
      <c r="U1087" t="str">
        <f t="shared" si="308"/>
        <v>A9D71F</v>
      </c>
      <c r="V1087">
        <v>0</v>
      </c>
      <c r="W1087">
        <v>0</v>
      </c>
      <c r="X1087">
        <v>2</v>
      </c>
      <c r="Z1087">
        <v>1</v>
      </c>
      <c r="AA1087">
        <v>7</v>
      </c>
      <c r="AB1087">
        <v>3</v>
      </c>
      <c r="AC1087">
        <v>0</v>
      </c>
      <c r="AD1087">
        <v>9</v>
      </c>
      <c r="AE1087">
        <v>0</v>
      </c>
      <c r="AF1087">
        <v>3</v>
      </c>
      <c r="AG1087">
        <v>1</v>
      </c>
      <c r="AH1087">
        <v>0</v>
      </c>
      <c r="AI1087" t="s">
        <v>592</v>
      </c>
      <c r="AJ1087">
        <v>33.139507999999999</v>
      </c>
      <c r="AK1087" t="s">
        <v>593</v>
      </c>
      <c r="AL1087">
        <v>-97.713667999999998</v>
      </c>
      <c r="AM1087">
        <v>25</v>
      </c>
      <c r="AN1087">
        <v>3500</v>
      </c>
      <c r="AO1087" t="s">
        <v>118</v>
      </c>
      <c r="AP1087">
        <v>52</v>
      </c>
      <c r="AQ1087">
        <v>-94</v>
      </c>
      <c r="AR1087">
        <v>256</v>
      </c>
      <c r="AZ1087">
        <v>1200</v>
      </c>
      <c r="BA1087">
        <v>1</v>
      </c>
      <c r="BB1087" t="str">
        <f t="shared" si="315"/>
        <v xml:space="preserve">N733KP  </v>
      </c>
      <c r="BC1087">
        <v>1</v>
      </c>
      <c r="BE1087">
        <v>0</v>
      </c>
      <c r="BF1087">
        <v>0</v>
      </c>
      <c r="BG1087">
        <v>0</v>
      </c>
      <c r="BH1087">
        <v>3525</v>
      </c>
      <c r="BI1087">
        <v>1</v>
      </c>
      <c r="BJ1087">
        <v>1</v>
      </c>
      <c r="BK1087">
        <v>0</v>
      </c>
      <c r="BL1087">
        <v>0</v>
      </c>
      <c r="BO1087">
        <v>0</v>
      </c>
      <c r="BP1087">
        <v>0</v>
      </c>
      <c r="BW1087" t="str">
        <f>"22:14:02.364"</f>
        <v>22:14:02.364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364</v>
      </c>
      <c r="CR1087">
        <v>0</v>
      </c>
      <c r="CW1087">
        <v>1405673</v>
      </c>
      <c r="CY1087">
        <v>1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"03/24/2022 22:14:02.533"</f>
        <v>03/24/2022 22:14:02.533</v>
      </c>
      <c r="C1088" t="str">
        <f t="shared" si="314"/>
        <v>FFDFD3C0</v>
      </c>
      <c r="D1088" t="s">
        <v>123</v>
      </c>
      <c r="E1088">
        <v>8</v>
      </c>
      <c r="H1088">
        <v>31</v>
      </c>
      <c r="I1088" t="s">
        <v>124</v>
      </c>
      <c r="J1088" t="s">
        <v>125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S1088" t="str">
        <f t="shared" si="326"/>
        <v>22:14:02.000</v>
      </c>
      <c r="T1088" t="str">
        <f t="shared" si="326"/>
        <v>22:14:02.000</v>
      </c>
      <c r="U1088" t="str">
        <f t="shared" si="308"/>
        <v>A9D71F</v>
      </c>
      <c r="V1088">
        <v>0</v>
      </c>
      <c r="W1088">
        <v>0</v>
      </c>
      <c r="X1088">
        <v>2</v>
      </c>
      <c r="Z1088">
        <v>1</v>
      </c>
      <c r="AA1088">
        <v>7</v>
      </c>
      <c r="AB1088">
        <v>3</v>
      </c>
      <c r="AC1088">
        <v>0</v>
      </c>
      <c r="AD1088">
        <v>9</v>
      </c>
      <c r="AE1088">
        <v>0</v>
      </c>
      <c r="AF1088">
        <v>3</v>
      </c>
      <c r="AG1088">
        <v>1</v>
      </c>
      <c r="AH1088">
        <v>0</v>
      </c>
      <c r="AI1088" t="s">
        <v>592</v>
      </c>
      <c r="AJ1088">
        <v>33.139507999999999</v>
      </c>
      <c r="AK1088" t="s">
        <v>593</v>
      </c>
      <c r="AL1088">
        <v>-97.713667999999998</v>
      </c>
      <c r="AM1088">
        <v>25</v>
      </c>
      <c r="AN1088">
        <v>3500</v>
      </c>
      <c r="AO1088" t="s">
        <v>118</v>
      </c>
      <c r="AP1088">
        <v>52</v>
      </c>
      <c r="AQ1088">
        <v>-94</v>
      </c>
      <c r="AR1088">
        <v>256</v>
      </c>
      <c r="AZ1088">
        <v>1200</v>
      </c>
      <c r="BA1088">
        <v>1</v>
      </c>
      <c r="BB1088" t="str">
        <f t="shared" si="315"/>
        <v xml:space="preserve">N733KP  </v>
      </c>
      <c r="BC1088">
        <v>1</v>
      </c>
      <c r="BE1088">
        <v>0</v>
      </c>
      <c r="BF1088">
        <v>0</v>
      </c>
      <c r="BG1088">
        <v>0</v>
      </c>
      <c r="BH1088">
        <v>3525</v>
      </c>
      <c r="BI1088">
        <v>1</v>
      </c>
      <c r="BJ1088">
        <v>1</v>
      </c>
      <c r="BK1088">
        <v>0</v>
      </c>
      <c r="BL1088">
        <v>0</v>
      </c>
      <c r="BO1088">
        <v>0</v>
      </c>
      <c r="BP1088">
        <v>0</v>
      </c>
      <c r="BW1088" t="str">
        <f>"22:14:02.364"</f>
        <v>22:14:02.364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364</v>
      </c>
      <c r="CR1088">
        <v>0</v>
      </c>
      <c r="CW1088">
        <v>1405673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"03/24/2022 22:14:02.533"</f>
        <v>03/24/2022 22:14:02.533</v>
      </c>
      <c r="C1089" t="str">
        <f t="shared" si="314"/>
        <v>FFDFD3C0</v>
      </c>
      <c r="D1089" t="s">
        <v>126</v>
      </c>
      <c r="E1089">
        <v>3</v>
      </c>
      <c r="H1089">
        <v>160</v>
      </c>
      <c r="I1089" t="s">
        <v>121</v>
      </c>
      <c r="J1089" t="s">
        <v>127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S1089" t="str">
        <f t="shared" si="326"/>
        <v>22:14:02.000</v>
      </c>
      <c r="T1089" t="str">
        <f t="shared" si="326"/>
        <v>22:14:02.000</v>
      </c>
      <c r="U1089" t="str">
        <f t="shared" si="308"/>
        <v>A9D71F</v>
      </c>
      <c r="V1089">
        <v>0</v>
      </c>
      <c r="W1089">
        <v>0</v>
      </c>
      <c r="X1089">
        <v>2</v>
      </c>
      <c r="Z1089">
        <v>1</v>
      </c>
      <c r="AA1089">
        <v>7</v>
      </c>
      <c r="AB1089">
        <v>3</v>
      </c>
      <c r="AC1089">
        <v>0</v>
      </c>
      <c r="AD1089">
        <v>9</v>
      </c>
      <c r="AE1089">
        <v>0</v>
      </c>
      <c r="AF1089">
        <v>3</v>
      </c>
      <c r="AG1089">
        <v>1</v>
      </c>
      <c r="AH1089">
        <v>0</v>
      </c>
      <c r="AI1089" t="s">
        <v>592</v>
      </c>
      <c r="AJ1089">
        <v>33.139507999999999</v>
      </c>
      <c r="AK1089" t="s">
        <v>593</v>
      </c>
      <c r="AL1089">
        <v>-97.713667999999998</v>
      </c>
      <c r="AM1089">
        <v>25</v>
      </c>
      <c r="AN1089">
        <v>3500</v>
      </c>
      <c r="AO1089" t="s">
        <v>118</v>
      </c>
      <c r="AP1089">
        <v>52</v>
      </c>
      <c r="AQ1089">
        <v>-94</v>
      </c>
      <c r="AR1089">
        <v>256</v>
      </c>
      <c r="AZ1089">
        <v>1200</v>
      </c>
      <c r="BA1089">
        <v>1</v>
      </c>
      <c r="BB1089" t="str">
        <f t="shared" si="315"/>
        <v xml:space="preserve">N733KP  </v>
      </c>
      <c r="BC1089">
        <v>1</v>
      </c>
      <c r="BE1089">
        <v>0</v>
      </c>
      <c r="BF1089">
        <v>0</v>
      </c>
      <c r="BG1089">
        <v>0</v>
      </c>
      <c r="BH1089">
        <v>3525</v>
      </c>
      <c r="BI1089">
        <v>1</v>
      </c>
      <c r="BJ1089">
        <v>1</v>
      </c>
      <c r="BK1089">
        <v>0</v>
      </c>
      <c r="BL1089">
        <v>0</v>
      </c>
      <c r="BO1089">
        <v>0</v>
      </c>
      <c r="BP1089">
        <v>0</v>
      </c>
      <c r="BW1089" t="str">
        <f>"22:14:02.364"</f>
        <v>22:14:02.364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364</v>
      </c>
      <c r="CR1089">
        <v>0</v>
      </c>
      <c r="CW1089">
        <v>1405673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"03/24/2022 22:14:02.580"</f>
        <v>03/24/2022 22:14:02.580</v>
      </c>
      <c r="C1090" t="str">
        <f t="shared" si="314"/>
        <v>FFDFD3C0</v>
      </c>
      <c r="D1090" t="s">
        <v>113</v>
      </c>
      <c r="E1090">
        <v>24</v>
      </c>
      <c r="F1090">
        <v>2024</v>
      </c>
      <c r="G1090" t="s">
        <v>114</v>
      </c>
      <c r="J1090" t="s">
        <v>115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S1090" t="str">
        <f t="shared" si="326"/>
        <v>22:14:02.000</v>
      </c>
      <c r="T1090" t="str">
        <f t="shared" si="326"/>
        <v>22:14:02.000</v>
      </c>
      <c r="U1090" t="str">
        <f t="shared" ref="U1090:U1153" si="327">"A9D71F"</f>
        <v>A9D71F</v>
      </c>
      <c r="V1090">
        <v>0</v>
      </c>
      <c r="W1090">
        <v>0</v>
      </c>
      <c r="X1090">
        <v>2</v>
      </c>
      <c r="Z1090">
        <v>1</v>
      </c>
      <c r="AA1090">
        <v>7</v>
      </c>
      <c r="AB1090">
        <v>3</v>
      </c>
      <c r="AC1090">
        <v>0</v>
      </c>
      <c r="AD1090">
        <v>9</v>
      </c>
      <c r="AE1090">
        <v>0</v>
      </c>
      <c r="AF1090">
        <v>3</v>
      </c>
      <c r="AG1090">
        <v>1</v>
      </c>
      <c r="AH1090">
        <v>0</v>
      </c>
      <c r="AI1090" t="s">
        <v>592</v>
      </c>
      <c r="AJ1090">
        <v>33.139507999999999</v>
      </c>
      <c r="AK1090" t="s">
        <v>593</v>
      </c>
      <c r="AL1090">
        <v>-97.713667999999998</v>
      </c>
      <c r="AM1090">
        <v>25</v>
      </c>
      <c r="AN1090">
        <v>3500</v>
      </c>
      <c r="AO1090" t="s">
        <v>118</v>
      </c>
      <c r="AP1090">
        <v>52</v>
      </c>
      <c r="AQ1090">
        <v>-94</v>
      </c>
      <c r="AR1090">
        <v>256</v>
      </c>
      <c r="AZ1090">
        <v>1200</v>
      </c>
      <c r="BA1090">
        <v>1</v>
      </c>
      <c r="BB1090" t="str">
        <f t="shared" si="315"/>
        <v xml:space="preserve">N733KP  </v>
      </c>
      <c r="BC1090">
        <v>1</v>
      </c>
      <c r="BE1090">
        <v>0</v>
      </c>
      <c r="BF1090">
        <v>0</v>
      </c>
      <c r="BG1090">
        <v>0</v>
      </c>
      <c r="BH1090">
        <v>3525</v>
      </c>
      <c r="BI1090">
        <v>1</v>
      </c>
      <c r="BJ1090">
        <v>1</v>
      </c>
      <c r="BK1090">
        <v>0</v>
      </c>
      <c r="BL1090">
        <v>0</v>
      </c>
      <c r="BO1090">
        <v>0</v>
      </c>
      <c r="BP1090">
        <v>0</v>
      </c>
      <c r="BW1090" t="str">
        <f>"22:14:02.364"</f>
        <v>22:14:02.364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364</v>
      </c>
      <c r="CR1090">
        <v>0</v>
      </c>
      <c r="CW1090">
        <v>1405673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"03/24/2022 22:14:03.582"</f>
        <v>03/24/2022 22:14:03.582</v>
      </c>
      <c r="C1091" t="str">
        <f t="shared" si="314"/>
        <v>FFDFD3C0</v>
      </c>
      <c r="D1091" t="s">
        <v>113</v>
      </c>
      <c r="E1091">
        <v>24</v>
      </c>
      <c r="F1091">
        <v>2024</v>
      </c>
      <c r="G1091" t="s">
        <v>114</v>
      </c>
      <c r="J1091" t="s">
        <v>115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S1091" t="str">
        <f t="shared" ref="S1091:T1094" si="328">"22:14:03.000"</f>
        <v>22:14:03.000</v>
      </c>
      <c r="T1091" t="str">
        <f t="shared" si="328"/>
        <v>22:14:03.000</v>
      </c>
      <c r="U1091" t="str">
        <f t="shared" si="327"/>
        <v>A9D71F</v>
      </c>
      <c r="V1091">
        <v>0</v>
      </c>
      <c r="W1091">
        <v>0</v>
      </c>
      <c r="X1091">
        <v>2</v>
      </c>
      <c r="Z1091">
        <v>1</v>
      </c>
      <c r="AA1091">
        <v>7</v>
      </c>
      <c r="AB1091">
        <v>3</v>
      </c>
      <c r="AC1091">
        <v>0</v>
      </c>
      <c r="AD1091">
        <v>9</v>
      </c>
      <c r="AE1091">
        <v>0</v>
      </c>
      <c r="AF1091">
        <v>3</v>
      </c>
      <c r="AG1091">
        <v>1</v>
      </c>
      <c r="AH1091">
        <v>0</v>
      </c>
      <c r="AI1091" t="s">
        <v>594</v>
      </c>
      <c r="AJ1091">
        <v>33.139057000000001</v>
      </c>
      <c r="AK1091" t="s">
        <v>595</v>
      </c>
      <c r="AL1091">
        <v>-97.713368000000003</v>
      </c>
      <c r="AM1091">
        <v>25</v>
      </c>
      <c r="AN1091">
        <v>3500</v>
      </c>
      <c r="AO1091" t="s">
        <v>118</v>
      </c>
      <c r="AP1091">
        <v>53</v>
      </c>
      <c r="AQ1091">
        <v>-94</v>
      </c>
      <c r="AR1091">
        <v>128</v>
      </c>
      <c r="AZ1091">
        <v>1200</v>
      </c>
      <c r="BA1091">
        <v>1</v>
      </c>
      <c r="BB1091" t="str">
        <f t="shared" si="315"/>
        <v xml:space="preserve">N733KP  </v>
      </c>
      <c r="BC1091">
        <v>1</v>
      </c>
      <c r="BE1091">
        <v>0</v>
      </c>
      <c r="BF1091">
        <v>0</v>
      </c>
      <c r="BG1091">
        <v>0</v>
      </c>
      <c r="BH1091">
        <v>3525</v>
      </c>
      <c r="BI1091">
        <v>1</v>
      </c>
      <c r="BJ1091">
        <v>1</v>
      </c>
      <c r="BK1091">
        <v>0</v>
      </c>
      <c r="BL1091">
        <v>0</v>
      </c>
      <c r="BO1091">
        <v>0</v>
      </c>
      <c r="BP1091">
        <v>0</v>
      </c>
      <c r="BW1091" t="str">
        <f>"22:14:03.409"</f>
        <v>22:14:03.409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364</v>
      </c>
      <c r="CR1091">
        <v>0</v>
      </c>
      <c r="CW1091">
        <v>1405847</v>
      </c>
      <c r="CY1091">
        <v>1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"03/24/2022 22:14:03.582"</f>
        <v>03/24/2022 22:14:03.582</v>
      </c>
      <c r="C1092" t="str">
        <f t="shared" si="314"/>
        <v>FFDFD3C0</v>
      </c>
      <c r="D1092" t="s">
        <v>120</v>
      </c>
      <c r="E1092">
        <v>14</v>
      </c>
      <c r="F1092">
        <v>1014</v>
      </c>
      <c r="G1092" t="s">
        <v>121</v>
      </c>
      <c r="J1092" t="s">
        <v>122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S1092" t="str">
        <f t="shared" si="328"/>
        <v>22:14:03.000</v>
      </c>
      <c r="T1092" t="str">
        <f t="shared" si="328"/>
        <v>22:14:03.000</v>
      </c>
      <c r="U1092" t="str">
        <f t="shared" si="327"/>
        <v>A9D71F</v>
      </c>
      <c r="V1092">
        <v>0</v>
      </c>
      <c r="W1092">
        <v>0</v>
      </c>
      <c r="X1092">
        <v>2</v>
      </c>
      <c r="Z1092">
        <v>1</v>
      </c>
      <c r="AA1092">
        <v>7</v>
      </c>
      <c r="AB1092">
        <v>3</v>
      </c>
      <c r="AC1092">
        <v>0</v>
      </c>
      <c r="AD1092">
        <v>9</v>
      </c>
      <c r="AE1092">
        <v>0</v>
      </c>
      <c r="AF1092">
        <v>3</v>
      </c>
      <c r="AG1092">
        <v>1</v>
      </c>
      <c r="AH1092">
        <v>0</v>
      </c>
      <c r="AI1092" t="s">
        <v>594</v>
      </c>
      <c r="AJ1092">
        <v>33.139057000000001</v>
      </c>
      <c r="AK1092" t="s">
        <v>595</v>
      </c>
      <c r="AL1092">
        <v>-97.713368000000003</v>
      </c>
      <c r="AM1092">
        <v>25</v>
      </c>
      <c r="AN1092">
        <v>3500</v>
      </c>
      <c r="AO1092" t="s">
        <v>118</v>
      </c>
      <c r="AP1092">
        <v>53</v>
      </c>
      <c r="AQ1092">
        <v>-94</v>
      </c>
      <c r="AR1092">
        <v>128</v>
      </c>
      <c r="AZ1092">
        <v>1200</v>
      </c>
      <c r="BA1092">
        <v>1</v>
      </c>
      <c r="BB1092" t="str">
        <f t="shared" si="315"/>
        <v xml:space="preserve">N733KP  </v>
      </c>
      <c r="BC1092">
        <v>1</v>
      </c>
      <c r="BE1092">
        <v>0</v>
      </c>
      <c r="BF1092">
        <v>0</v>
      </c>
      <c r="BG1092">
        <v>0</v>
      </c>
      <c r="BH1092">
        <v>3525</v>
      </c>
      <c r="BI1092">
        <v>1</v>
      </c>
      <c r="BJ1092">
        <v>1</v>
      </c>
      <c r="BK1092">
        <v>0</v>
      </c>
      <c r="BL1092">
        <v>0</v>
      </c>
      <c r="BO1092">
        <v>0</v>
      </c>
      <c r="BP1092">
        <v>0</v>
      </c>
      <c r="BW1092" t="str">
        <f>"22:14:03.409"</f>
        <v>22:14:03.409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364</v>
      </c>
      <c r="CR1092">
        <v>0</v>
      </c>
      <c r="CW1092">
        <v>1405847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"03/24/2022 22:14:03.582"</f>
        <v>03/24/2022 22:14:03.582</v>
      </c>
      <c r="C1093" t="str">
        <f t="shared" si="314"/>
        <v>FFDFD3C0</v>
      </c>
      <c r="D1093" t="s">
        <v>126</v>
      </c>
      <c r="E1093">
        <v>3</v>
      </c>
      <c r="H1093">
        <v>160</v>
      </c>
      <c r="I1093" t="s">
        <v>121</v>
      </c>
      <c r="J1093" t="s">
        <v>127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S1093" t="str">
        <f t="shared" si="328"/>
        <v>22:14:03.000</v>
      </c>
      <c r="T1093" t="str">
        <f t="shared" si="328"/>
        <v>22:14:03.000</v>
      </c>
      <c r="U1093" t="str">
        <f t="shared" si="327"/>
        <v>A9D71F</v>
      </c>
      <c r="V1093">
        <v>0</v>
      </c>
      <c r="W1093">
        <v>0</v>
      </c>
      <c r="X1093">
        <v>2</v>
      </c>
      <c r="Z1093">
        <v>1</v>
      </c>
      <c r="AA1093">
        <v>7</v>
      </c>
      <c r="AB1093">
        <v>3</v>
      </c>
      <c r="AC1093">
        <v>0</v>
      </c>
      <c r="AD1093">
        <v>9</v>
      </c>
      <c r="AE1093">
        <v>0</v>
      </c>
      <c r="AF1093">
        <v>3</v>
      </c>
      <c r="AG1093">
        <v>1</v>
      </c>
      <c r="AH1093">
        <v>0</v>
      </c>
      <c r="AI1093" t="s">
        <v>594</v>
      </c>
      <c r="AJ1093">
        <v>33.139057000000001</v>
      </c>
      <c r="AK1093" t="s">
        <v>595</v>
      </c>
      <c r="AL1093">
        <v>-97.713368000000003</v>
      </c>
      <c r="AM1093">
        <v>25</v>
      </c>
      <c r="AN1093">
        <v>3500</v>
      </c>
      <c r="AO1093" t="s">
        <v>118</v>
      </c>
      <c r="AP1093">
        <v>53</v>
      </c>
      <c r="AQ1093">
        <v>-94</v>
      </c>
      <c r="AR1093">
        <v>128</v>
      </c>
      <c r="AZ1093">
        <v>1200</v>
      </c>
      <c r="BA1093">
        <v>1</v>
      </c>
      <c r="BB1093" t="str">
        <f t="shared" si="315"/>
        <v xml:space="preserve">N733KP  </v>
      </c>
      <c r="BC1093">
        <v>1</v>
      </c>
      <c r="BE1093">
        <v>0</v>
      </c>
      <c r="BF1093">
        <v>0</v>
      </c>
      <c r="BG1093">
        <v>0</v>
      </c>
      <c r="BH1093">
        <v>3525</v>
      </c>
      <c r="BI1093">
        <v>1</v>
      </c>
      <c r="BJ1093">
        <v>1</v>
      </c>
      <c r="BK1093">
        <v>0</v>
      </c>
      <c r="BL1093">
        <v>0</v>
      </c>
      <c r="BO1093">
        <v>0</v>
      </c>
      <c r="BP1093">
        <v>0</v>
      </c>
      <c r="BW1093" t="str">
        <f>"22:14:03.409"</f>
        <v>22:14:03.409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364</v>
      </c>
      <c r="CR1093">
        <v>0</v>
      </c>
      <c r="CW1093">
        <v>1405847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"03/24/2022 22:14:03.582"</f>
        <v>03/24/2022 22:14:03.582</v>
      </c>
      <c r="C1094" t="str">
        <f t="shared" si="314"/>
        <v>FFDFD3C0</v>
      </c>
      <c r="D1094" t="s">
        <v>123</v>
      </c>
      <c r="E1094">
        <v>8</v>
      </c>
      <c r="H1094">
        <v>31</v>
      </c>
      <c r="I1094" t="s">
        <v>124</v>
      </c>
      <c r="J1094" t="s">
        <v>125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S1094" t="str">
        <f t="shared" si="328"/>
        <v>22:14:03.000</v>
      </c>
      <c r="T1094" t="str">
        <f t="shared" si="328"/>
        <v>22:14:03.000</v>
      </c>
      <c r="U1094" t="str">
        <f t="shared" si="327"/>
        <v>A9D71F</v>
      </c>
      <c r="V1094">
        <v>0</v>
      </c>
      <c r="W1094">
        <v>0</v>
      </c>
      <c r="X1094">
        <v>2</v>
      </c>
      <c r="Z1094">
        <v>1</v>
      </c>
      <c r="AA1094">
        <v>7</v>
      </c>
      <c r="AB1094">
        <v>3</v>
      </c>
      <c r="AC1094">
        <v>0</v>
      </c>
      <c r="AD1094">
        <v>9</v>
      </c>
      <c r="AE1094">
        <v>0</v>
      </c>
      <c r="AF1094">
        <v>3</v>
      </c>
      <c r="AG1094">
        <v>1</v>
      </c>
      <c r="AH1094">
        <v>0</v>
      </c>
      <c r="AI1094" t="s">
        <v>594</v>
      </c>
      <c r="AJ1094">
        <v>33.139057000000001</v>
      </c>
      <c r="AK1094" t="s">
        <v>595</v>
      </c>
      <c r="AL1094">
        <v>-97.713368000000003</v>
      </c>
      <c r="AM1094">
        <v>25</v>
      </c>
      <c r="AN1094">
        <v>3500</v>
      </c>
      <c r="AO1094" t="s">
        <v>118</v>
      </c>
      <c r="AP1094">
        <v>53</v>
      </c>
      <c r="AQ1094">
        <v>-94</v>
      </c>
      <c r="AR1094">
        <v>128</v>
      </c>
      <c r="AZ1094">
        <v>1200</v>
      </c>
      <c r="BA1094">
        <v>1</v>
      </c>
      <c r="BB1094" t="str">
        <f t="shared" si="315"/>
        <v xml:space="preserve">N733KP  </v>
      </c>
      <c r="BC1094">
        <v>1</v>
      </c>
      <c r="BE1094">
        <v>0</v>
      </c>
      <c r="BF1094">
        <v>0</v>
      </c>
      <c r="BG1094">
        <v>0</v>
      </c>
      <c r="BH1094">
        <v>3525</v>
      </c>
      <c r="BI1094">
        <v>1</v>
      </c>
      <c r="BJ1094">
        <v>1</v>
      </c>
      <c r="BK1094">
        <v>0</v>
      </c>
      <c r="BL1094">
        <v>0</v>
      </c>
      <c r="BO1094">
        <v>0</v>
      </c>
      <c r="BP1094">
        <v>0</v>
      </c>
      <c r="BW1094" t="str">
        <f>"22:14:03.409"</f>
        <v>22:14:03.409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364</v>
      </c>
      <c r="CR1094">
        <v>0</v>
      </c>
      <c r="CW1094">
        <v>1405847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"03/24/2022 22:14:05.051"</f>
        <v>03/24/2022 22:14:05.051</v>
      </c>
      <c r="C1095" t="str">
        <f t="shared" si="314"/>
        <v>FFDFD3C0</v>
      </c>
      <c r="D1095" t="s">
        <v>123</v>
      </c>
      <c r="E1095">
        <v>8</v>
      </c>
      <c r="H1095">
        <v>31</v>
      </c>
      <c r="I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S1095" t="str">
        <f t="shared" ref="S1095:T1098" si="329">"22:14:04.000"</f>
        <v>22:14:04.000</v>
      </c>
      <c r="T1095" t="str">
        <f t="shared" si="329"/>
        <v>22:14:04.000</v>
      </c>
      <c r="U1095" t="str">
        <f t="shared" si="327"/>
        <v>A9D71F</v>
      </c>
      <c r="V1095">
        <v>0</v>
      </c>
      <c r="W1095">
        <v>0</v>
      </c>
      <c r="X1095">
        <v>2</v>
      </c>
      <c r="Z1095">
        <v>1</v>
      </c>
      <c r="AA1095">
        <v>7</v>
      </c>
      <c r="AB1095">
        <v>3</v>
      </c>
      <c r="AC1095">
        <v>0</v>
      </c>
      <c r="AD1095">
        <v>9</v>
      </c>
      <c r="AE1095">
        <v>0</v>
      </c>
      <c r="AF1095">
        <v>3</v>
      </c>
      <c r="AG1095">
        <v>1</v>
      </c>
      <c r="AH1095">
        <v>0</v>
      </c>
      <c r="AI1095" t="s">
        <v>596</v>
      </c>
      <c r="AJ1095">
        <v>33.138627999999997</v>
      </c>
      <c r="AK1095" t="s">
        <v>597</v>
      </c>
      <c r="AL1095">
        <v>-97.713088999999997</v>
      </c>
      <c r="AM1095">
        <v>25</v>
      </c>
      <c r="AN1095">
        <v>3500</v>
      </c>
      <c r="AO1095" t="s">
        <v>118</v>
      </c>
      <c r="AP1095">
        <v>51</v>
      </c>
      <c r="AQ1095">
        <v>-95</v>
      </c>
      <c r="AR1095">
        <v>0</v>
      </c>
      <c r="AZ1095">
        <v>1200</v>
      </c>
      <c r="BA1095">
        <v>1</v>
      </c>
      <c r="BB1095" t="str">
        <f t="shared" si="315"/>
        <v xml:space="preserve">N733KP  </v>
      </c>
      <c r="BC1095">
        <v>1</v>
      </c>
      <c r="BE1095">
        <v>0</v>
      </c>
      <c r="BF1095">
        <v>0</v>
      </c>
      <c r="BG1095">
        <v>0</v>
      </c>
      <c r="BH1095">
        <v>3525</v>
      </c>
      <c r="BI1095">
        <v>1</v>
      </c>
      <c r="BJ1095">
        <v>1</v>
      </c>
      <c r="BK1095">
        <v>0</v>
      </c>
      <c r="BL1095">
        <v>0</v>
      </c>
      <c r="BO1095">
        <v>0</v>
      </c>
      <c r="BP1095">
        <v>0</v>
      </c>
      <c r="BW1095" t="str">
        <f>"22:14:04.854"</f>
        <v>22:14:04.854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6</v>
      </c>
      <c r="CP1095" t="s">
        <v>119</v>
      </c>
      <c r="CQ1095">
        <v>364</v>
      </c>
      <c r="CR1095">
        <v>0</v>
      </c>
      <c r="CW1095">
        <v>1406076</v>
      </c>
      <c r="CY1095">
        <v>1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"03/24/2022 22:14:05.051"</f>
        <v>03/24/2022 22:14:05.051</v>
      </c>
      <c r="C1096" t="str">
        <f t="shared" si="314"/>
        <v>FFDFD3C0</v>
      </c>
      <c r="D1096" t="s">
        <v>126</v>
      </c>
      <c r="E1096">
        <v>3</v>
      </c>
      <c r="H1096">
        <v>160</v>
      </c>
      <c r="I1096" t="s">
        <v>121</v>
      </c>
      <c r="J1096" t="s">
        <v>127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S1096" t="str">
        <f t="shared" si="329"/>
        <v>22:14:04.000</v>
      </c>
      <c r="T1096" t="str">
        <f t="shared" si="329"/>
        <v>22:14:04.000</v>
      </c>
      <c r="U1096" t="str">
        <f t="shared" si="327"/>
        <v>A9D71F</v>
      </c>
      <c r="V1096">
        <v>0</v>
      </c>
      <c r="W1096">
        <v>0</v>
      </c>
      <c r="X1096">
        <v>2</v>
      </c>
      <c r="Z1096">
        <v>1</v>
      </c>
      <c r="AA1096">
        <v>7</v>
      </c>
      <c r="AB1096">
        <v>3</v>
      </c>
      <c r="AC1096">
        <v>0</v>
      </c>
      <c r="AD1096">
        <v>9</v>
      </c>
      <c r="AE1096">
        <v>0</v>
      </c>
      <c r="AF1096">
        <v>3</v>
      </c>
      <c r="AG1096">
        <v>1</v>
      </c>
      <c r="AH1096">
        <v>0</v>
      </c>
      <c r="AI1096" t="s">
        <v>596</v>
      </c>
      <c r="AJ1096">
        <v>33.138627999999997</v>
      </c>
      <c r="AK1096" t="s">
        <v>597</v>
      </c>
      <c r="AL1096">
        <v>-97.713088999999997</v>
      </c>
      <c r="AM1096">
        <v>25</v>
      </c>
      <c r="AN1096">
        <v>3500</v>
      </c>
      <c r="AO1096" t="s">
        <v>118</v>
      </c>
      <c r="AP1096">
        <v>51</v>
      </c>
      <c r="AQ1096">
        <v>-95</v>
      </c>
      <c r="AR1096">
        <v>0</v>
      </c>
      <c r="AZ1096">
        <v>1200</v>
      </c>
      <c r="BA1096">
        <v>1</v>
      </c>
      <c r="BB1096" t="str">
        <f t="shared" si="315"/>
        <v xml:space="preserve">N733KP  </v>
      </c>
      <c r="BC1096">
        <v>1</v>
      </c>
      <c r="BE1096">
        <v>0</v>
      </c>
      <c r="BF1096">
        <v>0</v>
      </c>
      <c r="BG1096">
        <v>0</v>
      </c>
      <c r="BH1096">
        <v>3525</v>
      </c>
      <c r="BI1096">
        <v>1</v>
      </c>
      <c r="BJ1096">
        <v>1</v>
      </c>
      <c r="BK1096">
        <v>0</v>
      </c>
      <c r="BL1096">
        <v>0</v>
      </c>
      <c r="BO1096">
        <v>0</v>
      </c>
      <c r="BP1096">
        <v>0</v>
      </c>
      <c r="BW1096" t="str">
        <f>"22:14:04.854"</f>
        <v>22:14:04.854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6</v>
      </c>
      <c r="CP1096" t="s">
        <v>119</v>
      </c>
      <c r="CQ1096">
        <v>364</v>
      </c>
      <c r="CR1096">
        <v>0</v>
      </c>
      <c r="CW1096">
        <v>1406076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"03/24/2022 22:14:05.051"</f>
        <v>03/24/2022 22:14:05.051</v>
      </c>
      <c r="C1097" t="str">
        <f t="shared" si="314"/>
        <v>FFDFD3C0</v>
      </c>
      <c r="D1097" t="s">
        <v>113</v>
      </c>
      <c r="E1097">
        <v>24</v>
      </c>
      <c r="F1097">
        <v>2024</v>
      </c>
      <c r="G1097" t="s">
        <v>114</v>
      </c>
      <c r="J1097" t="s">
        <v>115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S1097" t="str">
        <f t="shared" si="329"/>
        <v>22:14:04.000</v>
      </c>
      <c r="T1097" t="str">
        <f t="shared" si="329"/>
        <v>22:14:04.000</v>
      </c>
      <c r="U1097" t="str">
        <f t="shared" si="327"/>
        <v>A9D71F</v>
      </c>
      <c r="V1097">
        <v>0</v>
      </c>
      <c r="W1097">
        <v>0</v>
      </c>
      <c r="X1097">
        <v>2</v>
      </c>
      <c r="Z1097">
        <v>1</v>
      </c>
      <c r="AA1097">
        <v>7</v>
      </c>
      <c r="AB1097">
        <v>3</v>
      </c>
      <c r="AC1097">
        <v>0</v>
      </c>
      <c r="AD1097">
        <v>9</v>
      </c>
      <c r="AE1097">
        <v>0</v>
      </c>
      <c r="AF1097">
        <v>3</v>
      </c>
      <c r="AG1097">
        <v>1</v>
      </c>
      <c r="AH1097">
        <v>0</v>
      </c>
      <c r="AI1097" t="s">
        <v>596</v>
      </c>
      <c r="AJ1097">
        <v>33.138627999999997</v>
      </c>
      <c r="AK1097" t="s">
        <v>597</v>
      </c>
      <c r="AL1097">
        <v>-97.713088999999997</v>
      </c>
      <c r="AM1097">
        <v>25</v>
      </c>
      <c r="AN1097">
        <v>3500</v>
      </c>
      <c r="AO1097" t="s">
        <v>118</v>
      </c>
      <c r="AP1097">
        <v>51</v>
      </c>
      <c r="AQ1097">
        <v>-95</v>
      </c>
      <c r="AR1097">
        <v>0</v>
      </c>
      <c r="AZ1097">
        <v>1200</v>
      </c>
      <c r="BA1097">
        <v>1</v>
      </c>
      <c r="BB1097" t="str">
        <f t="shared" si="315"/>
        <v xml:space="preserve">N733KP  </v>
      </c>
      <c r="BC1097">
        <v>1</v>
      </c>
      <c r="BE1097">
        <v>0</v>
      </c>
      <c r="BF1097">
        <v>0</v>
      </c>
      <c r="BG1097">
        <v>0</v>
      </c>
      <c r="BH1097">
        <v>3525</v>
      </c>
      <c r="BI1097">
        <v>1</v>
      </c>
      <c r="BJ1097">
        <v>1</v>
      </c>
      <c r="BK1097">
        <v>0</v>
      </c>
      <c r="BL1097">
        <v>0</v>
      </c>
      <c r="BO1097">
        <v>0</v>
      </c>
      <c r="BP1097">
        <v>0</v>
      </c>
      <c r="BW1097" t="str">
        <f>"22:14:04.854"</f>
        <v>22:14:04.854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6</v>
      </c>
      <c r="CP1097" t="s">
        <v>119</v>
      </c>
      <c r="CQ1097">
        <v>364</v>
      </c>
      <c r="CR1097">
        <v>0</v>
      </c>
      <c r="CW1097">
        <v>1406076</v>
      </c>
      <c r="CY1097">
        <v>1</v>
      </c>
      <c r="CZ1097">
        <v>0</v>
      </c>
      <c r="DA1097">
        <v>1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"03/24/2022 22:14:05.051"</f>
        <v>03/24/2022 22:14:05.051</v>
      </c>
      <c r="C1098" t="str">
        <f t="shared" si="314"/>
        <v>FFDFD3C0</v>
      </c>
      <c r="D1098" t="s">
        <v>120</v>
      </c>
      <c r="E1098">
        <v>14</v>
      </c>
      <c r="F1098">
        <v>1014</v>
      </c>
      <c r="G1098" t="s">
        <v>121</v>
      </c>
      <c r="J1098" t="s">
        <v>122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S1098" t="str">
        <f t="shared" si="329"/>
        <v>22:14:04.000</v>
      </c>
      <c r="T1098" t="str">
        <f t="shared" si="329"/>
        <v>22:14:04.000</v>
      </c>
      <c r="U1098" t="str">
        <f t="shared" si="327"/>
        <v>A9D71F</v>
      </c>
      <c r="V1098">
        <v>0</v>
      </c>
      <c r="W1098">
        <v>0</v>
      </c>
      <c r="X1098">
        <v>2</v>
      </c>
      <c r="Z1098">
        <v>1</v>
      </c>
      <c r="AA1098">
        <v>7</v>
      </c>
      <c r="AB1098">
        <v>3</v>
      </c>
      <c r="AC1098">
        <v>0</v>
      </c>
      <c r="AD1098">
        <v>9</v>
      </c>
      <c r="AE1098">
        <v>0</v>
      </c>
      <c r="AF1098">
        <v>3</v>
      </c>
      <c r="AG1098">
        <v>1</v>
      </c>
      <c r="AH1098">
        <v>0</v>
      </c>
      <c r="AI1098" t="s">
        <v>596</v>
      </c>
      <c r="AJ1098">
        <v>33.138627999999997</v>
      </c>
      <c r="AK1098" t="s">
        <v>597</v>
      </c>
      <c r="AL1098">
        <v>-97.713088999999997</v>
      </c>
      <c r="AM1098">
        <v>25</v>
      </c>
      <c r="AN1098">
        <v>3500</v>
      </c>
      <c r="AO1098" t="s">
        <v>118</v>
      </c>
      <c r="AP1098">
        <v>51</v>
      </c>
      <c r="AQ1098">
        <v>-95</v>
      </c>
      <c r="AR1098">
        <v>0</v>
      </c>
      <c r="AZ1098">
        <v>1200</v>
      </c>
      <c r="BA1098">
        <v>1</v>
      </c>
      <c r="BB1098" t="str">
        <f t="shared" si="315"/>
        <v xml:space="preserve">N733KP  </v>
      </c>
      <c r="BC1098">
        <v>1</v>
      </c>
      <c r="BE1098">
        <v>0</v>
      </c>
      <c r="BF1098">
        <v>0</v>
      </c>
      <c r="BG1098">
        <v>0</v>
      </c>
      <c r="BH1098">
        <v>3525</v>
      </c>
      <c r="BI1098">
        <v>1</v>
      </c>
      <c r="BJ1098">
        <v>1</v>
      </c>
      <c r="BK1098">
        <v>0</v>
      </c>
      <c r="BL1098">
        <v>0</v>
      </c>
      <c r="BO1098">
        <v>0</v>
      </c>
      <c r="BP1098">
        <v>0</v>
      </c>
      <c r="BW1098" t="str">
        <f>"22:14:04.854"</f>
        <v>22:14:04.854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6</v>
      </c>
      <c r="CP1098" t="s">
        <v>119</v>
      </c>
      <c r="CQ1098">
        <v>364</v>
      </c>
      <c r="CR1098">
        <v>0</v>
      </c>
      <c r="CW1098">
        <v>1406076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"03/24/2022 22:14:05.899"</f>
        <v>03/24/2022 22:14:05.899</v>
      </c>
      <c r="C1099" t="str">
        <f t="shared" si="314"/>
        <v>FFDFD3C0</v>
      </c>
      <c r="D1099" t="s">
        <v>113</v>
      </c>
      <c r="E1099">
        <v>24</v>
      </c>
      <c r="F1099">
        <v>2024</v>
      </c>
      <c r="G1099" t="s">
        <v>114</v>
      </c>
      <c r="J1099" t="s">
        <v>115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S1099" t="str">
        <f t="shared" ref="S1099:T1102" si="330">"22:14:05.000"</f>
        <v>22:14:05.000</v>
      </c>
      <c r="T1099" t="str">
        <f t="shared" si="330"/>
        <v>22:14:05.000</v>
      </c>
      <c r="U1099" t="str">
        <f t="shared" si="327"/>
        <v>A9D71F</v>
      </c>
      <c r="V1099">
        <v>0</v>
      </c>
      <c r="W1099">
        <v>0</v>
      </c>
      <c r="X1099">
        <v>2</v>
      </c>
      <c r="Z1099">
        <v>1</v>
      </c>
      <c r="AA1099">
        <v>6</v>
      </c>
      <c r="AB1099">
        <v>3</v>
      </c>
      <c r="AC1099">
        <v>0</v>
      </c>
      <c r="AD1099">
        <v>9</v>
      </c>
      <c r="AE1099">
        <v>0</v>
      </c>
      <c r="AF1099">
        <v>3</v>
      </c>
      <c r="AG1099">
        <v>1</v>
      </c>
      <c r="AH1099">
        <v>0</v>
      </c>
      <c r="AI1099" t="s">
        <v>598</v>
      </c>
      <c r="AJ1099">
        <v>33.138176999999999</v>
      </c>
      <c r="AK1099" t="s">
        <v>599</v>
      </c>
      <c r="AL1099">
        <v>-97.712789000000001</v>
      </c>
      <c r="AM1099">
        <v>25</v>
      </c>
      <c r="AN1099">
        <v>3500</v>
      </c>
      <c r="AO1099" t="s">
        <v>118</v>
      </c>
      <c r="AP1099">
        <v>53</v>
      </c>
      <c r="AQ1099">
        <v>-97</v>
      </c>
      <c r="AR1099">
        <v>-256</v>
      </c>
      <c r="AZ1099">
        <v>1200</v>
      </c>
      <c r="BA1099">
        <v>1</v>
      </c>
      <c r="BB1099" t="str">
        <f t="shared" si="315"/>
        <v xml:space="preserve">N733KP  </v>
      </c>
      <c r="BC1099">
        <v>1</v>
      </c>
      <c r="BE1099">
        <v>0</v>
      </c>
      <c r="BF1099">
        <v>0</v>
      </c>
      <c r="BG1099">
        <v>0</v>
      </c>
      <c r="BH1099">
        <v>3525</v>
      </c>
      <c r="BI1099">
        <v>1</v>
      </c>
      <c r="BJ1099">
        <v>1</v>
      </c>
      <c r="BK1099">
        <v>0</v>
      </c>
      <c r="BL1099">
        <v>0</v>
      </c>
      <c r="BO1099">
        <v>0</v>
      </c>
      <c r="BP1099">
        <v>0</v>
      </c>
      <c r="BW1099" t="str">
        <f>"22:14:05.705"</f>
        <v>22:14:05.705</v>
      </c>
      <c r="CJ1099">
        <v>0</v>
      </c>
      <c r="CK1099">
        <v>1</v>
      </c>
      <c r="CL1099">
        <v>2</v>
      </c>
      <c r="CM1099">
        <v>2</v>
      </c>
      <c r="CN1099">
        <v>0</v>
      </c>
      <c r="CO1099">
        <v>7</v>
      </c>
      <c r="CP1099" t="s">
        <v>119</v>
      </c>
      <c r="CQ1099">
        <v>364</v>
      </c>
      <c r="CR1099">
        <v>0</v>
      </c>
      <c r="CW1099">
        <v>1406204</v>
      </c>
      <c r="CY1099">
        <v>1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1</v>
      </c>
      <c r="DH1099">
        <v>0</v>
      </c>
      <c r="DI1099">
        <v>0</v>
      </c>
    </row>
    <row r="1100" spans="1:113" x14ac:dyDescent="0.3">
      <c r="A1100" t="str">
        <f>"03/24/2022 22:14:05.899"</f>
        <v>03/24/2022 22:14:05.899</v>
      </c>
      <c r="C1100" t="str">
        <f t="shared" si="314"/>
        <v>FFDFD3C0</v>
      </c>
      <c r="D1100" t="s">
        <v>120</v>
      </c>
      <c r="E1100">
        <v>14</v>
      </c>
      <c r="F1100">
        <v>1014</v>
      </c>
      <c r="G1100" t="s">
        <v>121</v>
      </c>
      <c r="J1100" t="s">
        <v>122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S1100" t="str">
        <f t="shared" si="330"/>
        <v>22:14:05.000</v>
      </c>
      <c r="T1100" t="str">
        <f t="shared" si="330"/>
        <v>22:14:05.000</v>
      </c>
      <c r="U1100" t="str">
        <f t="shared" si="327"/>
        <v>A9D71F</v>
      </c>
      <c r="V1100">
        <v>0</v>
      </c>
      <c r="W1100">
        <v>0</v>
      </c>
      <c r="X1100">
        <v>2</v>
      </c>
      <c r="Z1100">
        <v>1</v>
      </c>
      <c r="AA1100">
        <v>6</v>
      </c>
      <c r="AB1100">
        <v>3</v>
      </c>
      <c r="AC1100">
        <v>0</v>
      </c>
      <c r="AD1100">
        <v>9</v>
      </c>
      <c r="AE1100">
        <v>0</v>
      </c>
      <c r="AF1100">
        <v>3</v>
      </c>
      <c r="AG1100">
        <v>1</v>
      </c>
      <c r="AH1100">
        <v>0</v>
      </c>
      <c r="AI1100" t="s">
        <v>598</v>
      </c>
      <c r="AJ1100">
        <v>33.138176999999999</v>
      </c>
      <c r="AK1100" t="s">
        <v>599</v>
      </c>
      <c r="AL1100">
        <v>-97.712789000000001</v>
      </c>
      <c r="AM1100">
        <v>25</v>
      </c>
      <c r="AN1100">
        <v>3500</v>
      </c>
      <c r="AO1100" t="s">
        <v>118</v>
      </c>
      <c r="AP1100">
        <v>53</v>
      </c>
      <c r="AQ1100">
        <v>-97</v>
      </c>
      <c r="AR1100">
        <v>-256</v>
      </c>
      <c r="AZ1100">
        <v>1200</v>
      </c>
      <c r="BA1100">
        <v>1</v>
      </c>
      <c r="BB1100" t="str">
        <f t="shared" si="315"/>
        <v xml:space="preserve">N733KP  </v>
      </c>
      <c r="BC1100">
        <v>1</v>
      </c>
      <c r="BE1100">
        <v>0</v>
      </c>
      <c r="BF1100">
        <v>0</v>
      </c>
      <c r="BG1100">
        <v>0</v>
      </c>
      <c r="BH1100">
        <v>3525</v>
      </c>
      <c r="BI1100">
        <v>1</v>
      </c>
      <c r="BJ1100">
        <v>1</v>
      </c>
      <c r="BK1100">
        <v>0</v>
      </c>
      <c r="BL1100">
        <v>0</v>
      </c>
      <c r="BO1100">
        <v>0</v>
      </c>
      <c r="BP1100">
        <v>0</v>
      </c>
      <c r="BW1100" t="str">
        <f>"22:14:05.705"</f>
        <v>22:14:05.705</v>
      </c>
      <c r="CJ1100">
        <v>0</v>
      </c>
      <c r="CK1100">
        <v>1</v>
      </c>
      <c r="CL1100">
        <v>2</v>
      </c>
      <c r="CM1100">
        <v>2</v>
      </c>
      <c r="CN1100">
        <v>0</v>
      </c>
      <c r="CO1100">
        <v>7</v>
      </c>
      <c r="CP1100" t="s">
        <v>119</v>
      </c>
      <c r="CQ1100">
        <v>364</v>
      </c>
      <c r="CR1100">
        <v>0</v>
      </c>
      <c r="CW1100">
        <v>1406204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1</v>
      </c>
      <c r="DH1100">
        <v>0</v>
      </c>
      <c r="DI1100">
        <v>0</v>
      </c>
    </row>
    <row r="1101" spans="1:113" x14ac:dyDescent="0.3">
      <c r="A1101" t="str">
        <f>"03/24/2022 22:14:05.899"</f>
        <v>03/24/2022 22:14:05.899</v>
      </c>
      <c r="C1101" t="str">
        <f t="shared" si="314"/>
        <v>FFDFD3C0</v>
      </c>
      <c r="D1101" t="s">
        <v>123</v>
      </c>
      <c r="E1101">
        <v>8</v>
      </c>
      <c r="H1101">
        <v>31</v>
      </c>
      <c r="I1101" t="s">
        <v>124</v>
      </c>
      <c r="J1101" t="s">
        <v>125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S1101" t="str">
        <f t="shared" si="330"/>
        <v>22:14:05.000</v>
      </c>
      <c r="T1101" t="str">
        <f t="shared" si="330"/>
        <v>22:14:05.000</v>
      </c>
      <c r="U1101" t="str">
        <f t="shared" si="327"/>
        <v>A9D71F</v>
      </c>
      <c r="V1101">
        <v>0</v>
      </c>
      <c r="W1101">
        <v>0</v>
      </c>
      <c r="X1101">
        <v>2</v>
      </c>
      <c r="Z1101">
        <v>1</v>
      </c>
      <c r="AA1101">
        <v>6</v>
      </c>
      <c r="AB1101">
        <v>3</v>
      </c>
      <c r="AC1101">
        <v>0</v>
      </c>
      <c r="AD1101">
        <v>9</v>
      </c>
      <c r="AE1101">
        <v>0</v>
      </c>
      <c r="AF1101">
        <v>3</v>
      </c>
      <c r="AG1101">
        <v>1</v>
      </c>
      <c r="AH1101">
        <v>0</v>
      </c>
      <c r="AI1101" t="s">
        <v>598</v>
      </c>
      <c r="AJ1101">
        <v>33.138176999999999</v>
      </c>
      <c r="AK1101" t="s">
        <v>599</v>
      </c>
      <c r="AL1101">
        <v>-97.712789000000001</v>
      </c>
      <c r="AM1101">
        <v>25</v>
      </c>
      <c r="AN1101">
        <v>3500</v>
      </c>
      <c r="AO1101" t="s">
        <v>118</v>
      </c>
      <c r="AP1101">
        <v>53</v>
      </c>
      <c r="AQ1101">
        <v>-97</v>
      </c>
      <c r="AR1101">
        <v>-256</v>
      </c>
      <c r="AZ1101">
        <v>1200</v>
      </c>
      <c r="BA1101">
        <v>1</v>
      </c>
      <c r="BB1101" t="str">
        <f t="shared" si="315"/>
        <v xml:space="preserve">N733KP  </v>
      </c>
      <c r="BC1101">
        <v>1</v>
      </c>
      <c r="BE1101">
        <v>0</v>
      </c>
      <c r="BF1101">
        <v>0</v>
      </c>
      <c r="BG1101">
        <v>0</v>
      </c>
      <c r="BH1101">
        <v>3525</v>
      </c>
      <c r="BI1101">
        <v>1</v>
      </c>
      <c r="BJ1101">
        <v>1</v>
      </c>
      <c r="BK1101">
        <v>0</v>
      </c>
      <c r="BL1101">
        <v>0</v>
      </c>
      <c r="BO1101">
        <v>0</v>
      </c>
      <c r="BP1101">
        <v>0</v>
      </c>
      <c r="BW1101" t="str">
        <f>"22:14:05.705"</f>
        <v>22:14:05.705</v>
      </c>
      <c r="CJ1101">
        <v>0</v>
      </c>
      <c r="CK1101">
        <v>1</v>
      </c>
      <c r="CL1101">
        <v>2</v>
      </c>
      <c r="CM1101">
        <v>2</v>
      </c>
      <c r="CN1101">
        <v>0</v>
      </c>
      <c r="CO1101">
        <v>7</v>
      </c>
      <c r="CP1101" t="s">
        <v>119</v>
      </c>
      <c r="CQ1101">
        <v>364</v>
      </c>
      <c r="CR1101">
        <v>0</v>
      </c>
      <c r="CW1101">
        <v>1406204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1</v>
      </c>
      <c r="DH1101">
        <v>0</v>
      </c>
      <c r="DI1101">
        <v>0</v>
      </c>
    </row>
    <row r="1102" spans="1:113" x14ac:dyDescent="0.3">
      <c r="A1102" t="str">
        <f>"03/24/2022 22:14:05.899"</f>
        <v>03/24/2022 22:14:05.899</v>
      </c>
      <c r="C1102" t="str">
        <f t="shared" si="314"/>
        <v>FFDFD3C0</v>
      </c>
      <c r="D1102" t="s">
        <v>126</v>
      </c>
      <c r="E1102">
        <v>3</v>
      </c>
      <c r="H1102">
        <v>160</v>
      </c>
      <c r="I1102" t="s">
        <v>121</v>
      </c>
      <c r="J1102" t="s">
        <v>127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S1102" t="str">
        <f t="shared" si="330"/>
        <v>22:14:05.000</v>
      </c>
      <c r="T1102" t="str">
        <f t="shared" si="330"/>
        <v>22:14:05.000</v>
      </c>
      <c r="U1102" t="str">
        <f t="shared" si="327"/>
        <v>A9D71F</v>
      </c>
      <c r="V1102">
        <v>0</v>
      </c>
      <c r="W1102">
        <v>0</v>
      </c>
      <c r="X1102">
        <v>2</v>
      </c>
      <c r="Z1102">
        <v>1</v>
      </c>
      <c r="AA1102">
        <v>6</v>
      </c>
      <c r="AB1102">
        <v>3</v>
      </c>
      <c r="AC1102">
        <v>0</v>
      </c>
      <c r="AD1102">
        <v>9</v>
      </c>
      <c r="AE1102">
        <v>0</v>
      </c>
      <c r="AF1102">
        <v>3</v>
      </c>
      <c r="AG1102">
        <v>1</v>
      </c>
      <c r="AH1102">
        <v>0</v>
      </c>
      <c r="AI1102" t="s">
        <v>598</v>
      </c>
      <c r="AJ1102">
        <v>33.138176999999999</v>
      </c>
      <c r="AK1102" t="s">
        <v>599</v>
      </c>
      <c r="AL1102">
        <v>-97.712789000000001</v>
      </c>
      <c r="AM1102">
        <v>25</v>
      </c>
      <c r="AN1102">
        <v>3500</v>
      </c>
      <c r="AO1102" t="s">
        <v>118</v>
      </c>
      <c r="AP1102">
        <v>53</v>
      </c>
      <c r="AQ1102">
        <v>-97</v>
      </c>
      <c r="AR1102">
        <v>-256</v>
      </c>
      <c r="AZ1102">
        <v>1200</v>
      </c>
      <c r="BA1102">
        <v>1</v>
      </c>
      <c r="BB1102" t="str">
        <f t="shared" si="315"/>
        <v xml:space="preserve">N733KP  </v>
      </c>
      <c r="BC1102">
        <v>1</v>
      </c>
      <c r="BE1102">
        <v>0</v>
      </c>
      <c r="BF1102">
        <v>0</v>
      </c>
      <c r="BG1102">
        <v>0</v>
      </c>
      <c r="BH1102">
        <v>3525</v>
      </c>
      <c r="BI1102">
        <v>1</v>
      </c>
      <c r="BJ1102">
        <v>1</v>
      </c>
      <c r="BK1102">
        <v>0</v>
      </c>
      <c r="BL1102">
        <v>0</v>
      </c>
      <c r="BO1102">
        <v>0</v>
      </c>
      <c r="BP1102">
        <v>0</v>
      </c>
      <c r="BW1102" t="str">
        <f>"22:14:05.705"</f>
        <v>22:14:05.705</v>
      </c>
      <c r="CJ1102">
        <v>0</v>
      </c>
      <c r="CK1102">
        <v>1</v>
      </c>
      <c r="CL1102">
        <v>2</v>
      </c>
      <c r="CM1102">
        <v>2</v>
      </c>
      <c r="CN1102">
        <v>0</v>
      </c>
      <c r="CO1102">
        <v>7</v>
      </c>
      <c r="CP1102" t="s">
        <v>119</v>
      </c>
      <c r="CQ1102">
        <v>364</v>
      </c>
      <c r="CR1102">
        <v>0</v>
      </c>
      <c r="CW1102">
        <v>1406204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1</v>
      </c>
      <c r="DH1102">
        <v>0</v>
      </c>
      <c r="DI1102">
        <v>0</v>
      </c>
    </row>
    <row r="1103" spans="1:113" x14ac:dyDescent="0.3">
      <c r="A1103" t="str">
        <f>"03/24/2022 22:14:06.916"</f>
        <v>03/24/2022 22:14:06.916</v>
      </c>
      <c r="C1103" t="str">
        <f t="shared" si="314"/>
        <v>FFDFD3C0</v>
      </c>
      <c r="D1103" t="s">
        <v>113</v>
      </c>
      <c r="E1103">
        <v>24</v>
      </c>
      <c r="F1103">
        <v>2024</v>
      </c>
      <c r="G1103" t="s">
        <v>114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S1103" t="str">
        <f t="shared" ref="S1103:T1106" si="331">"22:14:06.000"</f>
        <v>22:14:06.000</v>
      </c>
      <c r="T1103" t="str">
        <f t="shared" si="331"/>
        <v>22:14:06.000</v>
      </c>
      <c r="U1103" t="str">
        <f t="shared" si="327"/>
        <v>A9D71F</v>
      </c>
      <c r="V1103">
        <v>0</v>
      </c>
      <c r="W1103">
        <v>0</v>
      </c>
      <c r="X1103">
        <v>2</v>
      </c>
      <c r="Z1103">
        <v>1</v>
      </c>
      <c r="AA1103">
        <v>6</v>
      </c>
      <c r="AB1103">
        <v>3</v>
      </c>
      <c r="AC1103">
        <v>0</v>
      </c>
      <c r="AD1103">
        <v>9</v>
      </c>
      <c r="AE1103">
        <v>0</v>
      </c>
      <c r="AF1103">
        <v>3</v>
      </c>
      <c r="AG1103">
        <v>1</v>
      </c>
      <c r="AH1103">
        <v>0</v>
      </c>
      <c r="AI1103" t="s">
        <v>600</v>
      </c>
      <c r="AJ1103">
        <v>33.137748000000002</v>
      </c>
      <c r="AK1103" t="s">
        <v>601</v>
      </c>
      <c r="AL1103">
        <v>-97.712509999999995</v>
      </c>
      <c r="AM1103">
        <v>25</v>
      </c>
      <c r="AN1103">
        <v>3500</v>
      </c>
      <c r="AO1103" t="s">
        <v>118</v>
      </c>
      <c r="AP1103">
        <v>53</v>
      </c>
      <c r="AQ1103">
        <v>-99</v>
      </c>
      <c r="AR1103">
        <v>-320</v>
      </c>
      <c r="AZ1103">
        <v>1200</v>
      </c>
      <c r="BA1103">
        <v>1</v>
      </c>
      <c r="BB1103" t="str">
        <f t="shared" si="315"/>
        <v xml:space="preserve">N733KP  </v>
      </c>
      <c r="BC1103">
        <v>1</v>
      </c>
      <c r="BE1103">
        <v>0</v>
      </c>
      <c r="BF1103">
        <v>0</v>
      </c>
      <c r="BG1103">
        <v>0</v>
      </c>
      <c r="BH1103">
        <v>3525</v>
      </c>
      <c r="BI1103">
        <v>1</v>
      </c>
      <c r="BJ1103">
        <v>1</v>
      </c>
      <c r="BK1103">
        <v>0</v>
      </c>
      <c r="BL1103">
        <v>0</v>
      </c>
      <c r="BO1103">
        <v>0</v>
      </c>
      <c r="BP1103">
        <v>0</v>
      </c>
      <c r="BW1103" t="str">
        <f>"22:14:06.740"</f>
        <v>22:14:06.740</v>
      </c>
      <c r="CJ1103">
        <v>0</v>
      </c>
      <c r="CK1103">
        <v>1</v>
      </c>
      <c r="CL1103">
        <v>2</v>
      </c>
      <c r="CM1103">
        <v>2</v>
      </c>
      <c r="CN1103">
        <v>0</v>
      </c>
      <c r="CO1103">
        <v>7</v>
      </c>
      <c r="CP1103" t="s">
        <v>119</v>
      </c>
      <c r="CQ1103">
        <v>364</v>
      </c>
      <c r="CR1103">
        <v>0</v>
      </c>
      <c r="CW1103">
        <v>1406381</v>
      </c>
      <c r="CY1103">
        <v>1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1</v>
      </c>
      <c r="DH1103">
        <v>0</v>
      </c>
      <c r="DI1103">
        <v>0</v>
      </c>
    </row>
    <row r="1104" spans="1:113" x14ac:dyDescent="0.3">
      <c r="A1104" t="str">
        <f>"03/24/2022 22:14:06.931"</f>
        <v>03/24/2022 22:14:06.931</v>
      </c>
      <c r="C1104" t="str">
        <f t="shared" si="314"/>
        <v>FFDFD3C0</v>
      </c>
      <c r="D1104" t="s">
        <v>126</v>
      </c>
      <c r="E1104">
        <v>3</v>
      </c>
      <c r="H1104">
        <v>160</v>
      </c>
      <c r="I1104" t="s">
        <v>121</v>
      </c>
      <c r="J1104" t="s">
        <v>127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S1104" t="str">
        <f t="shared" si="331"/>
        <v>22:14:06.000</v>
      </c>
      <c r="T1104" t="str">
        <f t="shared" si="331"/>
        <v>22:14:06.000</v>
      </c>
      <c r="U1104" t="str">
        <f t="shared" si="327"/>
        <v>A9D71F</v>
      </c>
      <c r="V1104">
        <v>0</v>
      </c>
      <c r="W1104">
        <v>0</v>
      </c>
      <c r="X1104">
        <v>2</v>
      </c>
      <c r="Z1104">
        <v>1</v>
      </c>
      <c r="AA1104">
        <v>6</v>
      </c>
      <c r="AB1104">
        <v>3</v>
      </c>
      <c r="AC1104">
        <v>0</v>
      </c>
      <c r="AD1104">
        <v>9</v>
      </c>
      <c r="AE1104">
        <v>0</v>
      </c>
      <c r="AF1104">
        <v>3</v>
      </c>
      <c r="AG1104">
        <v>1</v>
      </c>
      <c r="AH1104">
        <v>0</v>
      </c>
      <c r="AI1104" t="s">
        <v>600</v>
      </c>
      <c r="AJ1104">
        <v>33.137748000000002</v>
      </c>
      <c r="AK1104" t="s">
        <v>601</v>
      </c>
      <c r="AL1104">
        <v>-97.712509999999995</v>
      </c>
      <c r="AM1104">
        <v>25</v>
      </c>
      <c r="AN1104">
        <v>3500</v>
      </c>
      <c r="AO1104" t="s">
        <v>118</v>
      </c>
      <c r="AP1104">
        <v>53</v>
      </c>
      <c r="AQ1104">
        <v>-99</v>
      </c>
      <c r="AR1104">
        <v>-320</v>
      </c>
      <c r="AZ1104">
        <v>1200</v>
      </c>
      <c r="BA1104">
        <v>1</v>
      </c>
      <c r="BB1104" t="str">
        <f t="shared" si="315"/>
        <v xml:space="preserve">N733KP  </v>
      </c>
      <c r="BC1104">
        <v>1</v>
      </c>
      <c r="BE1104">
        <v>0</v>
      </c>
      <c r="BF1104">
        <v>0</v>
      </c>
      <c r="BG1104">
        <v>0</v>
      </c>
      <c r="BH1104">
        <v>3525</v>
      </c>
      <c r="BI1104">
        <v>1</v>
      </c>
      <c r="BJ1104">
        <v>1</v>
      </c>
      <c r="BK1104">
        <v>0</v>
      </c>
      <c r="BL1104">
        <v>0</v>
      </c>
      <c r="BO1104">
        <v>0</v>
      </c>
      <c r="BP1104">
        <v>0</v>
      </c>
      <c r="BW1104" t="str">
        <f>"22:14:06.740"</f>
        <v>22:14:06.740</v>
      </c>
      <c r="CJ1104">
        <v>0</v>
      </c>
      <c r="CK1104">
        <v>1</v>
      </c>
      <c r="CL1104">
        <v>2</v>
      </c>
      <c r="CM1104">
        <v>2</v>
      </c>
      <c r="CN1104">
        <v>0</v>
      </c>
      <c r="CO1104">
        <v>7</v>
      </c>
      <c r="CP1104" t="s">
        <v>119</v>
      </c>
      <c r="CQ1104">
        <v>364</v>
      </c>
      <c r="CR1104">
        <v>0</v>
      </c>
      <c r="CW1104">
        <v>1406381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1</v>
      </c>
      <c r="DH1104">
        <v>0</v>
      </c>
      <c r="DI1104">
        <v>0</v>
      </c>
    </row>
    <row r="1105" spans="1:113" x14ac:dyDescent="0.3">
      <c r="A1105" t="str">
        <f>"03/24/2022 22:14:06.931"</f>
        <v>03/24/2022 22:14:06.931</v>
      </c>
      <c r="C1105" t="str">
        <f t="shared" si="314"/>
        <v>FFDFD3C0</v>
      </c>
      <c r="D1105" t="s">
        <v>123</v>
      </c>
      <c r="E1105">
        <v>8</v>
      </c>
      <c r="H1105">
        <v>31</v>
      </c>
      <c r="I1105" t="s">
        <v>124</v>
      </c>
      <c r="J1105" t="s">
        <v>125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S1105" t="str">
        <f t="shared" si="331"/>
        <v>22:14:06.000</v>
      </c>
      <c r="T1105" t="str">
        <f t="shared" si="331"/>
        <v>22:14:06.000</v>
      </c>
      <c r="U1105" t="str">
        <f t="shared" si="327"/>
        <v>A9D71F</v>
      </c>
      <c r="V1105">
        <v>0</v>
      </c>
      <c r="W1105">
        <v>0</v>
      </c>
      <c r="X1105">
        <v>2</v>
      </c>
      <c r="Z1105">
        <v>1</v>
      </c>
      <c r="AA1105">
        <v>6</v>
      </c>
      <c r="AB1105">
        <v>3</v>
      </c>
      <c r="AC1105">
        <v>0</v>
      </c>
      <c r="AD1105">
        <v>9</v>
      </c>
      <c r="AE1105">
        <v>0</v>
      </c>
      <c r="AF1105">
        <v>3</v>
      </c>
      <c r="AG1105">
        <v>1</v>
      </c>
      <c r="AH1105">
        <v>0</v>
      </c>
      <c r="AI1105" t="s">
        <v>600</v>
      </c>
      <c r="AJ1105">
        <v>33.137748000000002</v>
      </c>
      <c r="AK1105" t="s">
        <v>601</v>
      </c>
      <c r="AL1105">
        <v>-97.712509999999995</v>
      </c>
      <c r="AM1105">
        <v>25</v>
      </c>
      <c r="AN1105">
        <v>3500</v>
      </c>
      <c r="AO1105" t="s">
        <v>118</v>
      </c>
      <c r="AP1105">
        <v>53</v>
      </c>
      <c r="AQ1105">
        <v>-99</v>
      </c>
      <c r="AR1105">
        <v>-320</v>
      </c>
      <c r="AZ1105">
        <v>1200</v>
      </c>
      <c r="BA1105">
        <v>1</v>
      </c>
      <c r="BB1105" t="str">
        <f t="shared" si="315"/>
        <v xml:space="preserve">N733KP  </v>
      </c>
      <c r="BC1105">
        <v>1</v>
      </c>
      <c r="BE1105">
        <v>0</v>
      </c>
      <c r="BF1105">
        <v>0</v>
      </c>
      <c r="BG1105">
        <v>0</v>
      </c>
      <c r="BH1105">
        <v>3525</v>
      </c>
      <c r="BI1105">
        <v>1</v>
      </c>
      <c r="BJ1105">
        <v>1</v>
      </c>
      <c r="BK1105">
        <v>0</v>
      </c>
      <c r="BL1105">
        <v>0</v>
      </c>
      <c r="BO1105">
        <v>0</v>
      </c>
      <c r="BP1105">
        <v>0</v>
      </c>
      <c r="BW1105" t="str">
        <f>"22:14:06.740"</f>
        <v>22:14:06.740</v>
      </c>
      <c r="CJ1105">
        <v>0</v>
      </c>
      <c r="CK1105">
        <v>1</v>
      </c>
      <c r="CL1105">
        <v>2</v>
      </c>
      <c r="CM1105">
        <v>2</v>
      </c>
      <c r="CN1105">
        <v>0</v>
      </c>
      <c r="CO1105">
        <v>7</v>
      </c>
      <c r="CP1105" t="s">
        <v>119</v>
      </c>
      <c r="CQ1105">
        <v>364</v>
      </c>
      <c r="CR1105">
        <v>0</v>
      </c>
      <c r="CW1105">
        <v>1406381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1</v>
      </c>
      <c r="DH1105">
        <v>0</v>
      </c>
      <c r="DI1105">
        <v>0</v>
      </c>
    </row>
    <row r="1106" spans="1:113" x14ac:dyDescent="0.3">
      <c r="A1106" t="str">
        <f>"03/24/2022 22:14:06.931"</f>
        <v>03/24/2022 22:14:06.931</v>
      </c>
      <c r="C1106" t="str">
        <f t="shared" si="314"/>
        <v>FFDFD3C0</v>
      </c>
      <c r="D1106" t="s">
        <v>120</v>
      </c>
      <c r="E1106">
        <v>14</v>
      </c>
      <c r="F1106">
        <v>1014</v>
      </c>
      <c r="G1106" t="s">
        <v>121</v>
      </c>
      <c r="J1106" t="s">
        <v>122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S1106" t="str">
        <f t="shared" si="331"/>
        <v>22:14:06.000</v>
      </c>
      <c r="T1106" t="str">
        <f t="shared" si="331"/>
        <v>22:14:06.000</v>
      </c>
      <c r="U1106" t="str">
        <f t="shared" si="327"/>
        <v>A9D71F</v>
      </c>
      <c r="V1106">
        <v>0</v>
      </c>
      <c r="W1106">
        <v>0</v>
      </c>
      <c r="X1106">
        <v>2</v>
      </c>
      <c r="Z1106">
        <v>1</v>
      </c>
      <c r="AA1106">
        <v>6</v>
      </c>
      <c r="AB1106">
        <v>3</v>
      </c>
      <c r="AC1106">
        <v>0</v>
      </c>
      <c r="AD1106">
        <v>9</v>
      </c>
      <c r="AE1106">
        <v>0</v>
      </c>
      <c r="AF1106">
        <v>3</v>
      </c>
      <c r="AG1106">
        <v>1</v>
      </c>
      <c r="AH1106">
        <v>0</v>
      </c>
      <c r="AI1106" t="s">
        <v>600</v>
      </c>
      <c r="AJ1106">
        <v>33.137748000000002</v>
      </c>
      <c r="AK1106" t="s">
        <v>601</v>
      </c>
      <c r="AL1106">
        <v>-97.712509999999995</v>
      </c>
      <c r="AM1106">
        <v>25</v>
      </c>
      <c r="AN1106">
        <v>3500</v>
      </c>
      <c r="AO1106" t="s">
        <v>118</v>
      </c>
      <c r="AP1106">
        <v>53</v>
      </c>
      <c r="AQ1106">
        <v>-99</v>
      </c>
      <c r="AR1106">
        <v>-320</v>
      </c>
      <c r="AZ1106">
        <v>1200</v>
      </c>
      <c r="BA1106">
        <v>1</v>
      </c>
      <c r="BB1106" t="str">
        <f t="shared" si="315"/>
        <v xml:space="preserve">N733KP  </v>
      </c>
      <c r="BC1106">
        <v>1</v>
      </c>
      <c r="BE1106">
        <v>0</v>
      </c>
      <c r="BF1106">
        <v>0</v>
      </c>
      <c r="BG1106">
        <v>0</v>
      </c>
      <c r="BH1106">
        <v>3525</v>
      </c>
      <c r="BI1106">
        <v>1</v>
      </c>
      <c r="BJ1106">
        <v>1</v>
      </c>
      <c r="BK1106">
        <v>0</v>
      </c>
      <c r="BL1106">
        <v>0</v>
      </c>
      <c r="BO1106">
        <v>0</v>
      </c>
      <c r="BP1106">
        <v>0</v>
      </c>
      <c r="BW1106" t="str">
        <f>"22:14:06.740"</f>
        <v>22:14:06.740</v>
      </c>
      <c r="CJ1106">
        <v>0</v>
      </c>
      <c r="CK1106">
        <v>1</v>
      </c>
      <c r="CL1106">
        <v>2</v>
      </c>
      <c r="CM1106">
        <v>2</v>
      </c>
      <c r="CN1106">
        <v>0</v>
      </c>
      <c r="CO1106">
        <v>7</v>
      </c>
      <c r="CP1106" t="s">
        <v>119</v>
      </c>
      <c r="CQ1106">
        <v>364</v>
      </c>
      <c r="CR1106">
        <v>0</v>
      </c>
      <c r="CW1106">
        <v>1406381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1</v>
      </c>
      <c r="DH1106">
        <v>0</v>
      </c>
      <c r="DI1106">
        <v>0</v>
      </c>
    </row>
    <row r="1107" spans="1:113" x14ac:dyDescent="0.3">
      <c r="A1107" t="str">
        <f>"03/24/2022 22:14:07.947"</f>
        <v>03/24/2022 22:14:07.947</v>
      </c>
      <c r="C1107" t="str">
        <f t="shared" si="314"/>
        <v>FFDFD3C0</v>
      </c>
      <c r="D1107" t="s">
        <v>120</v>
      </c>
      <c r="E1107">
        <v>14</v>
      </c>
      <c r="F1107">
        <v>1014</v>
      </c>
      <c r="G1107" t="s">
        <v>121</v>
      </c>
      <c r="J1107" t="s">
        <v>122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S1107" t="str">
        <f t="shared" ref="S1107:T1110" si="332">"22:14:07.000"</f>
        <v>22:14:07.000</v>
      </c>
      <c r="T1107" t="str">
        <f t="shared" si="332"/>
        <v>22:14:07.000</v>
      </c>
      <c r="U1107" t="str">
        <f t="shared" si="327"/>
        <v>A9D71F</v>
      </c>
      <c r="V1107">
        <v>0</v>
      </c>
      <c r="W1107">
        <v>0</v>
      </c>
      <c r="X1107">
        <v>2</v>
      </c>
      <c r="Z1107">
        <v>1</v>
      </c>
      <c r="AA1107">
        <v>6</v>
      </c>
      <c r="AB1107">
        <v>3</v>
      </c>
      <c r="AC1107">
        <v>0</v>
      </c>
      <c r="AD1107">
        <v>9</v>
      </c>
      <c r="AE1107">
        <v>0</v>
      </c>
      <c r="AF1107">
        <v>3</v>
      </c>
      <c r="AG1107">
        <v>1</v>
      </c>
      <c r="AH1107">
        <v>0</v>
      </c>
      <c r="AI1107" t="s">
        <v>602</v>
      </c>
      <c r="AJ1107">
        <v>33.137298000000001</v>
      </c>
      <c r="AK1107" t="s">
        <v>603</v>
      </c>
      <c r="AL1107">
        <v>-97.712273999999994</v>
      </c>
      <c r="AM1107">
        <v>25</v>
      </c>
      <c r="AN1107">
        <v>3500</v>
      </c>
      <c r="AO1107" t="s">
        <v>118</v>
      </c>
      <c r="AP1107">
        <v>49</v>
      </c>
      <c r="AQ1107">
        <v>-97</v>
      </c>
      <c r="AR1107">
        <v>-320</v>
      </c>
      <c r="AZ1107">
        <v>1200</v>
      </c>
      <c r="BA1107">
        <v>1</v>
      </c>
      <c r="BB1107" t="str">
        <f t="shared" si="315"/>
        <v xml:space="preserve">N733KP  </v>
      </c>
      <c r="BC1107">
        <v>1</v>
      </c>
      <c r="BE1107">
        <v>0</v>
      </c>
      <c r="BF1107">
        <v>0</v>
      </c>
      <c r="BG1107">
        <v>0</v>
      </c>
      <c r="BH1107">
        <v>3525</v>
      </c>
      <c r="BI1107">
        <v>1</v>
      </c>
      <c r="BJ1107">
        <v>1</v>
      </c>
      <c r="BK1107">
        <v>0</v>
      </c>
      <c r="BL1107">
        <v>0</v>
      </c>
      <c r="BO1107">
        <v>0</v>
      </c>
      <c r="BP1107">
        <v>0</v>
      </c>
      <c r="BW1107" t="str">
        <f>"22:14:07.797"</f>
        <v>22:14:07.797</v>
      </c>
      <c r="CJ1107">
        <v>0</v>
      </c>
      <c r="CK1107">
        <v>1</v>
      </c>
      <c r="CL1107">
        <v>2</v>
      </c>
      <c r="CM1107">
        <v>2</v>
      </c>
      <c r="CN1107">
        <v>0</v>
      </c>
      <c r="CO1107">
        <v>7</v>
      </c>
      <c r="CP1107" t="s">
        <v>119</v>
      </c>
      <c r="CQ1107">
        <v>364</v>
      </c>
      <c r="CR1107">
        <v>0</v>
      </c>
      <c r="CW1107">
        <v>1406538</v>
      </c>
      <c r="CY1107">
        <v>1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1</v>
      </c>
      <c r="DH1107">
        <v>0</v>
      </c>
      <c r="DI1107">
        <v>0</v>
      </c>
    </row>
    <row r="1108" spans="1:113" x14ac:dyDescent="0.3">
      <c r="A1108" t="str">
        <f>"03/24/2022 22:14:07.947"</f>
        <v>03/24/2022 22:14:07.947</v>
      </c>
      <c r="C1108" t="str">
        <f t="shared" si="314"/>
        <v>FFDFD3C0</v>
      </c>
      <c r="D1108" t="s">
        <v>123</v>
      </c>
      <c r="E1108">
        <v>8</v>
      </c>
      <c r="H1108">
        <v>31</v>
      </c>
      <c r="I1108" t="s">
        <v>124</v>
      </c>
      <c r="J1108" t="s">
        <v>125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S1108" t="str">
        <f t="shared" si="332"/>
        <v>22:14:07.000</v>
      </c>
      <c r="T1108" t="str">
        <f t="shared" si="332"/>
        <v>22:14:07.000</v>
      </c>
      <c r="U1108" t="str">
        <f t="shared" si="327"/>
        <v>A9D71F</v>
      </c>
      <c r="V1108">
        <v>0</v>
      </c>
      <c r="W1108">
        <v>0</v>
      </c>
      <c r="X1108">
        <v>2</v>
      </c>
      <c r="Z1108">
        <v>1</v>
      </c>
      <c r="AA1108">
        <v>6</v>
      </c>
      <c r="AB1108">
        <v>3</v>
      </c>
      <c r="AC1108">
        <v>0</v>
      </c>
      <c r="AD1108">
        <v>9</v>
      </c>
      <c r="AE1108">
        <v>0</v>
      </c>
      <c r="AF1108">
        <v>3</v>
      </c>
      <c r="AG1108">
        <v>1</v>
      </c>
      <c r="AH1108">
        <v>0</v>
      </c>
      <c r="AI1108" t="s">
        <v>602</v>
      </c>
      <c r="AJ1108">
        <v>33.137298000000001</v>
      </c>
      <c r="AK1108" t="s">
        <v>603</v>
      </c>
      <c r="AL1108">
        <v>-97.712273999999994</v>
      </c>
      <c r="AM1108">
        <v>25</v>
      </c>
      <c r="AN1108">
        <v>3500</v>
      </c>
      <c r="AO1108" t="s">
        <v>118</v>
      </c>
      <c r="AP1108">
        <v>49</v>
      </c>
      <c r="AQ1108">
        <v>-97</v>
      </c>
      <c r="AR1108">
        <v>-320</v>
      </c>
      <c r="AZ1108">
        <v>1200</v>
      </c>
      <c r="BA1108">
        <v>1</v>
      </c>
      <c r="BB1108" t="str">
        <f t="shared" si="315"/>
        <v xml:space="preserve">N733KP  </v>
      </c>
      <c r="BC1108">
        <v>1</v>
      </c>
      <c r="BE1108">
        <v>0</v>
      </c>
      <c r="BF1108">
        <v>0</v>
      </c>
      <c r="BG1108">
        <v>0</v>
      </c>
      <c r="BH1108">
        <v>3525</v>
      </c>
      <c r="BI1108">
        <v>1</v>
      </c>
      <c r="BJ1108">
        <v>1</v>
      </c>
      <c r="BK1108">
        <v>0</v>
      </c>
      <c r="BL1108">
        <v>0</v>
      </c>
      <c r="BO1108">
        <v>0</v>
      </c>
      <c r="BP1108">
        <v>0</v>
      </c>
      <c r="BW1108" t="str">
        <f>"22:14:07.797"</f>
        <v>22:14:07.797</v>
      </c>
      <c r="CJ1108">
        <v>0</v>
      </c>
      <c r="CK1108">
        <v>1</v>
      </c>
      <c r="CL1108">
        <v>2</v>
      </c>
      <c r="CM1108">
        <v>2</v>
      </c>
      <c r="CN1108">
        <v>0</v>
      </c>
      <c r="CO1108">
        <v>7</v>
      </c>
      <c r="CP1108" t="s">
        <v>119</v>
      </c>
      <c r="CQ1108">
        <v>364</v>
      </c>
      <c r="CR1108">
        <v>0</v>
      </c>
      <c r="CW1108">
        <v>1406538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1</v>
      </c>
      <c r="DH1108">
        <v>0</v>
      </c>
      <c r="DI1108">
        <v>0</v>
      </c>
    </row>
    <row r="1109" spans="1:113" x14ac:dyDescent="0.3">
      <c r="A1109" t="str">
        <f>"03/24/2022 22:14:07.947"</f>
        <v>03/24/2022 22:14:07.947</v>
      </c>
      <c r="C1109" t="str">
        <f t="shared" si="314"/>
        <v>FFDFD3C0</v>
      </c>
      <c r="D1109" t="s">
        <v>113</v>
      </c>
      <c r="E1109">
        <v>24</v>
      </c>
      <c r="F1109">
        <v>2024</v>
      </c>
      <c r="G1109" t="s">
        <v>114</v>
      </c>
      <c r="J1109" t="s">
        <v>115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S1109" t="str">
        <f t="shared" si="332"/>
        <v>22:14:07.000</v>
      </c>
      <c r="T1109" t="str">
        <f t="shared" si="332"/>
        <v>22:14:07.000</v>
      </c>
      <c r="U1109" t="str">
        <f t="shared" si="327"/>
        <v>A9D71F</v>
      </c>
      <c r="V1109">
        <v>0</v>
      </c>
      <c r="W1109">
        <v>0</v>
      </c>
      <c r="X1109">
        <v>2</v>
      </c>
      <c r="Z1109">
        <v>1</v>
      </c>
      <c r="AA1109">
        <v>6</v>
      </c>
      <c r="AB1109">
        <v>3</v>
      </c>
      <c r="AC1109">
        <v>0</v>
      </c>
      <c r="AD1109">
        <v>9</v>
      </c>
      <c r="AE1109">
        <v>0</v>
      </c>
      <c r="AF1109">
        <v>3</v>
      </c>
      <c r="AG1109">
        <v>1</v>
      </c>
      <c r="AH1109">
        <v>0</v>
      </c>
      <c r="AI1109" t="s">
        <v>602</v>
      </c>
      <c r="AJ1109">
        <v>33.137298000000001</v>
      </c>
      <c r="AK1109" t="s">
        <v>603</v>
      </c>
      <c r="AL1109">
        <v>-97.712273999999994</v>
      </c>
      <c r="AM1109">
        <v>25</v>
      </c>
      <c r="AN1109">
        <v>3500</v>
      </c>
      <c r="AO1109" t="s">
        <v>118</v>
      </c>
      <c r="AP1109">
        <v>49</v>
      </c>
      <c r="AQ1109">
        <v>-97</v>
      </c>
      <c r="AR1109">
        <v>-320</v>
      </c>
      <c r="AZ1109">
        <v>1200</v>
      </c>
      <c r="BA1109">
        <v>1</v>
      </c>
      <c r="BB1109" t="str">
        <f t="shared" si="315"/>
        <v xml:space="preserve">N733KP  </v>
      </c>
      <c r="BC1109">
        <v>1</v>
      </c>
      <c r="BE1109">
        <v>0</v>
      </c>
      <c r="BF1109">
        <v>0</v>
      </c>
      <c r="BG1109">
        <v>0</v>
      </c>
      <c r="BH1109">
        <v>3525</v>
      </c>
      <c r="BI1109">
        <v>1</v>
      </c>
      <c r="BJ1109">
        <v>1</v>
      </c>
      <c r="BK1109">
        <v>0</v>
      </c>
      <c r="BL1109">
        <v>0</v>
      </c>
      <c r="BO1109">
        <v>0</v>
      </c>
      <c r="BP1109">
        <v>0</v>
      </c>
      <c r="BW1109" t="str">
        <f>"22:14:07.797"</f>
        <v>22:14:07.797</v>
      </c>
      <c r="CJ1109">
        <v>0</v>
      </c>
      <c r="CK1109">
        <v>1</v>
      </c>
      <c r="CL1109">
        <v>2</v>
      </c>
      <c r="CM1109">
        <v>2</v>
      </c>
      <c r="CN1109">
        <v>0</v>
      </c>
      <c r="CO1109">
        <v>7</v>
      </c>
      <c r="CP1109" t="s">
        <v>119</v>
      </c>
      <c r="CQ1109">
        <v>364</v>
      </c>
      <c r="CR1109">
        <v>0</v>
      </c>
      <c r="CW1109">
        <v>1406538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1</v>
      </c>
      <c r="DH1109">
        <v>0</v>
      </c>
      <c r="DI1109">
        <v>0</v>
      </c>
    </row>
    <row r="1110" spans="1:113" x14ac:dyDescent="0.3">
      <c r="A1110" t="str">
        <f>"03/24/2022 22:14:08.025"</f>
        <v>03/24/2022 22:14:08.025</v>
      </c>
      <c r="C1110" t="str">
        <f t="shared" ref="C1110:C1173" si="333">"FFDFD3C0"</f>
        <v>FFDFD3C0</v>
      </c>
      <c r="D1110" t="s">
        <v>126</v>
      </c>
      <c r="E1110">
        <v>3</v>
      </c>
      <c r="H1110">
        <v>160</v>
      </c>
      <c r="I1110" t="s">
        <v>121</v>
      </c>
      <c r="J1110" t="s">
        <v>127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S1110" t="str">
        <f t="shared" si="332"/>
        <v>22:14:07.000</v>
      </c>
      <c r="T1110" t="str">
        <f t="shared" si="332"/>
        <v>22:14:07.000</v>
      </c>
      <c r="U1110" t="str">
        <f t="shared" si="327"/>
        <v>A9D71F</v>
      </c>
      <c r="V1110">
        <v>0</v>
      </c>
      <c r="W1110">
        <v>0</v>
      </c>
      <c r="X1110">
        <v>2</v>
      </c>
      <c r="Z1110">
        <v>1</v>
      </c>
      <c r="AA1110">
        <v>6</v>
      </c>
      <c r="AB1110">
        <v>3</v>
      </c>
      <c r="AC1110">
        <v>0</v>
      </c>
      <c r="AD1110">
        <v>9</v>
      </c>
      <c r="AE1110">
        <v>0</v>
      </c>
      <c r="AF1110">
        <v>3</v>
      </c>
      <c r="AG1110">
        <v>1</v>
      </c>
      <c r="AH1110">
        <v>0</v>
      </c>
      <c r="AI1110" t="s">
        <v>602</v>
      </c>
      <c r="AJ1110">
        <v>33.137298000000001</v>
      </c>
      <c r="AK1110" t="s">
        <v>603</v>
      </c>
      <c r="AL1110">
        <v>-97.712273999999994</v>
      </c>
      <c r="AM1110">
        <v>25</v>
      </c>
      <c r="AN1110">
        <v>3500</v>
      </c>
      <c r="AO1110" t="s">
        <v>118</v>
      </c>
      <c r="AP1110">
        <v>49</v>
      </c>
      <c r="AQ1110">
        <v>-97</v>
      </c>
      <c r="AR1110">
        <v>-320</v>
      </c>
      <c r="AZ1110">
        <v>1200</v>
      </c>
      <c r="BA1110">
        <v>1</v>
      </c>
      <c r="BB1110" t="str">
        <f t="shared" ref="BB1110:BB1173" si="334">"N733KP  "</f>
        <v xml:space="preserve">N733KP  </v>
      </c>
      <c r="BC1110">
        <v>1</v>
      </c>
      <c r="BE1110">
        <v>0</v>
      </c>
      <c r="BF1110">
        <v>0</v>
      </c>
      <c r="BG1110">
        <v>0</v>
      </c>
      <c r="BH1110">
        <v>3525</v>
      </c>
      <c r="BI1110">
        <v>1</v>
      </c>
      <c r="BJ1110">
        <v>1</v>
      </c>
      <c r="BK1110">
        <v>0</v>
      </c>
      <c r="BL1110">
        <v>0</v>
      </c>
      <c r="BO1110">
        <v>0</v>
      </c>
      <c r="BP1110">
        <v>0</v>
      </c>
      <c r="BW1110" t="str">
        <f>"22:14:07.797"</f>
        <v>22:14:07.797</v>
      </c>
      <c r="CJ1110">
        <v>0</v>
      </c>
      <c r="CK1110">
        <v>1</v>
      </c>
      <c r="CL1110">
        <v>2</v>
      </c>
      <c r="CM1110">
        <v>2</v>
      </c>
      <c r="CN1110">
        <v>0</v>
      </c>
      <c r="CO1110">
        <v>7</v>
      </c>
      <c r="CP1110" t="s">
        <v>119</v>
      </c>
      <c r="CQ1110">
        <v>364</v>
      </c>
      <c r="CR1110">
        <v>0</v>
      </c>
      <c r="CW1110">
        <v>1406538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1</v>
      </c>
      <c r="DH1110">
        <v>0</v>
      </c>
      <c r="DI1110">
        <v>0</v>
      </c>
    </row>
    <row r="1111" spans="1:113" x14ac:dyDescent="0.3">
      <c r="A1111" t="str">
        <f>"03/24/2022 22:14:08.436"</f>
        <v>03/24/2022 22:14:08.436</v>
      </c>
      <c r="C1111" t="str">
        <f t="shared" si="333"/>
        <v>FFDFD3C0</v>
      </c>
      <c r="D1111" t="s">
        <v>113</v>
      </c>
      <c r="E1111">
        <v>24</v>
      </c>
      <c r="F1111">
        <v>2024</v>
      </c>
      <c r="G1111" t="s">
        <v>114</v>
      </c>
      <c r="J1111" t="s">
        <v>115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S1111" t="str">
        <f t="shared" ref="S1111:T1114" si="335">"22:14:08.000"</f>
        <v>22:14:08.000</v>
      </c>
      <c r="T1111" t="str">
        <f t="shared" si="335"/>
        <v>22:14:08.000</v>
      </c>
      <c r="U1111" t="str">
        <f t="shared" si="327"/>
        <v>A9D71F</v>
      </c>
      <c r="V1111">
        <v>0</v>
      </c>
      <c r="W1111">
        <v>0</v>
      </c>
      <c r="X1111">
        <v>2</v>
      </c>
      <c r="Z1111">
        <v>1</v>
      </c>
      <c r="AA1111">
        <v>6</v>
      </c>
      <c r="AB1111">
        <v>3</v>
      </c>
      <c r="AC1111">
        <v>0</v>
      </c>
      <c r="AD1111">
        <v>9</v>
      </c>
      <c r="AE1111">
        <v>0</v>
      </c>
      <c r="AF1111">
        <v>3</v>
      </c>
      <c r="AG1111">
        <v>1</v>
      </c>
      <c r="AH1111">
        <v>0</v>
      </c>
      <c r="AI1111" t="s">
        <v>604</v>
      </c>
      <c r="AJ1111">
        <v>33.136868</v>
      </c>
      <c r="AK1111" t="s">
        <v>605</v>
      </c>
      <c r="AL1111">
        <v>-97.711995000000002</v>
      </c>
      <c r="AM1111">
        <v>25</v>
      </c>
      <c r="AN1111">
        <v>3500</v>
      </c>
      <c r="AO1111" t="s">
        <v>118</v>
      </c>
      <c r="AP1111">
        <v>53</v>
      </c>
      <c r="AQ1111">
        <v>-99</v>
      </c>
      <c r="AR1111">
        <v>-320</v>
      </c>
      <c r="AZ1111">
        <v>1200</v>
      </c>
      <c r="BA1111">
        <v>1</v>
      </c>
      <c r="BB1111" t="str">
        <f t="shared" si="334"/>
        <v xml:space="preserve">N733KP  </v>
      </c>
      <c r="BC1111">
        <v>1</v>
      </c>
      <c r="BE1111">
        <v>0</v>
      </c>
      <c r="BF1111">
        <v>0</v>
      </c>
      <c r="BG1111">
        <v>0</v>
      </c>
      <c r="BH1111">
        <v>3525</v>
      </c>
      <c r="BI1111">
        <v>1</v>
      </c>
      <c r="BJ1111">
        <v>1</v>
      </c>
      <c r="BK1111">
        <v>0</v>
      </c>
      <c r="BL1111">
        <v>0</v>
      </c>
      <c r="BO1111">
        <v>0</v>
      </c>
      <c r="BP1111">
        <v>0</v>
      </c>
      <c r="BW1111" t="str">
        <f>"22:14:08.222"</f>
        <v>22:14:08.222</v>
      </c>
      <c r="CJ1111">
        <v>0</v>
      </c>
      <c r="CK1111">
        <v>1</v>
      </c>
      <c r="CL1111">
        <v>2</v>
      </c>
      <c r="CM1111">
        <v>2</v>
      </c>
      <c r="CN1111">
        <v>0</v>
      </c>
      <c r="CO1111">
        <v>7</v>
      </c>
      <c r="CP1111" t="s">
        <v>119</v>
      </c>
      <c r="CQ1111">
        <v>364</v>
      </c>
      <c r="CR1111">
        <v>0</v>
      </c>
      <c r="CW1111">
        <v>1406608</v>
      </c>
      <c r="CY1111">
        <v>1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1</v>
      </c>
      <c r="DH1111">
        <v>0</v>
      </c>
      <c r="DI1111">
        <v>0</v>
      </c>
    </row>
    <row r="1112" spans="1:113" x14ac:dyDescent="0.3">
      <c r="A1112" t="str">
        <f>"03/24/2022 22:14:08.561"</f>
        <v>03/24/2022 22:14:08.561</v>
      </c>
      <c r="C1112" t="str">
        <f t="shared" si="333"/>
        <v>FFDFD3C0</v>
      </c>
      <c r="D1112" t="s">
        <v>126</v>
      </c>
      <c r="E1112">
        <v>3</v>
      </c>
      <c r="H1112">
        <v>160</v>
      </c>
      <c r="I1112" t="s">
        <v>121</v>
      </c>
      <c r="J1112" t="s">
        <v>127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S1112" t="str">
        <f t="shared" si="335"/>
        <v>22:14:08.000</v>
      </c>
      <c r="T1112" t="str">
        <f t="shared" si="335"/>
        <v>22:14:08.000</v>
      </c>
      <c r="U1112" t="str">
        <f t="shared" si="327"/>
        <v>A9D71F</v>
      </c>
      <c r="V1112">
        <v>0</v>
      </c>
      <c r="W1112">
        <v>0</v>
      </c>
      <c r="X1112">
        <v>2</v>
      </c>
      <c r="Z1112">
        <v>1</v>
      </c>
      <c r="AA1112">
        <v>6</v>
      </c>
      <c r="AB1112">
        <v>3</v>
      </c>
      <c r="AC1112">
        <v>0</v>
      </c>
      <c r="AD1112">
        <v>9</v>
      </c>
      <c r="AE1112">
        <v>0</v>
      </c>
      <c r="AF1112">
        <v>3</v>
      </c>
      <c r="AG1112">
        <v>1</v>
      </c>
      <c r="AH1112">
        <v>0</v>
      </c>
      <c r="AI1112" t="s">
        <v>604</v>
      </c>
      <c r="AJ1112">
        <v>33.136868</v>
      </c>
      <c r="AK1112" t="s">
        <v>605</v>
      </c>
      <c r="AL1112">
        <v>-97.711995000000002</v>
      </c>
      <c r="AM1112">
        <v>25</v>
      </c>
      <c r="AN1112">
        <v>3500</v>
      </c>
      <c r="AO1112" t="s">
        <v>118</v>
      </c>
      <c r="AP1112">
        <v>53</v>
      </c>
      <c r="AQ1112">
        <v>-99</v>
      </c>
      <c r="AR1112">
        <v>-320</v>
      </c>
      <c r="AZ1112">
        <v>1200</v>
      </c>
      <c r="BA1112">
        <v>1</v>
      </c>
      <c r="BB1112" t="str">
        <f t="shared" si="334"/>
        <v xml:space="preserve">N733KP  </v>
      </c>
      <c r="BC1112">
        <v>1</v>
      </c>
      <c r="BE1112">
        <v>0</v>
      </c>
      <c r="BF1112">
        <v>0</v>
      </c>
      <c r="BG1112">
        <v>0</v>
      </c>
      <c r="BH1112">
        <v>3525</v>
      </c>
      <c r="BI1112">
        <v>1</v>
      </c>
      <c r="BJ1112">
        <v>1</v>
      </c>
      <c r="BK1112">
        <v>0</v>
      </c>
      <c r="BL1112">
        <v>0</v>
      </c>
      <c r="BO1112">
        <v>0</v>
      </c>
      <c r="BP1112">
        <v>0</v>
      </c>
      <c r="BW1112" t="str">
        <f>"22:14:08.222"</f>
        <v>22:14:08.222</v>
      </c>
      <c r="CJ1112">
        <v>0</v>
      </c>
      <c r="CK1112">
        <v>1</v>
      </c>
      <c r="CL1112">
        <v>2</v>
      </c>
      <c r="CM1112">
        <v>2</v>
      </c>
      <c r="CN1112">
        <v>0</v>
      </c>
      <c r="CO1112">
        <v>7</v>
      </c>
      <c r="CP1112" t="s">
        <v>119</v>
      </c>
      <c r="CQ1112">
        <v>364</v>
      </c>
      <c r="CR1112">
        <v>0</v>
      </c>
      <c r="CW1112">
        <v>1406608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1</v>
      </c>
      <c r="DH1112">
        <v>0</v>
      </c>
      <c r="DI1112">
        <v>0</v>
      </c>
    </row>
    <row r="1113" spans="1:113" x14ac:dyDescent="0.3">
      <c r="A1113" t="str">
        <f>"03/24/2022 22:14:08.561"</f>
        <v>03/24/2022 22:14:08.561</v>
      </c>
      <c r="C1113" t="str">
        <f t="shared" si="333"/>
        <v>FFDFD3C0</v>
      </c>
      <c r="D1113" t="s">
        <v>120</v>
      </c>
      <c r="E1113">
        <v>14</v>
      </c>
      <c r="F1113">
        <v>1014</v>
      </c>
      <c r="G1113" t="s">
        <v>121</v>
      </c>
      <c r="J1113" t="s">
        <v>122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S1113" t="str">
        <f t="shared" si="335"/>
        <v>22:14:08.000</v>
      </c>
      <c r="T1113" t="str">
        <f t="shared" si="335"/>
        <v>22:14:08.000</v>
      </c>
      <c r="U1113" t="str">
        <f t="shared" si="327"/>
        <v>A9D71F</v>
      </c>
      <c r="V1113">
        <v>0</v>
      </c>
      <c r="W1113">
        <v>0</v>
      </c>
      <c r="X1113">
        <v>2</v>
      </c>
      <c r="Z1113">
        <v>1</v>
      </c>
      <c r="AA1113">
        <v>6</v>
      </c>
      <c r="AB1113">
        <v>3</v>
      </c>
      <c r="AC1113">
        <v>0</v>
      </c>
      <c r="AD1113">
        <v>9</v>
      </c>
      <c r="AE1113">
        <v>0</v>
      </c>
      <c r="AF1113">
        <v>3</v>
      </c>
      <c r="AG1113">
        <v>1</v>
      </c>
      <c r="AH1113">
        <v>0</v>
      </c>
      <c r="AI1113" t="s">
        <v>604</v>
      </c>
      <c r="AJ1113">
        <v>33.136868</v>
      </c>
      <c r="AK1113" t="s">
        <v>605</v>
      </c>
      <c r="AL1113">
        <v>-97.711995000000002</v>
      </c>
      <c r="AM1113">
        <v>25</v>
      </c>
      <c r="AN1113">
        <v>3500</v>
      </c>
      <c r="AO1113" t="s">
        <v>118</v>
      </c>
      <c r="AP1113">
        <v>53</v>
      </c>
      <c r="AQ1113">
        <v>-99</v>
      </c>
      <c r="AR1113">
        <v>-320</v>
      </c>
      <c r="AZ1113">
        <v>1200</v>
      </c>
      <c r="BA1113">
        <v>1</v>
      </c>
      <c r="BB1113" t="str">
        <f t="shared" si="334"/>
        <v xml:space="preserve">N733KP  </v>
      </c>
      <c r="BC1113">
        <v>1</v>
      </c>
      <c r="BE1113">
        <v>0</v>
      </c>
      <c r="BF1113">
        <v>0</v>
      </c>
      <c r="BG1113">
        <v>0</v>
      </c>
      <c r="BH1113">
        <v>3525</v>
      </c>
      <c r="BI1113">
        <v>1</v>
      </c>
      <c r="BJ1113">
        <v>1</v>
      </c>
      <c r="BK1113">
        <v>0</v>
      </c>
      <c r="BL1113">
        <v>0</v>
      </c>
      <c r="BO1113">
        <v>0</v>
      </c>
      <c r="BP1113">
        <v>0</v>
      </c>
      <c r="BW1113" t="str">
        <f>"22:14:08.222"</f>
        <v>22:14:08.222</v>
      </c>
      <c r="CJ1113">
        <v>0</v>
      </c>
      <c r="CK1113">
        <v>1</v>
      </c>
      <c r="CL1113">
        <v>2</v>
      </c>
      <c r="CM1113">
        <v>2</v>
      </c>
      <c r="CN1113">
        <v>0</v>
      </c>
      <c r="CO1113">
        <v>7</v>
      </c>
      <c r="CP1113" t="s">
        <v>119</v>
      </c>
      <c r="CQ1113">
        <v>364</v>
      </c>
      <c r="CR1113">
        <v>0</v>
      </c>
      <c r="CW1113">
        <v>1406608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1</v>
      </c>
      <c r="DH1113">
        <v>0</v>
      </c>
      <c r="DI1113">
        <v>0</v>
      </c>
    </row>
    <row r="1114" spans="1:113" x14ac:dyDescent="0.3">
      <c r="A1114" t="str">
        <f>"03/24/2022 22:14:08.561"</f>
        <v>03/24/2022 22:14:08.561</v>
      </c>
      <c r="C1114" t="str">
        <f t="shared" si="333"/>
        <v>FFDFD3C0</v>
      </c>
      <c r="D1114" t="s">
        <v>123</v>
      </c>
      <c r="E1114">
        <v>8</v>
      </c>
      <c r="H1114">
        <v>31</v>
      </c>
      <c r="I1114" t="s">
        <v>124</v>
      </c>
      <c r="J1114" t="s">
        <v>125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S1114" t="str">
        <f t="shared" si="335"/>
        <v>22:14:08.000</v>
      </c>
      <c r="T1114" t="str">
        <f t="shared" si="335"/>
        <v>22:14:08.000</v>
      </c>
      <c r="U1114" t="str">
        <f t="shared" si="327"/>
        <v>A9D71F</v>
      </c>
      <c r="V1114">
        <v>0</v>
      </c>
      <c r="W1114">
        <v>0</v>
      </c>
      <c r="X1114">
        <v>2</v>
      </c>
      <c r="Z1114">
        <v>1</v>
      </c>
      <c r="AA1114">
        <v>6</v>
      </c>
      <c r="AB1114">
        <v>3</v>
      </c>
      <c r="AC1114">
        <v>0</v>
      </c>
      <c r="AD1114">
        <v>9</v>
      </c>
      <c r="AE1114">
        <v>0</v>
      </c>
      <c r="AF1114">
        <v>3</v>
      </c>
      <c r="AG1114">
        <v>1</v>
      </c>
      <c r="AH1114">
        <v>0</v>
      </c>
      <c r="AI1114" t="s">
        <v>604</v>
      </c>
      <c r="AJ1114">
        <v>33.136868</v>
      </c>
      <c r="AK1114" t="s">
        <v>605</v>
      </c>
      <c r="AL1114">
        <v>-97.711995000000002</v>
      </c>
      <c r="AM1114">
        <v>25</v>
      </c>
      <c r="AN1114">
        <v>3500</v>
      </c>
      <c r="AO1114" t="s">
        <v>118</v>
      </c>
      <c r="AP1114">
        <v>53</v>
      </c>
      <c r="AQ1114">
        <v>-99</v>
      </c>
      <c r="AR1114">
        <v>-320</v>
      </c>
      <c r="AZ1114">
        <v>1200</v>
      </c>
      <c r="BA1114">
        <v>1</v>
      </c>
      <c r="BB1114" t="str">
        <f t="shared" si="334"/>
        <v xml:space="preserve">N733KP  </v>
      </c>
      <c r="BC1114">
        <v>1</v>
      </c>
      <c r="BE1114">
        <v>0</v>
      </c>
      <c r="BF1114">
        <v>0</v>
      </c>
      <c r="BG1114">
        <v>0</v>
      </c>
      <c r="BH1114">
        <v>3525</v>
      </c>
      <c r="BI1114">
        <v>1</v>
      </c>
      <c r="BJ1114">
        <v>1</v>
      </c>
      <c r="BK1114">
        <v>0</v>
      </c>
      <c r="BL1114">
        <v>0</v>
      </c>
      <c r="BO1114">
        <v>0</v>
      </c>
      <c r="BP1114">
        <v>0</v>
      </c>
      <c r="BW1114" t="str">
        <f>"22:14:08.222"</f>
        <v>22:14:08.222</v>
      </c>
      <c r="CJ1114">
        <v>0</v>
      </c>
      <c r="CK1114">
        <v>1</v>
      </c>
      <c r="CL1114">
        <v>2</v>
      </c>
      <c r="CM1114">
        <v>2</v>
      </c>
      <c r="CN1114">
        <v>0</v>
      </c>
      <c r="CO1114">
        <v>7</v>
      </c>
      <c r="CP1114" t="s">
        <v>119</v>
      </c>
      <c r="CQ1114">
        <v>364</v>
      </c>
      <c r="CR1114">
        <v>0</v>
      </c>
      <c r="CW1114">
        <v>1406608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1</v>
      </c>
      <c r="DH1114">
        <v>0</v>
      </c>
      <c r="DI1114">
        <v>0</v>
      </c>
    </row>
    <row r="1115" spans="1:113" x14ac:dyDescent="0.3">
      <c r="A1115" t="str">
        <f>"03/24/2022 22:14:09.420"</f>
        <v>03/24/2022 22:14:09.420</v>
      </c>
      <c r="C1115" t="str">
        <f t="shared" si="333"/>
        <v>FFDFD3C0</v>
      </c>
      <c r="D1115" t="s">
        <v>113</v>
      </c>
      <c r="E1115">
        <v>24</v>
      </c>
      <c r="F1115">
        <v>2024</v>
      </c>
      <c r="G1115" t="s">
        <v>114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S1115" t="str">
        <f t="shared" ref="S1115:T1118" si="336">"22:14:09.000"</f>
        <v>22:14:09.000</v>
      </c>
      <c r="T1115" t="str">
        <f t="shared" si="336"/>
        <v>22:14:09.000</v>
      </c>
      <c r="U1115" t="str">
        <f t="shared" si="327"/>
        <v>A9D71F</v>
      </c>
      <c r="V1115">
        <v>0</v>
      </c>
      <c r="W1115">
        <v>0</v>
      </c>
      <c r="X1115">
        <v>2</v>
      </c>
      <c r="Z1115">
        <v>1</v>
      </c>
      <c r="AA1115">
        <v>6</v>
      </c>
      <c r="AB1115">
        <v>3</v>
      </c>
      <c r="AC1115">
        <v>0</v>
      </c>
      <c r="AD1115">
        <v>9</v>
      </c>
      <c r="AE1115">
        <v>0</v>
      </c>
      <c r="AF1115">
        <v>3</v>
      </c>
      <c r="AG1115">
        <v>1</v>
      </c>
      <c r="AH1115">
        <v>0</v>
      </c>
      <c r="AI1115" t="s">
        <v>606</v>
      </c>
      <c r="AJ1115">
        <v>33.136395999999998</v>
      </c>
      <c r="AK1115" t="s">
        <v>607</v>
      </c>
      <c r="AL1115">
        <v>-97.711693999999994</v>
      </c>
      <c r="AM1115">
        <v>25</v>
      </c>
      <c r="AN1115">
        <v>3500</v>
      </c>
      <c r="AO1115" t="s">
        <v>118</v>
      </c>
      <c r="AP1115">
        <v>49</v>
      </c>
      <c r="AQ1115">
        <v>-98</v>
      </c>
      <c r="AR1115">
        <v>-512</v>
      </c>
      <c r="AZ1115">
        <v>1200</v>
      </c>
      <c r="BA1115">
        <v>1</v>
      </c>
      <c r="BB1115" t="str">
        <f t="shared" si="334"/>
        <v xml:space="preserve">N733KP  </v>
      </c>
      <c r="BC1115">
        <v>1</v>
      </c>
      <c r="BE1115">
        <v>0</v>
      </c>
      <c r="BF1115">
        <v>0</v>
      </c>
      <c r="BG1115">
        <v>0</v>
      </c>
      <c r="BH1115">
        <v>3525</v>
      </c>
      <c r="BI1115">
        <v>1</v>
      </c>
      <c r="BJ1115">
        <v>1</v>
      </c>
      <c r="BK1115">
        <v>0</v>
      </c>
      <c r="BL1115">
        <v>0</v>
      </c>
      <c r="BO1115">
        <v>0</v>
      </c>
      <c r="BP1115">
        <v>0</v>
      </c>
      <c r="BW1115" t="str">
        <f>"22:14:09.286"</f>
        <v>22:14:09.286</v>
      </c>
      <c r="CJ1115">
        <v>0</v>
      </c>
      <c r="CK1115">
        <v>1</v>
      </c>
      <c r="CL1115">
        <v>2</v>
      </c>
      <c r="CM1115">
        <v>2</v>
      </c>
      <c r="CN1115">
        <v>0</v>
      </c>
      <c r="CO1115">
        <v>7</v>
      </c>
      <c r="CP1115" t="s">
        <v>119</v>
      </c>
      <c r="CQ1115">
        <v>364</v>
      </c>
      <c r="CR1115">
        <v>0</v>
      </c>
      <c r="CW1115">
        <v>1406772</v>
      </c>
      <c r="CY1115">
        <v>1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1</v>
      </c>
      <c r="DH1115">
        <v>0</v>
      </c>
      <c r="DI1115">
        <v>0</v>
      </c>
    </row>
    <row r="1116" spans="1:113" x14ac:dyDescent="0.3">
      <c r="A1116" t="str">
        <f>"03/24/2022 22:14:09.514"</f>
        <v>03/24/2022 22:14:09.514</v>
      </c>
      <c r="C1116" t="str">
        <f t="shared" si="333"/>
        <v>FFDFD3C0</v>
      </c>
      <c r="D1116" t="s">
        <v>126</v>
      </c>
      <c r="E1116">
        <v>3</v>
      </c>
      <c r="H1116">
        <v>160</v>
      </c>
      <c r="I1116" t="s">
        <v>121</v>
      </c>
      <c r="J1116" t="s">
        <v>127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S1116" t="str">
        <f t="shared" si="336"/>
        <v>22:14:09.000</v>
      </c>
      <c r="T1116" t="str">
        <f t="shared" si="336"/>
        <v>22:14:09.000</v>
      </c>
      <c r="U1116" t="str">
        <f t="shared" si="327"/>
        <v>A9D71F</v>
      </c>
      <c r="V1116">
        <v>0</v>
      </c>
      <c r="W1116">
        <v>0</v>
      </c>
      <c r="X1116">
        <v>2</v>
      </c>
      <c r="Z1116">
        <v>1</v>
      </c>
      <c r="AA1116">
        <v>6</v>
      </c>
      <c r="AB1116">
        <v>3</v>
      </c>
      <c r="AC1116">
        <v>0</v>
      </c>
      <c r="AD1116">
        <v>9</v>
      </c>
      <c r="AE1116">
        <v>0</v>
      </c>
      <c r="AF1116">
        <v>3</v>
      </c>
      <c r="AG1116">
        <v>1</v>
      </c>
      <c r="AH1116">
        <v>0</v>
      </c>
      <c r="AI1116" t="s">
        <v>606</v>
      </c>
      <c r="AJ1116">
        <v>33.136395999999998</v>
      </c>
      <c r="AK1116" t="s">
        <v>607</v>
      </c>
      <c r="AL1116">
        <v>-97.711693999999994</v>
      </c>
      <c r="AM1116">
        <v>25</v>
      </c>
      <c r="AN1116">
        <v>3500</v>
      </c>
      <c r="AO1116" t="s">
        <v>118</v>
      </c>
      <c r="AP1116">
        <v>49</v>
      </c>
      <c r="AQ1116">
        <v>-98</v>
      </c>
      <c r="AR1116">
        <v>-512</v>
      </c>
      <c r="AZ1116">
        <v>1200</v>
      </c>
      <c r="BA1116">
        <v>1</v>
      </c>
      <c r="BB1116" t="str">
        <f t="shared" si="334"/>
        <v xml:space="preserve">N733KP  </v>
      </c>
      <c r="BC1116">
        <v>1</v>
      </c>
      <c r="BE1116">
        <v>0</v>
      </c>
      <c r="BF1116">
        <v>0</v>
      </c>
      <c r="BG1116">
        <v>0</v>
      </c>
      <c r="BH1116">
        <v>3525</v>
      </c>
      <c r="BI1116">
        <v>1</v>
      </c>
      <c r="BJ1116">
        <v>1</v>
      </c>
      <c r="BK1116">
        <v>0</v>
      </c>
      <c r="BL1116">
        <v>0</v>
      </c>
      <c r="BO1116">
        <v>0</v>
      </c>
      <c r="BP1116">
        <v>0</v>
      </c>
      <c r="BW1116" t="str">
        <f>"22:14:09.286"</f>
        <v>22:14:09.286</v>
      </c>
      <c r="CJ1116">
        <v>0</v>
      </c>
      <c r="CK1116">
        <v>1</v>
      </c>
      <c r="CL1116">
        <v>2</v>
      </c>
      <c r="CM1116">
        <v>2</v>
      </c>
      <c r="CN1116">
        <v>0</v>
      </c>
      <c r="CO1116">
        <v>7</v>
      </c>
      <c r="CP1116" t="s">
        <v>119</v>
      </c>
      <c r="CQ1116">
        <v>364</v>
      </c>
      <c r="CR1116">
        <v>0</v>
      </c>
      <c r="CW1116">
        <v>1406772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1</v>
      </c>
      <c r="DH1116">
        <v>0</v>
      </c>
      <c r="DI1116">
        <v>0</v>
      </c>
    </row>
    <row r="1117" spans="1:113" x14ac:dyDescent="0.3">
      <c r="A1117" t="str">
        <f>"03/24/2022 22:14:09.514"</f>
        <v>03/24/2022 22:14:09.514</v>
      </c>
      <c r="C1117" t="str">
        <f t="shared" si="333"/>
        <v>FFDFD3C0</v>
      </c>
      <c r="D1117" t="s">
        <v>123</v>
      </c>
      <c r="E1117">
        <v>8</v>
      </c>
      <c r="H1117">
        <v>31</v>
      </c>
      <c r="I1117" t="s">
        <v>124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S1117" t="str">
        <f t="shared" si="336"/>
        <v>22:14:09.000</v>
      </c>
      <c r="T1117" t="str">
        <f t="shared" si="336"/>
        <v>22:14:09.000</v>
      </c>
      <c r="U1117" t="str">
        <f t="shared" si="327"/>
        <v>A9D71F</v>
      </c>
      <c r="V1117">
        <v>0</v>
      </c>
      <c r="W1117">
        <v>0</v>
      </c>
      <c r="X1117">
        <v>2</v>
      </c>
      <c r="Z1117">
        <v>1</v>
      </c>
      <c r="AA1117">
        <v>6</v>
      </c>
      <c r="AB1117">
        <v>3</v>
      </c>
      <c r="AC1117">
        <v>0</v>
      </c>
      <c r="AD1117">
        <v>9</v>
      </c>
      <c r="AE1117">
        <v>0</v>
      </c>
      <c r="AF1117">
        <v>3</v>
      </c>
      <c r="AG1117">
        <v>1</v>
      </c>
      <c r="AH1117">
        <v>0</v>
      </c>
      <c r="AI1117" t="s">
        <v>606</v>
      </c>
      <c r="AJ1117">
        <v>33.136395999999998</v>
      </c>
      <c r="AK1117" t="s">
        <v>607</v>
      </c>
      <c r="AL1117">
        <v>-97.711693999999994</v>
      </c>
      <c r="AM1117">
        <v>25</v>
      </c>
      <c r="AN1117">
        <v>3500</v>
      </c>
      <c r="AO1117" t="s">
        <v>118</v>
      </c>
      <c r="AP1117">
        <v>49</v>
      </c>
      <c r="AQ1117">
        <v>-98</v>
      </c>
      <c r="AR1117">
        <v>-512</v>
      </c>
      <c r="AZ1117">
        <v>1200</v>
      </c>
      <c r="BA1117">
        <v>1</v>
      </c>
      <c r="BB1117" t="str">
        <f t="shared" si="334"/>
        <v xml:space="preserve">N733KP  </v>
      </c>
      <c r="BC1117">
        <v>1</v>
      </c>
      <c r="BE1117">
        <v>0</v>
      </c>
      <c r="BF1117">
        <v>0</v>
      </c>
      <c r="BG1117">
        <v>0</v>
      </c>
      <c r="BH1117">
        <v>3525</v>
      </c>
      <c r="BI1117">
        <v>1</v>
      </c>
      <c r="BJ1117">
        <v>1</v>
      </c>
      <c r="BK1117">
        <v>0</v>
      </c>
      <c r="BL1117">
        <v>0</v>
      </c>
      <c r="BO1117">
        <v>0</v>
      </c>
      <c r="BP1117">
        <v>0</v>
      </c>
      <c r="BW1117" t="str">
        <f>"22:14:09.286"</f>
        <v>22:14:09.286</v>
      </c>
      <c r="CJ1117">
        <v>0</v>
      </c>
      <c r="CK1117">
        <v>1</v>
      </c>
      <c r="CL1117">
        <v>2</v>
      </c>
      <c r="CM1117">
        <v>2</v>
      </c>
      <c r="CN1117">
        <v>0</v>
      </c>
      <c r="CO1117">
        <v>7</v>
      </c>
      <c r="CP1117" t="s">
        <v>119</v>
      </c>
      <c r="CQ1117">
        <v>364</v>
      </c>
      <c r="CR1117">
        <v>0</v>
      </c>
      <c r="CW1117">
        <v>1406772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1</v>
      </c>
      <c r="DH1117">
        <v>0</v>
      </c>
      <c r="DI1117">
        <v>0</v>
      </c>
    </row>
    <row r="1118" spans="1:113" x14ac:dyDescent="0.3">
      <c r="A1118" t="str">
        <f>"03/24/2022 22:14:09.514"</f>
        <v>03/24/2022 22:14:09.514</v>
      </c>
      <c r="C1118" t="str">
        <f t="shared" si="333"/>
        <v>FFDFD3C0</v>
      </c>
      <c r="D1118" t="s">
        <v>120</v>
      </c>
      <c r="E1118">
        <v>14</v>
      </c>
      <c r="F1118">
        <v>1014</v>
      </c>
      <c r="G1118" t="s">
        <v>121</v>
      </c>
      <c r="J1118" t="s">
        <v>122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S1118" t="str">
        <f t="shared" si="336"/>
        <v>22:14:09.000</v>
      </c>
      <c r="T1118" t="str">
        <f t="shared" si="336"/>
        <v>22:14:09.000</v>
      </c>
      <c r="U1118" t="str">
        <f t="shared" si="327"/>
        <v>A9D71F</v>
      </c>
      <c r="V1118">
        <v>0</v>
      </c>
      <c r="W1118">
        <v>0</v>
      </c>
      <c r="X1118">
        <v>2</v>
      </c>
      <c r="Z1118">
        <v>1</v>
      </c>
      <c r="AA1118">
        <v>6</v>
      </c>
      <c r="AB1118">
        <v>3</v>
      </c>
      <c r="AC1118">
        <v>0</v>
      </c>
      <c r="AD1118">
        <v>9</v>
      </c>
      <c r="AE1118">
        <v>0</v>
      </c>
      <c r="AF1118">
        <v>3</v>
      </c>
      <c r="AG1118">
        <v>1</v>
      </c>
      <c r="AH1118">
        <v>0</v>
      </c>
      <c r="AI1118" t="s">
        <v>606</v>
      </c>
      <c r="AJ1118">
        <v>33.136395999999998</v>
      </c>
      <c r="AK1118" t="s">
        <v>607</v>
      </c>
      <c r="AL1118">
        <v>-97.711693999999994</v>
      </c>
      <c r="AM1118">
        <v>25</v>
      </c>
      <c r="AN1118">
        <v>3500</v>
      </c>
      <c r="AO1118" t="s">
        <v>118</v>
      </c>
      <c r="AP1118">
        <v>49</v>
      </c>
      <c r="AQ1118">
        <v>-98</v>
      </c>
      <c r="AR1118">
        <v>-512</v>
      </c>
      <c r="AZ1118">
        <v>1200</v>
      </c>
      <c r="BA1118">
        <v>1</v>
      </c>
      <c r="BB1118" t="str">
        <f t="shared" si="334"/>
        <v xml:space="preserve">N733KP  </v>
      </c>
      <c r="BC1118">
        <v>1</v>
      </c>
      <c r="BE1118">
        <v>0</v>
      </c>
      <c r="BF1118">
        <v>0</v>
      </c>
      <c r="BG1118">
        <v>0</v>
      </c>
      <c r="BH1118">
        <v>3525</v>
      </c>
      <c r="BI1118">
        <v>1</v>
      </c>
      <c r="BJ1118">
        <v>1</v>
      </c>
      <c r="BK1118">
        <v>0</v>
      </c>
      <c r="BL1118">
        <v>0</v>
      </c>
      <c r="BO1118">
        <v>0</v>
      </c>
      <c r="BP1118">
        <v>0</v>
      </c>
      <c r="BW1118" t="str">
        <f>"22:14:09.286"</f>
        <v>22:14:09.286</v>
      </c>
      <c r="CJ1118">
        <v>0</v>
      </c>
      <c r="CK1118">
        <v>1</v>
      </c>
      <c r="CL1118">
        <v>2</v>
      </c>
      <c r="CM1118">
        <v>2</v>
      </c>
      <c r="CN1118">
        <v>0</v>
      </c>
      <c r="CO1118">
        <v>7</v>
      </c>
      <c r="CP1118" t="s">
        <v>119</v>
      </c>
      <c r="CQ1118">
        <v>364</v>
      </c>
      <c r="CR1118">
        <v>0</v>
      </c>
      <c r="CW1118">
        <v>1406772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1</v>
      </c>
      <c r="DH1118">
        <v>0</v>
      </c>
      <c r="DI1118">
        <v>0</v>
      </c>
    </row>
    <row r="1119" spans="1:113" x14ac:dyDescent="0.3">
      <c r="A1119" t="str">
        <f>"03/24/2022 22:14:10.483"</f>
        <v>03/24/2022 22:14:10.483</v>
      </c>
      <c r="C1119" t="str">
        <f t="shared" si="333"/>
        <v>FFDFD3C0</v>
      </c>
      <c r="D1119" t="s">
        <v>126</v>
      </c>
      <c r="E1119">
        <v>3</v>
      </c>
      <c r="H1119">
        <v>160</v>
      </c>
      <c r="I1119" t="s">
        <v>121</v>
      </c>
      <c r="J1119" t="s">
        <v>127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S1119" t="str">
        <f t="shared" ref="S1119:T1122" si="337">"22:14:10.000"</f>
        <v>22:14:10.000</v>
      </c>
      <c r="T1119" t="str">
        <f t="shared" si="337"/>
        <v>22:14:10.000</v>
      </c>
      <c r="U1119" t="str">
        <f t="shared" si="327"/>
        <v>A9D71F</v>
      </c>
      <c r="V1119">
        <v>0</v>
      </c>
      <c r="W1119">
        <v>0</v>
      </c>
      <c r="X1119">
        <v>2</v>
      </c>
      <c r="Z1119">
        <v>1</v>
      </c>
      <c r="AA1119">
        <v>6</v>
      </c>
      <c r="AB1119">
        <v>3</v>
      </c>
      <c r="AC1119">
        <v>0</v>
      </c>
      <c r="AD1119">
        <v>9</v>
      </c>
      <c r="AE1119">
        <v>0</v>
      </c>
      <c r="AF1119">
        <v>3</v>
      </c>
      <c r="AG1119">
        <v>1</v>
      </c>
      <c r="AH1119">
        <v>0</v>
      </c>
      <c r="AI1119" t="s">
        <v>608</v>
      </c>
      <c r="AJ1119">
        <v>33.135924000000003</v>
      </c>
      <c r="AK1119" t="s">
        <v>609</v>
      </c>
      <c r="AL1119">
        <v>-97.711393999999999</v>
      </c>
      <c r="AM1119">
        <v>25</v>
      </c>
      <c r="AN1119">
        <v>3500</v>
      </c>
      <c r="AO1119" t="s">
        <v>118</v>
      </c>
      <c r="AP1119">
        <v>47</v>
      </c>
      <c r="AQ1119">
        <v>-98</v>
      </c>
      <c r="AR1119">
        <v>-384</v>
      </c>
      <c r="AZ1119">
        <v>1200</v>
      </c>
      <c r="BA1119">
        <v>1</v>
      </c>
      <c r="BB1119" t="str">
        <f t="shared" si="334"/>
        <v xml:space="preserve">N733KP  </v>
      </c>
      <c r="BC1119">
        <v>1</v>
      </c>
      <c r="BE1119">
        <v>0</v>
      </c>
      <c r="BF1119">
        <v>0</v>
      </c>
      <c r="BG1119">
        <v>0</v>
      </c>
      <c r="BH1119">
        <v>3500</v>
      </c>
      <c r="BI1119">
        <v>1</v>
      </c>
      <c r="BJ1119">
        <v>1</v>
      </c>
      <c r="BK1119">
        <v>0</v>
      </c>
      <c r="BL1119">
        <v>0</v>
      </c>
      <c r="BO1119">
        <v>0</v>
      </c>
      <c r="BP1119">
        <v>0</v>
      </c>
      <c r="BW1119" t="str">
        <f>"22:14:10.300"</f>
        <v>22:14:10.300</v>
      </c>
      <c r="CJ1119">
        <v>0</v>
      </c>
      <c r="CK1119">
        <v>1</v>
      </c>
      <c r="CL1119">
        <v>2</v>
      </c>
      <c r="CM1119">
        <v>2</v>
      </c>
      <c r="CN1119">
        <v>0</v>
      </c>
      <c r="CO1119">
        <v>6</v>
      </c>
      <c r="CP1119" t="s">
        <v>119</v>
      </c>
      <c r="CQ1119">
        <v>364</v>
      </c>
      <c r="CR1119">
        <v>0</v>
      </c>
      <c r="CW1119">
        <v>1406915</v>
      </c>
      <c r="CY1119">
        <v>1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1</v>
      </c>
      <c r="DH1119">
        <v>0</v>
      </c>
      <c r="DI1119">
        <v>0</v>
      </c>
    </row>
    <row r="1120" spans="1:113" x14ac:dyDescent="0.3">
      <c r="A1120" t="str">
        <f>"03/24/2022 22:14:10.483"</f>
        <v>03/24/2022 22:14:10.483</v>
      </c>
      <c r="C1120" t="str">
        <f t="shared" si="333"/>
        <v>FFDFD3C0</v>
      </c>
      <c r="D1120" t="s">
        <v>123</v>
      </c>
      <c r="E1120">
        <v>8</v>
      </c>
      <c r="H1120">
        <v>31</v>
      </c>
      <c r="I1120" t="s">
        <v>124</v>
      </c>
      <c r="J1120" t="s">
        <v>125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S1120" t="str">
        <f t="shared" si="337"/>
        <v>22:14:10.000</v>
      </c>
      <c r="T1120" t="str">
        <f t="shared" si="337"/>
        <v>22:14:10.000</v>
      </c>
      <c r="U1120" t="str">
        <f t="shared" si="327"/>
        <v>A9D71F</v>
      </c>
      <c r="V1120">
        <v>0</v>
      </c>
      <c r="W1120">
        <v>0</v>
      </c>
      <c r="X1120">
        <v>2</v>
      </c>
      <c r="Z1120">
        <v>1</v>
      </c>
      <c r="AA1120">
        <v>6</v>
      </c>
      <c r="AB1120">
        <v>3</v>
      </c>
      <c r="AC1120">
        <v>0</v>
      </c>
      <c r="AD1120">
        <v>9</v>
      </c>
      <c r="AE1120">
        <v>0</v>
      </c>
      <c r="AF1120">
        <v>3</v>
      </c>
      <c r="AG1120">
        <v>1</v>
      </c>
      <c r="AH1120">
        <v>0</v>
      </c>
      <c r="AI1120" t="s">
        <v>608</v>
      </c>
      <c r="AJ1120">
        <v>33.135924000000003</v>
      </c>
      <c r="AK1120" t="s">
        <v>609</v>
      </c>
      <c r="AL1120">
        <v>-97.711393999999999</v>
      </c>
      <c r="AM1120">
        <v>25</v>
      </c>
      <c r="AN1120">
        <v>3500</v>
      </c>
      <c r="AO1120" t="s">
        <v>118</v>
      </c>
      <c r="AP1120">
        <v>47</v>
      </c>
      <c r="AQ1120">
        <v>-98</v>
      </c>
      <c r="AR1120">
        <v>-384</v>
      </c>
      <c r="AZ1120">
        <v>1200</v>
      </c>
      <c r="BA1120">
        <v>1</v>
      </c>
      <c r="BB1120" t="str">
        <f t="shared" si="334"/>
        <v xml:space="preserve">N733KP  </v>
      </c>
      <c r="BC1120">
        <v>1</v>
      </c>
      <c r="BE1120">
        <v>0</v>
      </c>
      <c r="BF1120">
        <v>0</v>
      </c>
      <c r="BG1120">
        <v>0</v>
      </c>
      <c r="BH1120">
        <v>3500</v>
      </c>
      <c r="BI1120">
        <v>1</v>
      </c>
      <c r="BJ1120">
        <v>1</v>
      </c>
      <c r="BK1120">
        <v>0</v>
      </c>
      <c r="BL1120">
        <v>0</v>
      </c>
      <c r="BO1120">
        <v>0</v>
      </c>
      <c r="BP1120">
        <v>0</v>
      </c>
      <c r="BW1120" t="str">
        <f>"22:14:10.300"</f>
        <v>22:14:10.300</v>
      </c>
      <c r="CJ1120">
        <v>0</v>
      </c>
      <c r="CK1120">
        <v>1</v>
      </c>
      <c r="CL1120">
        <v>2</v>
      </c>
      <c r="CM1120">
        <v>2</v>
      </c>
      <c r="CN1120">
        <v>0</v>
      </c>
      <c r="CO1120">
        <v>6</v>
      </c>
      <c r="CP1120" t="s">
        <v>119</v>
      </c>
      <c r="CQ1120">
        <v>364</v>
      </c>
      <c r="CR1120">
        <v>0</v>
      </c>
      <c r="CW1120">
        <v>1406915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1</v>
      </c>
      <c r="DH1120">
        <v>0</v>
      </c>
      <c r="DI1120">
        <v>0</v>
      </c>
    </row>
    <row r="1121" spans="1:113" x14ac:dyDescent="0.3">
      <c r="A1121" t="str">
        <f>"03/24/2022 22:14:10.483"</f>
        <v>03/24/2022 22:14:10.483</v>
      </c>
      <c r="C1121" t="str">
        <f t="shared" si="333"/>
        <v>FFDFD3C0</v>
      </c>
      <c r="D1121" t="s">
        <v>120</v>
      </c>
      <c r="E1121">
        <v>14</v>
      </c>
      <c r="F1121">
        <v>1014</v>
      </c>
      <c r="G1121" t="s">
        <v>121</v>
      </c>
      <c r="J1121" t="s">
        <v>122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S1121" t="str">
        <f t="shared" si="337"/>
        <v>22:14:10.000</v>
      </c>
      <c r="T1121" t="str">
        <f t="shared" si="337"/>
        <v>22:14:10.000</v>
      </c>
      <c r="U1121" t="str">
        <f t="shared" si="327"/>
        <v>A9D71F</v>
      </c>
      <c r="V1121">
        <v>0</v>
      </c>
      <c r="W1121">
        <v>0</v>
      </c>
      <c r="X1121">
        <v>2</v>
      </c>
      <c r="Z1121">
        <v>1</v>
      </c>
      <c r="AA1121">
        <v>6</v>
      </c>
      <c r="AB1121">
        <v>3</v>
      </c>
      <c r="AC1121">
        <v>0</v>
      </c>
      <c r="AD1121">
        <v>9</v>
      </c>
      <c r="AE1121">
        <v>0</v>
      </c>
      <c r="AF1121">
        <v>3</v>
      </c>
      <c r="AG1121">
        <v>1</v>
      </c>
      <c r="AH1121">
        <v>0</v>
      </c>
      <c r="AI1121" t="s">
        <v>608</v>
      </c>
      <c r="AJ1121">
        <v>33.135924000000003</v>
      </c>
      <c r="AK1121" t="s">
        <v>609</v>
      </c>
      <c r="AL1121">
        <v>-97.711393999999999</v>
      </c>
      <c r="AM1121">
        <v>25</v>
      </c>
      <c r="AN1121">
        <v>3500</v>
      </c>
      <c r="AO1121" t="s">
        <v>118</v>
      </c>
      <c r="AP1121">
        <v>47</v>
      </c>
      <c r="AQ1121">
        <v>-98</v>
      </c>
      <c r="AR1121">
        <v>-384</v>
      </c>
      <c r="AZ1121">
        <v>1200</v>
      </c>
      <c r="BA1121">
        <v>1</v>
      </c>
      <c r="BB1121" t="str">
        <f t="shared" si="334"/>
        <v xml:space="preserve">N733KP  </v>
      </c>
      <c r="BC1121">
        <v>1</v>
      </c>
      <c r="BE1121">
        <v>0</v>
      </c>
      <c r="BF1121">
        <v>0</v>
      </c>
      <c r="BG1121">
        <v>0</v>
      </c>
      <c r="BH1121">
        <v>3500</v>
      </c>
      <c r="BI1121">
        <v>1</v>
      </c>
      <c r="BJ1121">
        <v>1</v>
      </c>
      <c r="BK1121">
        <v>0</v>
      </c>
      <c r="BL1121">
        <v>0</v>
      </c>
      <c r="BO1121">
        <v>0</v>
      </c>
      <c r="BP1121">
        <v>0</v>
      </c>
      <c r="BW1121" t="str">
        <f>"22:14:10.300"</f>
        <v>22:14:10.300</v>
      </c>
      <c r="CJ1121">
        <v>0</v>
      </c>
      <c r="CK1121">
        <v>1</v>
      </c>
      <c r="CL1121">
        <v>2</v>
      </c>
      <c r="CM1121">
        <v>2</v>
      </c>
      <c r="CN1121">
        <v>0</v>
      </c>
      <c r="CO1121">
        <v>6</v>
      </c>
      <c r="CP1121" t="s">
        <v>119</v>
      </c>
      <c r="CQ1121">
        <v>364</v>
      </c>
      <c r="CR1121">
        <v>0</v>
      </c>
      <c r="CW1121">
        <v>1406915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1</v>
      </c>
      <c r="DH1121">
        <v>0</v>
      </c>
      <c r="DI1121">
        <v>0</v>
      </c>
    </row>
    <row r="1122" spans="1:113" x14ac:dyDescent="0.3">
      <c r="A1122" t="str">
        <f>"03/24/2022 22:14:10.514"</f>
        <v>03/24/2022 22:14:10.514</v>
      </c>
      <c r="C1122" t="str">
        <f t="shared" si="333"/>
        <v>FFDFD3C0</v>
      </c>
      <c r="D1122" t="s">
        <v>113</v>
      </c>
      <c r="E1122">
        <v>24</v>
      </c>
      <c r="F1122">
        <v>2024</v>
      </c>
      <c r="G1122" t="s">
        <v>114</v>
      </c>
      <c r="J1122" t="s">
        <v>115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S1122" t="str">
        <f t="shared" si="337"/>
        <v>22:14:10.000</v>
      </c>
      <c r="T1122" t="str">
        <f t="shared" si="337"/>
        <v>22:14:10.000</v>
      </c>
      <c r="U1122" t="str">
        <f t="shared" si="327"/>
        <v>A9D71F</v>
      </c>
      <c r="V1122">
        <v>0</v>
      </c>
      <c r="W1122">
        <v>0</v>
      </c>
      <c r="X1122">
        <v>2</v>
      </c>
      <c r="Z1122">
        <v>1</v>
      </c>
      <c r="AA1122">
        <v>6</v>
      </c>
      <c r="AB1122">
        <v>3</v>
      </c>
      <c r="AC1122">
        <v>0</v>
      </c>
      <c r="AD1122">
        <v>9</v>
      </c>
      <c r="AE1122">
        <v>0</v>
      </c>
      <c r="AF1122">
        <v>3</v>
      </c>
      <c r="AG1122">
        <v>1</v>
      </c>
      <c r="AH1122">
        <v>0</v>
      </c>
      <c r="AI1122" t="s">
        <v>608</v>
      </c>
      <c r="AJ1122">
        <v>33.135924000000003</v>
      </c>
      <c r="AK1122" t="s">
        <v>609</v>
      </c>
      <c r="AL1122">
        <v>-97.711393999999999</v>
      </c>
      <c r="AM1122">
        <v>25</v>
      </c>
      <c r="AN1122">
        <v>3500</v>
      </c>
      <c r="AO1122" t="s">
        <v>118</v>
      </c>
      <c r="AP1122">
        <v>47</v>
      </c>
      <c r="AQ1122">
        <v>-98</v>
      </c>
      <c r="AR1122">
        <v>-384</v>
      </c>
      <c r="AZ1122">
        <v>1200</v>
      </c>
      <c r="BA1122">
        <v>1</v>
      </c>
      <c r="BB1122" t="str">
        <f t="shared" si="334"/>
        <v xml:space="preserve">N733KP  </v>
      </c>
      <c r="BC1122">
        <v>1</v>
      </c>
      <c r="BE1122">
        <v>0</v>
      </c>
      <c r="BF1122">
        <v>0</v>
      </c>
      <c r="BG1122">
        <v>0</v>
      </c>
      <c r="BH1122">
        <v>3500</v>
      </c>
      <c r="BI1122">
        <v>1</v>
      </c>
      <c r="BJ1122">
        <v>1</v>
      </c>
      <c r="BK1122">
        <v>0</v>
      </c>
      <c r="BL1122">
        <v>0</v>
      </c>
      <c r="BO1122">
        <v>0</v>
      </c>
      <c r="BP1122">
        <v>0</v>
      </c>
      <c r="BW1122" t="str">
        <f>"22:14:10.300"</f>
        <v>22:14:10.300</v>
      </c>
      <c r="CJ1122">
        <v>0</v>
      </c>
      <c r="CK1122">
        <v>1</v>
      </c>
      <c r="CL1122">
        <v>2</v>
      </c>
      <c r="CM1122">
        <v>2</v>
      </c>
      <c r="CN1122">
        <v>0</v>
      </c>
      <c r="CO1122">
        <v>6</v>
      </c>
      <c r="CP1122" t="s">
        <v>119</v>
      </c>
      <c r="CQ1122">
        <v>364</v>
      </c>
      <c r="CR1122">
        <v>0</v>
      </c>
      <c r="CW1122">
        <v>1406915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1</v>
      </c>
      <c r="DH1122">
        <v>0</v>
      </c>
      <c r="DI1122">
        <v>0</v>
      </c>
    </row>
    <row r="1123" spans="1:113" x14ac:dyDescent="0.3">
      <c r="A1123" t="str">
        <f>"03/24/2022 22:14:12.159"</f>
        <v>03/24/2022 22:14:12.159</v>
      </c>
      <c r="C1123" t="str">
        <f t="shared" si="333"/>
        <v>FFDFD3C0</v>
      </c>
      <c r="D1123" t="s">
        <v>113</v>
      </c>
      <c r="E1123">
        <v>24</v>
      </c>
      <c r="F1123">
        <v>2024</v>
      </c>
      <c r="G1123" t="s">
        <v>114</v>
      </c>
      <c r="J1123" t="s">
        <v>115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S1123" t="str">
        <f t="shared" ref="S1123:T1126" si="338">"22:14:11.000"</f>
        <v>22:14:11.000</v>
      </c>
      <c r="T1123" t="str">
        <f t="shared" si="338"/>
        <v>22:14:11.000</v>
      </c>
      <c r="U1123" t="str">
        <f t="shared" si="327"/>
        <v>A9D71F</v>
      </c>
      <c r="V1123">
        <v>0</v>
      </c>
      <c r="W1123">
        <v>0</v>
      </c>
      <c r="X1123">
        <v>2</v>
      </c>
      <c r="Z1123">
        <v>1</v>
      </c>
      <c r="AA1123">
        <v>6</v>
      </c>
      <c r="AB1123">
        <v>3</v>
      </c>
      <c r="AC1123">
        <v>0</v>
      </c>
      <c r="AD1123">
        <v>9</v>
      </c>
      <c r="AE1123">
        <v>0</v>
      </c>
      <c r="AF1123">
        <v>3</v>
      </c>
      <c r="AG1123">
        <v>1</v>
      </c>
      <c r="AH1123">
        <v>0</v>
      </c>
      <c r="AI1123" t="s">
        <v>610</v>
      </c>
      <c r="AJ1123">
        <v>33.135474000000002</v>
      </c>
      <c r="AK1123" t="s">
        <v>611</v>
      </c>
      <c r="AL1123">
        <v>-97.711135999999996</v>
      </c>
      <c r="AM1123">
        <v>25</v>
      </c>
      <c r="AN1123">
        <v>3500</v>
      </c>
      <c r="AO1123" t="s">
        <v>118</v>
      </c>
      <c r="AP1123">
        <v>49</v>
      </c>
      <c r="AQ1123">
        <v>-99</v>
      </c>
      <c r="AR1123">
        <v>-256</v>
      </c>
      <c r="AZ1123">
        <v>1200</v>
      </c>
      <c r="BA1123">
        <v>1</v>
      </c>
      <c r="BB1123" t="str">
        <f t="shared" si="334"/>
        <v xml:space="preserve">N733KP  </v>
      </c>
      <c r="BC1123">
        <v>1</v>
      </c>
      <c r="BE1123">
        <v>0</v>
      </c>
      <c r="BF1123">
        <v>0</v>
      </c>
      <c r="BG1123">
        <v>0</v>
      </c>
      <c r="BH1123">
        <v>3500</v>
      </c>
      <c r="BI1123">
        <v>1</v>
      </c>
      <c r="BJ1123">
        <v>1</v>
      </c>
      <c r="BK1123">
        <v>0</v>
      </c>
      <c r="BL1123">
        <v>0</v>
      </c>
      <c r="BO1123">
        <v>0</v>
      </c>
      <c r="BP1123">
        <v>0</v>
      </c>
      <c r="BW1123" t="str">
        <f>"22:14:11.970"</f>
        <v>22:14:11.970</v>
      </c>
      <c r="CJ1123">
        <v>0</v>
      </c>
      <c r="CK1123">
        <v>1</v>
      </c>
      <c r="CL1123">
        <v>2</v>
      </c>
      <c r="CM1123">
        <v>2</v>
      </c>
      <c r="CN1123">
        <v>0</v>
      </c>
      <c r="CO1123">
        <v>3</v>
      </c>
      <c r="CP1123" t="s">
        <v>119</v>
      </c>
      <c r="CQ1123">
        <v>439</v>
      </c>
      <c r="CR1123">
        <v>0</v>
      </c>
      <c r="CW1123">
        <v>11500817</v>
      </c>
      <c r="CY1123">
        <v>1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1</v>
      </c>
      <c r="DH1123">
        <v>0</v>
      </c>
      <c r="DI1123">
        <v>0</v>
      </c>
    </row>
    <row r="1124" spans="1:113" x14ac:dyDescent="0.3">
      <c r="A1124" t="str">
        <f>"03/24/2022 22:14:12.159"</f>
        <v>03/24/2022 22:14:12.159</v>
      </c>
      <c r="C1124" t="str">
        <f t="shared" si="333"/>
        <v>FFDFD3C0</v>
      </c>
      <c r="D1124" t="s">
        <v>126</v>
      </c>
      <c r="E1124">
        <v>3</v>
      </c>
      <c r="H1124">
        <v>160</v>
      </c>
      <c r="I1124" t="s">
        <v>121</v>
      </c>
      <c r="J1124" t="s">
        <v>127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S1124" t="str">
        <f t="shared" si="338"/>
        <v>22:14:11.000</v>
      </c>
      <c r="T1124" t="str">
        <f t="shared" si="338"/>
        <v>22:14:11.000</v>
      </c>
      <c r="U1124" t="str">
        <f t="shared" si="327"/>
        <v>A9D71F</v>
      </c>
      <c r="V1124">
        <v>0</v>
      </c>
      <c r="W1124">
        <v>0</v>
      </c>
      <c r="X1124">
        <v>2</v>
      </c>
      <c r="Z1124">
        <v>1</v>
      </c>
      <c r="AA1124">
        <v>6</v>
      </c>
      <c r="AB1124">
        <v>3</v>
      </c>
      <c r="AC1124">
        <v>0</v>
      </c>
      <c r="AD1124">
        <v>9</v>
      </c>
      <c r="AE1124">
        <v>0</v>
      </c>
      <c r="AF1124">
        <v>3</v>
      </c>
      <c r="AG1124">
        <v>1</v>
      </c>
      <c r="AH1124">
        <v>0</v>
      </c>
      <c r="AI1124" t="s">
        <v>610</v>
      </c>
      <c r="AJ1124">
        <v>33.135474000000002</v>
      </c>
      <c r="AK1124" t="s">
        <v>611</v>
      </c>
      <c r="AL1124">
        <v>-97.711135999999996</v>
      </c>
      <c r="AM1124">
        <v>25</v>
      </c>
      <c r="AN1124">
        <v>3500</v>
      </c>
      <c r="AO1124" t="s">
        <v>118</v>
      </c>
      <c r="AP1124">
        <v>49</v>
      </c>
      <c r="AQ1124">
        <v>-99</v>
      </c>
      <c r="AR1124">
        <v>-256</v>
      </c>
      <c r="AZ1124">
        <v>1200</v>
      </c>
      <c r="BA1124">
        <v>1</v>
      </c>
      <c r="BB1124" t="str">
        <f t="shared" si="334"/>
        <v xml:space="preserve">N733KP  </v>
      </c>
      <c r="BC1124">
        <v>1</v>
      </c>
      <c r="BE1124">
        <v>0</v>
      </c>
      <c r="BF1124">
        <v>0</v>
      </c>
      <c r="BG1124">
        <v>0</v>
      </c>
      <c r="BH1124">
        <v>3500</v>
      </c>
      <c r="BI1124">
        <v>1</v>
      </c>
      <c r="BJ1124">
        <v>1</v>
      </c>
      <c r="BK1124">
        <v>0</v>
      </c>
      <c r="BL1124">
        <v>0</v>
      </c>
      <c r="BO1124">
        <v>0</v>
      </c>
      <c r="BP1124">
        <v>0</v>
      </c>
      <c r="BW1124" t="str">
        <f>"22:14:11.970"</f>
        <v>22:14:11.970</v>
      </c>
      <c r="CJ1124">
        <v>0</v>
      </c>
      <c r="CK1124">
        <v>1</v>
      </c>
      <c r="CL1124">
        <v>2</v>
      </c>
      <c r="CM1124">
        <v>2</v>
      </c>
      <c r="CN1124">
        <v>0</v>
      </c>
      <c r="CO1124">
        <v>3</v>
      </c>
      <c r="CP1124" t="s">
        <v>119</v>
      </c>
      <c r="CQ1124">
        <v>439</v>
      </c>
      <c r="CR1124">
        <v>0</v>
      </c>
      <c r="CW1124">
        <v>11500817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1</v>
      </c>
      <c r="DH1124">
        <v>0</v>
      </c>
      <c r="DI1124">
        <v>0</v>
      </c>
    </row>
    <row r="1125" spans="1:113" x14ac:dyDescent="0.3">
      <c r="A1125" t="str">
        <f>"03/24/2022 22:14:12.159"</f>
        <v>03/24/2022 22:14:12.159</v>
      </c>
      <c r="C1125" t="str">
        <f t="shared" si="333"/>
        <v>FFDFD3C0</v>
      </c>
      <c r="D1125" t="s">
        <v>123</v>
      </c>
      <c r="E1125">
        <v>8</v>
      </c>
      <c r="H1125">
        <v>31</v>
      </c>
      <c r="I1125" t="s">
        <v>124</v>
      </c>
      <c r="J1125" t="s">
        <v>125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S1125" t="str">
        <f t="shared" si="338"/>
        <v>22:14:11.000</v>
      </c>
      <c r="T1125" t="str">
        <f t="shared" si="338"/>
        <v>22:14:11.000</v>
      </c>
      <c r="U1125" t="str">
        <f t="shared" si="327"/>
        <v>A9D71F</v>
      </c>
      <c r="V1125">
        <v>0</v>
      </c>
      <c r="W1125">
        <v>0</v>
      </c>
      <c r="X1125">
        <v>2</v>
      </c>
      <c r="Z1125">
        <v>1</v>
      </c>
      <c r="AA1125">
        <v>6</v>
      </c>
      <c r="AB1125">
        <v>3</v>
      </c>
      <c r="AC1125">
        <v>0</v>
      </c>
      <c r="AD1125">
        <v>9</v>
      </c>
      <c r="AE1125">
        <v>0</v>
      </c>
      <c r="AF1125">
        <v>3</v>
      </c>
      <c r="AG1125">
        <v>1</v>
      </c>
      <c r="AH1125">
        <v>0</v>
      </c>
      <c r="AI1125" t="s">
        <v>610</v>
      </c>
      <c r="AJ1125">
        <v>33.135474000000002</v>
      </c>
      <c r="AK1125" t="s">
        <v>611</v>
      </c>
      <c r="AL1125">
        <v>-97.711135999999996</v>
      </c>
      <c r="AM1125">
        <v>25</v>
      </c>
      <c r="AN1125">
        <v>3500</v>
      </c>
      <c r="AO1125" t="s">
        <v>118</v>
      </c>
      <c r="AP1125">
        <v>49</v>
      </c>
      <c r="AQ1125">
        <v>-99</v>
      </c>
      <c r="AR1125">
        <v>-256</v>
      </c>
      <c r="AZ1125">
        <v>1200</v>
      </c>
      <c r="BA1125">
        <v>1</v>
      </c>
      <c r="BB1125" t="str">
        <f t="shared" si="334"/>
        <v xml:space="preserve">N733KP  </v>
      </c>
      <c r="BC1125">
        <v>1</v>
      </c>
      <c r="BE1125">
        <v>0</v>
      </c>
      <c r="BF1125">
        <v>0</v>
      </c>
      <c r="BG1125">
        <v>0</v>
      </c>
      <c r="BH1125">
        <v>3500</v>
      </c>
      <c r="BI1125">
        <v>1</v>
      </c>
      <c r="BJ1125">
        <v>1</v>
      </c>
      <c r="BK1125">
        <v>0</v>
      </c>
      <c r="BL1125">
        <v>0</v>
      </c>
      <c r="BO1125">
        <v>0</v>
      </c>
      <c r="BP1125">
        <v>0</v>
      </c>
      <c r="BW1125" t="str">
        <f>"22:14:11.971"</f>
        <v>22:14:11.971</v>
      </c>
      <c r="CJ1125">
        <v>0</v>
      </c>
      <c r="CK1125">
        <v>1</v>
      </c>
      <c r="CL1125">
        <v>2</v>
      </c>
      <c r="CM1125">
        <v>2</v>
      </c>
      <c r="CN1125">
        <v>0</v>
      </c>
      <c r="CO1125">
        <v>3</v>
      </c>
      <c r="CP1125" t="s">
        <v>119</v>
      </c>
      <c r="CQ1125">
        <v>365</v>
      </c>
      <c r="CR1125">
        <v>0</v>
      </c>
      <c r="CW1125">
        <v>11456407</v>
      </c>
      <c r="CY1125">
        <v>1</v>
      </c>
      <c r="CZ1125">
        <v>0</v>
      </c>
      <c r="DA1125">
        <v>1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1</v>
      </c>
      <c r="DH1125">
        <v>0</v>
      </c>
      <c r="DI1125">
        <v>0</v>
      </c>
    </row>
    <row r="1126" spans="1:113" x14ac:dyDescent="0.3">
      <c r="A1126" t="str">
        <f>"03/24/2022 22:14:12.159"</f>
        <v>03/24/2022 22:14:12.159</v>
      </c>
      <c r="C1126" t="str">
        <f t="shared" si="333"/>
        <v>FFDFD3C0</v>
      </c>
      <c r="D1126" t="s">
        <v>120</v>
      </c>
      <c r="E1126">
        <v>14</v>
      </c>
      <c r="F1126">
        <v>1014</v>
      </c>
      <c r="G1126" t="s">
        <v>121</v>
      </c>
      <c r="J1126" t="s">
        <v>122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S1126" t="str">
        <f t="shared" si="338"/>
        <v>22:14:11.000</v>
      </c>
      <c r="T1126" t="str">
        <f t="shared" si="338"/>
        <v>22:14:11.000</v>
      </c>
      <c r="U1126" t="str">
        <f t="shared" si="327"/>
        <v>A9D71F</v>
      </c>
      <c r="V1126">
        <v>0</v>
      </c>
      <c r="W1126">
        <v>0</v>
      </c>
      <c r="X1126">
        <v>2</v>
      </c>
      <c r="Z1126">
        <v>1</v>
      </c>
      <c r="AA1126">
        <v>6</v>
      </c>
      <c r="AB1126">
        <v>3</v>
      </c>
      <c r="AC1126">
        <v>0</v>
      </c>
      <c r="AD1126">
        <v>9</v>
      </c>
      <c r="AE1126">
        <v>0</v>
      </c>
      <c r="AF1126">
        <v>3</v>
      </c>
      <c r="AG1126">
        <v>1</v>
      </c>
      <c r="AH1126">
        <v>0</v>
      </c>
      <c r="AI1126" t="s">
        <v>610</v>
      </c>
      <c r="AJ1126">
        <v>33.135474000000002</v>
      </c>
      <c r="AK1126" t="s">
        <v>611</v>
      </c>
      <c r="AL1126">
        <v>-97.711135999999996</v>
      </c>
      <c r="AM1126">
        <v>25</v>
      </c>
      <c r="AN1126">
        <v>3500</v>
      </c>
      <c r="AO1126" t="s">
        <v>118</v>
      </c>
      <c r="AP1126">
        <v>49</v>
      </c>
      <c r="AQ1126">
        <v>-99</v>
      </c>
      <c r="AR1126">
        <v>-256</v>
      </c>
      <c r="AZ1126">
        <v>1200</v>
      </c>
      <c r="BA1126">
        <v>1</v>
      </c>
      <c r="BB1126" t="str">
        <f t="shared" si="334"/>
        <v xml:space="preserve">N733KP  </v>
      </c>
      <c r="BC1126">
        <v>1</v>
      </c>
      <c r="BE1126">
        <v>0</v>
      </c>
      <c r="BF1126">
        <v>0</v>
      </c>
      <c r="BG1126">
        <v>0</v>
      </c>
      <c r="BH1126">
        <v>3500</v>
      </c>
      <c r="BI1126">
        <v>1</v>
      </c>
      <c r="BJ1126">
        <v>1</v>
      </c>
      <c r="BK1126">
        <v>0</v>
      </c>
      <c r="BL1126">
        <v>0</v>
      </c>
      <c r="BO1126">
        <v>0</v>
      </c>
      <c r="BP1126">
        <v>0</v>
      </c>
      <c r="BW1126" t="str">
        <f>"22:14:11.970"</f>
        <v>22:14:11.970</v>
      </c>
      <c r="CJ1126">
        <v>0</v>
      </c>
      <c r="CK1126">
        <v>1</v>
      </c>
      <c r="CL1126">
        <v>2</v>
      </c>
      <c r="CM1126">
        <v>2</v>
      </c>
      <c r="CN1126">
        <v>0</v>
      </c>
      <c r="CO1126">
        <v>3</v>
      </c>
      <c r="CP1126" t="s">
        <v>119</v>
      </c>
      <c r="CQ1126">
        <v>439</v>
      </c>
      <c r="CR1126">
        <v>0</v>
      </c>
      <c r="CW1126">
        <v>11500817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1</v>
      </c>
      <c r="DH1126">
        <v>0</v>
      </c>
      <c r="DI1126">
        <v>0</v>
      </c>
    </row>
    <row r="1127" spans="1:113" x14ac:dyDescent="0.3">
      <c r="A1127" t="str">
        <f>"03/24/2022 22:14:12.519"</f>
        <v>03/24/2022 22:14:12.519</v>
      </c>
      <c r="C1127" t="str">
        <f t="shared" si="333"/>
        <v>FFDFD3C0</v>
      </c>
      <c r="D1127" t="s">
        <v>113</v>
      </c>
      <c r="E1127">
        <v>24</v>
      </c>
      <c r="F1127">
        <v>2024</v>
      </c>
      <c r="G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S1127" t="str">
        <f t="shared" ref="S1127:T1130" si="339">"22:14:12.000"</f>
        <v>22:14:12.000</v>
      </c>
      <c r="T1127" t="str">
        <f t="shared" si="339"/>
        <v>22:14:12.000</v>
      </c>
      <c r="U1127" t="str">
        <f t="shared" si="327"/>
        <v>A9D71F</v>
      </c>
      <c r="V1127">
        <v>0</v>
      </c>
      <c r="W1127">
        <v>0</v>
      </c>
      <c r="X1127">
        <v>2</v>
      </c>
      <c r="Z1127">
        <v>1</v>
      </c>
      <c r="AA1127">
        <v>6</v>
      </c>
      <c r="AB1127">
        <v>3</v>
      </c>
      <c r="AC1127">
        <v>0</v>
      </c>
      <c r="AD1127">
        <v>9</v>
      </c>
      <c r="AE1127">
        <v>0</v>
      </c>
      <c r="AF1127">
        <v>3</v>
      </c>
      <c r="AG1127">
        <v>1</v>
      </c>
      <c r="AH1127">
        <v>0</v>
      </c>
      <c r="AI1127" t="s">
        <v>612</v>
      </c>
      <c r="AJ1127">
        <v>33.135002</v>
      </c>
      <c r="AK1127" t="s">
        <v>613</v>
      </c>
      <c r="AL1127">
        <v>-97.710857000000004</v>
      </c>
      <c r="AM1127">
        <v>25</v>
      </c>
      <c r="AN1127">
        <v>3500</v>
      </c>
      <c r="AO1127" t="s">
        <v>118</v>
      </c>
      <c r="AP1127">
        <v>48</v>
      </c>
      <c r="AQ1127">
        <v>-98</v>
      </c>
      <c r="AR1127">
        <v>-256</v>
      </c>
      <c r="AZ1127">
        <v>1200</v>
      </c>
      <c r="BA1127">
        <v>1</v>
      </c>
      <c r="BB1127" t="str">
        <f t="shared" si="334"/>
        <v xml:space="preserve">N733KP  </v>
      </c>
      <c r="BC1127">
        <v>1</v>
      </c>
      <c r="BE1127">
        <v>0</v>
      </c>
      <c r="BF1127">
        <v>0</v>
      </c>
      <c r="BG1127">
        <v>0</v>
      </c>
      <c r="BH1127">
        <v>3500</v>
      </c>
      <c r="BI1127">
        <v>1</v>
      </c>
      <c r="BJ1127">
        <v>1</v>
      </c>
      <c r="BK1127">
        <v>0</v>
      </c>
      <c r="BL1127">
        <v>0</v>
      </c>
      <c r="BO1127">
        <v>0</v>
      </c>
      <c r="BP1127">
        <v>0</v>
      </c>
      <c r="BW1127" t="str">
        <f>"22:14:12.373"</f>
        <v>22:14:12.373</v>
      </c>
      <c r="CJ1127">
        <v>0</v>
      </c>
      <c r="CK1127">
        <v>1</v>
      </c>
      <c r="CL1127">
        <v>2</v>
      </c>
      <c r="CM1127">
        <v>2</v>
      </c>
      <c r="CN1127">
        <v>0</v>
      </c>
      <c r="CO1127">
        <v>6</v>
      </c>
      <c r="CP1127" t="s">
        <v>119</v>
      </c>
      <c r="CQ1127">
        <v>364</v>
      </c>
      <c r="CR1127">
        <v>0</v>
      </c>
      <c r="CW1127">
        <v>1407235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1</v>
      </c>
      <c r="DH1127">
        <v>0</v>
      </c>
      <c r="DI1127">
        <v>0</v>
      </c>
    </row>
    <row r="1128" spans="1:113" x14ac:dyDescent="0.3">
      <c r="A1128" t="str">
        <f>"03/24/2022 22:14:12.534"</f>
        <v>03/24/2022 22:14:12.534</v>
      </c>
      <c r="C1128" t="str">
        <f t="shared" si="333"/>
        <v>FFDFD3C0</v>
      </c>
      <c r="D1128" t="s">
        <v>126</v>
      </c>
      <c r="E1128">
        <v>3</v>
      </c>
      <c r="H1128">
        <v>160</v>
      </c>
      <c r="I1128" t="s">
        <v>121</v>
      </c>
      <c r="J1128" t="s">
        <v>127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S1128" t="str">
        <f t="shared" si="339"/>
        <v>22:14:12.000</v>
      </c>
      <c r="T1128" t="str">
        <f t="shared" si="339"/>
        <v>22:14:12.000</v>
      </c>
      <c r="U1128" t="str">
        <f t="shared" si="327"/>
        <v>A9D71F</v>
      </c>
      <c r="V1128">
        <v>0</v>
      </c>
      <c r="W1128">
        <v>0</v>
      </c>
      <c r="X1128">
        <v>2</v>
      </c>
      <c r="Z1128">
        <v>1</v>
      </c>
      <c r="AA1128">
        <v>6</v>
      </c>
      <c r="AB1128">
        <v>3</v>
      </c>
      <c r="AC1128">
        <v>0</v>
      </c>
      <c r="AD1128">
        <v>9</v>
      </c>
      <c r="AE1128">
        <v>0</v>
      </c>
      <c r="AF1128">
        <v>3</v>
      </c>
      <c r="AG1128">
        <v>1</v>
      </c>
      <c r="AH1128">
        <v>0</v>
      </c>
      <c r="AI1128" t="s">
        <v>612</v>
      </c>
      <c r="AJ1128">
        <v>33.135002</v>
      </c>
      <c r="AK1128" t="s">
        <v>613</v>
      </c>
      <c r="AL1128">
        <v>-97.710857000000004</v>
      </c>
      <c r="AM1128">
        <v>25</v>
      </c>
      <c r="AN1128">
        <v>3500</v>
      </c>
      <c r="AO1128" t="s">
        <v>118</v>
      </c>
      <c r="AP1128">
        <v>48</v>
      </c>
      <c r="AQ1128">
        <v>-98</v>
      </c>
      <c r="AR1128">
        <v>-256</v>
      </c>
      <c r="AZ1128">
        <v>1200</v>
      </c>
      <c r="BA1128">
        <v>1</v>
      </c>
      <c r="BB1128" t="str">
        <f t="shared" si="334"/>
        <v xml:space="preserve">N733KP  </v>
      </c>
      <c r="BC1128">
        <v>1</v>
      </c>
      <c r="BE1128">
        <v>0</v>
      </c>
      <c r="BF1128">
        <v>0</v>
      </c>
      <c r="BG1128">
        <v>0</v>
      </c>
      <c r="BH1128">
        <v>3500</v>
      </c>
      <c r="BI1128">
        <v>1</v>
      </c>
      <c r="BJ1128">
        <v>1</v>
      </c>
      <c r="BK1128">
        <v>0</v>
      </c>
      <c r="BL1128">
        <v>0</v>
      </c>
      <c r="BO1128">
        <v>0</v>
      </c>
      <c r="BP1128">
        <v>0</v>
      </c>
      <c r="BW1128" t="str">
        <f>"22:14:12.373"</f>
        <v>22:14:12.373</v>
      </c>
      <c r="CJ1128">
        <v>0</v>
      </c>
      <c r="CK1128">
        <v>1</v>
      </c>
      <c r="CL1128">
        <v>2</v>
      </c>
      <c r="CM1128">
        <v>2</v>
      </c>
      <c r="CN1128">
        <v>0</v>
      </c>
      <c r="CO1128">
        <v>6</v>
      </c>
      <c r="CP1128" t="s">
        <v>119</v>
      </c>
      <c r="CQ1128">
        <v>364</v>
      </c>
      <c r="CR1128">
        <v>0</v>
      </c>
      <c r="CW1128">
        <v>1407235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1</v>
      </c>
      <c r="DH1128">
        <v>0</v>
      </c>
      <c r="DI1128">
        <v>0</v>
      </c>
    </row>
    <row r="1129" spans="1:113" x14ac:dyDescent="0.3">
      <c r="A1129" t="str">
        <f>"03/24/2022 22:14:12.565"</f>
        <v>03/24/2022 22:14:12.565</v>
      </c>
      <c r="C1129" t="str">
        <f t="shared" si="333"/>
        <v>FFDFD3C0</v>
      </c>
      <c r="D1129" t="s">
        <v>123</v>
      </c>
      <c r="E1129">
        <v>8</v>
      </c>
      <c r="H1129">
        <v>31</v>
      </c>
      <c r="I1129" t="s">
        <v>124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S1129" t="str">
        <f t="shared" si="339"/>
        <v>22:14:12.000</v>
      </c>
      <c r="T1129" t="str">
        <f t="shared" si="339"/>
        <v>22:14:12.000</v>
      </c>
      <c r="U1129" t="str">
        <f t="shared" si="327"/>
        <v>A9D71F</v>
      </c>
      <c r="V1129">
        <v>0</v>
      </c>
      <c r="W1129">
        <v>0</v>
      </c>
      <c r="X1129">
        <v>2</v>
      </c>
      <c r="Z1129">
        <v>1</v>
      </c>
      <c r="AA1129">
        <v>6</v>
      </c>
      <c r="AB1129">
        <v>3</v>
      </c>
      <c r="AC1129">
        <v>0</v>
      </c>
      <c r="AD1129">
        <v>9</v>
      </c>
      <c r="AE1129">
        <v>0</v>
      </c>
      <c r="AF1129">
        <v>3</v>
      </c>
      <c r="AG1129">
        <v>1</v>
      </c>
      <c r="AH1129">
        <v>0</v>
      </c>
      <c r="AI1129" t="s">
        <v>612</v>
      </c>
      <c r="AJ1129">
        <v>33.135002</v>
      </c>
      <c r="AK1129" t="s">
        <v>613</v>
      </c>
      <c r="AL1129">
        <v>-97.710857000000004</v>
      </c>
      <c r="AM1129">
        <v>25</v>
      </c>
      <c r="AN1129">
        <v>3500</v>
      </c>
      <c r="AO1129" t="s">
        <v>118</v>
      </c>
      <c r="AP1129">
        <v>48</v>
      </c>
      <c r="AQ1129">
        <v>-98</v>
      </c>
      <c r="AR1129">
        <v>-256</v>
      </c>
      <c r="AZ1129">
        <v>1200</v>
      </c>
      <c r="BA1129">
        <v>1</v>
      </c>
      <c r="BB1129" t="str">
        <f t="shared" si="334"/>
        <v xml:space="preserve">N733KP  </v>
      </c>
      <c r="BC1129">
        <v>1</v>
      </c>
      <c r="BE1129">
        <v>0</v>
      </c>
      <c r="BF1129">
        <v>0</v>
      </c>
      <c r="BG1129">
        <v>0</v>
      </c>
      <c r="BH1129">
        <v>3500</v>
      </c>
      <c r="BI1129">
        <v>1</v>
      </c>
      <c r="BJ1129">
        <v>1</v>
      </c>
      <c r="BK1129">
        <v>0</v>
      </c>
      <c r="BL1129">
        <v>0</v>
      </c>
      <c r="BO1129">
        <v>0</v>
      </c>
      <c r="BP1129">
        <v>0</v>
      </c>
      <c r="BW1129" t="str">
        <f>"22:14:12.373"</f>
        <v>22:14:12.373</v>
      </c>
      <c r="CJ1129">
        <v>0</v>
      </c>
      <c r="CK1129">
        <v>1</v>
      </c>
      <c r="CL1129">
        <v>2</v>
      </c>
      <c r="CM1129">
        <v>2</v>
      </c>
      <c r="CN1129">
        <v>0</v>
      </c>
      <c r="CO1129">
        <v>6</v>
      </c>
      <c r="CP1129" t="s">
        <v>119</v>
      </c>
      <c r="CQ1129">
        <v>364</v>
      </c>
      <c r="CR1129">
        <v>0</v>
      </c>
      <c r="CW1129">
        <v>1407235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1</v>
      </c>
      <c r="DH1129">
        <v>0</v>
      </c>
      <c r="DI1129">
        <v>0</v>
      </c>
    </row>
    <row r="1130" spans="1:113" x14ac:dyDescent="0.3">
      <c r="A1130" t="str">
        <f>"03/24/2022 22:14:12.565"</f>
        <v>03/24/2022 22:14:12.565</v>
      </c>
      <c r="C1130" t="str">
        <f t="shared" si="333"/>
        <v>FFDFD3C0</v>
      </c>
      <c r="D1130" t="s">
        <v>120</v>
      </c>
      <c r="E1130">
        <v>14</v>
      </c>
      <c r="F1130">
        <v>1014</v>
      </c>
      <c r="G1130" t="s">
        <v>121</v>
      </c>
      <c r="J1130" t="s">
        <v>122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S1130" t="str">
        <f t="shared" si="339"/>
        <v>22:14:12.000</v>
      </c>
      <c r="T1130" t="str">
        <f t="shared" si="339"/>
        <v>22:14:12.000</v>
      </c>
      <c r="U1130" t="str">
        <f t="shared" si="327"/>
        <v>A9D71F</v>
      </c>
      <c r="V1130">
        <v>0</v>
      </c>
      <c r="W1130">
        <v>0</v>
      </c>
      <c r="X1130">
        <v>2</v>
      </c>
      <c r="Z1130">
        <v>1</v>
      </c>
      <c r="AA1130">
        <v>6</v>
      </c>
      <c r="AB1130">
        <v>3</v>
      </c>
      <c r="AC1130">
        <v>0</v>
      </c>
      <c r="AD1130">
        <v>9</v>
      </c>
      <c r="AE1130">
        <v>0</v>
      </c>
      <c r="AF1130">
        <v>3</v>
      </c>
      <c r="AG1130">
        <v>1</v>
      </c>
      <c r="AH1130">
        <v>0</v>
      </c>
      <c r="AI1130" t="s">
        <v>612</v>
      </c>
      <c r="AJ1130">
        <v>33.135002</v>
      </c>
      <c r="AK1130" t="s">
        <v>613</v>
      </c>
      <c r="AL1130">
        <v>-97.710857000000004</v>
      </c>
      <c r="AM1130">
        <v>25</v>
      </c>
      <c r="AN1130">
        <v>3500</v>
      </c>
      <c r="AO1130" t="s">
        <v>118</v>
      </c>
      <c r="AP1130">
        <v>48</v>
      </c>
      <c r="AQ1130">
        <v>-98</v>
      </c>
      <c r="AR1130">
        <v>-256</v>
      </c>
      <c r="AZ1130">
        <v>1200</v>
      </c>
      <c r="BA1130">
        <v>1</v>
      </c>
      <c r="BB1130" t="str">
        <f t="shared" si="334"/>
        <v xml:space="preserve">N733KP  </v>
      </c>
      <c r="BC1130">
        <v>1</v>
      </c>
      <c r="BE1130">
        <v>0</v>
      </c>
      <c r="BF1130">
        <v>0</v>
      </c>
      <c r="BG1130">
        <v>0</v>
      </c>
      <c r="BH1130">
        <v>3500</v>
      </c>
      <c r="BI1130">
        <v>1</v>
      </c>
      <c r="BJ1130">
        <v>1</v>
      </c>
      <c r="BK1130">
        <v>0</v>
      </c>
      <c r="BL1130">
        <v>0</v>
      </c>
      <c r="BO1130">
        <v>0</v>
      </c>
      <c r="BP1130">
        <v>0</v>
      </c>
      <c r="BW1130" t="str">
        <f>"22:14:12.373"</f>
        <v>22:14:12.373</v>
      </c>
      <c r="CJ1130">
        <v>0</v>
      </c>
      <c r="CK1130">
        <v>1</v>
      </c>
      <c r="CL1130">
        <v>2</v>
      </c>
      <c r="CM1130">
        <v>2</v>
      </c>
      <c r="CN1130">
        <v>0</v>
      </c>
      <c r="CO1130">
        <v>6</v>
      </c>
      <c r="CP1130" t="s">
        <v>119</v>
      </c>
      <c r="CQ1130">
        <v>364</v>
      </c>
      <c r="CR1130">
        <v>0</v>
      </c>
      <c r="CW1130">
        <v>1407235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1</v>
      </c>
      <c r="DH1130">
        <v>0</v>
      </c>
      <c r="DI1130">
        <v>0</v>
      </c>
    </row>
    <row r="1131" spans="1:113" x14ac:dyDescent="0.3">
      <c r="A1131" t="str">
        <f>"03/24/2022 22:14:13.864"</f>
        <v>03/24/2022 22:14:13.864</v>
      </c>
      <c r="C1131" t="str">
        <f t="shared" si="333"/>
        <v>FFDFD3C0</v>
      </c>
      <c r="D1131" t="s">
        <v>123</v>
      </c>
      <c r="E1131">
        <v>8</v>
      </c>
      <c r="H1131">
        <v>31</v>
      </c>
      <c r="I1131" t="s">
        <v>124</v>
      </c>
      <c r="J1131" t="s">
        <v>125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S1131" t="str">
        <f t="shared" ref="S1131:T1134" si="340">"22:14:13.000"</f>
        <v>22:14:13.000</v>
      </c>
      <c r="T1131" t="str">
        <f t="shared" si="340"/>
        <v>22:14:13.000</v>
      </c>
      <c r="U1131" t="str">
        <f t="shared" si="327"/>
        <v>A9D71F</v>
      </c>
      <c r="V1131">
        <v>0</v>
      </c>
      <c r="W1131">
        <v>0</v>
      </c>
      <c r="X1131">
        <v>2</v>
      </c>
      <c r="Z1131">
        <v>1</v>
      </c>
      <c r="AA1131">
        <v>6</v>
      </c>
      <c r="AB1131">
        <v>3</v>
      </c>
      <c r="AC1131">
        <v>0</v>
      </c>
      <c r="AD1131">
        <v>9</v>
      </c>
      <c r="AE1131">
        <v>0</v>
      </c>
      <c r="AF1131">
        <v>3</v>
      </c>
      <c r="AG1131">
        <v>1</v>
      </c>
      <c r="AH1131">
        <v>0</v>
      </c>
      <c r="AI1131" t="s">
        <v>614</v>
      </c>
      <c r="AJ1131">
        <v>33.134551000000002</v>
      </c>
      <c r="AK1131" t="s">
        <v>615</v>
      </c>
      <c r="AL1131">
        <v>-97.710599999999999</v>
      </c>
      <c r="AM1131">
        <v>25</v>
      </c>
      <c r="AN1131">
        <v>3500</v>
      </c>
      <c r="AO1131" t="s">
        <v>118</v>
      </c>
      <c r="AP1131">
        <v>48</v>
      </c>
      <c r="AQ1131">
        <v>-98</v>
      </c>
      <c r="AR1131">
        <v>-128</v>
      </c>
      <c r="AZ1131">
        <v>1200</v>
      </c>
      <c r="BA1131">
        <v>1</v>
      </c>
      <c r="BB1131" t="str">
        <f t="shared" si="334"/>
        <v xml:space="preserve">N733KP  </v>
      </c>
      <c r="BC1131">
        <v>1</v>
      </c>
      <c r="BE1131">
        <v>0</v>
      </c>
      <c r="BF1131">
        <v>0</v>
      </c>
      <c r="BG1131">
        <v>0</v>
      </c>
      <c r="BH1131">
        <v>3475</v>
      </c>
      <c r="BI1131">
        <v>1</v>
      </c>
      <c r="BJ1131">
        <v>1</v>
      </c>
      <c r="BK1131">
        <v>0</v>
      </c>
      <c r="BL1131">
        <v>0</v>
      </c>
      <c r="BO1131">
        <v>0</v>
      </c>
      <c r="BP1131">
        <v>0</v>
      </c>
      <c r="BW1131" t="str">
        <f>"22:14:13.650"</f>
        <v>22:14:13.650</v>
      </c>
      <c r="CJ1131">
        <v>0</v>
      </c>
      <c r="CK1131">
        <v>1</v>
      </c>
      <c r="CL1131">
        <v>2</v>
      </c>
      <c r="CM1131">
        <v>2</v>
      </c>
      <c r="CN1131">
        <v>0</v>
      </c>
      <c r="CO1131">
        <v>3</v>
      </c>
      <c r="CP1131" t="s">
        <v>119</v>
      </c>
      <c r="CQ1131">
        <v>365</v>
      </c>
      <c r="CR1131">
        <v>0</v>
      </c>
      <c r="CW1131">
        <v>11456804</v>
      </c>
      <c r="CY1131">
        <v>1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1</v>
      </c>
      <c r="DH1131">
        <v>0</v>
      </c>
      <c r="DI1131">
        <v>0</v>
      </c>
    </row>
    <row r="1132" spans="1:113" x14ac:dyDescent="0.3">
      <c r="A1132" t="str">
        <f>"03/24/2022 22:14:13.880"</f>
        <v>03/24/2022 22:14:13.880</v>
      </c>
      <c r="C1132" t="str">
        <f t="shared" si="333"/>
        <v>FFDFD3C0</v>
      </c>
      <c r="D1132" t="s">
        <v>120</v>
      </c>
      <c r="E1132">
        <v>14</v>
      </c>
      <c r="F1132">
        <v>1014</v>
      </c>
      <c r="G1132" t="s">
        <v>121</v>
      </c>
      <c r="J1132" t="s">
        <v>122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S1132" t="str">
        <f t="shared" si="340"/>
        <v>22:14:13.000</v>
      </c>
      <c r="T1132" t="str">
        <f t="shared" si="340"/>
        <v>22:14:13.000</v>
      </c>
      <c r="U1132" t="str">
        <f t="shared" si="327"/>
        <v>A9D71F</v>
      </c>
      <c r="V1132">
        <v>0</v>
      </c>
      <c r="W1132">
        <v>0</v>
      </c>
      <c r="X1132">
        <v>2</v>
      </c>
      <c r="Z1132">
        <v>1</v>
      </c>
      <c r="AA1132">
        <v>6</v>
      </c>
      <c r="AB1132">
        <v>3</v>
      </c>
      <c r="AC1132">
        <v>0</v>
      </c>
      <c r="AD1132">
        <v>9</v>
      </c>
      <c r="AE1132">
        <v>0</v>
      </c>
      <c r="AF1132">
        <v>3</v>
      </c>
      <c r="AG1132">
        <v>1</v>
      </c>
      <c r="AH1132">
        <v>0</v>
      </c>
      <c r="AI1132" t="s">
        <v>614</v>
      </c>
      <c r="AJ1132">
        <v>33.134551000000002</v>
      </c>
      <c r="AK1132" t="s">
        <v>615</v>
      </c>
      <c r="AL1132">
        <v>-97.710599999999999</v>
      </c>
      <c r="AM1132">
        <v>25</v>
      </c>
      <c r="AN1132">
        <v>3500</v>
      </c>
      <c r="AO1132" t="s">
        <v>118</v>
      </c>
      <c r="AP1132">
        <v>48</v>
      </c>
      <c r="AQ1132">
        <v>-98</v>
      </c>
      <c r="AR1132">
        <v>-128</v>
      </c>
      <c r="AZ1132">
        <v>1200</v>
      </c>
      <c r="BA1132">
        <v>1</v>
      </c>
      <c r="BB1132" t="str">
        <f t="shared" si="334"/>
        <v xml:space="preserve">N733KP  </v>
      </c>
      <c r="BC1132">
        <v>1</v>
      </c>
      <c r="BE1132">
        <v>0</v>
      </c>
      <c r="BF1132">
        <v>0</v>
      </c>
      <c r="BG1132">
        <v>0</v>
      </c>
      <c r="BH1132">
        <v>3475</v>
      </c>
      <c r="BI1132">
        <v>1</v>
      </c>
      <c r="BJ1132">
        <v>1</v>
      </c>
      <c r="BK1132">
        <v>0</v>
      </c>
      <c r="BL1132">
        <v>0</v>
      </c>
      <c r="BO1132">
        <v>0</v>
      </c>
      <c r="BP1132">
        <v>0</v>
      </c>
      <c r="BW1132" t="str">
        <f>"22:14:13.650"</f>
        <v>22:14:13.650</v>
      </c>
      <c r="CJ1132">
        <v>0</v>
      </c>
      <c r="CK1132">
        <v>1</v>
      </c>
      <c r="CL1132">
        <v>2</v>
      </c>
      <c r="CM1132">
        <v>2</v>
      </c>
      <c r="CN1132">
        <v>0</v>
      </c>
      <c r="CO1132">
        <v>3</v>
      </c>
      <c r="CP1132" t="s">
        <v>119</v>
      </c>
      <c r="CQ1132">
        <v>365</v>
      </c>
      <c r="CR1132">
        <v>0</v>
      </c>
      <c r="CW1132">
        <v>11456804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1</v>
      </c>
      <c r="DH1132">
        <v>0</v>
      </c>
      <c r="DI1132">
        <v>0</v>
      </c>
    </row>
    <row r="1133" spans="1:113" x14ac:dyDescent="0.3">
      <c r="A1133" t="str">
        <f>"03/24/2022 22:14:13.880"</f>
        <v>03/24/2022 22:14:13.880</v>
      </c>
      <c r="C1133" t="str">
        <f t="shared" si="333"/>
        <v>FFDFD3C0</v>
      </c>
      <c r="D1133" t="s">
        <v>113</v>
      </c>
      <c r="E1133">
        <v>24</v>
      </c>
      <c r="F1133">
        <v>2024</v>
      </c>
      <c r="G1133" t="s">
        <v>114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S1133" t="str">
        <f t="shared" si="340"/>
        <v>22:14:13.000</v>
      </c>
      <c r="T1133" t="str">
        <f t="shared" si="340"/>
        <v>22:14:13.000</v>
      </c>
      <c r="U1133" t="str">
        <f t="shared" si="327"/>
        <v>A9D71F</v>
      </c>
      <c r="V1133">
        <v>0</v>
      </c>
      <c r="W1133">
        <v>0</v>
      </c>
      <c r="X1133">
        <v>2</v>
      </c>
      <c r="Z1133">
        <v>1</v>
      </c>
      <c r="AA1133">
        <v>6</v>
      </c>
      <c r="AB1133">
        <v>3</v>
      </c>
      <c r="AC1133">
        <v>0</v>
      </c>
      <c r="AD1133">
        <v>9</v>
      </c>
      <c r="AE1133">
        <v>0</v>
      </c>
      <c r="AF1133">
        <v>3</v>
      </c>
      <c r="AG1133">
        <v>1</v>
      </c>
      <c r="AH1133">
        <v>0</v>
      </c>
      <c r="AI1133" t="s">
        <v>614</v>
      </c>
      <c r="AJ1133">
        <v>33.134551000000002</v>
      </c>
      <c r="AK1133" t="s">
        <v>615</v>
      </c>
      <c r="AL1133">
        <v>-97.710599999999999</v>
      </c>
      <c r="AM1133">
        <v>25</v>
      </c>
      <c r="AN1133">
        <v>3500</v>
      </c>
      <c r="AO1133" t="s">
        <v>118</v>
      </c>
      <c r="AP1133">
        <v>48</v>
      </c>
      <c r="AQ1133">
        <v>-98</v>
      </c>
      <c r="AR1133">
        <v>-128</v>
      </c>
      <c r="AZ1133">
        <v>1200</v>
      </c>
      <c r="BA1133">
        <v>1</v>
      </c>
      <c r="BB1133" t="str">
        <f t="shared" si="334"/>
        <v xml:space="preserve">N733KP  </v>
      </c>
      <c r="BC1133">
        <v>1</v>
      </c>
      <c r="BE1133">
        <v>0</v>
      </c>
      <c r="BF1133">
        <v>0</v>
      </c>
      <c r="BG1133">
        <v>0</v>
      </c>
      <c r="BH1133">
        <v>3475</v>
      </c>
      <c r="BI1133">
        <v>1</v>
      </c>
      <c r="BJ1133">
        <v>1</v>
      </c>
      <c r="BK1133">
        <v>0</v>
      </c>
      <c r="BL1133">
        <v>0</v>
      </c>
      <c r="BO1133">
        <v>0</v>
      </c>
      <c r="BP1133">
        <v>0</v>
      </c>
      <c r="BW1133" t="str">
        <f>"22:14:13.650"</f>
        <v>22:14:13.650</v>
      </c>
      <c r="CJ1133">
        <v>0</v>
      </c>
      <c r="CK1133">
        <v>1</v>
      </c>
      <c r="CL1133">
        <v>2</v>
      </c>
      <c r="CM1133">
        <v>2</v>
      </c>
      <c r="CN1133">
        <v>0</v>
      </c>
      <c r="CO1133">
        <v>3</v>
      </c>
      <c r="CP1133" t="s">
        <v>119</v>
      </c>
      <c r="CQ1133">
        <v>365</v>
      </c>
      <c r="CR1133">
        <v>0</v>
      </c>
      <c r="CW1133">
        <v>11456804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1</v>
      </c>
      <c r="DH1133">
        <v>0</v>
      </c>
      <c r="DI1133">
        <v>0</v>
      </c>
    </row>
    <row r="1134" spans="1:113" x14ac:dyDescent="0.3">
      <c r="A1134" t="str">
        <f>"03/24/2022 22:14:13.880"</f>
        <v>03/24/2022 22:14:13.880</v>
      </c>
      <c r="C1134" t="str">
        <f t="shared" si="333"/>
        <v>FFDFD3C0</v>
      </c>
      <c r="D1134" t="s">
        <v>126</v>
      </c>
      <c r="E1134">
        <v>3</v>
      </c>
      <c r="H1134">
        <v>160</v>
      </c>
      <c r="I1134" t="s">
        <v>121</v>
      </c>
      <c r="J1134" t="s">
        <v>127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S1134" t="str">
        <f t="shared" si="340"/>
        <v>22:14:13.000</v>
      </c>
      <c r="T1134" t="str">
        <f t="shared" si="340"/>
        <v>22:14:13.000</v>
      </c>
      <c r="U1134" t="str">
        <f t="shared" si="327"/>
        <v>A9D71F</v>
      </c>
      <c r="V1134">
        <v>0</v>
      </c>
      <c r="W1134">
        <v>0</v>
      </c>
      <c r="X1134">
        <v>2</v>
      </c>
      <c r="Z1134">
        <v>1</v>
      </c>
      <c r="AA1134">
        <v>6</v>
      </c>
      <c r="AB1134">
        <v>3</v>
      </c>
      <c r="AC1134">
        <v>0</v>
      </c>
      <c r="AD1134">
        <v>9</v>
      </c>
      <c r="AE1134">
        <v>0</v>
      </c>
      <c r="AF1134">
        <v>3</v>
      </c>
      <c r="AG1134">
        <v>1</v>
      </c>
      <c r="AH1134">
        <v>0</v>
      </c>
      <c r="AI1134" t="s">
        <v>614</v>
      </c>
      <c r="AJ1134">
        <v>33.134551000000002</v>
      </c>
      <c r="AK1134" t="s">
        <v>615</v>
      </c>
      <c r="AL1134">
        <v>-97.710599999999999</v>
      </c>
      <c r="AM1134">
        <v>25</v>
      </c>
      <c r="AN1134">
        <v>3500</v>
      </c>
      <c r="AO1134" t="s">
        <v>118</v>
      </c>
      <c r="AP1134">
        <v>48</v>
      </c>
      <c r="AQ1134">
        <v>-98</v>
      </c>
      <c r="AR1134">
        <v>-128</v>
      </c>
      <c r="AZ1134">
        <v>1200</v>
      </c>
      <c r="BA1134">
        <v>1</v>
      </c>
      <c r="BB1134" t="str">
        <f t="shared" si="334"/>
        <v xml:space="preserve">N733KP  </v>
      </c>
      <c r="BC1134">
        <v>1</v>
      </c>
      <c r="BE1134">
        <v>0</v>
      </c>
      <c r="BF1134">
        <v>0</v>
      </c>
      <c r="BG1134">
        <v>0</v>
      </c>
      <c r="BH1134">
        <v>3475</v>
      </c>
      <c r="BI1134">
        <v>1</v>
      </c>
      <c r="BJ1134">
        <v>1</v>
      </c>
      <c r="BK1134">
        <v>0</v>
      </c>
      <c r="BL1134">
        <v>0</v>
      </c>
      <c r="BO1134">
        <v>0</v>
      </c>
      <c r="BP1134">
        <v>0</v>
      </c>
      <c r="BW1134" t="str">
        <f>"22:14:13.650"</f>
        <v>22:14:13.650</v>
      </c>
      <c r="CJ1134">
        <v>0</v>
      </c>
      <c r="CK1134">
        <v>1</v>
      </c>
      <c r="CL1134">
        <v>2</v>
      </c>
      <c r="CM1134">
        <v>2</v>
      </c>
      <c r="CN1134">
        <v>0</v>
      </c>
      <c r="CO1134">
        <v>3</v>
      </c>
      <c r="CP1134" t="s">
        <v>119</v>
      </c>
      <c r="CQ1134">
        <v>365</v>
      </c>
      <c r="CR1134">
        <v>0</v>
      </c>
      <c r="CW1134">
        <v>11456804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1</v>
      </c>
      <c r="DH1134">
        <v>0</v>
      </c>
      <c r="DI1134">
        <v>0</v>
      </c>
    </row>
    <row r="1135" spans="1:113" x14ac:dyDescent="0.3">
      <c r="A1135" t="str">
        <f>"03/24/2022 22:14:15.024"</f>
        <v>03/24/2022 22:14:15.024</v>
      </c>
      <c r="C1135" t="str">
        <f t="shared" si="333"/>
        <v>FFDFD3C0</v>
      </c>
      <c r="D1135" t="s">
        <v>123</v>
      </c>
      <c r="E1135">
        <v>8</v>
      </c>
      <c r="H1135">
        <v>31</v>
      </c>
      <c r="I1135" t="s">
        <v>124</v>
      </c>
      <c r="J1135" t="s">
        <v>125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S1135" t="str">
        <f t="shared" ref="S1135:T1138" si="341">"22:14:14.000"</f>
        <v>22:14:14.000</v>
      </c>
      <c r="T1135" t="str">
        <f t="shared" si="341"/>
        <v>22:14:14.000</v>
      </c>
      <c r="U1135" t="str">
        <f t="shared" si="327"/>
        <v>A9D71F</v>
      </c>
      <c r="V1135">
        <v>0</v>
      </c>
      <c r="W1135">
        <v>0</v>
      </c>
      <c r="X1135">
        <v>2</v>
      </c>
      <c r="Z1135">
        <v>1</v>
      </c>
      <c r="AA1135">
        <v>6</v>
      </c>
      <c r="AB1135">
        <v>3</v>
      </c>
      <c r="AC1135">
        <v>0</v>
      </c>
      <c r="AD1135">
        <v>9</v>
      </c>
      <c r="AE1135">
        <v>0</v>
      </c>
      <c r="AF1135">
        <v>3</v>
      </c>
      <c r="AG1135">
        <v>1</v>
      </c>
      <c r="AH1135">
        <v>0</v>
      </c>
      <c r="AI1135" t="s">
        <v>616</v>
      </c>
      <c r="AJ1135">
        <v>33.134058000000003</v>
      </c>
      <c r="AK1135" t="s">
        <v>617</v>
      </c>
      <c r="AL1135">
        <v>-97.710299000000006</v>
      </c>
      <c r="AM1135">
        <v>25</v>
      </c>
      <c r="AN1135">
        <v>3500</v>
      </c>
      <c r="AO1135" t="s">
        <v>118</v>
      </c>
      <c r="AP1135">
        <v>47</v>
      </c>
      <c r="AQ1135">
        <v>-97</v>
      </c>
      <c r="AR1135">
        <v>-192</v>
      </c>
      <c r="AZ1135">
        <v>1200</v>
      </c>
      <c r="BA1135">
        <v>1</v>
      </c>
      <c r="BB1135" t="str">
        <f t="shared" si="334"/>
        <v xml:space="preserve">N733KP  </v>
      </c>
      <c r="BC1135">
        <v>1</v>
      </c>
      <c r="BE1135">
        <v>0</v>
      </c>
      <c r="BF1135">
        <v>0</v>
      </c>
      <c r="BG1135">
        <v>0</v>
      </c>
      <c r="BH1135">
        <v>3475</v>
      </c>
      <c r="BI1135">
        <v>1</v>
      </c>
      <c r="BJ1135">
        <v>1</v>
      </c>
      <c r="BK1135">
        <v>0</v>
      </c>
      <c r="BL1135">
        <v>0</v>
      </c>
      <c r="BO1135">
        <v>0</v>
      </c>
      <c r="BP1135">
        <v>0</v>
      </c>
      <c r="BW1135" t="str">
        <f>"22:14:14.866"</f>
        <v>22:14:14.866</v>
      </c>
      <c r="CJ1135">
        <v>0</v>
      </c>
      <c r="CK1135">
        <v>1</v>
      </c>
      <c r="CL1135">
        <v>2</v>
      </c>
      <c r="CM1135">
        <v>2</v>
      </c>
      <c r="CN1135">
        <v>0</v>
      </c>
      <c r="CO1135">
        <v>3</v>
      </c>
      <c r="CP1135" t="s">
        <v>119</v>
      </c>
      <c r="CQ1135">
        <v>365</v>
      </c>
      <c r="CR1135">
        <v>0</v>
      </c>
      <c r="CW1135">
        <v>11457091</v>
      </c>
      <c r="CY1135">
        <v>1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1</v>
      </c>
      <c r="DH1135">
        <v>0</v>
      </c>
      <c r="DI1135">
        <v>0</v>
      </c>
    </row>
    <row r="1136" spans="1:113" x14ac:dyDescent="0.3">
      <c r="A1136" t="str">
        <f>"03/24/2022 22:14:15.087"</f>
        <v>03/24/2022 22:14:15.087</v>
      </c>
      <c r="C1136" t="str">
        <f t="shared" si="333"/>
        <v>FFDFD3C0</v>
      </c>
      <c r="D1136" t="s">
        <v>120</v>
      </c>
      <c r="E1136">
        <v>14</v>
      </c>
      <c r="F1136">
        <v>1014</v>
      </c>
      <c r="G1136" t="s">
        <v>121</v>
      </c>
      <c r="J1136" t="s">
        <v>122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S1136" t="str">
        <f t="shared" si="341"/>
        <v>22:14:14.000</v>
      </c>
      <c r="T1136" t="str">
        <f t="shared" si="341"/>
        <v>22:14:14.000</v>
      </c>
      <c r="U1136" t="str">
        <f t="shared" si="327"/>
        <v>A9D71F</v>
      </c>
      <c r="V1136">
        <v>0</v>
      </c>
      <c r="W1136">
        <v>0</v>
      </c>
      <c r="X1136">
        <v>2</v>
      </c>
      <c r="Z1136">
        <v>1</v>
      </c>
      <c r="AA1136">
        <v>6</v>
      </c>
      <c r="AB1136">
        <v>3</v>
      </c>
      <c r="AC1136">
        <v>0</v>
      </c>
      <c r="AD1136">
        <v>9</v>
      </c>
      <c r="AE1136">
        <v>0</v>
      </c>
      <c r="AF1136">
        <v>3</v>
      </c>
      <c r="AG1136">
        <v>1</v>
      </c>
      <c r="AH1136">
        <v>0</v>
      </c>
      <c r="AI1136" t="s">
        <v>616</v>
      </c>
      <c r="AJ1136">
        <v>33.134058000000003</v>
      </c>
      <c r="AK1136" t="s">
        <v>617</v>
      </c>
      <c r="AL1136">
        <v>-97.710299000000006</v>
      </c>
      <c r="AM1136">
        <v>25</v>
      </c>
      <c r="AN1136">
        <v>3500</v>
      </c>
      <c r="AO1136" t="s">
        <v>118</v>
      </c>
      <c r="AP1136">
        <v>47</v>
      </c>
      <c r="AQ1136">
        <v>-97</v>
      </c>
      <c r="AR1136">
        <v>-192</v>
      </c>
      <c r="AZ1136">
        <v>1200</v>
      </c>
      <c r="BA1136">
        <v>1</v>
      </c>
      <c r="BB1136" t="str">
        <f t="shared" si="334"/>
        <v xml:space="preserve">N733KP  </v>
      </c>
      <c r="BC1136">
        <v>1</v>
      </c>
      <c r="BE1136">
        <v>0</v>
      </c>
      <c r="BF1136">
        <v>0</v>
      </c>
      <c r="BG1136">
        <v>0</v>
      </c>
      <c r="BH1136">
        <v>3475</v>
      </c>
      <c r="BI1136">
        <v>1</v>
      </c>
      <c r="BJ1136">
        <v>1</v>
      </c>
      <c r="BK1136">
        <v>0</v>
      </c>
      <c r="BL1136">
        <v>0</v>
      </c>
      <c r="BO1136">
        <v>0</v>
      </c>
      <c r="BP1136">
        <v>0</v>
      </c>
      <c r="BW1136" t="str">
        <f>"22:14:14.866"</f>
        <v>22:14:14.866</v>
      </c>
      <c r="CJ1136">
        <v>0</v>
      </c>
      <c r="CK1136">
        <v>1</v>
      </c>
      <c r="CL1136">
        <v>2</v>
      </c>
      <c r="CM1136">
        <v>2</v>
      </c>
      <c r="CN1136">
        <v>0</v>
      </c>
      <c r="CO1136">
        <v>3</v>
      </c>
      <c r="CP1136" t="s">
        <v>119</v>
      </c>
      <c r="CQ1136">
        <v>365</v>
      </c>
      <c r="CR1136">
        <v>0</v>
      </c>
      <c r="CW1136">
        <v>11457091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1</v>
      </c>
      <c r="DH1136">
        <v>0</v>
      </c>
      <c r="DI1136">
        <v>0</v>
      </c>
    </row>
    <row r="1137" spans="1:113" x14ac:dyDescent="0.3">
      <c r="A1137" t="str">
        <f>"03/24/2022 22:14:15.087"</f>
        <v>03/24/2022 22:14:15.087</v>
      </c>
      <c r="C1137" t="str">
        <f t="shared" si="333"/>
        <v>FFDFD3C0</v>
      </c>
      <c r="D1137" t="s">
        <v>126</v>
      </c>
      <c r="E1137">
        <v>3</v>
      </c>
      <c r="H1137">
        <v>160</v>
      </c>
      <c r="I1137" t="s">
        <v>121</v>
      </c>
      <c r="J1137" t="s">
        <v>127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S1137" t="str">
        <f t="shared" si="341"/>
        <v>22:14:14.000</v>
      </c>
      <c r="T1137" t="str">
        <f t="shared" si="341"/>
        <v>22:14:14.000</v>
      </c>
      <c r="U1137" t="str">
        <f t="shared" si="327"/>
        <v>A9D71F</v>
      </c>
      <c r="V1137">
        <v>0</v>
      </c>
      <c r="W1137">
        <v>0</v>
      </c>
      <c r="X1137">
        <v>2</v>
      </c>
      <c r="Z1137">
        <v>1</v>
      </c>
      <c r="AA1137">
        <v>6</v>
      </c>
      <c r="AB1137">
        <v>3</v>
      </c>
      <c r="AC1137">
        <v>0</v>
      </c>
      <c r="AD1137">
        <v>9</v>
      </c>
      <c r="AE1137">
        <v>0</v>
      </c>
      <c r="AF1137">
        <v>3</v>
      </c>
      <c r="AG1137">
        <v>1</v>
      </c>
      <c r="AH1137">
        <v>0</v>
      </c>
      <c r="AI1137" t="s">
        <v>616</v>
      </c>
      <c r="AJ1137">
        <v>33.134058000000003</v>
      </c>
      <c r="AK1137" t="s">
        <v>617</v>
      </c>
      <c r="AL1137">
        <v>-97.710299000000006</v>
      </c>
      <c r="AM1137">
        <v>25</v>
      </c>
      <c r="AN1137">
        <v>3500</v>
      </c>
      <c r="AO1137" t="s">
        <v>118</v>
      </c>
      <c r="AP1137">
        <v>47</v>
      </c>
      <c r="AQ1137">
        <v>-97</v>
      </c>
      <c r="AR1137">
        <v>-192</v>
      </c>
      <c r="AZ1137">
        <v>1200</v>
      </c>
      <c r="BA1137">
        <v>1</v>
      </c>
      <c r="BB1137" t="str">
        <f t="shared" si="334"/>
        <v xml:space="preserve">N733KP  </v>
      </c>
      <c r="BC1137">
        <v>1</v>
      </c>
      <c r="BE1137">
        <v>0</v>
      </c>
      <c r="BF1137">
        <v>0</v>
      </c>
      <c r="BG1137">
        <v>0</v>
      </c>
      <c r="BH1137">
        <v>3475</v>
      </c>
      <c r="BI1137">
        <v>1</v>
      </c>
      <c r="BJ1137">
        <v>1</v>
      </c>
      <c r="BK1137">
        <v>0</v>
      </c>
      <c r="BL1137">
        <v>0</v>
      </c>
      <c r="BO1137">
        <v>0</v>
      </c>
      <c r="BP1137">
        <v>0</v>
      </c>
      <c r="BW1137" t="str">
        <f>"22:14:14.866"</f>
        <v>22:14:14.866</v>
      </c>
      <c r="CJ1137">
        <v>0</v>
      </c>
      <c r="CK1137">
        <v>1</v>
      </c>
      <c r="CL1137">
        <v>2</v>
      </c>
      <c r="CM1137">
        <v>2</v>
      </c>
      <c r="CN1137">
        <v>0</v>
      </c>
      <c r="CO1137">
        <v>3</v>
      </c>
      <c r="CP1137" t="s">
        <v>119</v>
      </c>
      <c r="CQ1137">
        <v>365</v>
      </c>
      <c r="CR1137">
        <v>0</v>
      </c>
      <c r="CW1137">
        <v>11457091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1</v>
      </c>
      <c r="DH1137">
        <v>0</v>
      </c>
      <c r="DI1137">
        <v>0</v>
      </c>
    </row>
    <row r="1138" spans="1:113" x14ac:dyDescent="0.3">
      <c r="A1138" t="str">
        <f>"03/24/2022 22:14:15.087"</f>
        <v>03/24/2022 22:14:15.087</v>
      </c>
      <c r="C1138" t="str">
        <f t="shared" si="333"/>
        <v>FFDFD3C0</v>
      </c>
      <c r="D1138" t="s">
        <v>113</v>
      </c>
      <c r="E1138">
        <v>24</v>
      </c>
      <c r="F1138">
        <v>2024</v>
      </c>
      <c r="G1138" t="s">
        <v>114</v>
      </c>
      <c r="J1138" t="s">
        <v>115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S1138" t="str">
        <f t="shared" si="341"/>
        <v>22:14:14.000</v>
      </c>
      <c r="T1138" t="str">
        <f t="shared" si="341"/>
        <v>22:14:14.000</v>
      </c>
      <c r="U1138" t="str">
        <f t="shared" si="327"/>
        <v>A9D71F</v>
      </c>
      <c r="V1138">
        <v>0</v>
      </c>
      <c r="W1138">
        <v>0</v>
      </c>
      <c r="X1138">
        <v>2</v>
      </c>
      <c r="Z1138">
        <v>1</v>
      </c>
      <c r="AA1138">
        <v>6</v>
      </c>
      <c r="AB1138">
        <v>3</v>
      </c>
      <c r="AC1138">
        <v>0</v>
      </c>
      <c r="AD1138">
        <v>9</v>
      </c>
      <c r="AE1138">
        <v>0</v>
      </c>
      <c r="AF1138">
        <v>3</v>
      </c>
      <c r="AG1138">
        <v>1</v>
      </c>
      <c r="AH1138">
        <v>0</v>
      </c>
      <c r="AI1138" t="s">
        <v>616</v>
      </c>
      <c r="AJ1138">
        <v>33.134058000000003</v>
      </c>
      <c r="AK1138" t="s">
        <v>617</v>
      </c>
      <c r="AL1138">
        <v>-97.710299000000006</v>
      </c>
      <c r="AM1138">
        <v>25</v>
      </c>
      <c r="AN1138">
        <v>3500</v>
      </c>
      <c r="AO1138" t="s">
        <v>118</v>
      </c>
      <c r="AP1138">
        <v>47</v>
      </c>
      <c r="AQ1138">
        <v>-97</v>
      </c>
      <c r="AR1138">
        <v>-192</v>
      </c>
      <c r="AZ1138">
        <v>1200</v>
      </c>
      <c r="BA1138">
        <v>1</v>
      </c>
      <c r="BB1138" t="str">
        <f t="shared" si="334"/>
        <v xml:space="preserve">N733KP  </v>
      </c>
      <c r="BC1138">
        <v>1</v>
      </c>
      <c r="BE1138">
        <v>0</v>
      </c>
      <c r="BF1138">
        <v>0</v>
      </c>
      <c r="BG1138">
        <v>0</v>
      </c>
      <c r="BH1138">
        <v>3475</v>
      </c>
      <c r="BI1138">
        <v>1</v>
      </c>
      <c r="BJ1138">
        <v>1</v>
      </c>
      <c r="BK1138">
        <v>0</v>
      </c>
      <c r="BL1138">
        <v>0</v>
      </c>
      <c r="BO1138">
        <v>0</v>
      </c>
      <c r="BP1138">
        <v>0</v>
      </c>
      <c r="BW1138" t="str">
        <f>"22:14:14.866"</f>
        <v>22:14:14.866</v>
      </c>
      <c r="CJ1138">
        <v>0</v>
      </c>
      <c r="CK1138">
        <v>1</v>
      </c>
      <c r="CL1138">
        <v>2</v>
      </c>
      <c r="CM1138">
        <v>2</v>
      </c>
      <c r="CN1138">
        <v>0</v>
      </c>
      <c r="CO1138">
        <v>3</v>
      </c>
      <c r="CP1138" t="s">
        <v>119</v>
      </c>
      <c r="CQ1138">
        <v>365</v>
      </c>
      <c r="CR1138">
        <v>0</v>
      </c>
      <c r="CW1138">
        <v>11457091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1</v>
      </c>
      <c r="DH1138">
        <v>0</v>
      </c>
      <c r="DI1138">
        <v>0</v>
      </c>
    </row>
    <row r="1139" spans="1:113" x14ac:dyDescent="0.3">
      <c r="A1139" t="str">
        <f>"03/24/2022 22:14:16.149"</f>
        <v>03/24/2022 22:14:16.149</v>
      </c>
      <c r="C1139" t="str">
        <f t="shared" si="333"/>
        <v>FFDFD3C0</v>
      </c>
      <c r="D1139" t="s">
        <v>113</v>
      </c>
      <c r="E1139">
        <v>24</v>
      </c>
      <c r="F1139">
        <v>2024</v>
      </c>
      <c r="G1139" t="s">
        <v>114</v>
      </c>
      <c r="J1139" t="s">
        <v>115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S1139" t="str">
        <f t="shared" ref="S1139:T1142" si="342">"22:14:15.000"</f>
        <v>22:14:15.000</v>
      </c>
      <c r="T1139" t="str">
        <f t="shared" si="342"/>
        <v>22:14:15.000</v>
      </c>
      <c r="U1139" t="str">
        <f t="shared" si="327"/>
        <v>A9D71F</v>
      </c>
      <c r="V1139">
        <v>0</v>
      </c>
      <c r="W1139">
        <v>0</v>
      </c>
      <c r="X1139">
        <v>2</v>
      </c>
      <c r="Z1139">
        <v>1</v>
      </c>
      <c r="AA1139">
        <v>6</v>
      </c>
      <c r="AB1139">
        <v>3</v>
      </c>
      <c r="AC1139">
        <v>0</v>
      </c>
      <c r="AD1139">
        <v>9</v>
      </c>
      <c r="AE1139">
        <v>0</v>
      </c>
      <c r="AF1139">
        <v>3</v>
      </c>
      <c r="AG1139">
        <v>1</v>
      </c>
      <c r="AH1139">
        <v>0</v>
      </c>
      <c r="AI1139" t="s">
        <v>618</v>
      </c>
      <c r="AJ1139">
        <v>33.133584999999997</v>
      </c>
      <c r="AK1139" t="s">
        <v>619</v>
      </c>
      <c r="AL1139">
        <v>-97.710020999999998</v>
      </c>
      <c r="AM1139">
        <v>25</v>
      </c>
      <c r="AN1139">
        <v>3500</v>
      </c>
      <c r="AO1139" t="s">
        <v>118</v>
      </c>
      <c r="AP1139">
        <v>47</v>
      </c>
      <c r="AQ1139">
        <v>-97</v>
      </c>
      <c r="AR1139">
        <v>-128</v>
      </c>
      <c r="AZ1139">
        <v>1200</v>
      </c>
      <c r="BA1139">
        <v>1</v>
      </c>
      <c r="BB1139" t="str">
        <f t="shared" si="334"/>
        <v xml:space="preserve">N733KP  </v>
      </c>
      <c r="BC1139">
        <v>1</v>
      </c>
      <c r="BE1139">
        <v>0</v>
      </c>
      <c r="BF1139">
        <v>0</v>
      </c>
      <c r="BG1139">
        <v>0</v>
      </c>
      <c r="BH1139">
        <v>3475</v>
      </c>
      <c r="BI1139">
        <v>1</v>
      </c>
      <c r="BJ1139">
        <v>1</v>
      </c>
      <c r="BK1139">
        <v>0</v>
      </c>
      <c r="BL1139">
        <v>0</v>
      </c>
      <c r="BO1139">
        <v>0</v>
      </c>
      <c r="BP1139">
        <v>0</v>
      </c>
      <c r="BW1139" t="str">
        <f>"22:14:15.950"</f>
        <v>22:14:15.950</v>
      </c>
      <c r="CJ1139">
        <v>0</v>
      </c>
      <c r="CK1139">
        <v>1</v>
      </c>
      <c r="CL1139">
        <v>2</v>
      </c>
      <c r="CM1139">
        <v>2</v>
      </c>
      <c r="CN1139">
        <v>0</v>
      </c>
      <c r="CO1139">
        <v>6</v>
      </c>
      <c r="CP1139" t="s">
        <v>119</v>
      </c>
      <c r="CQ1139">
        <v>364</v>
      </c>
      <c r="CR1139">
        <v>0</v>
      </c>
      <c r="CW1139">
        <v>1407793</v>
      </c>
      <c r="CY1139">
        <v>1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1</v>
      </c>
      <c r="DH1139">
        <v>0</v>
      </c>
      <c r="DI1139">
        <v>0</v>
      </c>
    </row>
    <row r="1140" spans="1:113" x14ac:dyDescent="0.3">
      <c r="A1140" t="str">
        <f>"03/24/2022 22:14:16.149"</f>
        <v>03/24/2022 22:14:16.149</v>
      </c>
      <c r="C1140" t="str">
        <f t="shared" si="333"/>
        <v>FFDFD3C0</v>
      </c>
      <c r="D1140" t="s">
        <v>126</v>
      </c>
      <c r="E1140">
        <v>3</v>
      </c>
      <c r="H1140">
        <v>160</v>
      </c>
      <c r="I1140" t="s">
        <v>121</v>
      </c>
      <c r="J1140" t="s">
        <v>127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S1140" t="str">
        <f t="shared" si="342"/>
        <v>22:14:15.000</v>
      </c>
      <c r="T1140" t="str">
        <f t="shared" si="342"/>
        <v>22:14:15.000</v>
      </c>
      <c r="U1140" t="str">
        <f t="shared" si="327"/>
        <v>A9D71F</v>
      </c>
      <c r="V1140">
        <v>0</v>
      </c>
      <c r="W1140">
        <v>0</v>
      </c>
      <c r="X1140">
        <v>2</v>
      </c>
      <c r="Z1140">
        <v>1</v>
      </c>
      <c r="AA1140">
        <v>6</v>
      </c>
      <c r="AB1140">
        <v>3</v>
      </c>
      <c r="AC1140">
        <v>0</v>
      </c>
      <c r="AD1140">
        <v>9</v>
      </c>
      <c r="AE1140">
        <v>0</v>
      </c>
      <c r="AF1140">
        <v>3</v>
      </c>
      <c r="AG1140">
        <v>1</v>
      </c>
      <c r="AH1140">
        <v>0</v>
      </c>
      <c r="AI1140" t="s">
        <v>618</v>
      </c>
      <c r="AJ1140">
        <v>33.133584999999997</v>
      </c>
      <c r="AK1140" t="s">
        <v>619</v>
      </c>
      <c r="AL1140">
        <v>-97.710020999999998</v>
      </c>
      <c r="AM1140">
        <v>25</v>
      </c>
      <c r="AN1140">
        <v>3500</v>
      </c>
      <c r="AO1140" t="s">
        <v>118</v>
      </c>
      <c r="AP1140">
        <v>47</v>
      </c>
      <c r="AQ1140">
        <v>-97</v>
      </c>
      <c r="AR1140">
        <v>-128</v>
      </c>
      <c r="AZ1140">
        <v>1200</v>
      </c>
      <c r="BA1140">
        <v>1</v>
      </c>
      <c r="BB1140" t="str">
        <f t="shared" si="334"/>
        <v xml:space="preserve">N733KP  </v>
      </c>
      <c r="BC1140">
        <v>1</v>
      </c>
      <c r="BE1140">
        <v>0</v>
      </c>
      <c r="BF1140">
        <v>0</v>
      </c>
      <c r="BG1140">
        <v>0</v>
      </c>
      <c r="BH1140">
        <v>3475</v>
      </c>
      <c r="BI1140">
        <v>1</v>
      </c>
      <c r="BJ1140">
        <v>1</v>
      </c>
      <c r="BK1140">
        <v>0</v>
      </c>
      <c r="BL1140">
        <v>0</v>
      </c>
      <c r="BO1140">
        <v>0</v>
      </c>
      <c r="BP1140">
        <v>0</v>
      </c>
      <c r="BW1140" t="str">
        <f>"22:14:15.950"</f>
        <v>22:14:15.950</v>
      </c>
      <c r="CJ1140">
        <v>0</v>
      </c>
      <c r="CK1140">
        <v>1</v>
      </c>
      <c r="CL1140">
        <v>2</v>
      </c>
      <c r="CM1140">
        <v>2</v>
      </c>
      <c r="CN1140">
        <v>0</v>
      </c>
      <c r="CO1140">
        <v>6</v>
      </c>
      <c r="CP1140" t="s">
        <v>119</v>
      </c>
      <c r="CQ1140">
        <v>364</v>
      </c>
      <c r="CR1140">
        <v>0</v>
      </c>
      <c r="CW1140">
        <v>1407793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1</v>
      </c>
      <c r="DH1140">
        <v>0</v>
      </c>
      <c r="DI1140">
        <v>0</v>
      </c>
    </row>
    <row r="1141" spans="1:113" x14ac:dyDescent="0.3">
      <c r="A1141" t="str">
        <f>"03/24/2022 22:14:16.149"</f>
        <v>03/24/2022 22:14:16.149</v>
      </c>
      <c r="C1141" t="str">
        <f t="shared" si="333"/>
        <v>FFDFD3C0</v>
      </c>
      <c r="D1141" t="s">
        <v>123</v>
      </c>
      <c r="E1141">
        <v>8</v>
      </c>
      <c r="H1141">
        <v>31</v>
      </c>
      <c r="I1141" t="s">
        <v>124</v>
      </c>
      <c r="J1141" t="s">
        <v>125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S1141" t="str">
        <f t="shared" si="342"/>
        <v>22:14:15.000</v>
      </c>
      <c r="T1141" t="str">
        <f t="shared" si="342"/>
        <v>22:14:15.000</v>
      </c>
      <c r="U1141" t="str">
        <f t="shared" si="327"/>
        <v>A9D71F</v>
      </c>
      <c r="V1141">
        <v>0</v>
      </c>
      <c r="W1141">
        <v>0</v>
      </c>
      <c r="X1141">
        <v>2</v>
      </c>
      <c r="Z1141">
        <v>1</v>
      </c>
      <c r="AA1141">
        <v>6</v>
      </c>
      <c r="AB1141">
        <v>3</v>
      </c>
      <c r="AC1141">
        <v>0</v>
      </c>
      <c r="AD1141">
        <v>9</v>
      </c>
      <c r="AE1141">
        <v>0</v>
      </c>
      <c r="AF1141">
        <v>3</v>
      </c>
      <c r="AG1141">
        <v>1</v>
      </c>
      <c r="AH1141">
        <v>0</v>
      </c>
      <c r="AI1141" t="s">
        <v>618</v>
      </c>
      <c r="AJ1141">
        <v>33.133584999999997</v>
      </c>
      <c r="AK1141" t="s">
        <v>619</v>
      </c>
      <c r="AL1141">
        <v>-97.710020999999998</v>
      </c>
      <c r="AM1141">
        <v>25</v>
      </c>
      <c r="AN1141">
        <v>3500</v>
      </c>
      <c r="AO1141" t="s">
        <v>118</v>
      </c>
      <c r="AP1141">
        <v>47</v>
      </c>
      <c r="AQ1141">
        <v>-97</v>
      </c>
      <c r="AR1141">
        <v>-128</v>
      </c>
      <c r="AZ1141">
        <v>1200</v>
      </c>
      <c r="BA1141">
        <v>1</v>
      </c>
      <c r="BB1141" t="str">
        <f t="shared" si="334"/>
        <v xml:space="preserve">N733KP  </v>
      </c>
      <c r="BC1141">
        <v>1</v>
      </c>
      <c r="BE1141">
        <v>0</v>
      </c>
      <c r="BF1141">
        <v>0</v>
      </c>
      <c r="BG1141">
        <v>0</v>
      </c>
      <c r="BH1141">
        <v>3475</v>
      </c>
      <c r="BI1141">
        <v>1</v>
      </c>
      <c r="BJ1141">
        <v>1</v>
      </c>
      <c r="BK1141">
        <v>0</v>
      </c>
      <c r="BL1141">
        <v>0</v>
      </c>
      <c r="BO1141">
        <v>0</v>
      </c>
      <c r="BP1141">
        <v>0</v>
      </c>
      <c r="BW1141" t="str">
        <f>"22:14:15.950"</f>
        <v>22:14:15.950</v>
      </c>
      <c r="CJ1141">
        <v>0</v>
      </c>
      <c r="CK1141">
        <v>1</v>
      </c>
      <c r="CL1141">
        <v>2</v>
      </c>
      <c r="CM1141">
        <v>2</v>
      </c>
      <c r="CN1141">
        <v>0</v>
      </c>
      <c r="CO1141">
        <v>6</v>
      </c>
      <c r="CP1141" t="s">
        <v>119</v>
      </c>
      <c r="CQ1141">
        <v>364</v>
      </c>
      <c r="CR1141">
        <v>0</v>
      </c>
      <c r="CW1141">
        <v>1407793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1</v>
      </c>
      <c r="DH1141">
        <v>0</v>
      </c>
      <c r="DI1141">
        <v>0</v>
      </c>
    </row>
    <row r="1142" spans="1:113" x14ac:dyDescent="0.3">
      <c r="A1142" t="str">
        <f>"03/24/2022 22:14:16.149"</f>
        <v>03/24/2022 22:14:16.149</v>
      </c>
      <c r="C1142" t="str">
        <f t="shared" si="333"/>
        <v>FFDFD3C0</v>
      </c>
      <c r="D1142" t="s">
        <v>120</v>
      </c>
      <c r="E1142">
        <v>14</v>
      </c>
      <c r="F1142">
        <v>1014</v>
      </c>
      <c r="G1142" t="s">
        <v>121</v>
      </c>
      <c r="J1142" t="s">
        <v>122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S1142" t="str">
        <f t="shared" si="342"/>
        <v>22:14:15.000</v>
      </c>
      <c r="T1142" t="str">
        <f t="shared" si="342"/>
        <v>22:14:15.000</v>
      </c>
      <c r="U1142" t="str">
        <f t="shared" si="327"/>
        <v>A9D71F</v>
      </c>
      <c r="V1142">
        <v>0</v>
      </c>
      <c r="W1142">
        <v>0</v>
      </c>
      <c r="X1142">
        <v>2</v>
      </c>
      <c r="Z1142">
        <v>1</v>
      </c>
      <c r="AA1142">
        <v>6</v>
      </c>
      <c r="AB1142">
        <v>3</v>
      </c>
      <c r="AC1142">
        <v>0</v>
      </c>
      <c r="AD1142">
        <v>9</v>
      </c>
      <c r="AE1142">
        <v>0</v>
      </c>
      <c r="AF1142">
        <v>3</v>
      </c>
      <c r="AG1142">
        <v>1</v>
      </c>
      <c r="AH1142">
        <v>0</v>
      </c>
      <c r="AI1142" t="s">
        <v>618</v>
      </c>
      <c r="AJ1142">
        <v>33.133584999999997</v>
      </c>
      <c r="AK1142" t="s">
        <v>619</v>
      </c>
      <c r="AL1142">
        <v>-97.710020999999998</v>
      </c>
      <c r="AM1142">
        <v>25</v>
      </c>
      <c r="AN1142">
        <v>3500</v>
      </c>
      <c r="AO1142" t="s">
        <v>118</v>
      </c>
      <c r="AP1142">
        <v>47</v>
      </c>
      <c r="AQ1142">
        <v>-97</v>
      </c>
      <c r="AR1142">
        <v>-128</v>
      </c>
      <c r="AZ1142">
        <v>1200</v>
      </c>
      <c r="BA1142">
        <v>1</v>
      </c>
      <c r="BB1142" t="str">
        <f t="shared" si="334"/>
        <v xml:space="preserve">N733KP  </v>
      </c>
      <c r="BC1142">
        <v>1</v>
      </c>
      <c r="BE1142">
        <v>0</v>
      </c>
      <c r="BF1142">
        <v>0</v>
      </c>
      <c r="BG1142">
        <v>0</v>
      </c>
      <c r="BH1142">
        <v>3475</v>
      </c>
      <c r="BI1142">
        <v>1</v>
      </c>
      <c r="BJ1142">
        <v>1</v>
      </c>
      <c r="BK1142">
        <v>0</v>
      </c>
      <c r="BL1142">
        <v>0</v>
      </c>
      <c r="BO1142">
        <v>0</v>
      </c>
      <c r="BP1142">
        <v>0</v>
      </c>
      <c r="BW1142" t="str">
        <f>"22:14:15.950"</f>
        <v>22:14:15.950</v>
      </c>
      <c r="CJ1142">
        <v>0</v>
      </c>
      <c r="CK1142">
        <v>1</v>
      </c>
      <c r="CL1142">
        <v>2</v>
      </c>
      <c r="CM1142">
        <v>2</v>
      </c>
      <c r="CN1142">
        <v>0</v>
      </c>
      <c r="CO1142">
        <v>6</v>
      </c>
      <c r="CP1142" t="s">
        <v>119</v>
      </c>
      <c r="CQ1142">
        <v>364</v>
      </c>
      <c r="CR1142">
        <v>0</v>
      </c>
      <c r="CW1142">
        <v>1407793</v>
      </c>
      <c r="CY1142">
        <v>1</v>
      </c>
      <c r="CZ1142">
        <v>0</v>
      </c>
      <c r="DA1142">
        <v>1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1</v>
      </c>
      <c r="DH1142">
        <v>0</v>
      </c>
      <c r="DI1142">
        <v>0</v>
      </c>
    </row>
    <row r="1143" spans="1:113" x14ac:dyDescent="0.3">
      <c r="A1143" t="str">
        <f>"03/24/2022 22:14:16.947"</f>
        <v>03/24/2022 22:14:16.947</v>
      </c>
      <c r="C1143" t="str">
        <f t="shared" si="333"/>
        <v>FFDFD3C0</v>
      </c>
      <c r="D1143" t="s">
        <v>113</v>
      </c>
      <c r="E1143">
        <v>24</v>
      </c>
      <c r="F1143">
        <v>2024</v>
      </c>
      <c r="G1143" t="s">
        <v>114</v>
      </c>
      <c r="J1143" t="s">
        <v>115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S1143" t="str">
        <f t="shared" ref="S1143:T1146" si="343">"22:14:16.000"</f>
        <v>22:14:16.000</v>
      </c>
      <c r="T1143" t="str">
        <f t="shared" si="343"/>
        <v>22:14:16.000</v>
      </c>
      <c r="U1143" t="str">
        <f t="shared" si="327"/>
        <v>A9D71F</v>
      </c>
      <c r="V1143">
        <v>0</v>
      </c>
      <c r="W1143">
        <v>0</v>
      </c>
      <c r="X1143">
        <v>2</v>
      </c>
      <c r="Z1143">
        <v>1</v>
      </c>
      <c r="AA1143">
        <v>6</v>
      </c>
      <c r="AB1143">
        <v>3</v>
      </c>
      <c r="AC1143">
        <v>0</v>
      </c>
      <c r="AD1143">
        <v>9</v>
      </c>
      <c r="AE1143">
        <v>0</v>
      </c>
      <c r="AF1143">
        <v>3</v>
      </c>
      <c r="AG1143">
        <v>1</v>
      </c>
      <c r="AH1143">
        <v>0</v>
      </c>
      <c r="AI1143" t="s">
        <v>620</v>
      </c>
      <c r="AJ1143">
        <v>33.133135000000003</v>
      </c>
      <c r="AK1143" t="s">
        <v>621</v>
      </c>
      <c r="AL1143">
        <v>-97.709784999999997</v>
      </c>
      <c r="AM1143">
        <v>25</v>
      </c>
      <c r="AN1143">
        <v>3500</v>
      </c>
      <c r="AO1143" t="s">
        <v>118</v>
      </c>
      <c r="AP1143">
        <v>47</v>
      </c>
      <c r="AQ1143">
        <v>-97</v>
      </c>
      <c r="AR1143">
        <v>-128</v>
      </c>
      <c r="AZ1143">
        <v>1200</v>
      </c>
      <c r="BA1143">
        <v>1</v>
      </c>
      <c r="BB1143" t="str">
        <f t="shared" si="334"/>
        <v xml:space="preserve">N733KP  </v>
      </c>
      <c r="BC1143">
        <v>1</v>
      </c>
      <c r="BE1143">
        <v>0</v>
      </c>
      <c r="BF1143">
        <v>0</v>
      </c>
      <c r="BG1143">
        <v>0</v>
      </c>
      <c r="BH1143">
        <v>3475</v>
      </c>
      <c r="BI1143">
        <v>1</v>
      </c>
      <c r="BJ1143">
        <v>1</v>
      </c>
      <c r="BK1143">
        <v>0</v>
      </c>
      <c r="BL1143">
        <v>0</v>
      </c>
      <c r="BO1143">
        <v>0</v>
      </c>
      <c r="BP1143">
        <v>0</v>
      </c>
      <c r="BW1143" t="str">
        <f>"22:14:16.755"</f>
        <v>22:14:16.755</v>
      </c>
      <c r="CJ1143">
        <v>0</v>
      </c>
      <c r="CK1143">
        <v>1</v>
      </c>
      <c r="CL1143">
        <v>2</v>
      </c>
      <c r="CM1143">
        <v>2</v>
      </c>
      <c r="CN1143">
        <v>0</v>
      </c>
      <c r="CO1143">
        <v>6</v>
      </c>
      <c r="CP1143" t="s">
        <v>119</v>
      </c>
      <c r="CQ1143">
        <v>364</v>
      </c>
      <c r="CR1143">
        <v>0</v>
      </c>
      <c r="CW1143">
        <v>1407914</v>
      </c>
      <c r="CY1143">
        <v>1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1</v>
      </c>
      <c r="DH1143">
        <v>0</v>
      </c>
      <c r="DI1143">
        <v>0</v>
      </c>
    </row>
    <row r="1144" spans="1:113" x14ac:dyDescent="0.3">
      <c r="A1144" t="str">
        <f>"03/24/2022 22:14:16.947"</f>
        <v>03/24/2022 22:14:16.947</v>
      </c>
      <c r="C1144" t="str">
        <f t="shared" si="333"/>
        <v>FFDFD3C0</v>
      </c>
      <c r="D1144" t="s">
        <v>126</v>
      </c>
      <c r="E1144">
        <v>3</v>
      </c>
      <c r="H1144">
        <v>160</v>
      </c>
      <c r="I1144" t="s">
        <v>121</v>
      </c>
      <c r="J1144" t="s">
        <v>127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S1144" t="str">
        <f t="shared" si="343"/>
        <v>22:14:16.000</v>
      </c>
      <c r="T1144" t="str">
        <f t="shared" si="343"/>
        <v>22:14:16.000</v>
      </c>
      <c r="U1144" t="str">
        <f t="shared" si="327"/>
        <v>A9D71F</v>
      </c>
      <c r="V1144">
        <v>0</v>
      </c>
      <c r="W1144">
        <v>0</v>
      </c>
      <c r="X1144">
        <v>2</v>
      </c>
      <c r="Z1144">
        <v>1</v>
      </c>
      <c r="AA1144">
        <v>6</v>
      </c>
      <c r="AB1144">
        <v>3</v>
      </c>
      <c r="AC1144">
        <v>0</v>
      </c>
      <c r="AD1144">
        <v>9</v>
      </c>
      <c r="AE1144">
        <v>0</v>
      </c>
      <c r="AF1144">
        <v>3</v>
      </c>
      <c r="AG1144">
        <v>1</v>
      </c>
      <c r="AH1144">
        <v>0</v>
      </c>
      <c r="AI1144" t="s">
        <v>620</v>
      </c>
      <c r="AJ1144">
        <v>33.133135000000003</v>
      </c>
      <c r="AK1144" t="s">
        <v>621</v>
      </c>
      <c r="AL1144">
        <v>-97.709784999999997</v>
      </c>
      <c r="AM1144">
        <v>25</v>
      </c>
      <c r="AN1144">
        <v>3500</v>
      </c>
      <c r="AO1144" t="s">
        <v>118</v>
      </c>
      <c r="AP1144">
        <v>47</v>
      </c>
      <c r="AQ1144">
        <v>-97</v>
      </c>
      <c r="AR1144">
        <v>-128</v>
      </c>
      <c r="AZ1144">
        <v>1200</v>
      </c>
      <c r="BA1144">
        <v>1</v>
      </c>
      <c r="BB1144" t="str">
        <f t="shared" si="334"/>
        <v xml:space="preserve">N733KP  </v>
      </c>
      <c r="BC1144">
        <v>1</v>
      </c>
      <c r="BE1144">
        <v>0</v>
      </c>
      <c r="BF1144">
        <v>0</v>
      </c>
      <c r="BG1144">
        <v>0</v>
      </c>
      <c r="BH1144">
        <v>3475</v>
      </c>
      <c r="BI1144">
        <v>1</v>
      </c>
      <c r="BJ1144">
        <v>1</v>
      </c>
      <c r="BK1144">
        <v>0</v>
      </c>
      <c r="BL1144">
        <v>0</v>
      </c>
      <c r="BO1144">
        <v>0</v>
      </c>
      <c r="BP1144">
        <v>0</v>
      </c>
      <c r="BW1144" t="str">
        <f>"22:14:16.755"</f>
        <v>22:14:16.755</v>
      </c>
      <c r="CJ1144">
        <v>0</v>
      </c>
      <c r="CK1144">
        <v>1</v>
      </c>
      <c r="CL1144">
        <v>2</v>
      </c>
      <c r="CM1144">
        <v>2</v>
      </c>
      <c r="CN1144">
        <v>0</v>
      </c>
      <c r="CO1144">
        <v>6</v>
      </c>
      <c r="CP1144" t="s">
        <v>119</v>
      </c>
      <c r="CQ1144">
        <v>364</v>
      </c>
      <c r="CR1144">
        <v>0</v>
      </c>
      <c r="CW1144">
        <v>1407914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1</v>
      </c>
      <c r="DH1144">
        <v>0</v>
      </c>
      <c r="DI1144">
        <v>0</v>
      </c>
    </row>
    <row r="1145" spans="1:113" x14ac:dyDescent="0.3">
      <c r="A1145" t="str">
        <f>"03/24/2022 22:14:16.947"</f>
        <v>03/24/2022 22:14:16.947</v>
      </c>
      <c r="C1145" t="str">
        <f t="shared" si="333"/>
        <v>FFDFD3C0</v>
      </c>
      <c r="D1145" t="s">
        <v>123</v>
      </c>
      <c r="E1145">
        <v>8</v>
      </c>
      <c r="H1145">
        <v>31</v>
      </c>
      <c r="I1145" t="s">
        <v>124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S1145" t="str">
        <f t="shared" si="343"/>
        <v>22:14:16.000</v>
      </c>
      <c r="T1145" t="str">
        <f t="shared" si="343"/>
        <v>22:14:16.000</v>
      </c>
      <c r="U1145" t="str">
        <f t="shared" si="327"/>
        <v>A9D71F</v>
      </c>
      <c r="V1145">
        <v>0</v>
      </c>
      <c r="W1145">
        <v>0</v>
      </c>
      <c r="X1145">
        <v>2</v>
      </c>
      <c r="Z1145">
        <v>1</v>
      </c>
      <c r="AA1145">
        <v>6</v>
      </c>
      <c r="AB1145">
        <v>3</v>
      </c>
      <c r="AC1145">
        <v>0</v>
      </c>
      <c r="AD1145">
        <v>9</v>
      </c>
      <c r="AE1145">
        <v>0</v>
      </c>
      <c r="AF1145">
        <v>3</v>
      </c>
      <c r="AG1145">
        <v>1</v>
      </c>
      <c r="AH1145">
        <v>0</v>
      </c>
      <c r="AI1145" t="s">
        <v>620</v>
      </c>
      <c r="AJ1145">
        <v>33.133135000000003</v>
      </c>
      <c r="AK1145" t="s">
        <v>621</v>
      </c>
      <c r="AL1145">
        <v>-97.709784999999997</v>
      </c>
      <c r="AM1145">
        <v>25</v>
      </c>
      <c r="AN1145">
        <v>3500</v>
      </c>
      <c r="AO1145" t="s">
        <v>118</v>
      </c>
      <c r="AP1145">
        <v>47</v>
      </c>
      <c r="AQ1145">
        <v>-97</v>
      </c>
      <c r="AR1145">
        <v>-128</v>
      </c>
      <c r="AZ1145">
        <v>1200</v>
      </c>
      <c r="BA1145">
        <v>1</v>
      </c>
      <c r="BB1145" t="str">
        <f t="shared" si="334"/>
        <v xml:space="preserve">N733KP  </v>
      </c>
      <c r="BC1145">
        <v>1</v>
      </c>
      <c r="BE1145">
        <v>0</v>
      </c>
      <c r="BF1145">
        <v>0</v>
      </c>
      <c r="BG1145">
        <v>0</v>
      </c>
      <c r="BH1145">
        <v>3475</v>
      </c>
      <c r="BI1145">
        <v>1</v>
      </c>
      <c r="BJ1145">
        <v>1</v>
      </c>
      <c r="BK1145">
        <v>0</v>
      </c>
      <c r="BL1145">
        <v>0</v>
      </c>
      <c r="BO1145">
        <v>0</v>
      </c>
      <c r="BP1145">
        <v>0</v>
      </c>
      <c r="BW1145" t="str">
        <f>"22:14:16.755"</f>
        <v>22:14:16.755</v>
      </c>
      <c r="CJ1145">
        <v>0</v>
      </c>
      <c r="CK1145">
        <v>1</v>
      </c>
      <c r="CL1145">
        <v>2</v>
      </c>
      <c r="CM1145">
        <v>2</v>
      </c>
      <c r="CN1145">
        <v>0</v>
      </c>
      <c r="CO1145">
        <v>6</v>
      </c>
      <c r="CP1145" t="s">
        <v>119</v>
      </c>
      <c r="CQ1145">
        <v>364</v>
      </c>
      <c r="CR1145">
        <v>0</v>
      </c>
      <c r="CW1145">
        <v>1407914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1</v>
      </c>
      <c r="DH1145">
        <v>0</v>
      </c>
      <c r="DI1145">
        <v>0</v>
      </c>
    </row>
    <row r="1146" spans="1:113" x14ac:dyDescent="0.3">
      <c r="A1146" t="str">
        <f>"03/24/2022 22:14:16.994"</f>
        <v>03/24/2022 22:14:16.994</v>
      </c>
      <c r="C1146" t="str">
        <f t="shared" si="333"/>
        <v>FFDFD3C0</v>
      </c>
      <c r="D1146" t="s">
        <v>120</v>
      </c>
      <c r="E1146">
        <v>14</v>
      </c>
      <c r="F1146">
        <v>1014</v>
      </c>
      <c r="G1146" t="s">
        <v>121</v>
      </c>
      <c r="J1146" t="s">
        <v>122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S1146" t="str">
        <f t="shared" si="343"/>
        <v>22:14:16.000</v>
      </c>
      <c r="T1146" t="str">
        <f t="shared" si="343"/>
        <v>22:14:16.000</v>
      </c>
      <c r="U1146" t="str">
        <f t="shared" si="327"/>
        <v>A9D71F</v>
      </c>
      <c r="V1146">
        <v>0</v>
      </c>
      <c r="W1146">
        <v>0</v>
      </c>
      <c r="X1146">
        <v>2</v>
      </c>
      <c r="Z1146">
        <v>1</v>
      </c>
      <c r="AA1146">
        <v>6</v>
      </c>
      <c r="AB1146">
        <v>3</v>
      </c>
      <c r="AC1146">
        <v>0</v>
      </c>
      <c r="AD1146">
        <v>9</v>
      </c>
      <c r="AE1146">
        <v>0</v>
      </c>
      <c r="AF1146">
        <v>3</v>
      </c>
      <c r="AG1146">
        <v>1</v>
      </c>
      <c r="AH1146">
        <v>0</v>
      </c>
      <c r="AI1146" t="s">
        <v>620</v>
      </c>
      <c r="AJ1146">
        <v>33.133135000000003</v>
      </c>
      <c r="AK1146" t="s">
        <v>621</v>
      </c>
      <c r="AL1146">
        <v>-97.709784999999997</v>
      </c>
      <c r="AM1146">
        <v>25</v>
      </c>
      <c r="AN1146">
        <v>3500</v>
      </c>
      <c r="AO1146" t="s">
        <v>118</v>
      </c>
      <c r="AP1146">
        <v>47</v>
      </c>
      <c r="AQ1146">
        <v>-97</v>
      </c>
      <c r="AR1146">
        <v>-128</v>
      </c>
      <c r="AZ1146">
        <v>1200</v>
      </c>
      <c r="BA1146">
        <v>1</v>
      </c>
      <c r="BB1146" t="str">
        <f t="shared" si="334"/>
        <v xml:space="preserve">N733KP  </v>
      </c>
      <c r="BC1146">
        <v>1</v>
      </c>
      <c r="BE1146">
        <v>0</v>
      </c>
      <c r="BF1146">
        <v>0</v>
      </c>
      <c r="BG1146">
        <v>0</v>
      </c>
      <c r="BH1146">
        <v>3475</v>
      </c>
      <c r="BI1146">
        <v>1</v>
      </c>
      <c r="BJ1146">
        <v>1</v>
      </c>
      <c r="BK1146">
        <v>0</v>
      </c>
      <c r="BL1146">
        <v>0</v>
      </c>
      <c r="BO1146">
        <v>0</v>
      </c>
      <c r="BP1146">
        <v>0</v>
      </c>
      <c r="BW1146" t="str">
        <f>"22:14:16.755"</f>
        <v>22:14:16.755</v>
      </c>
      <c r="CJ1146">
        <v>0</v>
      </c>
      <c r="CK1146">
        <v>1</v>
      </c>
      <c r="CL1146">
        <v>2</v>
      </c>
      <c r="CM1146">
        <v>2</v>
      </c>
      <c r="CN1146">
        <v>0</v>
      </c>
      <c r="CO1146">
        <v>6</v>
      </c>
      <c r="CP1146" t="s">
        <v>119</v>
      </c>
      <c r="CQ1146">
        <v>364</v>
      </c>
      <c r="CR1146">
        <v>0</v>
      </c>
      <c r="CW1146">
        <v>1407914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1</v>
      </c>
      <c r="DH1146">
        <v>0</v>
      </c>
      <c r="DI1146">
        <v>0</v>
      </c>
    </row>
    <row r="1147" spans="1:113" x14ac:dyDescent="0.3">
      <c r="A1147" t="str">
        <f>"03/24/2022 22:14:17.854"</f>
        <v>03/24/2022 22:14:17.854</v>
      </c>
      <c r="C1147" t="str">
        <f t="shared" si="333"/>
        <v>FFDFD3C0</v>
      </c>
      <c r="D1147" t="s">
        <v>123</v>
      </c>
      <c r="E1147">
        <v>8</v>
      </c>
      <c r="H1147">
        <v>31</v>
      </c>
      <c r="I1147" t="s">
        <v>124</v>
      </c>
      <c r="J1147" t="s">
        <v>125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S1147" t="str">
        <f t="shared" ref="S1147:T1150" si="344">"22:14:17.000"</f>
        <v>22:14:17.000</v>
      </c>
      <c r="T1147" t="str">
        <f t="shared" si="344"/>
        <v>22:14:17.000</v>
      </c>
      <c r="U1147" t="str">
        <f t="shared" si="327"/>
        <v>A9D71F</v>
      </c>
      <c r="V1147">
        <v>0</v>
      </c>
      <c r="W1147">
        <v>0</v>
      </c>
      <c r="X1147">
        <v>2</v>
      </c>
      <c r="Z1147">
        <v>1</v>
      </c>
      <c r="AA1147">
        <v>6</v>
      </c>
      <c r="AB1147">
        <v>3</v>
      </c>
      <c r="AC1147">
        <v>0</v>
      </c>
      <c r="AD1147">
        <v>9</v>
      </c>
      <c r="AE1147">
        <v>0</v>
      </c>
      <c r="AF1147">
        <v>3</v>
      </c>
      <c r="AG1147">
        <v>1</v>
      </c>
      <c r="AH1147">
        <v>0</v>
      </c>
      <c r="AI1147" t="s">
        <v>622</v>
      </c>
      <c r="AJ1147">
        <v>33.132705999999999</v>
      </c>
      <c r="AK1147" t="s">
        <v>623</v>
      </c>
      <c r="AL1147">
        <v>-97.709526999999994</v>
      </c>
      <c r="AM1147">
        <v>25</v>
      </c>
      <c r="AN1147">
        <v>3500</v>
      </c>
      <c r="AO1147" t="s">
        <v>118</v>
      </c>
      <c r="AP1147">
        <v>46</v>
      </c>
      <c r="AQ1147">
        <v>-96</v>
      </c>
      <c r="AR1147">
        <v>-64</v>
      </c>
      <c r="AZ1147">
        <v>1200</v>
      </c>
      <c r="BA1147">
        <v>1</v>
      </c>
      <c r="BB1147" t="str">
        <f t="shared" si="334"/>
        <v xml:space="preserve">N733KP  </v>
      </c>
      <c r="BC1147">
        <v>1</v>
      </c>
      <c r="BE1147">
        <v>0</v>
      </c>
      <c r="BF1147">
        <v>0</v>
      </c>
      <c r="BG1147">
        <v>0</v>
      </c>
      <c r="BH1147">
        <v>3475</v>
      </c>
      <c r="BI1147">
        <v>1</v>
      </c>
      <c r="BJ1147">
        <v>1</v>
      </c>
      <c r="BK1147">
        <v>0</v>
      </c>
      <c r="BL1147">
        <v>0</v>
      </c>
      <c r="BO1147">
        <v>0</v>
      </c>
      <c r="BP1147">
        <v>0</v>
      </c>
      <c r="BW1147" t="str">
        <f>"22:14:17.644"</f>
        <v>22:14:17.644</v>
      </c>
      <c r="CJ1147">
        <v>0</v>
      </c>
      <c r="CK1147">
        <v>1</v>
      </c>
      <c r="CL1147">
        <v>2</v>
      </c>
      <c r="CM1147">
        <v>2</v>
      </c>
      <c r="CN1147">
        <v>0</v>
      </c>
      <c r="CO1147">
        <v>7</v>
      </c>
      <c r="CP1147" t="s">
        <v>119</v>
      </c>
      <c r="CQ1147">
        <v>364</v>
      </c>
      <c r="CR1147">
        <v>0</v>
      </c>
      <c r="CW1147">
        <v>1408049</v>
      </c>
      <c r="CY1147">
        <v>1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1</v>
      </c>
      <c r="DH1147">
        <v>0</v>
      </c>
      <c r="DI1147">
        <v>0</v>
      </c>
    </row>
    <row r="1148" spans="1:113" x14ac:dyDescent="0.3">
      <c r="A1148" t="str">
        <f>"03/24/2022 22:14:17.854"</f>
        <v>03/24/2022 22:14:17.854</v>
      </c>
      <c r="C1148" t="str">
        <f t="shared" si="333"/>
        <v>FFDFD3C0</v>
      </c>
      <c r="D1148" t="s">
        <v>120</v>
      </c>
      <c r="E1148">
        <v>14</v>
      </c>
      <c r="F1148">
        <v>1014</v>
      </c>
      <c r="G1148" t="s">
        <v>121</v>
      </c>
      <c r="J1148" t="s">
        <v>122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S1148" t="str">
        <f t="shared" si="344"/>
        <v>22:14:17.000</v>
      </c>
      <c r="T1148" t="str">
        <f t="shared" si="344"/>
        <v>22:14:17.000</v>
      </c>
      <c r="U1148" t="str">
        <f t="shared" si="327"/>
        <v>A9D71F</v>
      </c>
      <c r="V1148">
        <v>0</v>
      </c>
      <c r="W1148">
        <v>0</v>
      </c>
      <c r="X1148">
        <v>2</v>
      </c>
      <c r="Z1148">
        <v>1</v>
      </c>
      <c r="AA1148">
        <v>6</v>
      </c>
      <c r="AB1148">
        <v>3</v>
      </c>
      <c r="AC1148">
        <v>0</v>
      </c>
      <c r="AD1148">
        <v>9</v>
      </c>
      <c r="AE1148">
        <v>0</v>
      </c>
      <c r="AF1148">
        <v>3</v>
      </c>
      <c r="AG1148">
        <v>1</v>
      </c>
      <c r="AH1148">
        <v>0</v>
      </c>
      <c r="AI1148" t="s">
        <v>622</v>
      </c>
      <c r="AJ1148">
        <v>33.132705999999999</v>
      </c>
      <c r="AK1148" t="s">
        <v>623</v>
      </c>
      <c r="AL1148">
        <v>-97.709526999999994</v>
      </c>
      <c r="AM1148">
        <v>25</v>
      </c>
      <c r="AN1148">
        <v>3500</v>
      </c>
      <c r="AO1148" t="s">
        <v>118</v>
      </c>
      <c r="AP1148">
        <v>46</v>
      </c>
      <c r="AQ1148">
        <v>-96</v>
      </c>
      <c r="AR1148">
        <v>-64</v>
      </c>
      <c r="AZ1148">
        <v>1200</v>
      </c>
      <c r="BA1148">
        <v>1</v>
      </c>
      <c r="BB1148" t="str">
        <f t="shared" si="334"/>
        <v xml:space="preserve">N733KP  </v>
      </c>
      <c r="BC1148">
        <v>1</v>
      </c>
      <c r="BE1148">
        <v>0</v>
      </c>
      <c r="BF1148">
        <v>0</v>
      </c>
      <c r="BG1148">
        <v>0</v>
      </c>
      <c r="BH1148">
        <v>3475</v>
      </c>
      <c r="BI1148">
        <v>1</v>
      </c>
      <c r="BJ1148">
        <v>1</v>
      </c>
      <c r="BK1148">
        <v>0</v>
      </c>
      <c r="BL1148">
        <v>0</v>
      </c>
      <c r="BO1148">
        <v>0</v>
      </c>
      <c r="BP1148">
        <v>0</v>
      </c>
      <c r="BW1148" t="str">
        <f>"22:14:17.644"</f>
        <v>22:14:17.644</v>
      </c>
      <c r="CJ1148">
        <v>0</v>
      </c>
      <c r="CK1148">
        <v>1</v>
      </c>
      <c r="CL1148">
        <v>2</v>
      </c>
      <c r="CM1148">
        <v>2</v>
      </c>
      <c r="CN1148">
        <v>0</v>
      </c>
      <c r="CO1148">
        <v>7</v>
      </c>
      <c r="CP1148" t="s">
        <v>119</v>
      </c>
      <c r="CQ1148">
        <v>364</v>
      </c>
      <c r="CR1148">
        <v>0</v>
      </c>
      <c r="CW1148">
        <v>1408049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1</v>
      </c>
      <c r="DH1148">
        <v>0</v>
      </c>
      <c r="DI1148">
        <v>0</v>
      </c>
    </row>
    <row r="1149" spans="1:113" x14ac:dyDescent="0.3">
      <c r="A1149" t="str">
        <f>"03/24/2022 22:14:17.869"</f>
        <v>03/24/2022 22:14:17.869</v>
      </c>
      <c r="C1149" t="str">
        <f t="shared" si="333"/>
        <v>FFDFD3C0</v>
      </c>
      <c r="D1149" t="s">
        <v>113</v>
      </c>
      <c r="E1149">
        <v>24</v>
      </c>
      <c r="F1149">
        <v>2024</v>
      </c>
      <c r="G1149" t="s">
        <v>114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S1149" t="str">
        <f t="shared" si="344"/>
        <v>22:14:17.000</v>
      </c>
      <c r="T1149" t="str">
        <f t="shared" si="344"/>
        <v>22:14:17.000</v>
      </c>
      <c r="U1149" t="str">
        <f t="shared" si="327"/>
        <v>A9D71F</v>
      </c>
      <c r="V1149">
        <v>0</v>
      </c>
      <c r="W1149">
        <v>0</v>
      </c>
      <c r="X1149">
        <v>2</v>
      </c>
      <c r="Z1149">
        <v>1</v>
      </c>
      <c r="AA1149">
        <v>6</v>
      </c>
      <c r="AB1149">
        <v>3</v>
      </c>
      <c r="AC1149">
        <v>0</v>
      </c>
      <c r="AD1149">
        <v>9</v>
      </c>
      <c r="AE1149">
        <v>0</v>
      </c>
      <c r="AF1149">
        <v>3</v>
      </c>
      <c r="AG1149">
        <v>1</v>
      </c>
      <c r="AH1149">
        <v>0</v>
      </c>
      <c r="AI1149" t="s">
        <v>622</v>
      </c>
      <c r="AJ1149">
        <v>33.132705999999999</v>
      </c>
      <c r="AK1149" t="s">
        <v>623</v>
      </c>
      <c r="AL1149">
        <v>-97.709526999999994</v>
      </c>
      <c r="AM1149">
        <v>25</v>
      </c>
      <c r="AN1149">
        <v>3500</v>
      </c>
      <c r="AO1149" t="s">
        <v>118</v>
      </c>
      <c r="AP1149">
        <v>46</v>
      </c>
      <c r="AQ1149">
        <v>-96</v>
      </c>
      <c r="AR1149">
        <v>-64</v>
      </c>
      <c r="AZ1149">
        <v>1200</v>
      </c>
      <c r="BA1149">
        <v>1</v>
      </c>
      <c r="BB1149" t="str">
        <f t="shared" si="334"/>
        <v xml:space="preserve">N733KP  </v>
      </c>
      <c r="BC1149">
        <v>1</v>
      </c>
      <c r="BE1149">
        <v>0</v>
      </c>
      <c r="BF1149">
        <v>0</v>
      </c>
      <c r="BG1149">
        <v>0</v>
      </c>
      <c r="BH1149">
        <v>3475</v>
      </c>
      <c r="BI1149">
        <v>1</v>
      </c>
      <c r="BJ1149">
        <v>1</v>
      </c>
      <c r="BK1149">
        <v>0</v>
      </c>
      <c r="BL1149">
        <v>0</v>
      </c>
      <c r="BO1149">
        <v>0</v>
      </c>
      <c r="BP1149">
        <v>0</v>
      </c>
      <c r="BW1149" t="str">
        <f>"22:14:17.644"</f>
        <v>22:14:17.644</v>
      </c>
      <c r="CJ1149">
        <v>0</v>
      </c>
      <c r="CK1149">
        <v>1</v>
      </c>
      <c r="CL1149">
        <v>2</v>
      </c>
      <c r="CM1149">
        <v>2</v>
      </c>
      <c r="CN1149">
        <v>0</v>
      </c>
      <c r="CO1149">
        <v>7</v>
      </c>
      <c r="CP1149" t="s">
        <v>119</v>
      </c>
      <c r="CQ1149">
        <v>364</v>
      </c>
      <c r="CR1149">
        <v>0</v>
      </c>
      <c r="CW1149">
        <v>1408049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1</v>
      </c>
      <c r="DH1149">
        <v>0</v>
      </c>
      <c r="DI1149">
        <v>0</v>
      </c>
    </row>
    <row r="1150" spans="1:113" x14ac:dyDescent="0.3">
      <c r="A1150" t="str">
        <f>"03/24/2022 22:14:17.869"</f>
        <v>03/24/2022 22:14:17.869</v>
      </c>
      <c r="C1150" t="str">
        <f t="shared" si="333"/>
        <v>FFDFD3C0</v>
      </c>
      <c r="D1150" t="s">
        <v>126</v>
      </c>
      <c r="E1150">
        <v>3</v>
      </c>
      <c r="H1150">
        <v>160</v>
      </c>
      <c r="I1150" t="s">
        <v>121</v>
      </c>
      <c r="J1150" t="s">
        <v>127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S1150" t="str">
        <f t="shared" si="344"/>
        <v>22:14:17.000</v>
      </c>
      <c r="T1150" t="str">
        <f t="shared" si="344"/>
        <v>22:14:17.000</v>
      </c>
      <c r="U1150" t="str">
        <f t="shared" si="327"/>
        <v>A9D71F</v>
      </c>
      <c r="V1150">
        <v>0</v>
      </c>
      <c r="W1150">
        <v>0</v>
      </c>
      <c r="X1150">
        <v>2</v>
      </c>
      <c r="Z1150">
        <v>1</v>
      </c>
      <c r="AA1150">
        <v>6</v>
      </c>
      <c r="AB1150">
        <v>3</v>
      </c>
      <c r="AC1150">
        <v>0</v>
      </c>
      <c r="AD1150">
        <v>9</v>
      </c>
      <c r="AE1150">
        <v>0</v>
      </c>
      <c r="AF1150">
        <v>3</v>
      </c>
      <c r="AG1150">
        <v>1</v>
      </c>
      <c r="AH1150">
        <v>0</v>
      </c>
      <c r="AI1150" t="s">
        <v>622</v>
      </c>
      <c r="AJ1150">
        <v>33.132705999999999</v>
      </c>
      <c r="AK1150" t="s">
        <v>623</v>
      </c>
      <c r="AL1150">
        <v>-97.709526999999994</v>
      </c>
      <c r="AM1150">
        <v>25</v>
      </c>
      <c r="AN1150">
        <v>3500</v>
      </c>
      <c r="AO1150" t="s">
        <v>118</v>
      </c>
      <c r="AP1150">
        <v>46</v>
      </c>
      <c r="AQ1150">
        <v>-96</v>
      </c>
      <c r="AR1150">
        <v>-64</v>
      </c>
      <c r="AZ1150">
        <v>1200</v>
      </c>
      <c r="BA1150">
        <v>1</v>
      </c>
      <c r="BB1150" t="str">
        <f t="shared" si="334"/>
        <v xml:space="preserve">N733KP  </v>
      </c>
      <c r="BC1150">
        <v>1</v>
      </c>
      <c r="BE1150">
        <v>0</v>
      </c>
      <c r="BF1150">
        <v>0</v>
      </c>
      <c r="BG1150">
        <v>0</v>
      </c>
      <c r="BH1150">
        <v>3475</v>
      </c>
      <c r="BI1150">
        <v>1</v>
      </c>
      <c r="BJ1150">
        <v>1</v>
      </c>
      <c r="BK1150">
        <v>0</v>
      </c>
      <c r="BL1150">
        <v>0</v>
      </c>
      <c r="BO1150">
        <v>0</v>
      </c>
      <c r="BP1150">
        <v>0</v>
      </c>
      <c r="BW1150" t="str">
        <f>"22:14:17.644"</f>
        <v>22:14:17.644</v>
      </c>
      <c r="CJ1150">
        <v>0</v>
      </c>
      <c r="CK1150">
        <v>1</v>
      </c>
      <c r="CL1150">
        <v>2</v>
      </c>
      <c r="CM1150">
        <v>2</v>
      </c>
      <c r="CN1150">
        <v>0</v>
      </c>
      <c r="CO1150">
        <v>7</v>
      </c>
      <c r="CP1150" t="s">
        <v>119</v>
      </c>
      <c r="CQ1150">
        <v>364</v>
      </c>
      <c r="CR1150">
        <v>0</v>
      </c>
      <c r="CW1150">
        <v>1408049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1</v>
      </c>
      <c r="DH1150">
        <v>0</v>
      </c>
      <c r="DI1150">
        <v>0</v>
      </c>
    </row>
    <row r="1151" spans="1:113" x14ac:dyDescent="0.3">
      <c r="A1151" t="str">
        <f>"03/24/2022 22:14:19.121"</f>
        <v>03/24/2022 22:14:19.121</v>
      </c>
      <c r="C1151" t="str">
        <f t="shared" si="333"/>
        <v>FFDFD3C0</v>
      </c>
      <c r="D1151" t="s">
        <v>126</v>
      </c>
      <c r="E1151">
        <v>3</v>
      </c>
      <c r="H1151">
        <v>160</v>
      </c>
      <c r="I1151" t="s">
        <v>121</v>
      </c>
      <c r="J1151" t="s">
        <v>127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S1151" t="str">
        <f t="shared" ref="S1151:T1154" si="345">"22:14:18.000"</f>
        <v>22:14:18.000</v>
      </c>
      <c r="T1151" t="str">
        <f t="shared" si="345"/>
        <v>22:14:18.000</v>
      </c>
      <c r="U1151" t="str">
        <f t="shared" si="327"/>
        <v>A9D71F</v>
      </c>
      <c r="V1151">
        <v>0</v>
      </c>
      <c r="W1151">
        <v>0</v>
      </c>
      <c r="X1151">
        <v>2</v>
      </c>
      <c r="Z1151">
        <v>1</v>
      </c>
      <c r="AA1151">
        <v>7</v>
      </c>
      <c r="AB1151">
        <v>3</v>
      </c>
      <c r="AC1151">
        <v>0</v>
      </c>
      <c r="AD1151">
        <v>9</v>
      </c>
      <c r="AE1151">
        <v>0</v>
      </c>
      <c r="AF1151">
        <v>3</v>
      </c>
      <c r="AG1151">
        <v>1</v>
      </c>
      <c r="AH1151">
        <v>0</v>
      </c>
      <c r="AI1151" t="s">
        <v>624</v>
      </c>
      <c r="AJ1151">
        <v>33.132255000000001</v>
      </c>
      <c r="AK1151" t="s">
        <v>625</v>
      </c>
      <c r="AL1151">
        <v>-97.709270000000004</v>
      </c>
      <c r="AM1151">
        <v>25</v>
      </c>
      <c r="AN1151">
        <v>3500</v>
      </c>
      <c r="AO1151" t="s">
        <v>118</v>
      </c>
      <c r="AP1151">
        <v>47</v>
      </c>
      <c r="AQ1151">
        <v>-96</v>
      </c>
      <c r="AR1151">
        <v>-64</v>
      </c>
      <c r="AZ1151">
        <v>1200</v>
      </c>
      <c r="BA1151">
        <v>1</v>
      </c>
      <c r="BB1151" t="str">
        <f t="shared" si="334"/>
        <v xml:space="preserve">N733KP  </v>
      </c>
      <c r="BC1151">
        <v>1</v>
      </c>
      <c r="BE1151">
        <v>0</v>
      </c>
      <c r="BF1151">
        <v>0</v>
      </c>
      <c r="BG1151">
        <v>0</v>
      </c>
      <c r="BH1151">
        <v>3475</v>
      </c>
      <c r="BI1151">
        <v>1</v>
      </c>
      <c r="BJ1151">
        <v>1</v>
      </c>
      <c r="BK1151">
        <v>0</v>
      </c>
      <c r="BL1151">
        <v>0</v>
      </c>
      <c r="BO1151">
        <v>0</v>
      </c>
      <c r="BP1151">
        <v>0</v>
      </c>
      <c r="BW1151" t="str">
        <f>"22:14:18.839"</f>
        <v>22:14:18.839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6</v>
      </c>
      <c r="CP1151" t="s">
        <v>119</v>
      </c>
      <c r="CQ1151">
        <v>364</v>
      </c>
      <c r="CR1151">
        <v>0</v>
      </c>
      <c r="CW1151">
        <v>1408243</v>
      </c>
      <c r="CY1151">
        <v>1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"03/24/2022 22:14:19.121"</f>
        <v>03/24/2022 22:14:19.121</v>
      </c>
      <c r="C1152" t="str">
        <f t="shared" si="333"/>
        <v>FFDFD3C0</v>
      </c>
      <c r="D1152" t="s">
        <v>113</v>
      </c>
      <c r="E1152">
        <v>24</v>
      </c>
      <c r="F1152">
        <v>2024</v>
      </c>
      <c r="G1152" t="s">
        <v>114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S1152" t="str">
        <f t="shared" si="345"/>
        <v>22:14:18.000</v>
      </c>
      <c r="T1152" t="str">
        <f t="shared" si="345"/>
        <v>22:14:18.000</v>
      </c>
      <c r="U1152" t="str">
        <f t="shared" si="327"/>
        <v>A9D71F</v>
      </c>
      <c r="V1152">
        <v>0</v>
      </c>
      <c r="W1152">
        <v>0</v>
      </c>
      <c r="X1152">
        <v>2</v>
      </c>
      <c r="Z1152">
        <v>1</v>
      </c>
      <c r="AA1152">
        <v>7</v>
      </c>
      <c r="AB1152">
        <v>3</v>
      </c>
      <c r="AC1152">
        <v>0</v>
      </c>
      <c r="AD1152">
        <v>9</v>
      </c>
      <c r="AE1152">
        <v>0</v>
      </c>
      <c r="AF1152">
        <v>3</v>
      </c>
      <c r="AG1152">
        <v>1</v>
      </c>
      <c r="AH1152">
        <v>0</v>
      </c>
      <c r="AI1152" t="s">
        <v>624</v>
      </c>
      <c r="AJ1152">
        <v>33.132255000000001</v>
      </c>
      <c r="AK1152" t="s">
        <v>625</v>
      </c>
      <c r="AL1152">
        <v>-97.709270000000004</v>
      </c>
      <c r="AM1152">
        <v>25</v>
      </c>
      <c r="AN1152">
        <v>3500</v>
      </c>
      <c r="AO1152" t="s">
        <v>118</v>
      </c>
      <c r="AP1152">
        <v>47</v>
      </c>
      <c r="AQ1152">
        <v>-96</v>
      </c>
      <c r="AR1152">
        <v>-64</v>
      </c>
      <c r="AZ1152">
        <v>1200</v>
      </c>
      <c r="BA1152">
        <v>1</v>
      </c>
      <c r="BB1152" t="str">
        <f t="shared" si="334"/>
        <v xml:space="preserve">N733KP  </v>
      </c>
      <c r="BC1152">
        <v>1</v>
      </c>
      <c r="BE1152">
        <v>0</v>
      </c>
      <c r="BF1152">
        <v>0</v>
      </c>
      <c r="BG1152">
        <v>0</v>
      </c>
      <c r="BH1152">
        <v>3475</v>
      </c>
      <c r="BI1152">
        <v>1</v>
      </c>
      <c r="BJ1152">
        <v>1</v>
      </c>
      <c r="BK1152">
        <v>0</v>
      </c>
      <c r="BL1152">
        <v>0</v>
      </c>
      <c r="BO1152">
        <v>0</v>
      </c>
      <c r="BP1152">
        <v>0</v>
      </c>
      <c r="BW1152" t="str">
        <f>"22:14:18.839"</f>
        <v>22:14:18.839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6</v>
      </c>
      <c r="CP1152" t="s">
        <v>119</v>
      </c>
      <c r="CQ1152">
        <v>364</v>
      </c>
      <c r="CR1152">
        <v>0</v>
      </c>
      <c r="CW1152">
        <v>1408243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"03/24/2022 22:14:19.121"</f>
        <v>03/24/2022 22:14:19.121</v>
      </c>
      <c r="C1153" t="str">
        <f t="shared" si="333"/>
        <v>FFDFD3C0</v>
      </c>
      <c r="D1153" t="s">
        <v>123</v>
      </c>
      <c r="E1153">
        <v>8</v>
      </c>
      <c r="H1153">
        <v>31</v>
      </c>
      <c r="I1153" t="s">
        <v>124</v>
      </c>
      <c r="J1153" t="s">
        <v>125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S1153" t="str">
        <f t="shared" si="345"/>
        <v>22:14:18.000</v>
      </c>
      <c r="T1153" t="str">
        <f t="shared" si="345"/>
        <v>22:14:18.000</v>
      </c>
      <c r="U1153" t="str">
        <f t="shared" si="327"/>
        <v>A9D71F</v>
      </c>
      <c r="V1153">
        <v>0</v>
      </c>
      <c r="W1153">
        <v>0</v>
      </c>
      <c r="X1153">
        <v>2</v>
      </c>
      <c r="Z1153">
        <v>1</v>
      </c>
      <c r="AA1153">
        <v>7</v>
      </c>
      <c r="AB1153">
        <v>3</v>
      </c>
      <c r="AC1153">
        <v>0</v>
      </c>
      <c r="AD1153">
        <v>9</v>
      </c>
      <c r="AE1153">
        <v>0</v>
      </c>
      <c r="AF1153">
        <v>3</v>
      </c>
      <c r="AG1153">
        <v>1</v>
      </c>
      <c r="AH1153">
        <v>0</v>
      </c>
      <c r="AI1153" t="s">
        <v>624</v>
      </c>
      <c r="AJ1153">
        <v>33.132255000000001</v>
      </c>
      <c r="AK1153" t="s">
        <v>625</v>
      </c>
      <c r="AL1153">
        <v>-97.709270000000004</v>
      </c>
      <c r="AM1153">
        <v>25</v>
      </c>
      <c r="AN1153">
        <v>3500</v>
      </c>
      <c r="AO1153" t="s">
        <v>118</v>
      </c>
      <c r="AP1153">
        <v>47</v>
      </c>
      <c r="AQ1153">
        <v>-96</v>
      </c>
      <c r="AR1153">
        <v>-64</v>
      </c>
      <c r="AZ1153">
        <v>1200</v>
      </c>
      <c r="BA1153">
        <v>1</v>
      </c>
      <c r="BB1153" t="str">
        <f t="shared" si="334"/>
        <v xml:space="preserve">N733KP  </v>
      </c>
      <c r="BC1153">
        <v>1</v>
      </c>
      <c r="BE1153">
        <v>0</v>
      </c>
      <c r="BF1153">
        <v>0</v>
      </c>
      <c r="BG1153">
        <v>0</v>
      </c>
      <c r="BH1153">
        <v>3475</v>
      </c>
      <c r="BI1153">
        <v>1</v>
      </c>
      <c r="BJ1153">
        <v>1</v>
      </c>
      <c r="BK1153">
        <v>0</v>
      </c>
      <c r="BL1153">
        <v>0</v>
      </c>
      <c r="BO1153">
        <v>0</v>
      </c>
      <c r="BP1153">
        <v>0</v>
      </c>
      <c r="BW1153" t="str">
        <f>"22:14:18.839"</f>
        <v>22:14:18.839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6</v>
      </c>
      <c r="CP1153" t="s">
        <v>119</v>
      </c>
      <c r="CQ1153">
        <v>364</v>
      </c>
      <c r="CR1153">
        <v>0</v>
      </c>
      <c r="CW1153">
        <v>1408243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"03/24/2022 22:14:19.121"</f>
        <v>03/24/2022 22:14:19.121</v>
      </c>
      <c r="C1154" t="str">
        <f t="shared" si="333"/>
        <v>FFDFD3C0</v>
      </c>
      <c r="D1154" t="s">
        <v>120</v>
      </c>
      <c r="E1154">
        <v>14</v>
      </c>
      <c r="F1154">
        <v>1014</v>
      </c>
      <c r="G1154" t="s">
        <v>121</v>
      </c>
      <c r="J1154" t="s">
        <v>122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S1154" t="str">
        <f t="shared" si="345"/>
        <v>22:14:18.000</v>
      </c>
      <c r="T1154" t="str">
        <f t="shared" si="345"/>
        <v>22:14:18.000</v>
      </c>
      <c r="U1154" t="str">
        <f t="shared" ref="U1154:U1217" si="346">"A9D71F"</f>
        <v>A9D71F</v>
      </c>
      <c r="V1154">
        <v>0</v>
      </c>
      <c r="W1154">
        <v>0</v>
      </c>
      <c r="X1154">
        <v>2</v>
      </c>
      <c r="Z1154">
        <v>1</v>
      </c>
      <c r="AA1154">
        <v>7</v>
      </c>
      <c r="AB1154">
        <v>3</v>
      </c>
      <c r="AC1154">
        <v>0</v>
      </c>
      <c r="AD1154">
        <v>9</v>
      </c>
      <c r="AE1154">
        <v>0</v>
      </c>
      <c r="AF1154">
        <v>3</v>
      </c>
      <c r="AG1154">
        <v>1</v>
      </c>
      <c r="AH1154">
        <v>0</v>
      </c>
      <c r="AI1154" t="s">
        <v>624</v>
      </c>
      <c r="AJ1154">
        <v>33.132255000000001</v>
      </c>
      <c r="AK1154" t="s">
        <v>625</v>
      </c>
      <c r="AL1154">
        <v>-97.709270000000004</v>
      </c>
      <c r="AM1154">
        <v>25</v>
      </c>
      <c r="AN1154">
        <v>3500</v>
      </c>
      <c r="AO1154" t="s">
        <v>118</v>
      </c>
      <c r="AP1154">
        <v>47</v>
      </c>
      <c r="AQ1154">
        <v>-96</v>
      </c>
      <c r="AR1154">
        <v>-64</v>
      </c>
      <c r="AZ1154">
        <v>1200</v>
      </c>
      <c r="BA1154">
        <v>1</v>
      </c>
      <c r="BB1154" t="str">
        <f t="shared" si="334"/>
        <v xml:space="preserve">N733KP  </v>
      </c>
      <c r="BC1154">
        <v>1</v>
      </c>
      <c r="BE1154">
        <v>0</v>
      </c>
      <c r="BF1154">
        <v>0</v>
      </c>
      <c r="BG1154">
        <v>0</v>
      </c>
      <c r="BH1154">
        <v>3475</v>
      </c>
      <c r="BI1154">
        <v>1</v>
      </c>
      <c r="BJ1154">
        <v>1</v>
      </c>
      <c r="BK1154">
        <v>0</v>
      </c>
      <c r="BL1154">
        <v>0</v>
      </c>
      <c r="BO1154">
        <v>0</v>
      </c>
      <c r="BP1154">
        <v>0</v>
      </c>
      <c r="BW1154" t="str">
        <f>"22:14:18.839"</f>
        <v>22:14:18.839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6</v>
      </c>
      <c r="CP1154" t="s">
        <v>119</v>
      </c>
      <c r="CQ1154">
        <v>364</v>
      </c>
      <c r="CR1154">
        <v>0</v>
      </c>
      <c r="CW1154">
        <v>1408243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"03/24/2022 22:14:20.137"</f>
        <v>03/24/2022 22:14:20.137</v>
      </c>
      <c r="C1155" t="str">
        <f t="shared" si="333"/>
        <v>FFDFD3C0</v>
      </c>
      <c r="D1155" t="s">
        <v>120</v>
      </c>
      <c r="E1155">
        <v>14</v>
      </c>
      <c r="F1155">
        <v>1014</v>
      </c>
      <c r="G1155" t="s">
        <v>121</v>
      </c>
      <c r="J1155" t="s">
        <v>122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S1155" t="str">
        <f t="shared" ref="S1155:T1158" si="347">"22:14:19.000"</f>
        <v>22:14:19.000</v>
      </c>
      <c r="T1155" t="str">
        <f t="shared" si="347"/>
        <v>22:14:19.000</v>
      </c>
      <c r="U1155" t="str">
        <f t="shared" si="346"/>
        <v>A9D71F</v>
      </c>
      <c r="V1155">
        <v>0</v>
      </c>
      <c r="W1155">
        <v>0</v>
      </c>
      <c r="X1155">
        <v>2</v>
      </c>
      <c r="Z1155">
        <v>1</v>
      </c>
      <c r="AA1155">
        <v>7</v>
      </c>
      <c r="AB1155">
        <v>3</v>
      </c>
      <c r="AC1155">
        <v>0</v>
      </c>
      <c r="AD1155">
        <v>9</v>
      </c>
      <c r="AE1155">
        <v>0</v>
      </c>
      <c r="AF1155">
        <v>3</v>
      </c>
      <c r="AG1155">
        <v>1</v>
      </c>
      <c r="AH1155">
        <v>0</v>
      </c>
      <c r="AI1155" t="s">
        <v>626</v>
      </c>
      <c r="AJ1155">
        <v>33.131804000000002</v>
      </c>
      <c r="AK1155" t="s">
        <v>627</v>
      </c>
      <c r="AL1155">
        <v>-97.708990999999997</v>
      </c>
      <c r="AM1155">
        <v>25</v>
      </c>
      <c r="AN1155">
        <v>3500</v>
      </c>
      <c r="AO1155" t="s">
        <v>118</v>
      </c>
      <c r="AP1155">
        <v>46</v>
      </c>
      <c r="AQ1155">
        <v>-95</v>
      </c>
      <c r="AR1155">
        <v>-128</v>
      </c>
      <c r="AZ1155">
        <v>1200</v>
      </c>
      <c r="BA1155">
        <v>1</v>
      </c>
      <c r="BB1155" t="str">
        <f t="shared" si="334"/>
        <v xml:space="preserve">N733KP  </v>
      </c>
      <c r="BC1155">
        <v>1</v>
      </c>
      <c r="BE1155">
        <v>0</v>
      </c>
      <c r="BF1155">
        <v>0</v>
      </c>
      <c r="BG1155">
        <v>0</v>
      </c>
      <c r="BH1155">
        <v>3475</v>
      </c>
      <c r="BI1155">
        <v>1</v>
      </c>
      <c r="BJ1155">
        <v>1</v>
      </c>
      <c r="BK1155">
        <v>0</v>
      </c>
      <c r="BL1155">
        <v>0</v>
      </c>
      <c r="BO1155">
        <v>0</v>
      </c>
      <c r="BP1155">
        <v>0</v>
      </c>
      <c r="BW1155" t="str">
        <f>"22:14:19.935"</f>
        <v>22:14:19.935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364</v>
      </c>
      <c r="CR1155">
        <v>0</v>
      </c>
      <c r="CW1155">
        <v>1408417</v>
      </c>
      <c r="CY1155">
        <v>1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"03/24/2022 22:14:20.137"</f>
        <v>03/24/2022 22:14:20.137</v>
      </c>
      <c r="C1156" t="str">
        <f t="shared" si="333"/>
        <v>FFDFD3C0</v>
      </c>
      <c r="D1156" t="s">
        <v>126</v>
      </c>
      <c r="E1156">
        <v>3</v>
      </c>
      <c r="H1156">
        <v>160</v>
      </c>
      <c r="I1156" t="s">
        <v>121</v>
      </c>
      <c r="J1156" t="s">
        <v>127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S1156" t="str">
        <f t="shared" si="347"/>
        <v>22:14:19.000</v>
      </c>
      <c r="T1156" t="str">
        <f t="shared" si="347"/>
        <v>22:14:19.000</v>
      </c>
      <c r="U1156" t="str">
        <f t="shared" si="346"/>
        <v>A9D71F</v>
      </c>
      <c r="V1156">
        <v>0</v>
      </c>
      <c r="W1156">
        <v>0</v>
      </c>
      <c r="X1156">
        <v>2</v>
      </c>
      <c r="Z1156">
        <v>1</v>
      </c>
      <c r="AA1156">
        <v>7</v>
      </c>
      <c r="AB1156">
        <v>3</v>
      </c>
      <c r="AC1156">
        <v>0</v>
      </c>
      <c r="AD1156">
        <v>9</v>
      </c>
      <c r="AE1156">
        <v>0</v>
      </c>
      <c r="AF1156">
        <v>3</v>
      </c>
      <c r="AG1156">
        <v>1</v>
      </c>
      <c r="AH1156">
        <v>0</v>
      </c>
      <c r="AI1156" t="s">
        <v>626</v>
      </c>
      <c r="AJ1156">
        <v>33.131804000000002</v>
      </c>
      <c r="AK1156" t="s">
        <v>627</v>
      </c>
      <c r="AL1156">
        <v>-97.708990999999997</v>
      </c>
      <c r="AM1156">
        <v>25</v>
      </c>
      <c r="AN1156">
        <v>3500</v>
      </c>
      <c r="AO1156" t="s">
        <v>118</v>
      </c>
      <c r="AP1156">
        <v>46</v>
      </c>
      <c r="AQ1156">
        <v>-95</v>
      </c>
      <c r="AR1156">
        <v>-128</v>
      </c>
      <c r="AZ1156">
        <v>1200</v>
      </c>
      <c r="BA1156">
        <v>1</v>
      </c>
      <c r="BB1156" t="str">
        <f t="shared" si="334"/>
        <v xml:space="preserve">N733KP  </v>
      </c>
      <c r="BC1156">
        <v>1</v>
      </c>
      <c r="BE1156">
        <v>0</v>
      </c>
      <c r="BF1156">
        <v>0</v>
      </c>
      <c r="BG1156">
        <v>0</v>
      </c>
      <c r="BH1156">
        <v>3475</v>
      </c>
      <c r="BI1156">
        <v>1</v>
      </c>
      <c r="BJ1156">
        <v>1</v>
      </c>
      <c r="BK1156">
        <v>0</v>
      </c>
      <c r="BL1156">
        <v>0</v>
      </c>
      <c r="BO1156">
        <v>0</v>
      </c>
      <c r="BP1156">
        <v>0</v>
      </c>
      <c r="BW1156" t="str">
        <f>"22:14:19.935"</f>
        <v>22:14:19.935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364</v>
      </c>
      <c r="CR1156">
        <v>0</v>
      </c>
      <c r="CW1156">
        <v>1408417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"03/24/2022 22:14:20.137"</f>
        <v>03/24/2022 22:14:20.137</v>
      </c>
      <c r="C1157" t="str">
        <f t="shared" si="333"/>
        <v>FFDFD3C0</v>
      </c>
      <c r="D1157" t="s">
        <v>113</v>
      </c>
      <c r="E1157">
        <v>24</v>
      </c>
      <c r="F1157">
        <v>2024</v>
      </c>
      <c r="G1157" t="s">
        <v>114</v>
      </c>
      <c r="J1157" t="s">
        <v>115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S1157" t="str">
        <f t="shared" si="347"/>
        <v>22:14:19.000</v>
      </c>
      <c r="T1157" t="str">
        <f t="shared" si="347"/>
        <v>22:14:19.000</v>
      </c>
      <c r="U1157" t="str">
        <f t="shared" si="346"/>
        <v>A9D71F</v>
      </c>
      <c r="V1157">
        <v>0</v>
      </c>
      <c r="W1157">
        <v>0</v>
      </c>
      <c r="X1157">
        <v>2</v>
      </c>
      <c r="Z1157">
        <v>1</v>
      </c>
      <c r="AA1157">
        <v>7</v>
      </c>
      <c r="AB1157">
        <v>3</v>
      </c>
      <c r="AC1157">
        <v>0</v>
      </c>
      <c r="AD1157">
        <v>9</v>
      </c>
      <c r="AE1157">
        <v>0</v>
      </c>
      <c r="AF1157">
        <v>3</v>
      </c>
      <c r="AG1157">
        <v>1</v>
      </c>
      <c r="AH1157">
        <v>0</v>
      </c>
      <c r="AI1157" t="s">
        <v>626</v>
      </c>
      <c r="AJ1157">
        <v>33.131804000000002</v>
      </c>
      <c r="AK1157" t="s">
        <v>627</v>
      </c>
      <c r="AL1157">
        <v>-97.708990999999997</v>
      </c>
      <c r="AM1157">
        <v>25</v>
      </c>
      <c r="AN1157">
        <v>3500</v>
      </c>
      <c r="AO1157" t="s">
        <v>118</v>
      </c>
      <c r="AP1157">
        <v>46</v>
      </c>
      <c r="AQ1157">
        <v>-95</v>
      </c>
      <c r="AR1157">
        <v>-128</v>
      </c>
      <c r="AZ1157">
        <v>1200</v>
      </c>
      <c r="BA1157">
        <v>1</v>
      </c>
      <c r="BB1157" t="str">
        <f t="shared" si="334"/>
        <v xml:space="preserve">N733KP  </v>
      </c>
      <c r="BC1157">
        <v>1</v>
      </c>
      <c r="BE1157">
        <v>0</v>
      </c>
      <c r="BF1157">
        <v>0</v>
      </c>
      <c r="BG1157">
        <v>0</v>
      </c>
      <c r="BH1157">
        <v>3475</v>
      </c>
      <c r="BI1157">
        <v>1</v>
      </c>
      <c r="BJ1157">
        <v>1</v>
      </c>
      <c r="BK1157">
        <v>0</v>
      </c>
      <c r="BL1157">
        <v>0</v>
      </c>
      <c r="BO1157">
        <v>0</v>
      </c>
      <c r="BP1157">
        <v>0</v>
      </c>
      <c r="BW1157" t="str">
        <f>"22:14:19.935"</f>
        <v>22:14:19.935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364</v>
      </c>
      <c r="CR1157">
        <v>0</v>
      </c>
      <c r="CW1157">
        <v>1408417</v>
      </c>
      <c r="CY1157">
        <v>1</v>
      </c>
      <c r="CZ1157">
        <v>0</v>
      </c>
      <c r="DA1157">
        <v>1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"03/24/2022 22:14:20.137"</f>
        <v>03/24/2022 22:14:20.137</v>
      </c>
      <c r="C1158" t="str">
        <f t="shared" si="333"/>
        <v>FFDFD3C0</v>
      </c>
      <c r="D1158" t="s">
        <v>123</v>
      </c>
      <c r="E1158">
        <v>8</v>
      </c>
      <c r="H1158">
        <v>31</v>
      </c>
      <c r="I1158" t="s">
        <v>124</v>
      </c>
      <c r="J1158" t="s">
        <v>125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S1158" t="str">
        <f t="shared" si="347"/>
        <v>22:14:19.000</v>
      </c>
      <c r="T1158" t="str">
        <f t="shared" si="347"/>
        <v>22:14:19.000</v>
      </c>
      <c r="U1158" t="str">
        <f t="shared" si="346"/>
        <v>A9D71F</v>
      </c>
      <c r="V1158">
        <v>0</v>
      </c>
      <c r="W1158">
        <v>0</v>
      </c>
      <c r="X1158">
        <v>2</v>
      </c>
      <c r="Z1158">
        <v>1</v>
      </c>
      <c r="AA1158">
        <v>7</v>
      </c>
      <c r="AB1158">
        <v>3</v>
      </c>
      <c r="AC1158">
        <v>0</v>
      </c>
      <c r="AD1158">
        <v>9</v>
      </c>
      <c r="AE1158">
        <v>0</v>
      </c>
      <c r="AF1158">
        <v>3</v>
      </c>
      <c r="AG1158">
        <v>1</v>
      </c>
      <c r="AH1158">
        <v>0</v>
      </c>
      <c r="AI1158" t="s">
        <v>626</v>
      </c>
      <c r="AJ1158">
        <v>33.131804000000002</v>
      </c>
      <c r="AK1158" t="s">
        <v>627</v>
      </c>
      <c r="AL1158">
        <v>-97.708990999999997</v>
      </c>
      <c r="AM1158">
        <v>25</v>
      </c>
      <c r="AN1158">
        <v>3500</v>
      </c>
      <c r="AO1158" t="s">
        <v>118</v>
      </c>
      <c r="AP1158">
        <v>46</v>
      </c>
      <c r="AQ1158">
        <v>-95</v>
      </c>
      <c r="AR1158">
        <v>-128</v>
      </c>
      <c r="AZ1158">
        <v>1200</v>
      </c>
      <c r="BA1158">
        <v>1</v>
      </c>
      <c r="BB1158" t="str">
        <f t="shared" si="334"/>
        <v xml:space="preserve">N733KP  </v>
      </c>
      <c r="BC1158">
        <v>1</v>
      </c>
      <c r="BE1158">
        <v>0</v>
      </c>
      <c r="BF1158">
        <v>0</v>
      </c>
      <c r="BG1158">
        <v>0</v>
      </c>
      <c r="BH1158">
        <v>3475</v>
      </c>
      <c r="BI1158">
        <v>1</v>
      </c>
      <c r="BJ1158">
        <v>1</v>
      </c>
      <c r="BK1158">
        <v>0</v>
      </c>
      <c r="BL1158">
        <v>0</v>
      </c>
      <c r="BO1158">
        <v>0</v>
      </c>
      <c r="BP1158">
        <v>0</v>
      </c>
      <c r="BW1158" t="str">
        <f>"22:14:19.935"</f>
        <v>22:14:19.935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364</v>
      </c>
      <c r="CR1158">
        <v>0</v>
      </c>
      <c r="CW1158">
        <v>1408417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"03/24/2022 22:14:20.872"</f>
        <v>03/24/2022 22:14:20.872</v>
      </c>
      <c r="C1159" t="str">
        <f t="shared" si="333"/>
        <v>FFDFD3C0</v>
      </c>
      <c r="D1159" t="s">
        <v>120</v>
      </c>
      <c r="E1159">
        <v>14</v>
      </c>
      <c r="F1159">
        <v>1014</v>
      </c>
      <c r="G1159" t="s">
        <v>121</v>
      </c>
      <c r="J1159" t="s">
        <v>122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S1159" t="str">
        <f t="shared" ref="S1159:T1161" si="348">"22:14:20.000"</f>
        <v>22:14:20.000</v>
      </c>
      <c r="T1159" t="str">
        <f t="shared" si="348"/>
        <v>22:14:20.000</v>
      </c>
      <c r="U1159" t="str">
        <f t="shared" si="346"/>
        <v>A9D71F</v>
      </c>
      <c r="V1159">
        <v>0</v>
      </c>
      <c r="W1159">
        <v>0</v>
      </c>
      <c r="X1159">
        <v>2</v>
      </c>
      <c r="Z1159">
        <v>1</v>
      </c>
      <c r="AA1159">
        <v>7</v>
      </c>
      <c r="AB1159">
        <v>3</v>
      </c>
      <c r="AC1159">
        <v>0</v>
      </c>
      <c r="AD1159">
        <v>9</v>
      </c>
      <c r="AE1159">
        <v>0</v>
      </c>
      <c r="AF1159">
        <v>3</v>
      </c>
      <c r="AG1159">
        <v>1</v>
      </c>
      <c r="AH1159">
        <v>0</v>
      </c>
      <c r="AI1159" t="s">
        <v>628</v>
      </c>
      <c r="AJ1159">
        <v>33.131374999999998</v>
      </c>
      <c r="AK1159" t="s">
        <v>629</v>
      </c>
      <c r="AL1159">
        <v>-97.708776</v>
      </c>
      <c r="AM1159">
        <v>25</v>
      </c>
      <c r="AN1159">
        <v>3500</v>
      </c>
      <c r="AO1159" t="s">
        <v>118</v>
      </c>
      <c r="AP1159">
        <v>48</v>
      </c>
      <c r="AQ1159">
        <v>-96</v>
      </c>
      <c r="AR1159">
        <v>-128</v>
      </c>
      <c r="AZ1159">
        <v>1200</v>
      </c>
      <c r="BA1159">
        <v>1</v>
      </c>
      <c r="BB1159" t="str">
        <f t="shared" si="334"/>
        <v xml:space="preserve">N733KP  </v>
      </c>
      <c r="BC1159">
        <v>1</v>
      </c>
      <c r="BE1159">
        <v>0</v>
      </c>
      <c r="BF1159">
        <v>0</v>
      </c>
      <c r="BG1159">
        <v>0</v>
      </c>
      <c r="BH1159">
        <v>3450</v>
      </c>
      <c r="BI1159">
        <v>1</v>
      </c>
      <c r="BJ1159">
        <v>1</v>
      </c>
      <c r="BK1159">
        <v>0</v>
      </c>
      <c r="BL1159">
        <v>0</v>
      </c>
      <c r="BO1159">
        <v>0</v>
      </c>
      <c r="BP1159">
        <v>0</v>
      </c>
      <c r="BW1159" t="str">
        <f>"22:14:20.719"</f>
        <v>22:14:20.719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4</v>
      </c>
      <c r="CP1159" t="s">
        <v>119</v>
      </c>
      <c r="CQ1159">
        <v>439</v>
      </c>
      <c r="CR1159">
        <v>0</v>
      </c>
      <c r="CW1159">
        <v>11500976</v>
      </c>
      <c r="CY1159">
        <v>1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"03/24/2022 22:14:20.872"</f>
        <v>03/24/2022 22:14:20.872</v>
      </c>
      <c r="C1160" t="str">
        <f t="shared" si="333"/>
        <v>FFDFD3C0</v>
      </c>
      <c r="D1160" t="s">
        <v>126</v>
      </c>
      <c r="E1160">
        <v>3</v>
      </c>
      <c r="H1160">
        <v>160</v>
      </c>
      <c r="I1160" t="s">
        <v>121</v>
      </c>
      <c r="J1160" t="s">
        <v>127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S1160" t="str">
        <f t="shared" si="348"/>
        <v>22:14:20.000</v>
      </c>
      <c r="T1160" t="str">
        <f t="shared" si="348"/>
        <v>22:14:20.000</v>
      </c>
      <c r="U1160" t="str">
        <f t="shared" si="346"/>
        <v>A9D71F</v>
      </c>
      <c r="V1160">
        <v>0</v>
      </c>
      <c r="W1160">
        <v>0</v>
      </c>
      <c r="X1160">
        <v>2</v>
      </c>
      <c r="Z1160">
        <v>1</v>
      </c>
      <c r="AA1160">
        <v>7</v>
      </c>
      <c r="AB1160">
        <v>3</v>
      </c>
      <c r="AC1160">
        <v>0</v>
      </c>
      <c r="AD1160">
        <v>9</v>
      </c>
      <c r="AE1160">
        <v>0</v>
      </c>
      <c r="AF1160">
        <v>3</v>
      </c>
      <c r="AG1160">
        <v>1</v>
      </c>
      <c r="AH1160">
        <v>0</v>
      </c>
      <c r="AI1160" t="s">
        <v>628</v>
      </c>
      <c r="AJ1160">
        <v>33.131374999999998</v>
      </c>
      <c r="AK1160" t="s">
        <v>629</v>
      </c>
      <c r="AL1160">
        <v>-97.708776</v>
      </c>
      <c r="AM1160">
        <v>25</v>
      </c>
      <c r="AN1160">
        <v>3500</v>
      </c>
      <c r="AO1160" t="s">
        <v>118</v>
      </c>
      <c r="AP1160">
        <v>48</v>
      </c>
      <c r="AQ1160">
        <v>-96</v>
      </c>
      <c r="AR1160">
        <v>-128</v>
      </c>
      <c r="AZ1160">
        <v>1200</v>
      </c>
      <c r="BA1160">
        <v>1</v>
      </c>
      <c r="BB1160" t="str">
        <f t="shared" si="334"/>
        <v xml:space="preserve">N733KP  </v>
      </c>
      <c r="BC1160">
        <v>1</v>
      </c>
      <c r="BE1160">
        <v>0</v>
      </c>
      <c r="BF1160">
        <v>0</v>
      </c>
      <c r="BG1160">
        <v>0</v>
      </c>
      <c r="BH1160">
        <v>3450</v>
      </c>
      <c r="BI1160">
        <v>1</v>
      </c>
      <c r="BJ1160">
        <v>1</v>
      </c>
      <c r="BK1160">
        <v>0</v>
      </c>
      <c r="BL1160">
        <v>0</v>
      </c>
      <c r="BO1160">
        <v>0</v>
      </c>
      <c r="BP1160">
        <v>0</v>
      </c>
      <c r="BW1160" t="str">
        <f>"22:14:20.719"</f>
        <v>22:14:20.719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4</v>
      </c>
      <c r="CP1160" t="s">
        <v>119</v>
      </c>
      <c r="CQ1160">
        <v>439</v>
      </c>
      <c r="CR1160">
        <v>0</v>
      </c>
      <c r="CW1160">
        <v>11500976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"03/24/2022 22:14:20.872"</f>
        <v>03/24/2022 22:14:20.872</v>
      </c>
      <c r="C1161" t="str">
        <f t="shared" si="333"/>
        <v>FFDFD3C0</v>
      </c>
      <c r="D1161" t="s">
        <v>113</v>
      </c>
      <c r="E1161">
        <v>24</v>
      </c>
      <c r="F1161">
        <v>2024</v>
      </c>
      <c r="G1161" t="s">
        <v>114</v>
      </c>
      <c r="J1161" t="s">
        <v>115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S1161" t="str">
        <f t="shared" si="348"/>
        <v>22:14:20.000</v>
      </c>
      <c r="T1161" t="str">
        <f t="shared" si="348"/>
        <v>22:14:20.000</v>
      </c>
      <c r="U1161" t="str">
        <f t="shared" si="346"/>
        <v>A9D71F</v>
      </c>
      <c r="V1161">
        <v>0</v>
      </c>
      <c r="W1161">
        <v>0</v>
      </c>
      <c r="X1161">
        <v>2</v>
      </c>
      <c r="Z1161">
        <v>1</v>
      </c>
      <c r="AA1161">
        <v>7</v>
      </c>
      <c r="AB1161">
        <v>3</v>
      </c>
      <c r="AC1161">
        <v>0</v>
      </c>
      <c r="AD1161">
        <v>9</v>
      </c>
      <c r="AE1161">
        <v>0</v>
      </c>
      <c r="AF1161">
        <v>3</v>
      </c>
      <c r="AG1161">
        <v>1</v>
      </c>
      <c r="AH1161">
        <v>0</v>
      </c>
      <c r="AI1161" t="s">
        <v>628</v>
      </c>
      <c r="AJ1161">
        <v>33.131374999999998</v>
      </c>
      <c r="AK1161" t="s">
        <v>629</v>
      </c>
      <c r="AL1161">
        <v>-97.708776</v>
      </c>
      <c r="AM1161">
        <v>25</v>
      </c>
      <c r="AN1161">
        <v>3500</v>
      </c>
      <c r="AO1161" t="s">
        <v>118</v>
      </c>
      <c r="AP1161">
        <v>48</v>
      </c>
      <c r="AQ1161">
        <v>-96</v>
      </c>
      <c r="AR1161">
        <v>-128</v>
      </c>
      <c r="AZ1161">
        <v>1200</v>
      </c>
      <c r="BA1161">
        <v>1</v>
      </c>
      <c r="BB1161" t="str">
        <f t="shared" si="334"/>
        <v xml:space="preserve">N733KP  </v>
      </c>
      <c r="BC1161">
        <v>1</v>
      </c>
      <c r="BE1161">
        <v>0</v>
      </c>
      <c r="BF1161">
        <v>0</v>
      </c>
      <c r="BG1161">
        <v>0</v>
      </c>
      <c r="BH1161">
        <v>3450</v>
      </c>
      <c r="BI1161">
        <v>1</v>
      </c>
      <c r="BJ1161">
        <v>1</v>
      </c>
      <c r="BK1161">
        <v>0</v>
      </c>
      <c r="BL1161">
        <v>0</v>
      </c>
      <c r="BO1161">
        <v>0</v>
      </c>
      <c r="BP1161">
        <v>0</v>
      </c>
      <c r="BW1161" t="str">
        <f>"22:14:20.719"</f>
        <v>22:14:20.719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4</v>
      </c>
      <c r="CP1161" t="s">
        <v>119</v>
      </c>
      <c r="CQ1161">
        <v>439</v>
      </c>
      <c r="CR1161">
        <v>0</v>
      </c>
      <c r="CW1161">
        <v>11500976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"03/24/2022 22:14:21.403"</f>
        <v>03/24/2022 22:14:21.403</v>
      </c>
      <c r="C1162" t="str">
        <f t="shared" si="333"/>
        <v>FFDFD3C0</v>
      </c>
      <c r="D1162" t="s">
        <v>126</v>
      </c>
      <c r="E1162">
        <v>3</v>
      </c>
      <c r="H1162">
        <v>160</v>
      </c>
      <c r="I1162" t="s">
        <v>121</v>
      </c>
      <c r="J1162" t="s">
        <v>127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S1162" t="str">
        <f t="shared" ref="S1162:T1164" si="349">"22:14:21.000"</f>
        <v>22:14:21.000</v>
      </c>
      <c r="T1162" t="str">
        <f t="shared" si="349"/>
        <v>22:14:21.000</v>
      </c>
      <c r="U1162" t="str">
        <f t="shared" si="346"/>
        <v>A9D71F</v>
      </c>
      <c r="V1162">
        <v>0</v>
      </c>
      <c r="W1162">
        <v>0</v>
      </c>
      <c r="X1162">
        <v>2</v>
      </c>
      <c r="Z1162">
        <v>1</v>
      </c>
      <c r="AA1162">
        <v>7</v>
      </c>
      <c r="AB1162">
        <v>3</v>
      </c>
      <c r="AC1162">
        <v>0</v>
      </c>
      <c r="AD1162">
        <v>9</v>
      </c>
      <c r="AE1162">
        <v>0</v>
      </c>
      <c r="AF1162">
        <v>3</v>
      </c>
      <c r="AG1162">
        <v>1</v>
      </c>
      <c r="AH1162">
        <v>0</v>
      </c>
      <c r="AI1162" t="s">
        <v>630</v>
      </c>
      <c r="AJ1162">
        <v>33.130882</v>
      </c>
      <c r="AK1162" t="s">
        <v>631</v>
      </c>
      <c r="AL1162">
        <v>-97.708454000000003</v>
      </c>
      <c r="AM1162">
        <v>25</v>
      </c>
      <c r="AN1162">
        <v>3500</v>
      </c>
      <c r="AO1162" t="s">
        <v>118</v>
      </c>
      <c r="AP1162">
        <v>46</v>
      </c>
      <c r="AQ1162">
        <v>-96</v>
      </c>
      <c r="AR1162">
        <v>-128</v>
      </c>
      <c r="AZ1162">
        <v>1200</v>
      </c>
      <c r="BA1162">
        <v>1</v>
      </c>
      <c r="BB1162" t="str">
        <f t="shared" si="334"/>
        <v xml:space="preserve">N733KP  </v>
      </c>
      <c r="BC1162">
        <v>1</v>
      </c>
      <c r="BE1162">
        <v>0</v>
      </c>
      <c r="BF1162">
        <v>0</v>
      </c>
      <c r="BG1162">
        <v>0</v>
      </c>
      <c r="BH1162">
        <v>3450</v>
      </c>
      <c r="BI1162">
        <v>1</v>
      </c>
      <c r="BJ1162">
        <v>1</v>
      </c>
      <c r="BK1162">
        <v>0</v>
      </c>
      <c r="BL1162">
        <v>0</v>
      </c>
      <c r="BO1162">
        <v>0</v>
      </c>
      <c r="BP1162">
        <v>0</v>
      </c>
      <c r="BW1162" t="str">
        <f>"22:14:21.221"</f>
        <v>22:14:21.221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4</v>
      </c>
      <c r="CP1162" t="s">
        <v>119</v>
      </c>
      <c r="CQ1162">
        <v>439</v>
      </c>
      <c r="CR1162">
        <v>0</v>
      </c>
      <c r="CW1162">
        <v>11500979</v>
      </c>
      <c r="CY1162">
        <v>1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"03/24/2022 22:14:21.403"</f>
        <v>03/24/2022 22:14:21.403</v>
      </c>
      <c r="C1163" t="str">
        <f t="shared" si="333"/>
        <v>FFDFD3C0</v>
      </c>
      <c r="D1163" t="s">
        <v>113</v>
      </c>
      <c r="E1163">
        <v>24</v>
      </c>
      <c r="F1163">
        <v>2024</v>
      </c>
      <c r="G1163" t="s">
        <v>114</v>
      </c>
      <c r="J1163" t="s">
        <v>115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S1163" t="str">
        <f t="shared" si="349"/>
        <v>22:14:21.000</v>
      </c>
      <c r="T1163" t="str">
        <f t="shared" si="349"/>
        <v>22:14:21.000</v>
      </c>
      <c r="U1163" t="str">
        <f t="shared" si="346"/>
        <v>A9D71F</v>
      </c>
      <c r="V1163">
        <v>0</v>
      </c>
      <c r="W1163">
        <v>0</v>
      </c>
      <c r="X1163">
        <v>2</v>
      </c>
      <c r="Z1163">
        <v>1</v>
      </c>
      <c r="AA1163">
        <v>7</v>
      </c>
      <c r="AB1163">
        <v>3</v>
      </c>
      <c r="AC1163">
        <v>0</v>
      </c>
      <c r="AD1163">
        <v>9</v>
      </c>
      <c r="AE1163">
        <v>0</v>
      </c>
      <c r="AF1163">
        <v>3</v>
      </c>
      <c r="AG1163">
        <v>1</v>
      </c>
      <c r="AH1163">
        <v>0</v>
      </c>
      <c r="AI1163" t="s">
        <v>630</v>
      </c>
      <c r="AJ1163">
        <v>33.130882</v>
      </c>
      <c r="AK1163" t="s">
        <v>631</v>
      </c>
      <c r="AL1163">
        <v>-97.708454000000003</v>
      </c>
      <c r="AM1163">
        <v>25</v>
      </c>
      <c r="AN1163">
        <v>3500</v>
      </c>
      <c r="AO1163" t="s">
        <v>118</v>
      </c>
      <c r="AP1163">
        <v>46</v>
      </c>
      <c r="AQ1163">
        <v>-96</v>
      </c>
      <c r="AR1163">
        <v>-128</v>
      </c>
      <c r="AZ1163">
        <v>1200</v>
      </c>
      <c r="BA1163">
        <v>1</v>
      </c>
      <c r="BB1163" t="str">
        <f t="shared" si="334"/>
        <v xml:space="preserve">N733KP  </v>
      </c>
      <c r="BC1163">
        <v>1</v>
      </c>
      <c r="BE1163">
        <v>0</v>
      </c>
      <c r="BF1163">
        <v>0</v>
      </c>
      <c r="BG1163">
        <v>0</v>
      </c>
      <c r="BH1163">
        <v>3450</v>
      </c>
      <c r="BI1163">
        <v>1</v>
      </c>
      <c r="BJ1163">
        <v>1</v>
      </c>
      <c r="BK1163">
        <v>0</v>
      </c>
      <c r="BL1163">
        <v>0</v>
      </c>
      <c r="BO1163">
        <v>0</v>
      </c>
      <c r="BP1163">
        <v>0</v>
      </c>
      <c r="BW1163" t="str">
        <f>"22:14:21.221"</f>
        <v>22:14:21.221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4</v>
      </c>
      <c r="CP1163" t="s">
        <v>119</v>
      </c>
      <c r="CQ1163">
        <v>439</v>
      </c>
      <c r="CR1163">
        <v>0</v>
      </c>
      <c r="CW1163">
        <v>11500979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"03/24/2022 22:14:21.434"</f>
        <v>03/24/2022 22:14:21.434</v>
      </c>
      <c r="C1164" t="str">
        <f t="shared" si="333"/>
        <v>FFDFD3C0</v>
      </c>
      <c r="D1164" t="s">
        <v>120</v>
      </c>
      <c r="E1164">
        <v>14</v>
      </c>
      <c r="F1164">
        <v>1014</v>
      </c>
      <c r="G1164" t="s">
        <v>121</v>
      </c>
      <c r="J1164" t="s">
        <v>122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S1164" t="str">
        <f t="shared" si="349"/>
        <v>22:14:21.000</v>
      </c>
      <c r="T1164" t="str">
        <f t="shared" si="349"/>
        <v>22:14:21.000</v>
      </c>
      <c r="U1164" t="str">
        <f t="shared" si="346"/>
        <v>A9D71F</v>
      </c>
      <c r="V1164">
        <v>0</v>
      </c>
      <c r="W1164">
        <v>0</v>
      </c>
      <c r="X1164">
        <v>2</v>
      </c>
      <c r="Z1164">
        <v>1</v>
      </c>
      <c r="AA1164">
        <v>7</v>
      </c>
      <c r="AB1164">
        <v>3</v>
      </c>
      <c r="AC1164">
        <v>0</v>
      </c>
      <c r="AD1164">
        <v>9</v>
      </c>
      <c r="AE1164">
        <v>0</v>
      </c>
      <c r="AF1164">
        <v>3</v>
      </c>
      <c r="AG1164">
        <v>1</v>
      </c>
      <c r="AH1164">
        <v>0</v>
      </c>
      <c r="AI1164" t="s">
        <v>630</v>
      </c>
      <c r="AJ1164">
        <v>33.130882</v>
      </c>
      <c r="AK1164" t="s">
        <v>631</v>
      </c>
      <c r="AL1164">
        <v>-97.708454000000003</v>
      </c>
      <c r="AM1164">
        <v>25</v>
      </c>
      <c r="AN1164">
        <v>3500</v>
      </c>
      <c r="AO1164" t="s">
        <v>118</v>
      </c>
      <c r="AP1164">
        <v>46</v>
      </c>
      <c r="AQ1164">
        <v>-96</v>
      </c>
      <c r="AR1164">
        <v>-128</v>
      </c>
      <c r="AZ1164">
        <v>1200</v>
      </c>
      <c r="BA1164">
        <v>1</v>
      </c>
      <c r="BB1164" t="str">
        <f t="shared" si="334"/>
        <v xml:space="preserve">N733KP  </v>
      </c>
      <c r="BC1164">
        <v>1</v>
      </c>
      <c r="BE1164">
        <v>0</v>
      </c>
      <c r="BF1164">
        <v>0</v>
      </c>
      <c r="BG1164">
        <v>0</v>
      </c>
      <c r="BH1164">
        <v>3450</v>
      </c>
      <c r="BI1164">
        <v>1</v>
      </c>
      <c r="BJ1164">
        <v>1</v>
      </c>
      <c r="BK1164">
        <v>0</v>
      </c>
      <c r="BL1164">
        <v>0</v>
      </c>
      <c r="BO1164">
        <v>0</v>
      </c>
      <c r="BP1164">
        <v>0</v>
      </c>
      <c r="BW1164" t="str">
        <f>"22:14:21.221"</f>
        <v>22:14:21.221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4</v>
      </c>
      <c r="CP1164" t="s">
        <v>119</v>
      </c>
      <c r="CQ1164">
        <v>439</v>
      </c>
      <c r="CR1164">
        <v>0</v>
      </c>
      <c r="CW1164">
        <v>11500979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"03/24/2022 22:14:22.576"</f>
        <v>03/24/2022 22:14:22.576</v>
      </c>
      <c r="C1165" t="str">
        <f t="shared" si="333"/>
        <v>FFDFD3C0</v>
      </c>
      <c r="D1165" t="s">
        <v>120</v>
      </c>
      <c r="E1165">
        <v>14</v>
      </c>
      <c r="F1165">
        <v>1014</v>
      </c>
      <c r="G1165" t="s">
        <v>121</v>
      </c>
      <c r="J1165" t="s">
        <v>122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S1165" t="str">
        <f t="shared" ref="S1165:T1168" si="350">"22:14:22.000"</f>
        <v>22:14:22.000</v>
      </c>
      <c r="T1165" t="str">
        <f t="shared" si="350"/>
        <v>22:14:22.000</v>
      </c>
      <c r="U1165" t="str">
        <f t="shared" si="346"/>
        <v>A9D71F</v>
      </c>
      <c r="V1165">
        <v>0</v>
      </c>
      <c r="W1165">
        <v>0</v>
      </c>
      <c r="X1165">
        <v>2</v>
      </c>
      <c r="Z1165">
        <v>1</v>
      </c>
      <c r="AA1165">
        <v>7</v>
      </c>
      <c r="AB1165">
        <v>3</v>
      </c>
      <c r="AC1165">
        <v>0</v>
      </c>
      <c r="AD1165">
        <v>9</v>
      </c>
      <c r="AE1165">
        <v>0</v>
      </c>
      <c r="AF1165">
        <v>3</v>
      </c>
      <c r="AG1165">
        <v>1</v>
      </c>
      <c r="AH1165">
        <v>0</v>
      </c>
      <c r="AI1165" t="s">
        <v>632</v>
      </c>
      <c r="AJ1165">
        <v>33.130453000000003</v>
      </c>
      <c r="AK1165" t="s">
        <v>633</v>
      </c>
      <c r="AL1165">
        <v>-97.708196999999998</v>
      </c>
      <c r="AM1165">
        <v>25</v>
      </c>
      <c r="AN1165">
        <v>3500</v>
      </c>
      <c r="AO1165" t="s">
        <v>118</v>
      </c>
      <c r="AP1165">
        <v>47</v>
      </c>
      <c r="AQ1165">
        <v>-96</v>
      </c>
      <c r="AR1165">
        <v>-256</v>
      </c>
      <c r="AZ1165">
        <v>1200</v>
      </c>
      <c r="BA1165">
        <v>1</v>
      </c>
      <c r="BB1165" t="str">
        <f t="shared" si="334"/>
        <v xml:space="preserve">N733KP  </v>
      </c>
      <c r="BC1165">
        <v>1</v>
      </c>
      <c r="BE1165">
        <v>0</v>
      </c>
      <c r="BF1165">
        <v>0</v>
      </c>
      <c r="BG1165">
        <v>0</v>
      </c>
      <c r="BH1165">
        <v>3450</v>
      </c>
      <c r="BI1165">
        <v>1</v>
      </c>
      <c r="BJ1165">
        <v>1</v>
      </c>
      <c r="BK1165">
        <v>0</v>
      </c>
      <c r="BL1165">
        <v>0</v>
      </c>
      <c r="BO1165">
        <v>0</v>
      </c>
      <c r="BP1165">
        <v>0</v>
      </c>
      <c r="BW1165" t="str">
        <f>"22:14:22.395"</f>
        <v>22:14:22.395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364</v>
      </c>
      <c r="CR1165">
        <v>0</v>
      </c>
      <c r="CW1165">
        <v>1408798</v>
      </c>
      <c r="CY1165">
        <v>1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"03/24/2022 22:14:22.576"</f>
        <v>03/24/2022 22:14:22.576</v>
      </c>
      <c r="C1166" t="str">
        <f t="shared" si="333"/>
        <v>FFDFD3C0</v>
      </c>
      <c r="D1166" t="s">
        <v>113</v>
      </c>
      <c r="E1166">
        <v>24</v>
      </c>
      <c r="F1166">
        <v>2024</v>
      </c>
      <c r="G1166" t="s">
        <v>114</v>
      </c>
      <c r="J1166" t="s">
        <v>115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S1166" t="str">
        <f t="shared" si="350"/>
        <v>22:14:22.000</v>
      </c>
      <c r="T1166" t="str">
        <f t="shared" si="350"/>
        <v>22:14:22.000</v>
      </c>
      <c r="U1166" t="str">
        <f t="shared" si="346"/>
        <v>A9D71F</v>
      </c>
      <c r="V1166">
        <v>0</v>
      </c>
      <c r="W1166">
        <v>0</v>
      </c>
      <c r="X1166">
        <v>2</v>
      </c>
      <c r="Z1166">
        <v>1</v>
      </c>
      <c r="AA1166">
        <v>7</v>
      </c>
      <c r="AB1166">
        <v>3</v>
      </c>
      <c r="AC1166">
        <v>0</v>
      </c>
      <c r="AD1166">
        <v>9</v>
      </c>
      <c r="AE1166">
        <v>0</v>
      </c>
      <c r="AF1166">
        <v>3</v>
      </c>
      <c r="AG1166">
        <v>1</v>
      </c>
      <c r="AH1166">
        <v>0</v>
      </c>
      <c r="AI1166" t="s">
        <v>632</v>
      </c>
      <c r="AJ1166">
        <v>33.130453000000003</v>
      </c>
      <c r="AK1166" t="s">
        <v>633</v>
      </c>
      <c r="AL1166">
        <v>-97.708196999999998</v>
      </c>
      <c r="AM1166">
        <v>25</v>
      </c>
      <c r="AN1166">
        <v>3500</v>
      </c>
      <c r="AO1166" t="s">
        <v>118</v>
      </c>
      <c r="AP1166">
        <v>47</v>
      </c>
      <c r="AQ1166">
        <v>-96</v>
      </c>
      <c r="AR1166">
        <v>-256</v>
      </c>
      <c r="AZ1166">
        <v>1200</v>
      </c>
      <c r="BA1166">
        <v>1</v>
      </c>
      <c r="BB1166" t="str">
        <f t="shared" si="334"/>
        <v xml:space="preserve">N733KP  </v>
      </c>
      <c r="BC1166">
        <v>1</v>
      </c>
      <c r="BE1166">
        <v>0</v>
      </c>
      <c r="BF1166">
        <v>0</v>
      </c>
      <c r="BG1166">
        <v>0</v>
      </c>
      <c r="BH1166">
        <v>3450</v>
      </c>
      <c r="BI1166">
        <v>1</v>
      </c>
      <c r="BJ1166">
        <v>1</v>
      </c>
      <c r="BK1166">
        <v>0</v>
      </c>
      <c r="BL1166">
        <v>0</v>
      </c>
      <c r="BO1166">
        <v>0</v>
      </c>
      <c r="BP1166">
        <v>0</v>
      </c>
      <c r="BW1166" t="str">
        <f>"22:14:22.395"</f>
        <v>22:14:22.395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364</v>
      </c>
      <c r="CR1166">
        <v>0</v>
      </c>
      <c r="CW1166">
        <v>1408798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"03/24/2022 22:14:22.576"</f>
        <v>03/24/2022 22:14:22.576</v>
      </c>
      <c r="C1167" t="str">
        <f t="shared" si="333"/>
        <v>FFDFD3C0</v>
      </c>
      <c r="D1167" t="s">
        <v>123</v>
      </c>
      <c r="E1167">
        <v>8</v>
      </c>
      <c r="H1167">
        <v>31</v>
      </c>
      <c r="I1167" t="s">
        <v>124</v>
      </c>
      <c r="J1167" t="s">
        <v>125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S1167" t="str">
        <f t="shared" si="350"/>
        <v>22:14:22.000</v>
      </c>
      <c r="T1167" t="str">
        <f t="shared" si="350"/>
        <v>22:14:22.000</v>
      </c>
      <c r="U1167" t="str">
        <f t="shared" si="346"/>
        <v>A9D71F</v>
      </c>
      <c r="V1167">
        <v>0</v>
      </c>
      <c r="W1167">
        <v>0</v>
      </c>
      <c r="X1167">
        <v>2</v>
      </c>
      <c r="Z1167">
        <v>1</v>
      </c>
      <c r="AA1167">
        <v>7</v>
      </c>
      <c r="AB1167">
        <v>3</v>
      </c>
      <c r="AC1167">
        <v>0</v>
      </c>
      <c r="AD1167">
        <v>9</v>
      </c>
      <c r="AE1167">
        <v>0</v>
      </c>
      <c r="AF1167">
        <v>3</v>
      </c>
      <c r="AG1167">
        <v>1</v>
      </c>
      <c r="AH1167">
        <v>0</v>
      </c>
      <c r="AI1167" t="s">
        <v>632</v>
      </c>
      <c r="AJ1167">
        <v>33.130453000000003</v>
      </c>
      <c r="AK1167" t="s">
        <v>633</v>
      </c>
      <c r="AL1167">
        <v>-97.708196999999998</v>
      </c>
      <c r="AM1167">
        <v>25</v>
      </c>
      <c r="AN1167">
        <v>3500</v>
      </c>
      <c r="AO1167" t="s">
        <v>118</v>
      </c>
      <c r="AP1167">
        <v>47</v>
      </c>
      <c r="AQ1167">
        <v>-96</v>
      </c>
      <c r="AR1167">
        <v>-256</v>
      </c>
      <c r="AZ1167">
        <v>1200</v>
      </c>
      <c r="BA1167">
        <v>1</v>
      </c>
      <c r="BB1167" t="str">
        <f t="shared" si="334"/>
        <v xml:space="preserve">N733KP  </v>
      </c>
      <c r="BC1167">
        <v>1</v>
      </c>
      <c r="BE1167">
        <v>0</v>
      </c>
      <c r="BF1167">
        <v>0</v>
      </c>
      <c r="BG1167">
        <v>0</v>
      </c>
      <c r="BH1167">
        <v>3450</v>
      </c>
      <c r="BI1167">
        <v>1</v>
      </c>
      <c r="BJ1167">
        <v>1</v>
      </c>
      <c r="BK1167">
        <v>0</v>
      </c>
      <c r="BL1167">
        <v>0</v>
      </c>
      <c r="BO1167">
        <v>0</v>
      </c>
      <c r="BP1167">
        <v>0</v>
      </c>
      <c r="BW1167" t="str">
        <f>"22:14:22.395"</f>
        <v>22:14:22.395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7</v>
      </c>
      <c r="CP1167" t="s">
        <v>119</v>
      </c>
      <c r="CQ1167">
        <v>364</v>
      </c>
      <c r="CR1167">
        <v>0</v>
      </c>
      <c r="CW1167">
        <v>1408798</v>
      </c>
      <c r="CY1167">
        <v>1</v>
      </c>
      <c r="CZ1167">
        <v>0</v>
      </c>
      <c r="DA1167">
        <v>1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"03/24/2022 22:14:22.576"</f>
        <v>03/24/2022 22:14:22.576</v>
      </c>
      <c r="C1168" t="str">
        <f t="shared" si="333"/>
        <v>FFDFD3C0</v>
      </c>
      <c r="D1168" t="s">
        <v>126</v>
      </c>
      <c r="E1168">
        <v>3</v>
      </c>
      <c r="H1168">
        <v>160</v>
      </c>
      <c r="I1168" t="s">
        <v>121</v>
      </c>
      <c r="J1168" t="s">
        <v>127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S1168" t="str">
        <f t="shared" si="350"/>
        <v>22:14:22.000</v>
      </c>
      <c r="T1168" t="str">
        <f t="shared" si="350"/>
        <v>22:14:22.000</v>
      </c>
      <c r="U1168" t="str">
        <f t="shared" si="346"/>
        <v>A9D71F</v>
      </c>
      <c r="V1168">
        <v>0</v>
      </c>
      <c r="W1168">
        <v>0</v>
      </c>
      <c r="X1168">
        <v>2</v>
      </c>
      <c r="Z1168">
        <v>1</v>
      </c>
      <c r="AA1168">
        <v>7</v>
      </c>
      <c r="AB1168">
        <v>3</v>
      </c>
      <c r="AC1168">
        <v>0</v>
      </c>
      <c r="AD1168">
        <v>9</v>
      </c>
      <c r="AE1168">
        <v>0</v>
      </c>
      <c r="AF1168">
        <v>3</v>
      </c>
      <c r="AG1168">
        <v>1</v>
      </c>
      <c r="AH1168">
        <v>0</v>
      </c>
      <c r="AI1168" t="s">
        <v>632</v>
      </c>
      <c r="AJ1168">
        <v>33.130453000000003</v>
      </c>
      <c r="AK1168" t="s">
        <v>633</v>
      </c>
      <c r="AL1168">
        <v>-97.708196999999998</v>
      </c>
      <c r="AM1168">
        <v>25</v>
      </c>
      <c r="AN1168">
        <v>3500</v>
      </c>
      <c r="AO1168" t="s">
        <v>118</v>
      </c>
      <c r="AP1168">
        <v>47</v>
      </c>
      <c r="AQ1168">
        <v>-96</v>
      </c>
      <c r="AR1168">
        <v>-256</v>
      </c>
      <c r="AZ1168">
        <v>1200</v>
      </c>
      <c r="BA1168">
        <v>1</v>
      </c>
      <c r="BB1168" t="str">
        <f t="shared" si="334"/>
        <v xml:space="preserve">N733KP  </v>
      </c>
      <c r="BC1168">
        <v>1</v>
      </c>
      <c r="BE1168">
        <v>0</v>
      </c>
      <c r="BF1168">
        <v>0</v>
      </c>
      <c r="BG1168">
        <v>0</v>
      </c>
      <c r="BH1168">
        <v>3450</v>
      </c>
      <c r="BI1168">
        <v>1</v>
      </c>
      <c r="BJ1168">
        <v>1</v>
      </c>
      <c r="BK1168">
        <v>0</v>
      </c>
      <c r="BL1168">
        <v>0</v>
      </c>
      <c r="BO1168">
        <v>0</v>
      </c>
      <c r="BP1168">
        <v>0</v>
      </c>
      <c r="BW1168" t="str">
        <f>"22:14:22.395"</f>
        <v>22:14:22.395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364</v>
      </c>
      <c r="CR1168">
        <v>0</v>
      </c>
      <c r="CW1168">
        <v>1408798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"03/24/2022 22:14:23.688"</f>
        <v>03/24/2022 22:14:23.688</v>
      </c>
      <c r="C1169" t="str">
        <f t="shared" si="333"/>
        <v>FFDFD3C0</v>
      </c>
      <c r="D1169" t="s">
        <v>123</v>
      </c>
      <c r="E1169">
        <v>8</v>
      </c>
      <c r="H1169">
        <v>31</v>
      </c>
      <c r="I1169" t="s">
        <v>124</v>
      </c>
      <c r="J1169" t="s">
        <v>125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S1169" t="str">
        <f t="shared" ref="S1169:T1172" si="351">"22:14:23.000"</f>
        <v>22:14:23.000</v>
      </c>
      <c r="T1169" t="str">
        <f t="shared" si="351"/>
        <v>22:14:23.000</v>
      </c>
      <c r="U1169" t="str">
        <f t="shared" si="346"/>
        <v>A9D71F</v>
      </c>
      <c r="V1169">
        <v>0</v>
      </c>
      <c r="W1169">
        <v>0</v>
      </c>
      <c r="X1169">
        <v>2</v>
      </c>
      <c r="Z1169">
        <v>1</v>
      </c>
      <c r="AA1169">
        <v>7</v>
      </c>
      <c r="AB1169">
        <v>3</v>
      </c>
      <c r="AC1169">
        <v>0</v>
      </c>
      <c r="AD1169">
        <v>9</v>
      </c>
      <c r="AE1169">
        <v>0</v>
      </c>
      <c r="AF1169">
        <v>3</v>
      </c>
      <c r="AG1169">
        <v>1</v>
      </c>
      <c r="AH1169">
        <v>0</v>
      </c>
      <c r="AI1169" t="s">
        <v>634</v>
      </c>
      <c r="AJ1169">
        <v>33.130023000000001</v>
      </c>
      <c r="AK1169" t="s">
        <v>635</v>
      </c>
      <c r="AL1169">
        <v>-97.707938999999996</v>
      </c>
      <c r="AM1169">
        <v>25</v>
      </c>
      <c r="AN1169">
        <v>3500</v>
      </c>
      <c r="AO1169" t="s">
        <v>118</v>
      </c>
      <c r="AP1169">
        <v>46</v>
      </c>
      <c r="AQ1169">
        <v>-96</v>
      </c>
      <c r="AR1169">
        <v>-256</v>
      </c>
      <c r="AZ1169">
        <v>1200</v>
      </c>
      <c r="BA1169">
        <v>1</v>
      </c>
      <c r="BB1169" t="str">
        <f t="shared" si="334"/>
        <v xml:space="preserve">N733KP  </v>
      </c>
      <c r="BC1169">
        <v>1</v>
      </c>
      <c r="BE1169">
        <v>0</v>
      </c>
      <c r="BF1169">
        <v>0</v>
      </c>
      <c r="BG1169">
        <v>0</v>
      </c>
      <c r="BH1169">
        <v>3425</v>
      </c>
      <c r="BI1169">
        <v>1</v>
      </c>
      <c r="BJ1169">
        <v>1</v>
      </c>
      <c r="BK1169">
        <v>0</v>
      </c>
      <c r="BL1169">
        <v>0</v>
      </c>
      <c r="BO1169">
        <v>0</v>
      </c>
      <c r="BP1169">
        <v>0</v>
      </c>
      <c r="BW1169" t="str">
        <f>"22:14:23.503"</f>
        <v>22:14:23.503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364</v>
      </c>
      <c r="CR1169">
        <v>0</v>
      </c>
      <c r="CW1169">
        <v>1408966</v>
      </c>
      <c r="CY1169">
        <v>1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"03/24/2022 22:14:23.703"</f>
        <v>03/24/2022 22:14:23.703</v>
      </c>
      <c r="C1170" t="str">
        <f t="shared" si="333"/>
        <v>FFDFD3C0</v>
      </c>
      <c r="D1170" t="s">
        <v>126</v>
      </c>
      <c r="E1170">
        <v>3</v>
      </c>
      <c r="H1170">
        <v>160</v>
      </c>
      <c r="I1170" t="s">
        <v>121</v>
      </c>
      <c r="J1170" t="s">
        <v>127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S1170" t="str">
        <f t="shared" si="351"/>
        <v>22:14:23.000</v>
      </c>
      <c r="T1170" t="str">
        <f t="shared" si="351"/>
        <v>22:14:23.000</v>
      </c>
      <c r="U1170" t="str">
        <f t="shared" si="346"/>
        <v>A9D71F</v>
      </c>
      <c r="V1170">
        <v>0</v>
      </c>
      <c r="W1170">
        <v>0</v>
      </c>
      <c r="X1170">
        <v>2</v>
      </c>
      <c r="Z1170">
        <v>1</v>
      </c>
      <c r="AA1170">
        <v>7</v>
      </c>
      <c r="AB1170">
        <v>3</v>
      </c>
      <c r="AC1170">
        <v>0</v>
      </c>
      <c r="AD1170">
        <v>9</v>
      </c>
      <c r="AE1170">
        <v>0</v>
      </c>
      <c r="AF1170">
        <v>3</v>
      </c>
      <c r="AG1170">
        <v>1</v>
      </c>
      <c r="AH1170">
        <v>0</v>
      </c>
      <c r="AI1170" t="s">
        <v>634</v>
      </c>
      <c r="AJ1170">
        <v>33.130023000000001</v>
      </c>
      <c r="AK1170" t="s">
        <v>635</v>
      </c>
      <c r="AL1170">
        <v>-97.707938999999996</v>
      </c>
      <c r="AM1170">
        <v>25</v>
      </c>
      <c r="AN1170">
        <v>3500</v>
      </c>
      <c r="AO1170" t="s">
        <v>118</v>
      </c>
      <c r="AP1170">
        <v>46</v>
      </c>
      <c r="AQ1170">
        <v>-96</v>
      </c>
      <c r="AR1170">
        <v>-256</v>
      </c>
      <c r="AZ1170">
        <v>1200</v>
      </c>
      <c r="BA1170">
        <v>1</v>
      </c>
      <c r="BB1170" t="str">
        <f t="shared" si="334"/>
        <v xml:space="preserve">N733KP  </v>
      </c>
      <c r="BC1170">
        <v>1</v>
      </c>
      <c r="BE1170">
        <v>0</v>
      </c>
      <c r="BF1170">
        <v>0</v>
      </c>
      <c r="BG1170">
        <v>0</v>
      </c>
      <c r="BH1170">
        <v>3425</v>
      </c>
      <c r="BI1170">
        <v>1</v>
      </c>
      <c r="BJ1170">
        <v>1</v>
      </c>
      <c r="BK1170">
        <v>0</v>
      </c>
      <c r="BL1170">
        <v>0</v>
      </c>
      <c r="BO1170">
        <v>0</v>
      </c>
      <c r="BP1170">
        <v>0</v>
      </c>
      <c r="BW1170" t="str">
        <f>"22:14:23.503"</f>
        <v>22:14:23.503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7</v>
      </c>
      <c r="CP1170" t="s">
        <v>119</v>
      </c>
      <c r="CQ1170">
        <v>364</v>
      </c>
      <c r="CR1170">
        <v>0</v>
      </c>
      <c r="CW1170">
        <v>1408966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"03/24/2022 22:14:23.703"</f>
        <v>03/24/2022 22:14:23.703</v>
      </c>
      <c r="C1171" t="str">
        <f t="shared" si="333"/>
        <v>FFDFD3C0</v>
      </c>
      <c r="D1171" t="s">
        <v>120</v>
      </c>
      <c r="E1171">
        <v>14</v>
      </c>
      <c r="F1171">
        <v>1014</v>
      </c>
      <c r="G1171" t="s">
        <v>121</v>
      </c>
      <c r="J1171" t="s">
        <v>122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S1171" t="str">
        <f t="shared" si="351"/>
        <v>22:14:23.000</v>
      </c>
      <c r="T1171" t="str">
        <f t="shared" si="351"/>
        <v>22:14:23.000</v>
      </c>
      <c r="U1171" t="str">
        <f t="shared" si="346"/>
        <v>A9D71F</v>
      </c>
      <c r="V1171">
        <v>0</v>
      </c>
      <c r="W1171">
        <v>0</v>
      </c>
      <c r="X1171">
        <v>2</v>
      </c>
      <c r="Z1171">
        <v>1</v>
      </c>
      <c r="AA1171">
        <v>7</v>
      </c>
      <c r="AB1171">
        <v>3</v>
      </c>
      <c r="AC1171">
        <v>0</v>
      </c>
      <c r="AD1171">
        <v>9</v>
      </c>
      <c r="AE1171">
        <v>0</v>
      </c>
      <c r="AF1171">
        <v>3</v>
      </c>
      <c r="AG1171">
        <v>1</v>
      </c>
      <c r="AH1171">
        <v>0</v>
      </c>
      <c r="AI1171" t="s">
        <v>634</v>
      </c>
      <c r="AJ1171">
        <v>33.130023000000001</v>
      </c>
      <c r="AK1171" t="s">
        <v>635</v>
      </c>
      <c r="AL1171">
        <v>-97.707938999999996</v>
      </c>
      <c r="AM1171">
        <v>25</v>
      </c>
      <c r="AN1171">
        <v>3500</v>
      </c>
      <c r="AO1171" t="s">
        <v>118</v>
      </c>
      <c r="AP1171">
        <v>46</v>
      </c>
      <c r="AQ1171">
        <v>-96</v>
      </c>
      <c r="AR1171">
        <v>-256</v>
      </c>
      <c r="AZ1171">
        <v>1200</v>
      </c>
      <c r="BA1171">
        <v>1</v>
      </c>
      <c r="BB1171" t="str">
        <f t="shared" si="334"/>
        <v xml:space="preserve">N733KP  </v>
      </c>
      <c r="BC1171">
        <v>1</v>
      </c>
      <c r="BE1171">
        <v>0</v>
      </c>
      <c r="BF1171">
        <v>0</v>
      </c>
      <c r="BG1171">
        <v>0</v>
      </c>
      <c r="BH1171">
        <v>3425</v>
      </c>
      <c r="BI1171">
        <v>1</v>
      </c>
      <c r="BJ1171">
        <v>1</v>
      </c>
      <c r="BK1171">
        <v>0</v>
      </c>
      <c r="BL1171">
        <v>0</v>
      </c>
      <c r="BO1171">
        <v>0</v>
      </c>
      <c r="BP1171">
        <v>0</v>
      </c>
      <c r="BW1171" t="str">
        <f>"22:14:23.503"</f>
        <v>22:14:23.503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119</v>
      </c>
      <c r="CQ1171">
        <v>364</v>
      </c>
      <c r="CR1171">
        <v>0</v>
      </c>
      <c r="CW1171">
        <v>1408966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"03/24/2022 22:14:23.719"</f>
        <v>03/24/2022 22:14:23.719</v>
      </c>
      <c r="C1172" t="str">
        <f t="shared" si="333"/>
        <v>FFDFD3C0</v>
      </c>
      <c r="D1172" t="s">
        <v>113</v>
      </c>
      <c r="E1172">
        <v>24</v>
      </c>
      <c r="F1172">
        <v>2024</v>
      </c>
      <c r="G1172" t="s">
        <v>114</v>
      </c>
      <c r="J1172" t="s">
        <v>115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S1172" t="str">
        <f t="shared" si="351"/>
        <v>22:14:23.000</v>
      </c>
      <c r="T1172" t="str">
        <f t="shared" si="351"/>
        <v>22:14:23.000</v>
      </c>
      <c r="U1172" t="str">
        <f t="shared" si="346"/>
        <v>A9D71F</v>
      </c>
      <c r="V1172">
        <v>0</v>
      </c>
      <c r="W1172">
        <v>0</v>
      </c>
      <c r="X1172">
        <v>2</v>
      </c>
      <c r="Z1172">
        <v>1</v>
      </c>
      <c r="AA1172">
        <v>7</v>
      </c>
      <c r="AB1172">
        <v>3</v>
      </c>
      <c r="AC1172">
        <v>0</v>
      </c>
      <c r="AD1172">
        <v>9</v>
      </c>
      <c r="AE1172">
        <v>0</v>
      </c>
      <c r="AF1172">
        <v>3</v>
      </c>
      <c r="AG1172">
        <v>1</v>
      </c>
      <c r="AH1172">
        <v>0</v>
      </c>
      <c r="AI1172" t="s">
        <v>634</v>
      </c>
      <c r="AJ1172">
        <v>33.130023000000001</v>
      </c>
      <c r="AK1172" t="s">
        <v>635</v>
      </c>
      <c r="AL1172">
        <v>-97.707938999999996</v>
      </c>
      <c r="AM1172">
        <v>25</v>
      </c>
      <c r="AN1172">
        <v>3500</v>
      </c>
      <c r="AO1172" t="s">
        <v>118</v>
      </c>
      <c r="AP1172">
        <v>46</v>
      </c>
      <c r="AQ1172">
        <v>-96</v>
      </c>
      <c r="AR1172">
        <v>-256</v>
      </c>
      <c r="AZ1172">
        <v>1200</v>
      </c>
      <c r="BA1172">
        <v>1</v>
      </c>
      <c r="BB1172" t="str">
        <f t="shared" si="334"/>
        <v xml:space="preserve">N733KP  </v>
      </c>
      <c r="BC1172">
        <v>1</v>
      </c>
      <c r="BE1172">
        <v>0</v>
      </c>
      <c r="BF1172">
        <v>0</v>
      </c>
      <c r="BG1172">
        <v>0</v>
      </c>
      <c r="BH1172">
        <v>3425</v>
      </c>
      <c r="BI1172">
        <v>1</v>
      </c>
      <c r="BJ1172">
        <v>1</v>
      </c>
      <c r="BK1172">
        <v>0</v>
      </c>
      <c r="BL1172">
        <v>0</v>
      </c>
      <c r="BO1172">
        <v>0</v>
      </c>
      <c r="BP1172">
        <v>0</v>
      </c>
      <c r="BW1172" t="str">
        <f>"22:14:23.503"</f>
        <v>22:14:23.503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364</v>
      </c>
      <c r="CR1172">
        <v>0</v>
      </c>
      <c r="CW1172">
        <v>1408966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"03/24/2022 22:14:24.469"</f>
        <v>03/24/2022 22:14:24.469</v>
      </c>
      <c r="C1173" t="str">
        <f t="shared" si="333"/>
        <v>FFDFD3C0</v>
      </c>
      <c r="D1173" t="s">
        <v>126</v>
      </c>
      <c r="E1173">
        <v>3</v>
      </c>
      <c r="H1173">
        <v>160</v>
      </c>
      <c r="I1173" t="s">
        <v>121</v>
      </c>
      <c r="J1173" t="s">
        <v>127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S1173" t="str">
        <f t="shared" ref="S1173:T1176" si="352">"22:14:24.000"</f>
        <v>22:14:24.000</v>
      </c>
      <c r="T1173" t="str">
        <f t="shared" si="352"/>
        <v>22:14:24.000</v>
      </c>
      <c r="U1173" t="str">
        <f t="shared" si="346"/>
        <v>A9D71F</v>
      </c>
      <c r="V1173">
        <v>0</v>
      </c>
      <c r="W1173">
        <v>0</v>
      </c>
      <c r="X1173">
        <v>2</v>
      </c>
      <c r="Z1173">
        <v>1</v>
      </c>
      <c r="AA1173">
        <v>7</v>
      </c>
      <c r="AB1173">
        <v>3</v>
      </c>
      <c r="AC1173">
        <v>0</v>
      </c>
      <c r="AD1173">
        <v>9</v>
      </c>
      <c r="AE1173">
        <v>0</v>
      </c>
      <c r="AF1173">
        <v>3</v>
      </c>
      <c r="AG1173">
        <v>1</v>
      </c>
      <c r="AH1173">
        <v>0</v>
      </c>
      <c r="AI1173" t="s">
        <v>636</v>
      </c>
      <c r="AJ1173">
        <v>33.129550999999999</v>
      </c>
      <c r="AK1173" t="s">
        <v>637</v>
      </c>
      <c r="AL1173">
        <v>-97.707682000000005</v>
      </c>
      <c r="AM1173">
        <v>25</v>
      </c>
      <c r="AN1173">
        <v>3400</v>
      </c>
      <c r="AO1173" t="s">
        <v>118</v>
      </c>
      <c r="AP1173">
        <v>47</v>
      </c>
      <c r="AQ1173">
        <v>-96</v>
      </c>
      <c r="AR1173">
        <v>-256</v>
      </c>
      <c r="AZ1173">
        <v>1200</v>
      </c>
      <c r="BA1173">
        <v>1</v>
      </c>
      <c r="BB1173" t="str">
        <f t="shared" si="334"/>
        <v xml:space="preserve">N733KP  </v>
      </c>
      <c r="BC1173">
        <v>1</v>
      </c>
      <c r="BE1173">
        <v>0</v>
      </c>
      <c r="BF1173">
        <v>0</v>
      </c>
      <c r="BG1173">
        <v>0</v>
      </c>
      <c r="BH1173">
        <v>3425</v>
      </c>
      <c r="BI1173">
        <v>1</v>
      </c>
      <c r="BJ1173">
        <v>1</v>
      </c>
      <c r="BK1173">
        <v>0</v>
      </c>
      <c r="BL1173">
        <v>0</v>
      </c>
      <c r="BO1173">
        <v>0</v>
      </c>
      <c r="BP1173">
        <v>0</v>
      </c>
      <c r="BW1173" t="str">
        <f>"22:14:24.266"</f>
        <v>22:14:24.266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364</v>
      </c>
      <c r="CR1173">
        <v>0</v>
      </c>
      <c r="CW1173">
        <v>1409095</v>
      </c>
      <c r="CY1173">
        <v>1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"03/24/2022 22:14:24.469"</f>
        <v>03/24/2022 22:14:24.469</v>
      </c>
      <c r="C1174" t="str">
        <f t="shared" ref="C1174:C1237" si="353">"FFDFD3C0"</f>
        <v>FFDFD3C0</v>
      </c>
      <c r="D1174" t="s">
        <v>120</v>
      </c>
      <c r="E1174">
        <v>14</v>
      </c>
      <c r="F1174">
        <v>1014</v>
      </c>
      <c r="G1174" t="s">
        <v>121</v>
      </c>
      <c r="J1174" t="s">
        <v>122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S1174" t="str">
        <f t="shared" si="352"/>
        <v>22:14:24.000</v>
      </c>
      <c r="T1174" t="str">
        <f t="shared" si="352"/>
        <v>22:14:24.000</v>
      </c>
      <c r="U1174" t="str">
        <f t="shared" si="346"/>
        <v>A9D71F</v>
      </c>
      <c r="V1174">
        <v>0</v>
      </c>
      <c r="W1174">
        <v>0</v>
      </c>
      <c r="X1174">
        <v>2</v>
      </c>
      <c r="Z1174">
        <v>1</v>
      </c>
      <c r="AA1174">
        <v>7</v>
      </c>
      <c r="AB1174">
        <v>3</v>
      </c>
      <c r="AC1174">
        <v>0</v>
      </c>
      <c r="AD1174">
        <v>9</v>
      </c>
      <c r="AE1174">
        <v>0</v>
      </c>
      <c r="AF1174">
        <v>3</v>
      </c>
      <c r="AG1174">
        <v>1</v>
      </c>
      <c r="AH1174">
        <v>0</v>
      </c>
      <c r="AI1174" t="s">
        <v>636</v>
      </c>
      <c r="AJ1174">
        <v>33.129550999999999</v>
      </c>
      <c r="AK1174" t="s">
        <v>637</v>
      </c>
      <c r="AL1174">
        <v>-97.707682000000005</v>
      </c>
      <c r="AM1174">
        <v>25</v>
      </c>
      <c r="AN1174">
        <v>3400</v>
      </c>
      <c r="AO1174" t="s">
        <v>118</v>
      </c>
      <c r="AP1174">
        <v>47</v>
      </c>
      <c r="AQ1174">
        <v>-96</v>
      </c>
      <c r="AR1174">
        <v>-256</v>
      </c>
      <c r="AZ1174">
        <v>1200</v>
      </c>
      <c r="BA1174">
        <v>1</v>
      </c>
      <c r="BB1174" t="str">
        <f t="shared" ref="BB1174:BB1237" si="354">"N733KP  "</f>
        <v xml:space="preserve">N733KP  </v>
      </c>
      <c r="BC1174">
        <v>1</v>
      </c>
      <c r="BE1174">
        <v>0</v>
      </c>
      <c r="BF1174">
        <v>0</v>
      </c>
      <c r="BG1174">
        <v>0</v>
      </c>
      <c r="BH1174">
        <v>3425</v>
      </c>
      <c r="BI1174">
        <v>1</v>
      </c>
      <c r="BJ1174">
        <v>1</v>
      </c>
      <c r="BK1174">
        <v>0</v>
      </c>
      <c r="BL1174">
        <v>0</v>
      </c>
      <c r="BO1174">
        <v>0</v>
      </c>
      <c r="BP1174">
        <v>0</v>
      </c>
      <c r="BW1174" t="str">
        <f>"22:14:24.266"</f>
        <v>22:14:24.266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364</v>
      </c>
      <c r="CR1174">
        <v>0</v>
      </c>
      <c r="CW1174">
        <v>1409095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"03/24/2022 22:14:24.469"</f>
        <v>03/24/2022 22:14:24.469</v>
      </c>
      <c r="C1175" t="str">
        <f t="shared" si="353"/>
        <v>FFDFD3C0</v>
      </c>
      <c r="D1175" t="s">
        <v>113</v>
      </c>
      <c r="E1175">
        <v>24</v>
      </c>
      <c r="F1175">
        <v>2024</v>
      </c>
      <c r="G1175" t="s">
        <v>114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S1175" t="str">
        <f t="shared" si="352"/>
        <v>22:14:24.000</v>
      </c>
      <c r="T1175" t="str">
        <f t="shared" si="352"/>
        <v>22:14:24.000</v>
      </c>
      <c r="U1175" t="str">
        <f t="shared" si="346"/>
        <v>A9D71F</v>
      </c>
      <c r="V1175">
        <v>0</v>
      </c>
      <c r="W1175">
        <v>0</v>
      </c>
      <c r="X1175">
        <v>2</v>
      </c>
      <c r="Z1175">
        <v>1</v>
      </c>
      <c r="AA1175">
        <v>7</v>
      </c>
      <c r="AB1175">
        <v>3</v>
      </c>
      <c r="AC1175">
        <v>0</v>
      </c>
      <c r="AD1175">
        <v>9</v>
      </c>
      <c r="AE1175">
        <v>0</v>
      </c>
      <c r="AF1175">
        <v>3</v>
      </c>
      <c r="AG1175">
        <v>1</v>
      </c>
      <c r="AH1175">
        <v>0</v>
      </c>
      <c r="AI1175" t="s">
        <v>636</v>
      </c>
      <c r="AJ1175">
        <v>33.129550999999999</v>
      </c>
      <c r="AK1175" t="s">
        <v>637</v>
      </c>
      <c r="AL1175">
        <v>-97.707682000000005</v>
      </c>
      <c r="AM1175">
        <v>25</v>
      </c>
      <c r="AN1175">
        <v>3400</v>
      </c>
      <c r="AO1175" t="s">
        <v>118</v>
      </c>
      <c r="AP1175">
        <v>47</v>
      </c>
      <c r="AQ1175">
        <v>-96</v>
      </c>
      <c r="AR1175">
        <v>-256</v>
      </c>
      <c r="AZ1175">
        <v>1200</v>
      </c>
      <c r="BA1175">
        <v>1</v>
      </c>
      <c r="BB1175" t="str">
        <f t="shared" si="354"/>
        <v xml:space="preserve">N733KP  </v>
      </c>
      <c r="BC1175">
        <v>1</v>
      </c>
      <c r="BE1175">
        <v>0</v>
      </c>
      <c r="BF1175">
        <v>0</v>
      </c>
      <c r="BG1175">
        <v>0</v>
      </c>
      <c r="BH1175">
        <v>3425</v>
      </c>
      <c r="BI1175">
        <v>1</v>
      </c>
      <c r="BJ1175">
        <v>1</v>
      </c>
      <c r="BK1175">
        <v>0</v>
      </c>
      <c r="BL1175">
        <v>0</v>
      </c>
      <c r="BO1175">
        <v>0</v>
      </c>
      <c r="BP1175">
        <v>0</v>
      </c>
      <c r="BW1175" t="str">
        <f>"22:14:24.266"</f>
        <v>22:14:24.266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364</v>
      </c>
      <c r="CR1175">
        <v>0</v>
      </c>
      <c r="CW1175">
        <v>1409095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"03/24/2022 22:14:24.469"</f>
        <v>03/24/2022 22:14:24.469</v>
      </c>
      <c r="C1176" t="str">
        <f t="shared" si="353"/>
        <v>FFDFD3C0</v>
      </c>
      <c r="D1176" t="s">
        <v>123</v>
      </c>
      <c r="E1176">
        <v>8</v>
      </c>
      <c r="H1176">
        <v>31</v>
      </c>
      <c r="I1176" t="s">
        <v>124</v>
      </c>
      <c r="J1176" t="s">
        <v>125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S1176" t="str">
        <f t="shared" si="352"/>
        <v>22:14:24.000</v>
      </c>
      <c r="T1176" t="str">
        <f t="shared" si="352"/>
        <v>22:14:24.000</v>
      </c>
      <c r="U1176" t="str">
        <f t="shared" si="346"/>
        <v>A9D71F</v>
      </c>
      <c r="V1176">
        <v>0</v>
      </c>
      <c r="W1176">
        <v>0</v>
      </c>
      <c r="X1176">
        <v>2</v>
      </c>
      <c r="Z1176">
        <v>1</v>
      </c>
      <c r="AA1176">
        <v>7</v>
      </c>
      <c r="AB1176">
        <v>3</v>
      </c>
      <c r="AC1176">
        <v>0</v>
      </c>
      <c r="AD1176">
        <v>9</v>
      </c>
      <c r="AE1176">
        <v>0</v>
      </c>
      <c r="AF1176">
        <v>3</v>
      </c>
      <c r="AG1176">
        <v>1</v>
      </c>
      <c r="AH1176">
        <v>0</v>
      </c>
      <c r="AI1176" t="s">
        <v>636</v>
      </c>
      <c r="AJ1176">
        <v>33.129550999999999</v>
      </c>
      <c r="AK1176" t="s">
        <v>637</v>
      </c>
      <c r="AL1176">
        <v>-97.707682000000005</v>
      </c>
      <c r="AM1176">
        <v>25</v>
      </c>
      <c r="AN1176">
        <v>3400</v>
      </c>
      <c r="AO1176" t="s">
        <v>118</v>
      </c>
      <c r="AP1176">
        <v>47</v>
      </c>
      <c r="AQ1176">
        <v>-96</v>
      </c>
      <c r="AR1176">
        <v>-256</v>
      </c>
      <c r="AZ1176">
        <v>1200</v>
      </c>
      <c r="BA1176">
        <v>1</v>
      </c>
      <c r="BB1176" t="str">
        <f t="shared" si="354"/>
        <v xml:space="preserve">N733KP  </v>
      </c>
      <c r="BC1176">
        <v>1</v>
      </c>
      <c r="BE1176">
        <v>0</v>
      </c>
      <c r="BF1176">
        <v>0</v>
      </c>
      <c r="BG1176">
        <v>0</v>
      </c>
      <c r="BH1176">
        <v>3425</v>
      </c>
      <c r="BI1176">
        <v>1</v>
      </c>
      <c r="BJ1176">
        <v>1</v>
      </c>
      <c r="BK1176">
        <v>0</v>
      </c>
      <c r="BL1176">
        <v>0</v>
      </c>
      <c r="BO1176">
        <v>0</v>
      </c>
      <c r="BP1176">
        <v>0</v>
      </c>
      <c r="BW1176" t="str">
        <f>"22:14:24.266"</f>
        <v>22:14:24.266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364</v>
      </c>
      <c r="CR1176">
        <v>0</v>
      </c>
      <c r="CW1176">
        <v>1409095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"03/24/2022 22:14:25.563"</f>
        <v>03/24/2022 22:14:25.563</v>
      </c>
      <c r="C1177" t="str">
        <f t="shared" si="353"/>
        <v>FFDFD3C0</v>
      </c>
      <c r="D1177" t="s">
        <v>120</v>
      </c>
      <c r="E1177">
        <v>14</v>
      </c>
      <c r="F1177">
        <v>1014</v>
      </c>
      <c r="G1177" t="s">
        <v>121</v>
      </c>
      <c r="J1177" t="s">
        <v>122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S1177" t="str">
        <f t="shared" ref="S1177:T1180" si="355">"22:14:25.000"</f>
        <v>22:14:25.000</v>
      </c>
      <c r="T1177" t="str">
        <f t="shared" si="355"/>
        <v>22:14:25.000</v>
      </c>
      <c r="U1177" t="str">
        <f t="shared" si="346"/>
        <v>A9D71F</v>
      </c>
      <c r="V1177">
        <v>0</v>
      </c>
      <c r="W1177">
        <v>0</v>
      </c>
      <c r="X1177">
        <v>2</v>
      </c>
      <c r="Z1177">
        <v>1</v>
      </c>
      <c r="AA1177">
        <v>7</v>
      </c>
      <c r="AB1177">
        <v>3</v>
      </c>
      <c r="AC1177">
        <v>0</v>
      </c>
      <c r="AD1177">
        <v>9</v>
      </c>
      <c r="AE1177">
        <v>0</v>
      </c>
      <c r="AF1177">
        <v>3</v>
      </c>
      <c r="AG1177">
        <v>1</v>
      </c>
      <c r="AH1177">
        <v>0</v>
      </c>
      <c r="AI1177" t="s">
        <v>638</v>
      </c>
      <c r="AJ1177">
        <v>33.129100999999999</v>
      </c>
      <c r="AK1177" t="s">
        <v>639</v>
      </c>
      <c r="AL1177">
        <v>-97.707424000000003</v>
      </c>
      <c r="AM1177">
        <v>25</v>
      </c>
      <c r="AN1177">
        <v>3400</v>
      </c>
      <c r="AO1177" t="s">
        <v>118</v>
      </c>
      <c r="AP1177">
        <v>47</v>
      </c>
      <c r="AQ1177">
        <v>-95</v>
      </c>
      <c r="AR1177">
        <v>-192</v>
      </c>
      <c r="AZ1177">
        <v>1200</v>
      </c>
      <c r="BA1177">
        <v>1</v>
      </c>
      <c r="BB1177" t="str">
        <f t="shared" si="354"/>
        <v xml:space="preserve">N733KP  </v>
      </c>
      <c r="BC1177">
        <v>1</v>
      </c>
      <c r="BE1177">
        <v>0</v>
      </c>
      <c r="BF1177">
        <v>0</v>
      </c>
      <c r="BG1177">
        <v>0</v>
      </c>
      <c r="BH1177">
        <v>3425</v>
      </c>
      <c r="BI1177">
        <v>1</v>
      </c>
      <c r="BJ1177">
        <v>1</v>
      </c>
      <c r="BK1177">
        <v>0</v>
      </c>
      <c r="BL1177">
        <v>0</v>
      </c>
      <c r="BO1177">
        <v>0</v>
      </c>
      <c r="BP1177">
        <v>0</v>
      </c>
      <c r="BW1177" t="str">
        <f>"22:14:25.380"</f>
        <v>22:14:25.380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364</v>
      </c>
      <c r="CR1177">
        <v>0</v>
      </c>
      <c r="CW1177">
        <v>1409276</v>
      </c>
      <c r="CY1177">
        <v>1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"03/24/2022 22:14:25.563"</f>
        <v>03/24/2022 22:14:25.563</v>
      </c>
      <c r="C1178" t="str">
        <f t="shared" si="353"/>
        <v>FFDFD3C0</v>
      </c>
      <c r="D1178" t="s">
        <v>123</v>
      </c>
      <c r="E1178">
        <v>8</v>
      </c>
      <c r="H1178">
        <v>31</v>
      </c>
      <c r="I1178" t="s">
        <v>124</v>
      </c>
      <c r="J1178" t="s">
        <v>125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S1178" t="str">
        <f t="shared" si="355"/>
        <v>22:14:25.000</v>
      </c>
      <c r="T1178" t="str">
        <f t="shared" si="355"/>
        <v>22:14:25.000</v>
      </c>
      <c r="U1178" t="str">
        <f t="shared" si="346"/>
        <v>A9D71F</v>
      </c>
      <c r="V1178">
        <v>0</v>
      </c>
      <c r="W1178">
        <v>0</v>
      </c>
      <c r="X1178">
        <v>2</v>
      </c>
      <c r="Z1178">
        <v>1</v>
      </c>
      <c r="AA1178">
        <v>7</v>
      </c>
      <c r="AB1178">
        <v>3</v>
      </c>
      <c r="AC1178">
        <v>0</v>
      </c>
      <c r="AD1178">
        <v>9</v>
      </c>
      <c r="AE1178">
        <v>0</v>
      </c>
      <c r="AF1178">
        <v>3</v>
      </c>
      <c r="AG1178">
        <v>1</v>
      </c>
      <c r="AH1178">
        <v>0</v>
      </c>
      <c r="AI1178" t="s">
        <v>638</v>
      </c>
      <c r="AJ1178">
        <v>33.129100999999999</v>
      </c>
      <c r="AK1178" t="s">
        <v>639</v>
      </c>
      <c r="AL1178">
        <v>-97.707424000000003</v>
      </c>
      <c r="AM1178">
        <v>25</v>
      </c>
      <c r="AN1178">
        <v>3400</v>
      </c>
      <c r="AO1178" t="s">
        <v>118</v>
      </c>
      <c r="AP1178">
        <v>47</v>
      </c>
      <c r="AQ1178">
        <v>-95</v>
      </c>
      <c r="AR1178">
        <v>-192</v>
      </c>
      <c r="AZ1178">
        <v>1200</v>
      </c>
      <c r="BA1178">
        <v>1</v>
      </c>
      <c r="BB1178" t="str">
        <f t="shared" si="354"/>
        <v xml:space="preserve">N733KP  </v>
      </c>
      <c r="BC1178">
        <v>1</v>
      </c>
      <c r="BE1178">
        <v>0</v>
      </c>
      <c r="BF1178">
        <v>0</v>
      </c>
      <c r="BG1178">
        <v>0</v>
      </c>
      <c r="BH1178">
        <v>3425</v>
      </c>
      <c r="BI1178">
        <v>1</v>
      </c>
      <c r="BJ1178">
        <v>1</v>
      </c>
      <c r="BK1178">
        <v>0</v>
      </c>
      <c r="BL1178">
        <v>0</v>
      </c>
      <c r="BO1178">
        <v>0</v>
      </c>
      <c r="BP1178">
        <v>0</v>
      </c>
      <c r="BW1178" t="str">
        <f>"22:14:25.380"</f>
        <v>22:14:25.380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364</v>
      </c>
      <c r="CR1178">
        <v>0</v>
      </c>
      <c r="CW1178">
        <v>1409276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"03/24/2022 22:14:25.563"</f>
        <v>03/24/2022 22:14:25.563</v>
      </c>
      <c r="C1179" t="str">
        <f t="shared" si="353"/>
        <v>FFDFD3C0</v>
      </c>
      <c r="D1179" t="s">
        <v>113</v>
      </c>
      <c r="E1179">
        <v>24</v>
      </c>
      <c r="F1179">
        <v>2024</v>
      </c>
      <c r="G1179" t="s">
        <v>114</v>
      </c>
      <c r="J1179" t="s">
        <v>115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S1179" t="str">
        <f t="shared" si="355"/>
        <v>22:14:25.000</v>
      </c>
      <c r="T1179" t="str">
        <f t="shared" si="355"/>
        <v>22:14:25.000</v>
      </c>
      <c r="U1179" t="str">
        <f t="shared" si="346"/>
        <v>A9D71F</v>
      </c>
      <c r="V1179">
        <v>0</v>
      </c>
      <c r="W1179">
        <v>0</v>
      </c>
      <c r="X1179">
        <v>2</v>
      </c>
      <c r="Z1179">
        <v>1</v>
      </c>
      <c r="AA1179">
        <v>7</v>
      </c>
      <c r="AB1179">
        <v>3</v>
      </c>
      <c r="AC1179">
        <v>0</v>
      </c>
      <c r="AD1179">
        <v>9</v>
      </c>
      <c r="AE1179">
        <v>0</v>
      </c>
      <c r="AF1179">
        <v>3</v>
      </c>
      <c r="AG1179">
        <v>1</v>
      </c>
      <c r="AH1179">
        <v>0</v>
      </c>
      <c r="AI1179" t="s">
        <v>638</v>
      </c>
      <c r="AJ1179">
        <v>33.129100999999999</v>
      </c>
      <c r="AK1179" t="s">
        <v>639</v>
      </c>
      <c r="AL1179">
        <v>-97.707424000000003</v>
      </c>
      <c r="AM1179">
        <v>25</v>
      </c>
      <c r="AN1179">
        <v>3400</v>
      </c>
      <c r="AO1179" t="s">
        <v>118</v>
      </c>
      <c r="AP1179">
        <v>47</v>
      </c>
      <c r="AQ1179">
        <v>-95</v>
      </c>
      <c r="AR1179">
        <v>-192</v>
      </c>
      <c r="AZ1179">
        <v>1200</v>
      </c>
      <c r="BA1179">
        <v>1</v>
      </c>
      <c r="BB1179" t="str">
        <f t="shared" si="354"/>
        <v xml:space="preserve">N733KP  </v>
      </c>
      <c r="BC1179">
        <v>1</v>
      </c>
      <c r="BE1179">
        <v>0</v>
      </c>
      <c r="BF1179">
        <v>0</v>
      </c>
      <c r="BG1179">
        <v>0</v>
      </c>
      <c r="BH1179">
        <v>3425</v>
      </c>
      <c r="BI1179">
        <v>1</v>
      </c>
      <c r="BJ1179">
        <v>1</v>
      </c>
      <c r="BK1179">
        <v>0</v>
      </c>
      <c r="BL1179">
        <v>0</v>
      </c>
      <c r="BO1179">
        <v>0</v>
      </c>
      <c r="BP1179">
        <v>0</v>
      </c>
      <c r="BW1179" t="str">
        <f>"22:14:25.380"</f>
        <v>22:14:25.380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364</v>
      </c>
      <c r="CR1179">
        <v>0</v>
      </c>
      <c r="CW1179">
        <v>1409276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"03/24/2022 22:14:25.578"</f>
        <v>03/24/2022 22:14:25.578</v>
      </c>
      <c r="C1180" t="str">
        <f t="shared" si="353"/>
        <v>FFDFD3C0</v>
      </c>
      <c r="D1180" t="s">
        <v>126</v>
      </c>
      <c r="E1180">
        <v>3</v>
      </c>
      <c r="H1180">
        <v>160</v>
      </c>
      <c r="I1180" t="s">
        <v>121</v>
      </c>
      <c r="J1180" t="s">
        <v>127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S1180" t="str">
        <f t="shared" si="355"/>
        <v>22:14:25.000</v>
      </c>
      <c r="T1180" t="str">
        <f t="shared" si="355"/>
        <v>22:14:25.000</v>
      </c>
      <c r="U1180" t="str">
        <f t="shared" si="346"/>
        <v>A9D71F</v>
      </c>
      <c r="V1180">
        <v>0</v>
      </c>
      <c r="W1180">
        <v>0</v>
      </c>
      <c r="X1180">
        <v>2</v>
      </c>
      <c r="Z1180">
        <v>1</v>
      </c>
      <c r="AA1180">
        <v>7</v>
      </c>
      <c r="AB1180">
        <v>3</v>
      </c>
      <c r="AC1180">
        <v>0</v>
      </c>
      <c r="AD1180">
        <v>9</v>
      </c>
      <c r="AE1180">
        <v>0</v>
      </c>
      <c r="AF1180">
        <v>3</v>
      </c>
      <c r="AG1180">
        <v>1</v>
      </c>
      <c r="AH1180">
        <v>0</v>
      </c>
      <c r="AI1180" t="s">
        <v>638</v>
      </c>
      <c r="AJ1180">
        <v>33.129100999999999</v>
      </c>
      <c r="AK1180" t="s">
        <v>639</v>
      </c>
      <c r="AL1180">
        <v>-97.707424000000003</v>
      </c>
      <c r="AM1180">
        <v>25</v>
      </c>
      <c r="AN1180">
        <v>3400</v>
      </c>
      <c r="AO1180" t="s">
        <v>118</v>
      </c>
      <c r="AP1180">
        <v>47</v>
      </c>
      <c r="AQ1180">
        <v>-95</v>
      </c>
      <c r="AR1180">
        <v>-192</v>
      </c>
      <c r="AZ1180">
        <v>1200</v>
      </c>
      <c r="BA1180">
        <v>1</v>
      </c>
      <c r="BB1180" t="str">
        <f t="shared" si="354"/>
        <v xml:space="preserve">N733KP  </v>
      </c>
      <c r="BC1180">
        <v>1</v>
      </c>
      <c r="BE1180">
        <v>0</v>
      </c>
      <c r="BF1180">
        <v>0</v>
      </c>
      <c r="BG1180">
        <v>0</v>
      </c>
      <c r="BH1180">
        <v>3425</v>
      </c>
      <c r="BI1180">
        <v>1</v>
      </c>
      <c r="BJ1180">
        <v>1</v>
      </c>
      <c r="BK1180">
        <v>0</v>
      </c>
      <c r="BL1180">
        <v>0</v>
      </c>
      <c r="BO1180">
        <v>0</v>
      </c>
      <c r="BP1180">
        <v>0</v>
      </c>
      <c r="BW1180" t="str">
        <f>"22:14:25.380"</f>
        <v>22:14:25.380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7</v>
      </c>
      <c r="CP1180" t="s">
        <v>119</v>
      </c>
      <c r="CQ1180">
        <v>364</v>
      </c>
      <c r="CR1180">
        <v>0</v>
      </c>
      <c r="CW1180">
        <v>1409276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"03/24/2022 22:14:26.548"</f>
        <v>03/24/2022 22:14:26.548</v>
      </c>
      <c r="C1181" t="str">
        <f t="shared" si="353"/>
        <v>FFDFD3C0</v>
      </c>
      <c r="D1181" t="s">
        <v>126</v>
      </c>
      <c r="E1181">
        <v>3</v>
      </c>
      <c r="H1181">
        <v>160</v>
      </c>
      <c r="I1181" t="s">
        <v>121</v>
      </c>
      <c r="J1181" t="s">
        <v>127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S1181" t="str">
        <f t="shared" ref="S1181:T1184" si="356">"22:14:26.000"</f>
        <v>22:14:26.000</v>
      </c>
      <c r="T1181" t="str">
        <f t="shared" si="356"/>
        <v>22:14:26.000</v>
      </c>
      <c r="U1181" t="str">
        <f t="shared" si="346"/>
        <v>A9D71F</v>
      </c>
      <c r="V1181">
        <v>0</v>
      </c>
      <c r="W1181">
        <v>0</v>
      </c>
      <c r="X1181">
        <v>2</v>
      </c>
      <c r="Z1181">
        <v>1</v>
      </c>
      <c r="AA1181">
        <v>7</v>
      </c>
      <c r="AB1181">
        <v>3</v>
      </c>
      <c r="AC1181">
        <v>0</v>
      </c>
      <c r="AD1181">
        <v>9</v>
      </c>
      <c r="AE1181">
        <v>0</v>
      </c>
      <c r="AF1181">
        <v>3</v>
      </c>
      <c r="AG1181">
        <v>1</v>
      </c>
      <c r="AH1181">
        <v>0</v>
      </c>
      <c r="AI1181" t="s">
        <v>640</v>
      </c>
      <c r="AJ1181">
        <v>33.12865</v>
      </c>
      <c r="AK1181" t="s">
        <v>641</v>
      </c>
      <c r="AL1181">
        <v>-97.707166999999998</v>
      </c>
      <c r="AM1181">
        <v>25</v>
      </c>
      <c r="AN1181">
        <v>3400</v>
      </c>
      <c r="AO1181" t="s">
        <v>118</v>
      </c>
      <c r="AP1181">
        <v>47</v>
      </c>
      <c r="AQ1181">
        <v>-94</v>
      </c>
      <c r="AR1181">
        <v>-256</v>
      </c>
      <c r="AZ1181">
        <v>1200</v>
      </c>
      <c r="BA1181">
        <v>1</v>
      </c>
      <c r="BB1181" t="str">
        <f t="shared" si="354"/>
        <v xml:space="preserve">N733KP  </v>
      </c>
      <c r="BC1181">
        <v>1</v>
      </c>
      <c r="BE1181">
        <v>0</v>
      </c>
      <c r="BF1181">
        <v>0</v>
      </c>
      <c r="BG1181">
        <v>0</v>
      </c>
      <c r="BH1181">
        <v>3425</v>
      </c>
      <c r="BI1181">
        <v>1</v>
      </c>
      <c r="BJ1181">
        <v>1</v>
      </c>
      <c r="BK1181">
        <v>0</v>
      </c>
      <c r="BL1181">
        <v>0</v>
      </c>
      <c r="BO1181">
        <v>0</v>
      </c>
      <c r="BP1181">
        <v>0</v>
      </c>
      <c r="BW1181" t="str">
        <f>"22:14:26.333"</f>
        <v>22:14:26.333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364</v>
      </c>
      <c r="CR1181">
        <v>0</v>
      </c>
      <c r="CW1181">
        <v>1409429</v>
      </c>
      <c r="CY1181">
        <v>1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"03/24/2022 22:14:26.548"</f>
        <v>03/24/2022 22:14:26.548</v>
      </c>
      <c r="C1182" t="str">
        <f t="shared" si="353"/>
        <v>FFDFD3C0</v>
      </c>
      <c r="D1182" t="s">
        <v>120</v>
      </c>
      <c r="E1182">
        <v>14</v>
      </c>
      <c r="F1182">
        <v>1014</v>
      </c>
      <c r="G1182" t="s">
        <v>121</v>
      </c>
      <c r="J1182" t="s">
        <v>122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S1182" t="str">
        <f t="shared" si="356"/>
        <v>22:14:26.000</v>
      </c>
      <c r="T1182" t="str">
        <f t="shared" si="356"/>
        <v>22:14:26.000</v>
      </c>
      <c r="U1182" t="str">
        <f t="shared" si="346"/>
        <v>A9D71F</v>
      </c>
      <c r="V1182">
        <v>0</v>
      </c>
      <c r="W1182">
        <v>0</v>
      </c>
      <c r="X1182">
        <v>2</v>
      </c>
      <c r="Z1182">
        <v>1</v>
      </c>
      <c r="AA1182">
        <v>7</v>
      </c>
      <c r="AB1182">
        <v>3</v>
      </c>
      <c r="AC1182">
        <v>0</v>
      </c>
      <c r="AD1182">
        <v>9</v>
      </c>
      <c r="AE1182">
        <v>0</v>
      </c>
      <c r="AF1182">
        <v>3</v>
      </c>
      <c r="AG1182">
        <v>1</v>
      </c>
      <c r="AH1182">
        <v>0</v>
      </c>
      <c r="AI1182" t="s">
        <v>640</v>
      </c>
      <c r="AJ1182">
        <v>33.12865</v>
      </c>
      <c r="AK1182" t="s">
        <v>641</v>
      </c>
      <c r="AL1182">
        <v>-97.707166999999998</v>
      </c>
      <c r="AM1182">
        <v>25</v>
      </c>
      <c r="AN1182">
        <v>3400</v>
      </c>
      <c r="AO1182" t="s">
        <v>118</v>
      </c>
      <c r="AP1182">
        <v>47</v>
      </c>
      <c r="AQ1182">
        <v>-94</v>
      </c>
      <c r="AR1182">
        <v>-256</v>
      </c>
      <c r="AZ1182">
        <v>1200</v>
      </c>
      <c r="BA1182">
        <v>1</v>
      </c>
      <c r="BB1182" t="str">
        <f t="shared" si="354"/>
        <v xml:space="preserve">N733KP  </v>
      </c>
      <c r="BC1182">
        <v>1</v>
      </c>
      <c r="BE1182">
        <v>0</v>
      </c>
      <c r="BF1182">
        <v>0</v>
      </c>
      <c r="BG1182">
        <v>0</v>
      </c>
      <c r="BH1182">
        <v>3425</v>
      </c>
      <c r="BI1182">
        <v>1</v>
      </c>
      <c r="BJ1182">
        <v>1</v>
      </c>
      <c r="BK1182">
        <v>0</v>
      </c>
      <c r="BL1182">
        <v>0</v>
      </c>
      <c r="BO1182">
        <v>0</v>
      </c>
      <c r="BP1182">
        <v>0</v>
      </c>
      <c r="BW1182" t="str">
        <f>"22:14:26.333"</f>
        <v>22:14:26.333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364</v>
      </c>
      <c r="CR1182">
        <v>0</v>
      </c>
      <c r="CW1182">
        <v>1409429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"03/24/2022 22:14:26.548"</f>
        <v>03/24/2022 22:14:26.548</v>
      </c>
      <c r="C1183" t="str">
        <f t="shared" si="353"/>
        <v>FFDFD3C0</v>
      </c>
      <c r="D1183" t="s">
        <v>123</v>
      </c>
      <c r="E1183">
        <v>8</v>
      </c>
      <c r="H1183">
        <v>31</v>
      </c>
      <c r="I1183" t="s">
        <v>124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S1183" t="str">
        <f t="shared" si="356"/>
        <v>22:14:26.000</v>
      </c>
      <c r="T1183" t="str">
        <f t="shared" si="356"/>
        <v>22:14:26.000</v>
      </c>
      <c r="U1183" t="str">
        <f t="shared" si="346"/>
        <v>A9D71F</v>
      </c>
      <c r="V1183">
        <v>0</v>
      </c>
      <c r="W1183">
        <v>0</v>
      </c>
      <c r="X1183">
        <v>2</v>
      </c>
      <c r="Z1183">
        <v>1</v>
      </c>
      <c r="AA1183">
        <v>7</v>
      </c>
      <c r="AB1183">
        <v>3</v>
      </c>
      <c r="AC1183">
        <v>0</v>
      </c>
      <c r="AD1183">
        <v>9</v>
      </c>
      <c r="AE1183">
        <v>0</v>
      </c>
      <c r="AF1183">
        <v>3</v>
      </c>
      <c r="AG1183">
        <v>1</v>
      </c>
      <c r="AH1183">
        <v>0</v>
      </c>
      <c r="AI1183" t="s">
        <v>640</v>
      </c>
      <c r="AJ1183">
        <v>33.12865</v>
      </c>
      <c r="AK1183" t="s">
        <v>641</v>
      </c>
      <c r="AL1183">
        <v>-97.707166999999998</v>
      </c>
      <c r="AM1183">
        <v>25</v>
      </c>
      <c r="AN1183">
        <v>3400</v>
      </c>
      <c r="AO1183" t="s">
        <v>118</v>
      </c>
      <c r="AP1183">
        <v>47</v>
      </c>
      <c r="AQ1183">
        <v>-94</v>
      </c>
      <c r="AR1183">
        <v>-256</v>
      </c>
      <c r="AZ1183">
        <v>1200</v>
      </c>
      <c r="BA1183">
        <v>1</v>
      </c>
      <c r="BB1183" t="str">
        <f t="shared" si="354"/>
        <v xml:space="preserve">N733KP  </v>
      </c>
      <c r="BC1183">
        <v>1</v>
      </c>
      <c r="BE1183">
        <v>0</v>
      </c>
      <c r="BF1183">
        <v>0</v>
      </c>
      <c r="BG1183">
        <v>0</v>
      </c>
      <c r="BH1183">
        <v>3425</v>
      </c>
      <c r="BI1183">
        <v>1</v>
      </c>
      <c r="BJ1183">
        <v>1</v>
      </c>
      <c r="BK1183">
        <v>0</v>
      </c>
      <c r="BL1183">
        <v>0</v>
      </c>
      <c r="BO1183">
        <v>0</v>
      </c>
      <c r="BP1183">
        <v>0</v>
      </c>
      <c r="BW1183" t="str">
        <f>"22:14:26.333"</f>
        <v>22:14:26.333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364</v>
      </c>
      <c r="CR1183">
        <v>0</v>
      </c>
      <c r="CW1183">
        <v>1409429</v>
      </c>
      <c r="CY1183">
        <v>1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"03/24/2022 22:14:26.548"</f>
        <v>03/24/2022 22:14:26.548</v>
      </c>
      <c r="C1184" t="str">
        <f t="shared" si="353"/>
        <v>FFDFD3C0</v>
      </c>
      <c r="D1184" t="s">
        <v>113</v>
      </c>
      <c r="E1184">
        <v>24</v>
      </c>
      <c r="F1184">
        <v>2024</v>
      </c>
      <c r="G1184" t="s">
        <v>114</v>
      </c>
      <c r="J1184" t="s">
        <v>115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S1184" t="str">
        <f t="shared" si="356"/>
        <v>22:14:26.000</v>
      </c>
      <c r="T1184" t="str">
        <f t="shared" si="356"/>
        <v>22:14:26.000</v>
      </c>
      <c r="U1184" t="str">
        <f t="shared" si="346"/>
        <v>A9D71F</v>
      </c>
      <c r="V1184">
        <v>0</v>
      </c>
      <c r="W1184">
        <v>0</v>
      </c>
      <c r="X1184">
        <v>2</v>
      </c>
      <c r="Z1184">
        <v>1</v>
      </c>
      <c r="AA1184">
        <v>7</v>
      </c>
      <c r="AB1184">
        <v>3</v>
      </c>
      <c r="AC1184">
        <v>0</v>
      </c>
      <c r="AD1184">
        <v>9</v>
      </c>
      <c r="AE1184">
        <v>0</v>
      </c>
      <c r="AF1184">
        <v>3</v>
      </c>
      <c r="AG1184">
        <v>1</v>
      </c>
      <c r="AH1184">
        <v>0</v>
      </c>
      <c r="AI1184" t="s">
        <v>640</v>
      </c>
      <c r="AJ1184">
        <v>33.12865</v>
      </c>
      <c r="AK1184" t="s">
        <v>641</v>
      </c>
      <c r="AL1184">
        <v>-97.707166999999998</v>
      </c>
      <c r="AM1184">
        <v>25</v>
      </c>
      <c r="AN1184">
        <v>3400</v>
      </c>
      <c r="AO1184" t="s">
        <v>118</v>
      </c>
      <c r="AP1184">
        <v>47</v>
      </c>
      <c r="AQ1184">
        <v>-94</v>
      </c>
      <c r="AR1184">
        <v>-256</v>
      </c>
      <c r="AZ1184">
        <v>1200</v>
      </c>
      <c r="BA1184">
        <v>1</v>
      </c>
      <c r="BB1184" t="str">
        <f t="shared" si="354"/>
        <v xml:space="preserve">N733KP  </v>
      </c>
      <c r="BC1184">
        <v>1</v>
      </c>
      <c r="BE1184">
        <v>0</v>
      </c>
      <c r="BF1184">
        <v>0</v>
      </c>
      <c r="BG1184">
        <v>0</v>
      </c>
      <c r="BH1184">
        <v>3425</v>
      </c>
      <c r="BI1184">
        <v>1</v>
      </c>
      <c r="BJ1184">
        <v>1</v>
      </c>
      <c r="BK1184">
        <v>0</v>
      </c>
      <c r="BL1184">
        <v>0</v>
      </c>
      <c r="BO1184">
        <v>0</v>
      </c>
      <c r="BP1184">
        <v>0</v>
      </c>
      <c r="BW1184" t="str">
        <f>"22:14:26.333"</f>
        <v>22:14:26.333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364</v>
      </c>
      <c r="CR1184">
        <v>0</v>
      </c>
      <c r="CW1184">
        <v>1409429</v>
      </c>
      <c r="CY1184">
        <v>1</v>
      </c>
      <c r="CZ1184">
        <v>0</v>
      </c>
      <c r="DA1184">
        <v>1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"03/24/2022 22:14:27.456"</f>
        <v>03/24/2022 22:14:27.456</v>
      </c>
      <c r="C1185" t="str">
        <f t="shared" si="353"/>
        <v>FFDFD3C0</v>
      </c>
      <c r="D1185" t="s">
        <v>123</v>
      </c>
      <c r="E1185">
        <v>8</v>
      </c>
      <c r="H1185">
        <v>31</v>
      </c>
      <c r="I1185" t="s">
        <v>124</v>
      </c>
      <c r="J1185" t="s">
        <v>125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S1185" t="str">
        <f t="shared" ref="S1185:T1188" si="357">"22:14:27.000"</f>
        <v>22:14:27.000</v>
      </c>
      <c r="T1185" t="str">
        <f t="shared" si="357"/>
        <v>22:14:27.000</v>
      </c>
      <c r="U1185" t="str">
        <f t="shared" si="346"/>
        <v>A9D71F</v>
      </c>
      <c r="V1185">
        <v>0</v>
      </c>
      <c r="W1185">
        <v>0</v>
      </c>
      <c r="X1185">
        <v>2</v>
      </c>
      <c r="Z1185">
        <v>1</v>
      </c>
      <c r="AA1185">
        <v>7</v>
      </c>
      <c r="AB1185">
        <v>3</v>
      </c>
      <c r="AC1185">
        <v>0</v>
      </c>
      <c r="AD1185">
        <v>9</v>
      </c>
      <c r="AE1185">
        <v>0</v>
      </c>
      <c r="AF1185">
        <v>3</v>
      </c>
      <c r="AG1185">
        <v>1</v>
      </c>
      <c r="AH1185">
        <v>0</v>
      </c>
      <c r="AI1185" t="s">
        <v>642</v>
      </c>
      <c r="AJ1185">
        <v>33.128221000000003</v>
      </c>
      <c r="AK1185" t="s">
        <v>643</v>
      </c>
      <c r="AL1185">
        <v>-97.706908999999996</v>
      </c>
      <c r="AM1185">
        <v>25</v>
      </c>
      <c r="AN1185">
        <v>3400</v>
      </c>
      <c r="AO1185" t="s">
        <v>118</v>
      </c>
      <c r="AP1185">
        <v>48</v>
      </c>
      <c r="AQ1185">
        <v>-94</v>
      </c>
      <c r="AR1185">
        <v>-256</v>
      </c>
      <c r="AZ1185">
        <v>1200</v>
      </c>
      <c r="BA1185">
        <v>1</v>
      </c>
      <c r="BB1185" t="str">
        <f t="shared" si="354"/>
        <v xml:space="preserve">N733KP  </v>
      </c>
      <c r="BC1185">
        <v>1</v>
      </c>
      <c r="BE1185">
        <v>0</v>
      </c>
      <c r="BF1185">
        <v>0</v>
      </c>
      <c r="BG1185">
        <v>0</v>
      </c>
      <c r="BH1185">
        <v>3425</v>
      </c>
      <c r="BI1185">
        <v>1</v>
      </c>
      <c r="BJ1185">
        <v>1</v>
      </c>
      <c r="BK1185">
        <v>0</v>
      </c>
      <c r="BL1185">
        <v>0</v>
      </c>
      <c r="BO1185">
        <v>0</v>
      </c>
      <c r="BP1185">
        <v>0</v>
      </c>
      <c r="BW1185" t="str">
        <f>"22:14:27.253"</f>
        <v>22:14:27.253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3</v>
      </c>
      <c r="CP1185" t="s">
        <v>119</v>
      </c>
      <c r="CQ1185">
        <v>365</v>
      </c>
      <c r="CR1185">
        <v>0</v>
      </c>
      <c r="CW1185">
        <v>11459917</v>
      </c>
      <c r="CY1185">
        <v>1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"03/24/2022 22:14:27.456"</f>
        <v>03/24/2022 22:14:27.456</v>
      </c>
      <c r="C1186" t="str">
        <f t="shared" si="353"/>
        <v>FFDFD3C0</v>
      </c>
      <c r="D1186" t="s">
        <v>120</v>
      </c>
      <c r="E1186">
        <v>14</v>
      </c>
      <c r="F1186">
        <v>1014</v>
      </c>
      <c r="G1186" t="s">
        <v>121</v>
      </c>
      <c r="J1186" t="s">
        <v>122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S1186" t="str">
        <f t="shared" si="357"/>
        <v>22:14:27.000</v>
      </c>
      <c r="T1186" t="str">
        <f t="shared" si="357"/>
        <v>22:14:27.000</v>
      </c>
      <c r="U1186" t="str">
        <f t="shared" si="346"/>
        <v>A9D71F</v>
      </c>
      <c r="V1186">
        <v>0</v>
      </c>
      <c r="W1186">
        <v>0</v>
      </c>
      <c r="X1186">
        <v>2</v>
      </c>
      <c r="Z1186">
        <v>1</v>
      </c>
      <c r="AA1186">
        <v>7</v>
      </c>
      <c r="AB1186">
        <v>3</v>
      </c>
      <c r="AC1186">
        <v>0</v>
      </c>
      <c r="AD1186">
        <v>9</v>
      </c>
      <c r="AE1186">
        <v>0</v>
      </c>
      <c r="AF1186">
        <v>3</v>
      </c>
      <c r="AG1186">
        <v>1</v>
      </c>
      <c r="AH1186">
        <v>0</v>
      </c>
      <c r="AI1186" t="s">
        <v>642</v>
      </c>
      <c r="AJ1186">
        <v>33.128221000000003</v>
      </c>
      <c r="AK1186" t="s">
        <v>643</v>
      </c>
      <c r="AL1186">
        <v>-97.706908999999996</v>
      </c>
      <c r="AM1186">
        <v>25</v>
      </c>
      <c r="AN1186">
        <v>3400</v>
      </c>
      <c r="AO1186" t="s">
        <v>118</v>
      </c>
      <c r="AP1186">
        <v>48</v>
      </c>
      <c r="AQ1186">
        <v>-94</v>
      </c>
      <c r="AR1186">
        <v>-256</v>
      </c>
      <c r="AZ1186">
        <v>1200</v>
      </c>
      <c r="BA1186">
        <v>1</v>
      </c>
      <c r="BB1186" t="str">
        <f t="shared" si="354"/>
        <v xml:space="preserve">N733KP  </v>
      </c>
      <c r="BC1186">
        <v>1</v>
      </c>
      <c r="BE1186">
        <v>0</v>
      </c>
      <c r="BF1186">
        <v>0</v>
      </c>
      <c r="BG1186">
        <v>0</v>
      </c>
      <c r="BH1186">
        <v>3425</v>
      </c>
      <c r="BI1186">
        <v>1</v>
      </c>
      <c r="BJ1186">
        <v>1</v>
      </c>
      <c r="BK1186">
        <v>0</v>
      </c>
      <c r="BL1186">
        <v>0</v>
      </c>
      <c r="BO1186">
        <v>0</v>
      </c>
      <c r="BP1186">
        <v>0</v>
      </c>
      <c r="BW1186" t="str">
        <f>"22:14:27.253"</f>
        <v>22:14:27.253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3</v>
      </c>
      <c r="CP1186" t="s">
        <v>119</v>
      </c>
      <c r="CQ1186">
        <v>365</v>
      </c>
      <c r="CR1186">
        <v>0</v>
      </c>
      <c r="CW1186">
        <v>11459917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"03/24/2022 22:14:27.456"</f>
        <v>03/24/2022 22:14:27.456</v>
      </c>
      <c r="C1187" t="str">
        <f t="shared" si="353"/>
        <v>FFDFD3C0</v>
      </c>
      <c r="D1187" t="s">
        <v>113</v>
      </c>
      <c r="E1187">
        <v>24</v>
      </c>
      <c r="F1187">
        <v>2024</v>
      </c>
      <c r="G1187" t="s">
        <v>114</v>
      </c>
      <c r="J1187" t="s">
        <v>115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S1187" t="str">
        <f t="shared" si="357"/>
        <v>22:14:27.000</v>
      </c>
      <c r="T1187" t="str">
        <f t="shared" si="357"/>
        <v>22:14:27.000</v>
      </c>
      <c r="U1187" t="str">
        <f t="shared" si="346"/>
        <v>A9D71F</v>
      </c>
      <c r="V1187">
        <v>0</v>
      </c>
      <c r="W1187">
        <v>0</v>
      </c>
      <c r="X1187">
        <v>2</v>
      </c>
      <c r="Z1187">
        <v>1</v>
      </c>
      <c r="AA1187">
        <v>7</v>
      </c>
      <c r="AB1187">
        <v>3</v>
      </c>
      <c r="AC1187">
        <v>0</v>
      </c>
      <c r="AD1187">
        <v>9</v>
      </c>
      <c r="AE1187">
        <v>0</v>
      </c>
      <c r="AF1187">
        <v>3</v>
      </c>
      <c r="AG1187">
        <v>1</v>
      </c>
      <c r="AH1187">
        <v>0</v>
      </c>
      <c r="AI1187" t="s">
        <v>642</v>
      </c>
      <c r="AJ1187">
        <v>33.128221000000003</v>
      </c>
      <c r="AK1187" t="s">
        <v>643</v>
      </c>
      <c r="AL1187">
        <v>-97.706908999999996</v>
      </c>
      <c r="AM1187">
        <v>25</v>
      </c>
      <c r="AN1187">
        <v>3400</v>
      </c>
      <c r="AO1187" t="s">
        <v>118</v>
      </c>
      <c r="AP1187">
        <v>48</v>
      </c>
      <c r="AQ1187">
        <v>-94</v>
      </c>
      <c r="AR1187">
        <v>-256</v>
      </c>
      <c r="AZ1187">
        <v>1200</v>
      </c>
      <c r="BA1187">
        <v>1</v>
      </c>
      <c r="BB1187" t="str">
        <f t="shared" si="354"/>
        <v xml:space="preserve">N733KP  </v>
      </c>
      <c r="BC1187">
        <v>1</v>
      </c>
      <c r="BE1187">
        <v>0</v>
      </c>
      <c r="BF1187">
        <v>0</v>
      </c>
      <c r="BG1187">
        <v>0</v>
      </c>
      <c r="BH1187">
        <v>3425</v>
      </c>
      <c r="BI1187">
        <v>1</v>
      </c>
      <c r="BJ1187">
        <v>1</v>
      </c>
      <c r="BK1187">
        <v>0</v>
      </c>
      <c r="BL1187">
        <v>0</v>
      </c>
      <c r="BO1187">
        <v>0</v>
      </c>
      <c r="BP1187">
        <v>0</v>
      </c>
      <c r="BW1187" t="str">
        <f>"22:14:27.253"</f>
        <v>22:14:27.253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3</v>
      </c>
      <c r="CP1187" t="s">
        <v>119</v>
      </c>
      <c r="CQ1187">
        <v>365</v>
      </c>
      <c r="CR1187">
        <v>0</v>
      </c>
      <c r="CW1187">
        <v>11459917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"03/24/2022 22:14:27.456"</f>
        <v>03/24/2022 22:14:27.456</v>
      </c>
      <c r="C1188" t="str">
        <f t="shared" si="353"/>
        <v>FFDFD3C0</v>
      </c>
      <c r="D1188" t="s">
        <v>126</v>
      </c>
      <c r="E1188">
        <v>3</v>
      </c>
      <c r="H1188">
        <v>160</v>
      </c>
      <c r="I1188" t="s">
        <v>121</v>
      </c>
      <c r="J1188" t="s">
        <v>127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S1188" t="str">
        <f t="shared" si="357"/>
        <v>22:14:27.000</v>
      </c>
      <c r="T1188" t="str">
        <f t="shared" si="357"/>
        <v>22:14:27.000</v>
      </c>
      <c r="U1188" t="str">
        <f t="shared" si="346"/>
        <v>A9D71F</v>
      </c>
      <c r="V1188">
        <v>0</v>
      </c>
      <c r="W1188">
        <v>0</v>
      </c>
      <c r="X1188">
        <v>2</v>
      </c>
      <c r="Z1188">
        <v>1</v>
      </c>
      <c r="AA1188">
        <v>7</v>
      </c>
      <c r="AB1188">
        <v>3</v>
      </c>
      <c r="AC1188">
        <v>0</v>
      </c>
      <c r="AD1188">
        <v>9</v>
      </c>
      <c r="AE1188">
        <v>0</v>
      </c>
      <c r="AF1188">
        <v>3</v>
      </c>
      <c r="AG1188">
        <v>1</v>
      </c>
      <c r="AH1188">
        <v>0</v>
      </c>
      <c r="AI1188" t="s">
        <v>642</v>
      </c>
      <c r="AJ1188">
        <v>33.128221000000003</v>
      </c>
      <c r="AK1188" t="s">
        <v>643</v>
      </c>
      <c r="AL1188">
        <v>-97.706908999999996</v>
      </c>
      <c r="AM1188">
        <v>25</v>
      </c>
      <c r="AN1188">
        <v>3400</v>
      </c>
      <c r="AO1188" t="s">
        <v>118</v>
      </c>
      <c r="AP1188">
        <v>48</v>
      </c>
      <c r="AQ1188">
        <v>-94</v>
      </c>
      <c r="AR1188">
        <v>-256</v>
      </c>
      <c r="AZ1188">
        <v>1200</v>
      </c>
      <c r="BA1188">
        <v>1</v>
      </c>
      <c r="BB1188" t="str">
        <f t="shared" si="354"/>
        <v xml:space="preserve">N733KP  </v>
      </c>
      <c r="BC1188">
        <v>1</v>
      </c>
      <c r="BE1188">
        <v>0</v>
      </c>
      <c r="BF1188">
        <v>0</v>
      </c>
      <c r="BG1188">
        <v>0</v>
      </c>
      <c r="BH1188">
        <v>3425</v>
      </c>
      <c r="BI1188">
        <v>1</v>
      </c>
      <c r="BJ1188">
        <v>1</v>
      </c>
      <c r="BK1188">
        <v>0</v>
      </c>
      <c r="BL1188">
        <v>0</v>
      </c>
      <c r="BO1188">
        <v>0</v>
      </c>
      <c r="BP1188">
        <v>0</v>
      </c>
      <c r="BW1188" t="str">
        <f>"22:14:27.253"</f>
        <v>22:14:27.253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3</v>
      </c>
      <c r="CP1188" t="s">
        <v>119</v>
      </c>
      <c r="CQ1188">
        <v>365</v>
      </c>
      <c r="CR1188">
        <v>0</v>
      </c>
      <c r="CW1188">
        <v>11459917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"03/24/2022 22:14:29.036"</f>
        <v>03/24/2022 22:14:29.036</v>
      </c>
      <c r="C1189" t="str">
        <f t="shared" si="353"/>
        <v>FFDFD3C0</v>
      </c>
      <c r="D1189" t="s">
        <v>126</v>
      </c>
      <c r="E1189">
        <v>3</v>
      </c>
      <c r="H1189">
        <v>160</v>
      </c>
      <c r="I1189" t="s">
        <v>121</v>
      </c>
      <c r="J1189" t="s">
        <v>127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S1189" t="str">
        <f t="shared" ref="S1189:T1192" si="358">"22:14:28.000"</f>
        <v>22:14:28.000</v>
      </c>
      <c r="T1189" t="str">
        <f t="shared" si="358"/>
        <v>22:14:28.000</v>
      </c>
      <c r="U1189" t="str">
        <f t="shared" si="346"/>
        <v>A9D71F</v>
      </c>
      <c r="V1189">
        <v>0</v>
      </c>
      <c r="W1189">
        <v>0</v>
      </c>
      <c r="X1189">
        <v>2</v>
      </c>
      <c r="Z1189">
        <v>1</v>
      </c>
      <c r="AA1189">
        <v>7</v>
      </c>
      <c r="AB1189">
        <v>3</v>
      </c>
      <c r="AC1189">
        <v>0</v>
      </c>
      <c r="AD1189">
        <v>9</v>
      </c>
      <c r="AE1189">
        <v>0</v>
      </c>
      <c r="AF1189">
        <v>3</v>
      </c>
      <c r="AG1189">
        <v>1</v>
      </c>
      <c r="AH1189">
        <v>0</v>
      </c>
      <c r="AI1189" t="s">
        <v>644</v>
      </c>
      <c r="AJ1189">
        <v>33.127769999999998</v>
      </c>
      <c r="AK1189" t="s">
        <v>645</v>
      </c>
      <c r="AL1189">
        <v>-97.706630000000004</v>
      </c>
      <c r="AM1189">
        <v>25</v>
      </c>
      <c r="AN1189">
        <v>3400</v>
      </c>
      <c r="AO1189" t="s">
        <v>118</v>
      </c>
      <c r="AP1189">
        <v>49</v>
      </c>
      <c r="AQ1189">
        <v>-94</v>
      </c>
      <c r="AR1189">
        <v>-256</v>
      </c>
      <c r="AZ1189">
        <v>1200</v>
      </c>
      <c r="BA1189">
        <v>1</v>
      </c>
      <c r="BB1189" t="str">
        <f t="shared" si="354"/>
        <v xml:space="preserve">N733KP  </v>
      </c>
      <c r="BC1189">
        <v>1</v>
      </c>
      <c r="BE1189">
        <v>0</v>
      </c>
      <c r="BF1189">
        <v>0</v>
      </c>
      <c r="BG1189">
        <v>0</v>
      </c>
      <c r="BH1189">
        <v>3400</v>
      </c>
      <c r="BI1189">
        <v>1</v>
      </c>
      <c r="BJ1189">
        <v>1</v>
      </c>
      <c r="BK1189">
        <v>0</v>
      </c>
      <c r="BL1189">
        <v>0</v>
      </c>
      <c r="BO1189">
        <v>0</v>
      </c>
      <c r="BP1189">
        <v>0</v>
      </c>
      <c r="BW1189" t="str">
        <f>"22:14:28.795"</f>
        <v>22:14:28.795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3</v>
      </c>
      <c r="CP1189" t="s">
        <v>119</v>
      </c>
      <c r="CQ1189">
        <v>365</v>
      </c>
      <c r="CR1189">
        <v>0</v>
      </c>
      <c r="CW1189">
        <v>11460327</v>
      </c>
      <c r="CY1189">
        <v>1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"03/24/2022 22:14:29.052"</f>
        <v>03/24/2022 22:14:29.052</v>
      </c>
      <c r="C1190" t="str">
        <f t="shared" si="353"/>
        <v>FFDFD3C0</v>
      </c>
      <c r="D1190" t="s">
        <v>120</v>
      </c>
      <c r="E1190">
        <v>14</v>
      </c>
      <c r="F1190">
        <v>1014</v>
      </c>
      <c r="G1190" t="s">
        <v>121</v>
      </c>
      <c r="J1190" t="s">
        <v>122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S1190" t="str">
        <f t="shared" si="358"/>
        <v>22:14:28.000</v>
      </c>
      <c r="T1190" t="str">
        <f t="shared" si="358"/>
        <v>22:14:28.000</v>
      </c>
      <c r="U1190" t="str">
        <f t="shared" si="346"/>
        <v>A9D71F</v>
      </c>
      <c r="V1190">
        <v>0</v>
      </c>
      <c r="W1190">
        <v>0</v>
      </c>
      <c r="X1190">
        <v>2</v>
      </c>
      <c r="Z1190">
        <v>1</v>
      </c>
      <c r="AA1190">
        <v>7</v>
      </c>
      <c r="AB1190">
        <v>3</v>
      </c>
      <c r="AC1190">
        <v>0</v>
      </c>
      <c r="AD1190">
        <v>9</v>
      </c>
      <c r="AE1190">
        <v>0</v>
      </c>
      <c r="AF1190">
        <v>3</v>
      </c>
      <c r="AG1190">
        <v>1</v>
      </c>
      <c r="AH1190">
        <v>0</v>
      </c>
      <c r="AI1190" t="s">
        <v>644</v>
      </c>
      <c r="AJ1190">
        <v>33.127769999999998</v>
      </c>
      <c r="AK1190" t="s">
        <v>645</v>
      </c>
      <c r="AL1190">
        <v>-97.706630000000004</v>
      </c>
      <c r="AM1190">
        <v>25</v>
      </c>
      <c r="AN1190">
        <v>3400</v>
      </c>
      <c r="AO1190" t="s">
        <v>118</v>
      </c>
      <c r="AP1190">
        <v>49</v>
      </c>
      <c r="AQ1190">
        <v>-94</v>
      </c>
      <c r="AR1190">
        <v>-256</v>
      </c>
      <c r="AZ1190">
        <v>1200</v>
      </c>
      <c r="BA1190">
        <v>1</v>
      </c>
      <c r="BB1190" t="str">
        <f t="shared" si="354"/>
        <v xml:space="preserve">N733KP  </v>
      </c>
      <c r="BC1190">
        <v>1</v>
      </c>
      <c r="BE1190">
        <v>0</v>
      </c>
      <c r="BF1190">
        <v>0</v>
      </c>
      <c r="BG1190">
        <v>0</v>
      </c>
      <c r="BH1190">
        <v>3400</v>
      </c>
      <c r="BI1190">
        <v>1</v>
      </c>
      <c r="BJ1190">
        <v>1</v>
      </c>
      <c r="BK1190">
        <v>0</v>
      </c>
      <c r="BL1190">
        <v>0</v>
      </c>
      <c r="BO1190">
        <v>0</v>
      </c>
      <c r="BP1190">
        <v>0</v>
      </c>
      <c r="BW1190" t="str">
        <f>"22:14:28.795"</f>
        <v>22:14:28.795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3</v>
      </c>
      <c r="CP1190" t="s">
        <v>119</v>
      </c>
      <c r="CQ1190">
        <v>365</v>
      </c>
      <c r="CR1190">
        <v>0</v>
      </c>
      <c r="CW1190">
        <v>11460327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"03/24/2022 22:14:29.052"</f>
        <v>03/24/2022 22:14:29.052</v>
      </c>
      <c r="C1191" t="str">
        <f t="shared" si="353"/>
        <v>FFDFD3C0</v>
      </c>
      <c r="D1191" t="s">
        <v>113</v>
      </c>
      <c r="E1191">
        <v>24</v>
      </c>
      <c r="F1191">
        <v>2024</v>
      </c>
      <c r="G1191" t="s">
        <v>114</v>
      </c>
      <c r="J1191" t="s">
        <v>115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S1191" t="str">
        <f t="shared" si="358"/>
        <v>22:14:28.000</v>
      </c>
      <c r="T1191" t="str">
        <f t="shared" si="358"/>
        <v>22:14:28.000</v>
      </c>
      <c r="U1191" t="str">
        <f t="shared" si="346"/>
        <v>A9D71F</v>
      </c>
      <c r="V1191">
        <v>0</v>
      </c>
      <c r="W1191">
        <v>0</v>
      </c>
      <c r="X1191">
        <v>2</v>
      </c>
      <c r="Z1191">
        <v>1</v>
      </c>
      <c r="AA1191">
        <v>7</v>
      </c>
      <c r="AB1191">
        <v>3</v>
      </c>
      <c r="AC1191">
        <v>0</v>
      </c>
      <c r="AD1191">
        <v>9</v>
      </c>
      <c r="AE1191">
        <v>0</v>
      </c>
      <c r="AF1191">
        <v>3</v>
      </c>
      <c r="AG1191">
        <v>1</v>
      </c>
      <c r="AH1191">
        <v>0</v>
      </c>
      <c r="AI1191" t="s">
        <v>644</v>
      </c>
      <c r="AJ1191">
        <v>33.127769999999998</v>
      </c>
      <c r="AK1191" t="s">
        <v>645</v>
      </c>
      <c r="AL1191">
        <v>-97.706630000000004</v>
      </c>
      <c r="AM1191">
        <v>25</v>
      </c>
      <c r="AN1191">
        <v>3400</v>
      </c>
      <c r="AO1191" t="s">
        <v>118</v>
      </c>
      <c r="AP1191">
        <v>49</v>
      </c>
      <c r="AQ1191">
        <v>-94</v>
      </c>
      <c r="AR1191">
        <v>-256</v>
      </c>
      <c r="AZ1191">
        <v>1200</v>
      </c>
      <c r="BA1191">
        <v>1</v>
      </c>
      <c r="BB1191" t="str">
        <f t="shared" si="354"/>
        <v xml:space="preserve">N733KP  </v>
      </c>
      <c r="BC1191">
        <v>1</v>
      </c>
      <c r="BE1191">
        <v>0</v>
      </c>
      <c r="BF1191">
        <v>0</v>
      </c>
      <c r="BG1191">
        <v>0</v>
      </c>
      <c r="BH1191">
        <v>3400</v>
      </c>
      <c r="BI1191">
        <v>1</v>
      </c>
      <c r="BJ1191">
        <v>1</v>
      </c>
      <c r="BK1191">
        <v>0</v>
      </c>
      <c r="BL1191">
        <v>0</v>
      </c>
      <c r="BO1191">
        <v>0</v>
      </c>
      <c r="BP1191">
        <v>0</v>
      </c>
      <c r="BW1191" t="str">
        <f>"22:14:28.795"</f>
        <v>22:14:28.795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3</v>
      </c>
      <c r="CP1191" t="s">
        <v>119</v>
      </c>
      <c r="CQ1191">
        <v>365</v>
      </c>
      <c r="CR1191">
        <v>0</v>
      </c>
      <c r="CW1191">
        <v>11460327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"03/24/2022 22:14:29.036"</f>
        <v>03/24/2022 22:14:29.036</v>
      </c>
      <c r="C1192" t="str">
        <f t="shared" si="353"/>
        <v>FFDFD3C0</v>
      </c>
      <c r="D1192" t="s">
        <v>123</v>
      </c>
      <c r="E1192">
        <v>8</v>
      </c>
      <c r="H1192">
        <v>31</v>
      </c>
      <c r="I1192" t="s">
        <v>124</v>
      </c>
      <c r="J1192" t="s">
        <v>125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S1192" t="str">
        <f t="shared" si="358"/>
        <v>22:14:28.000</v>
      </c>
      <c r="T1192" t="str">
        <f t="shared" si="358"/>
        <v>22:14:28.000</v>
      </c>
      <c r="U1192" t="str">
        <f t="shared" si="346"/>
        <v>A9D71F</v>
      </c>
      <c r="V1192">
        <v>0</v>
      </c>
      <c r="W1192">
        <v>0</v>
      </c>
      <c r="X1192">
        <v>2</v>
      </c>
      <c r="Z1192">
        <v>1</v>
      </c>
      <c r="AA1192">
        <v>7</v>
      </c>
      <c r="AB1192">
        <v>3</v>
      </c>
      <c r="AC1192">
        <v>0</v>
      </c>
      <c r="AD1192">
        <v>9</v>
      </c>
      <c r="AE1192">
        <v>0</v>
      </c>
      <c r="AF1192">
        <v>3</v>
      </c>
      <c r="AG1192">
        <v>1</v>
      </c>
      <c r="AH1192">
        <v>0</v>
      </c>
      <c r="AI1192" t="s">
        <v>644</v>
      </c>
      <c r="AJ1192">
        <v>33.127769999999998</v>
      </c>
      <c r="AK1192" t="s">
        <v>645</v>
      </c>
      <c r="AL1192">
        <v>-97.706630000000004</v>
      </c>
      <c r="AM1192">
        <v>25</v>
      </c>
      <c r="AN1192">
        <v>3400</v>
      </c>
      <c r="AO1192" t="s">
        <v>118</v>
      </c>
      <c r="AP1192">
        <v>49</v>
      </c>
      <c r="AQ1192">
        <v>-94</v>
      </c>
      <c r="AR1192">
        <v>-256</v>
      </c>
      <c r="AZ1192">
        <v>1200</v>
      </c>
      <c r="BA1192">
        <v>1</v>
      </c>
      <c r="BB1192" t="str">
        <f t="shared" si="354"/>
        <v xml:space="preserve">N733KP  </v>
      </c>
      <c r="BC1192">
        <v>1</v>
      </c>
      <c r="BE1192">
        <v>0</v>
      </c>
      <c r="BF1192">
        <v>0</v>
      </c>
      <c r="BG1192">
        <v>0</v>
      </c>
      <c r="BH1192">
        <v>3400</v>
      </c>
      <c r="BI1192">
        <v>1</v>
      </c>
      <c r="BJ1192">
        <v>1</v>
      </c>
      <c r="BK1192">
        <v>0</v>
      </c>
      <c r="BL1192">
        <v>0</v>
      </c>
      <c r="BO1192">
        <v>0</v>
      </c>
      <c r="BP1192">
        <v>0</v>
      </c>
      <c r="BW1192" t="str">
        <f>"22:14:28.795"</f>
        <v>22:14:28.795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3</v>
      </c>
      <c r="CP1192" t="s">
        <v>119</v>
      </c>
      <c r="CQ1192">
        <v>365</v>
      </c>
      <c r="CR1192">
        <v>0</v>
      </c>
      <c r="CW1192">
        <v>11460327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"03/24/2022 22:14:29.536"</f>
        <v>03/24/2022 22:14:29.536</v>
      </c>
      <c r="C1193" t="str">
        <f t="shared" si="353"/>
        <v>FFDFD3C0</v>
      </c>
      <c r="D1193" t="s">
        <v>123</v>
      </c>
      <c r="E1193">
        <v>8</v>
      </c>
      <c r="H1193">
        <v>31</v>
      </c>
      <c r="I1193" t="s">
        <v>124</v>
      </c>
      <c r="J1193" t="s">
        <v>125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S1193" t="str">
        <f t="shared" ref="S1193:T1196" si="359">"22:14:29.000"</f>
        <v>22:14:29.000</v>
      </c>
      <c r="T1193" t="str">
        <f t="shared" si="359"/>
        <v>22:14:29.000</v>
      </c>
      <c r="U1193" t="str">
        <f t="shared" si="346"/>
        <v>A9D71F</v>
      </c>
      <c r="V1193">
        <v>0</v>
      </c>
      <c r="W1193">
        <v>0</v>
      </c>
      <c r="X1193">
        <v>2</v>
      </c>
      <c r="Z1193">
        <v>1</v>
      </c>
      <c r="AA1193">
        <v>7</v>
      </c>
      <c r="AB1193">
        <v>3</v>
      </c>
      <c r="AC1193">
        <v>0</v>
      </c>
      <c r="AD1193">
        <v>9</v>
      </c>
      <c r="AE1193">
        <v>0</v>
      </c>
      <c r="AF1193">
        <v>3</v>
      </c>
      <c r="AG1193">
        <v>1</v>
      </c>
      <c r="AH1193">
        <v>0</v>
      </c>
      <c r="AI1193" t="s">
        <v>646</v>
      </c>
      <c r="AJ1193">
        <v>33.127341000000001</v>
      </c>
      <c r="AK1193" t="s">
        <v>647</v>
      </c>
      <c r="AL1193">
        <v>-97.706372999999999</v>
      </c>
      <c r="AM1193">
        <v>25</v>
      </c>
      <c r="AN1193">
        <v>3400</v>
      </c>
      <c r="AO1193" t="s">
        <v>118</v>
      </c>
      <c r="AP1193">
        <v>49</v>
      </c>
      <c r="AQ1193">
        <v>-94</v>
      </c>
      <c r="AR1193">
        <v>-256</v>
      </c>
      <c r="AZ1193">
        <v>1200</v>
      </c>
      <c r="BA1193">
        <v>1</v>
      </c>
      <c r="BB1193" t="str">
        <f t="shared" si="354"/>
        <v xml:space="preserve">N733KP  </v>
      </c>
      <c r="BC1193">
        <v>1</v>
      </c>
      <c r="BE1193">
        <v>0</v>
      </c>
      <c r="BF1193">
        <v>0</v>
      </c>
      <c r="BG1193">
        <v>0</v>
      </c>
      <c r="BH1193">
        <v>3400</v>
      </c>
      <c r="BI1193">
        <v>1</v>
      </c>
      <c r="BJ1193">
        <v>1</v>
      </c>
      <c r="BK1193">
        <v>0</v>
      </c>
      <c r="BL1193">
        <v>0</v>
      </c>
      <c r="BO1193">
        <v>0</v>
      </c>
      <c r="BP1193">
        <v>0</v>
      </c>
      <c r="BW1193" t="str">
        <f>"22:14:29.321"</f>
        <v>22:14:29.321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364</v>
      </c>
      <c r="CR1193">
        <v>0</v>
      </c>
      <c r="CW1193">
        <v>1409928</v>
      </c>
      <c r="CY1193">
        <v>1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"03/24/2022 22:14:29.536"</f>
        <v>03/24/2022 22:14:29.536</v>
      </c>
      <c r="C1194" t="str">
        <f t="shared" si="353"/>
        <v>FFDFD3C0</v>
      </c>
      <c r="D1194" t="s">
        <v>120</v>
      </c>
      <c r="E1194">
        <v>14</v>
      </c>
      <c r="F1194">
        <v>1014</v>
      </c>
      <c r="G1194" t="s">
        <v>121</v>
      </c>
      <c r="J1194" t="s">
        <v>122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S1194" t="str">
        <f t="shared" si="359"/>
        <v>22:14:29.000</v>
      </c>
      <c r="T1194" t="str">
        <f t="shared" si="359"/>
        <v>22:14:29.000</v>
      </c>
      <c r="U1194" t="str">
        <f t="shared" si="346"/>
        <v>A9D71F</v>
      </c>
      <c r="V1194">
        <v>0</v>
      </c>
      <c r="W1194">
        <v>0</v>
      </c>
      <c r="X1194">
        <v>2</v>
      </c>
      <c r="Z1194">
        <v>1</v>
      </c>
      <c r="AA1194">
        <v>7</v>
      </c>
      <c r="AB1194">
        <v>3</v>
      </c>
      <c r="AC1194">
        <v>0</v>
      </c>
      <c r="AD1194">
        <v>9</v>
      </c>
      <c r="AE1194">
        <v>0</v>
      </c>
      <c r="AF1194">
        <v>3</v>
      </c>
      <c r="AG1194">
        <v>1</v>
      </c>
      <c r="AH1194">
        <v>0</v>
      </c>
      <c r="AI1194" t="s">
        <v>646</v>
      </c>
      <c r="AJ1194">
        <v>33.127341000000001</v>
      </c>
      <c r="AK1194" t="s">
        <v>647</v>
      </c>
      <c r="AL1194">
        <v>-97.706372999999999</v>
      </c>
      <c r="AM1194">
        <v>25</v>
      </c>
      <c r="AN1194">
        <v>3400</v>
      </c>
      <c r="AO1194" t="s">
        <v>118</v>
      </c>
      <c r="AP1194">
        <v>49</v>
      </c>
      <c r="AQ1194">
        <v>-94</v>
      </c>
      <c r="AR1194">
        <v>-256</v>
      </c>
      <c r="AZ1194">
        <v>1200</v>
      </c>
      <c r="BA1194">
        <v>1</v>
      </c>
      <c r="BB1194" t="str">
        <f t="shared" si="354"/>
        <v xml:space="preserve">N733KP  </v>
      </c>
      <c r="BC1194">
        <v>1</v>
      </c>
      <c r="BE1194">
        <v>0</v>
      </c>
      <c r="BF1194">
        <v>0</v>
      </c>
      <c r="BG1194">
        <v>0</v>
      </c>
      <c r="BH1194">
        <v>3400</v>
      </c>
      <c r="BI1194">
        <v>1</v>
      </c>
      <c r="BJ1194">
        <v>1</v>
      </c>
      <c r="BK1194">
        <v>0</v>
      </c>
      <c r="BL1194">
        <v>0</v>
      </c>
      <c r="BO1194">
        <v>0</v>
      </c>
      <c r="BP1194">
        <v>0</v>
      </c>
      <c r="BW1194" t="str">
        <f>"22:14:29.321"</f>
        <v>22:14:29.321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364</v>
      </c>
      <c r="CR1194">
        <v>0</v>
      </c>
      <c r="CW1194">
        <v>1409928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"03/24/2022 22:14:29.536"</f>
        <v>03/24/2022 22:14:29.536</v>
      </c>
      <c r="C1195" t="str">
        <f t="shared" si="353"/>
        <v>FFDFD3C0</v>
      </c>
      <c r="D1195" t="s">
        <v>113</v>
      </c>
      <c r="E1195">
        <v>24</v>
      </c>
      <c r="F1195">
        <v>2024</v>
      </c>
      <c r="G1195" t="s">
        <v>114</v>
      </c>
      <c r="J1195" t="s">
        <v>115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S1195" t="str">
        <f t="shared" si="359"/>
        <v>22:14:29.000</v>
      </c>
      <c r="T1195" t="str">
        <f t="shared" si="359"/>
        <v>22:14:29.000</v>
      </c>
      <c r="U1195" t="str">
        <f t="shared" si="346"/>
        <v>A9D71F</v>
      </c>
      <c r="V1195">
        <v>0</v>
      </c>
      <c r="W1195">
        <v>0</v>
      </c>
      <c r="X1195">
        <v>2</v>
      </c>
      <c r="Z1195">
        <v>1</v>
      </c>
      <c r="AA1195">
        <v>7</v>
      </c>
      <c r="AB1195">
        <v>3</v>
      </c>
      <c r="AC1195">
        <v>0</v>
      </c>
      <c r="AD1195">
        <v>9</v>
      </c>
      <c r="AE1195">
        <v>0</v>
      </c>
      <c r="AF1195">
        <v>3</v>
      </c>
      <c r="AG1195">
        <v>1</v>
      </c>
      <c r="AH1195">
        <v>0</v>
      </c>
      <c r="AI1195" t="s">
        <v>646</v>
      </c>
      <c r="AJ1195">
        <v>33.127341000000001</v>
      </c>
      <c r="AK1195" t="s">
        <v>647</v>
      </c>
      <c r="AL1195">
        <v>-97.706372999999999</v>
      </c>
      <c r="AM1195">
        <v>25</v>
      </c>
      <c r="AN1195">
        <v>3400</v>
      </c>
      <c r="AO1195" t="s">
        <v>118</v>
      </c>
      <c r="AP1195">
        <v>49</v>
      </c>
      <c r="AQ1195">
        <v>-94</v>
      </c>
      <c r="AR1195">
        <v>-256</v>
      </c>
      <c r="AZ1195">
        <v>1200</v>
      </c>
      <c r="BA1195">
        <v>1</v>
      </c>
      <c r="BB1195" t="str">
        <f t="shared" si="354"/>
        <v xml:space="preserve">N733KP  </v>
      </c>
      <c r="BC1195">
        <v>1</v>
      </c>
      <c r="BE1195">
        <v>0</v>
      </c>
      <c r="BF1195">
        <v>0</v>
      </c>
      <c r="BG1195">
        <v>0</v>
      </c>
      <c r="BH1195">
        <v>3400</v>
      </c>
      <c r="BI1195">
        <v>1</v>
      </c>
      <c r="BJ1195">
        <v>1</v>
      </c>
      <c r="BK1195">
        <v>0</v>
      </c>
      <c r="BL1195">
        <v>0</v>
      </c>
      <c r="BO1195">
        <v>0</v>
      </c>
      <c r="BP1195">
        <v>0</v>
      </c>
      <c r="BW1195" t="str">
        <f>"22:14:29.321"</f>
        <v>22:14:29.321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364</v>
      </c>
      <c r="CR1195">
        <v>0</v>
      </c>
      <c r="CW1195">
        <v>1409928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"03/24/2022 22:14:29.614"</f>
        <v>03/24/2022 22:14:29.614</v>
      </c>
      <c r="C1196" t="str">
        <f t="shared" si="353"/>
        <v>FFDFD3C0</v>
      </c>
      <c r="D1196" t="s">
        <v>126</v>
      </c>
      <c r="E1196">
        <v>3</v>
      </c>
      <c r="H1196">
        <v>160</v>
      </c>
      <c r="I1196" t="s">
        <v>121</v>
      </c>
      <c r="J1196" t="s">
        <v>127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S1196" t="str">
        <f t="shared" si="359"/>
        <v>22:14:29.000</v>
      </c>
      <c r="T1196" t="str">
        <f t="shared" si="359"/>
        <v>22:14:29.000</v>
      </c>
      <c r="U1196" t="str">
        <f t="shared" si="346"/>
        <v>A9D71F</v>
      </c>
      <c r="V1196">
        <v>0</v>
      </c>
      <c r="W1196">
        <v>0</v>
      </c>
      <c r="X1196">
        <v>2</v>
      </c>
      <c r="Z1196">
        <v>1</v>
      </c>
      <c r="AA1196">
        <v>7</v>
      </c>
      <c r="AB1196">
        <v>3</v>
      </c>
      <c r="AC1196">
        <v>0</v>
      </c>
      <c r="AD1196">
        <v>9</v>
      </c>
      <c r="AE1196">
        <v>0</v>
      </c>
      <c r="AF1196">
        <v>3</v>
      </c>
      <c r="AG1196">
        <v>1</v>
      </c>
      <c r="AH1196">
        <v>0</v>
      </c>
      <c r="AI1196" t="s">
        <v>646</v>
      </c>
      <c r="AJ1196">
        <v>33.127341000000001</v>
      </c>
      <c r="AK1196" t="s">
        <v>647</v>
      </c>
      <c r="AL1196">
        <v>-97.706372999999999</v>
      </c>
      <c r="AM1196">
        <v>25</v>
      </c>
      <c r="AN1196">
        <v>3400</v>
      </c>
      <c r="AO1196" t="s">
        <v>118</v>
      </c>
      <c r="AP1196">
        <v>49</v>
      </c>
      <c r="AQ1196">
        <v>-94</v>
      </c>
      <c r="AR1196">
        <v>-256</v>
      </c>
      <c r="AZ1196">
        <v>1200</v>
      </c>
      <c r="BA1196">
        <v>1</v>
      </c>
      <c r="BB1196" t="str">
        <f t="shared" si="354"/>
        <v xml:space="preserve">N733KP  </v>
      </c>
      <c r="BC1196">
        <v>1</v>
      </c>
      <c r="BE1196">
        <v>0</v>
      </c>
      <c r="BF1196">
        <v>0</v>
      </c>
      <c r="BG1196">
        <v>0</v>
      </c>
      <c r="BH1196">
        <v>3400</v>
      </c>
      <c r="BI1196">
        <v>1</v>
      </c>
      <c r="BJ1196">
        <v>1</v>
      </c>
      <c r="BK1196">
        <v>0</v>
      </c>
      <c r="BL1196">
        <v>0</v>
      </c>
      <c r="BO1196">
        <v>0</v>
      </c>
      <c r="BP1196">
        <v>0</v>
      </c>
      <c r="BW1196" t="str">
        <f>"22:14:29.321"</f>
        <v>22:14:29.321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364</v>
      </c>
      <c r="CR1196">
        <v>0</v>
      </c>
      <c r="CW1196">
        <v>1409928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"03/24/2022 22:14:30.833"</f>
        <v>03/24/2022 22:14:30.833</v>
      </c>
      <c r="C1197" t="str">
        <f t="shared" si="353"/>
        <v>FFDFD3C0</v>
      </c>
      <c r="D1197" t="s">
        <v>126</v>
      </c>
      <c r="E1197">
        <v>3</v>
      </c>
      <c r="H1197">
        <v>160</v>
      </c>
      <c r="I1197" t="s">
        <v>121</v>
      </c>
      <c r="J1197" t="s">
        <v>127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S1197" t="str">
        <f t="shared" ref="S1197:T1200" si="360">"22:14:30.000"</f>
        <v>22:14:30.000</v>
      </c>
      <c r="T1197" t="str">
        <f t="shared" si="360"/>
        <v>22:14:30.000</v>
      </c>
      <c r="U1197" t="str">
        <f t="shared" si="346"/>
        <v>A9D71F</v>
      </c>
      <c r="V1197">
        <v>0</v>
      </c>
      <c r="W1197">
        <v>0</v>
      </c>
      <c r="X1197">
        <v>2</v>
      </c>
      <c r="Z1197">
        <v>1</v>
      </c>
      <c r="AA1197">
        <v>7</v>
      </c>
      <c r="AB1197">
        <v>3</v>
      </c>
      <c r="AC1197">
        <v>0</v>
      </c>
      <c r="AD1197">
        <v>9</v>
      </c>
      <c r="AE1197">
        <v>0</v>
      </c>
      <c r="AF1197">
        <v>3</v>
      </c>
      <c r="AG1197">
        <v>1</v>
      </c>
      <c r="AH1197">
        <v>0</v>
      </c>
      <c r="AI1197" t="s">
        <v>648</v>
      </c>
      <c r="AJ1197">
        <v>33.126911999999997</v>
      </c>
      <c r="AK1197" t="s">
        <v>649</v>
      </c>
      <c r="AL1197">
        <v>-97.706093999999993</v>
      </c>
      <c r="AM1197">
        <v>25</v>
      </c>
      <c r="AN1197">
        <v>3400</v>
      </c>
      <c r="AO1197" t="s">
        <v>118</v>
      </c>
      <c r="AP1197">
        <v>49</v>
      </c>
      <c r="AQ1197">
        <v>-94</v>
      </c>
      <c r="AR1197">
        <v>-256</v>
      </c>
      <c r="AZ1197">
        <v>1200</v>
      </c>
      <c r="BA1197">
        <v>1</v>
      </c>
      <c r="BB1197" t="str">
        <f t="shared" si="354"/>
        <v xml:space="preserve">N733KP  </v>
      </c>
      <c r="BC1197">
        <v>1</v>
      </c>
      <c r="BE1197">
        <v>0</v>
      </c>
      <c r="BF1197">
        <v>0</v>
      </c>
      <c r="BG1197">
        <v>0</v>
      </c>
      <c r="BH1197">
        <v>3400</v>
      </c>
      <c r="BI1197">
        <v>1</v>
      </c>
      <c r="BJ1197">
        <v>1</v>
      </c>
      <c r="BK1197">
        <v>0</v>
      </c>
      <c r="BL1197">
        <v>0</v>
      </c>
      <c r="BO1197">
        <v>0</v>
      </c>
      <c r="BP1197">
        <v>0</v>
      </c>
      <c r="BW1197" t="str">
        <f>"22:14:30.654"</f>
        <v>22:14:30.654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364</v>
      </c>
      <c r="CR1197">
        <v>0</v>
      </c>
      <c r="CW1197">
        <v>1410162</v>
      </c>
      <c r="CY1197">
        <v>1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"03/24/2022 22:14:30.864"</f>
        <v>03/24/2022 22:14:30.864</v>
      </c>
      <c r="C1198" t="str">
        <f t="shared" si="353"/>
        <v>FFDFD3C0</v>
      </c>
      <c r="D1198" t="s">
        <v>123</v>
      </c>
      <c r="E1198">
        <v>8</v>
      </c>
      <c r="H1198">
        <v>31</v>
      </c>
      <c r="I1198" t="s">
        <v>124</v>
      </c>
      <c r="J1198" t="s">
        <v>125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S1198" t="str">
        <f t="shared" si="360"/>
        <v>22:14:30.000</v>
      </c>
      <c r="T1198" t="str">
        <f t="shared" si="360"/>
        <v>22:14:30.000</v>
      </c>
      <c r="U1198" t="str">
        <f t="shared" si="346"/>
        <v>A9D71F</v>
      </c>
      <c r="V1198">
        <v>0</v>
      </c>
      <c r="W1198">
        <v>0</v>
      </c>
      <c r="X1198">
        <v>2</v>
      </c>
      <c r="Z1198">
        <v>1</v>
      </c>
      <c r="AA1198">
        <v>7</v>
      </c>
      <c r="AB1198">
        <v>3</v>
      </c>
      <c r="AC1198">
        <v>0</v>
      </c>
      <c r="AD1198">
        <v>9</v>
      </c>
      <c r="AE1198">
        <v>0</v>
      </c>
      <c r="AF1198">
        <v>3</v>
      </c>
      <c r="AG1198">
        <v>1</v>
      </c>
      <c r="AH1198">
        <v>0</v>
      </c>
      <c r="AI1198" t="s">
        <v>648</v>
      </c>
      <c r="AJ1198">
        <v>33.126911999999997</v>
      </c>
      <c r="AK1198" t="s">
        <v>649</v>
      </c>
      <c r="AL1198">
        <v>-97.706093999999993</v>
      </c>
      <c r="AM1198">
        <v>25</v>
      </c>
      <c r="AN1198">
        <v>3400</v>
      </c>
      <c r="AO1198" t="s">
        <v>118</v>
      </c>
      <c r="AP1198">
        <v>49</v>
      </c>
      <c r="AQ1198">
        <v>-94</v>
      </c>
      <c r="AR1198">
        <v>-256</v>
      </c>
      <c r="AZ1198">
        <v>1200</v>
      </c>
      <c r="BA1198">
        <v>1</v>
      </c>
      <c r="BB1198" t="str">
        <f t="shared" si="354"/>
        <v xml:space="preserve">N733KP  </v>
      </c>
      <c r="BC1198">
        <v>1</v>
      </c>
      <c r="BE1198">
        <v>0</v>
      </c>
      <c r="BF1198">
        <v>0</v>
      </c>
      <c r="BG1198">
        <v>0</v>
      </c>
      <c r="BH1198">
        <v>3400</v>
      </c>
      <c r="BI1198">
        <v>1</v>
      </c>
      <c r="BJ1198">
        <v>1</v>
      </c>
      <c r="BK1198">
        <v>0</v>
      </c>
      <c r="BL1198">
        <v>0</v>
      </c>
      <c r="BO1198">
        <v>0</v>
      </c>
      <c r="BP1198">
        <v>0</v>
      </c>
      <c r="BW1198" t="str">
        <f>"22:14:30.654"</f>
        <v>22:14:30.654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7</v>
      </c>
      <c r="CP1198" t="s">
        <v>119</v>
      </c>
      <c r="CQ1198">
        <v>364</v>
      </c>
      <c r="CR1198">
        <v>0</v>
      </c>
      <c r="CW1198">
        <v>1410162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"03/24/2022 22:14:30.864"</f>
        <v>03/24/2022 22:14:30.864</v>
      </c>
      <c r="C1199" t="str">
        <f t="shared" si="353"/>
        <v>FFDFD3C0</v>
      </c>
      <c r="D1199" t="s">
        <v>113</v>
      </c>
      <c r="E1199">
        <v>24</v>
      </c>
      <c r="F1199">
        <v>2024</v>
      </c>
      <c r="G1199" t="s">
        <v>114</v>
      </c>
      <c r="J1199" t="s">
        <v>115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S1199" t="str">
        <f t="shared" si="360"/>
        <v>22:14:30.000</v>
      </c>
      <c r="T1199" t="str">
        <f t="shared" si="360"/>
        <v>22:14:30.000</v>
      </c>
      <c r="U1199" t="str">
        <f t="shared" si="346"/>
        <v>A9D71F</v>
      </c>
      <c r="V1199">
        <v>0</v>
      </c>
      <c r="W1199">
        <v>0</v>
      </c>
      <c r="X1199">
        <v>2</v>
      </c>
      <c r="Z1199">
        <v>1</v>
      </c>
      <c r="AA1199">
        <v>7</v>
      </c>
      <c r="AB1199">
        <v>3</v>
      </c>
      <c r="AC1199">
        <v>0</v>
      </c>
      <c r="AD1199">
        <v>9</v>
      </c>
      <c r="AE1199">
        <v>0</v>
      </c>
      <c r="AF1199">
        <v>3</v>
      </c>
      <c r="AG1199">
        <v>1</v>
      </c>
      <c r="AH1199">
        <v>0</v>
      </c>
      <c r="AI1199" t="s">
        <v>648</v>
      </c>
      <c r="AJ1199">
        <v>33.126911999999997</v>
      </c>
      <c r="AK1199" t="s">
        <v>649</v>
      </c>
      <c r="AL1199">
        <v>-97.706093999999993</v>
      </c>
      <c r="AM1199">
        <v>25</v>
      </c>
      <c r="AN1199">
        <v>3400</v>
      </c>
      <c r="AO1199" t="s">
        <v>118</v>
      </c>
      <c r="AP1199">
        <v>49</v>
      </c>
      <c r="AQ1199">
        <v>-94</v>
      </c>
      <c r="AR1199">
        <v>-256</v>
      </c>
      <c r="AZ1199">
        <v>1200</v>
      </c>
      <c r="BA1199">
        <v>1</v>
      </c>
      <c r="BB1199" t="str">
        <f t="shared" si="354"/>
        <v xml:space="preserve">N733KP  </v>
      </c>
      <c r="BC1199">
        <v>1</v>
      </c>
      <c r="BE1199">
        <v>0</v>
      </c>
      <c r="BF1199">
        <v>0</v>
      </c>
      <c r="BG1199">
        <v>0</v>
      </c>
      <c r="BH1199">
        <v>3400</v>
      </c>
      <c r="BI1199">
        <v>1</v>
      </c>
      <c r="BJ1199">
        <v>1</v>
      </c>
      <c r="BK1199">
        <v>0</v>
      </c>
      <c r="BL1199">
        <v>0</v>
      </c>
      <c r="BO1199">
        <v>0</v>
      </c>
      <c r="BP1199">
        <v>0</v>
      </c>
      <c r="BW1199" t="str">
        <f>"22:14:30.654"</f>
        <v>22:14:30.654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7</v>
      </c>
      <c r="CP1199" t="s">
        <v>119</v>
      </c>
      <c r="CQ1199">
        <v>364</v>
      </c>
      <c r="CR1199">
        <v>0</v>
      </c>
      <c r="CW1199">
        <v>1410162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"03/24/2022 22:14:30.864"</f>
        <v>03/24/2022 22:14:30.864</v>
      </c>
      <c r="C1200" t="str">
        <f t="shared" si="353"/>
        <v>FFDFD3C0</v>
      </c>
      <c r="D1200" t="s">
        <v>120</v>
      </c>
      <c r="E1200">
        <v>14</v>
      </c>
      <c r="F1200">
        <v>1014</v>
      </c>
      <c r="G1200" t="s">
        <v>121</v>
      </c>
      <c r="J1200" t="s">
        <v>122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S1200" t="str">
        <f t="shared" si="360"/>
        <v>22:14:30.000</v>
      </c>
      <c r="T1200" t="str">
        <f t="shared" si="360"/>
        <v>22:14:30.000</v>
      </c>
      <c r="U1200" t="str">
        <f t="shared" si="346"/>
        <v>A9D71F</v>
      </c>
      <c r="V1200">
        <v>0</v>
      </c>
      <c r="W1200">
        <v>0</v>
      </c>
      <c r="X1200">
        <v>2</v>
      </c>
      <c r="Z1200">
        <v>1</v>
      </c>
      <c r="AA1200">
        <v>7</v>
      </c>
      <c r="AB1200">
        <v>3</v>
      </c>
      <c r="AC1200">
        <v>0</v>
      </c>
      <c r="AD1200">
        <v>9</v>
      </c>
      <c r="AE1200">
        <v>0</v>
      </c>
      <c r="AF1200">
        <v>3</v>
      </c>
      <c r="AG1200">
        <v>1</v>
      </c>
      <c r="AH1200">
        <v>0</v>
      </c>
      <c r="AI1200" t="s">
        <v>648</v>
      </c>
      <c r="AJ1200">
        <v>33.126911999999997</v>
      </c>
      <c r="AK1200" t="s">
        <v>649</v>
      </c>
      <c r="AL1200">
        <v>-97.706093999999993</v>
      </c>
      <c r="AM1200">
        <v>25</v>
      </c>
      <c r="AN1200">
        <v>3400</v>
      </c>
      <c r="AO1200" t="s">
        <v>118</v>
      </c>
      <c r="AP1200">
        <v>49</v>
      </c>
      <c r="AQ1200">
        <v>-94</v>
      </c>
      <c r="AR1200">
        <v>-256</v>
      </c>
      <c r="AZ1200">
        <v>1200</v>
      </c>
      <c r="BA1200">
        <v>1</v>
      </c>
      <c r="BB1200" t="str">
        <f t="shared" si="354"/>
        <v xml:space="preserve">N733KP  </v>
      </c>
      <c r="BC1200">
        <v>1</v>
      </c>
      <c r="BE1200">
        <v>0</v>
      </c>
      <c r="BF1200">
        <v>0</v>
      </c>
      <c r="BG1200">
        <v>0</v>
      </c>
      <c r="BH1200">
        <v>3400</v>
      </c>
      <c r="BI1200">
        <v>1</v>
      </c>
      <c r="BJ1200">
        <v>1</v>
      </c>
      <c r="BK1200">
        <v>0</v>
      </c>
      <c r="BL1200">
        <v>0</v>
      </c>
      <c r="BO1200">
        <v>0</v>
      </c>
      <c r="BP1200">
        <v>0</v>
      </c>
      <c r="BW1200" t="str">
        <f>"22:14:30.654"</f>
        <v>22:14:30.654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7</v>
      </c>
      <c r="CP1200" t="s">
        <v>119</v>
      </c>
      <c r="CQ1200">
        <v>364</v>
      </c>
      <c r="CR1200">
        <v>0</v>
      </c>
      <c r="CW1200">
        <v>1410162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"03/24/2022 22:14:31.975"</f>
        <v>03/24/2022 22:14:31.975</v>
      </c>
      <c r="C1201" t="str">
        <f t="shared" si="353"/>
        <v>FFDFD3C0</v>
      </c>
      <c r="D1201" t="s">
        <v>126</v>
      </c>
      <c r="E1201">
        <v>3</v>
      </c>
      <c r="H1201">
        <v>160</v>
      </c>
      <c r="I1201" t="s">
        <v>121</v>
      </c>
      <c r="J1201" t="s">
        <v>127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S1201" t="str">
        <f t="shared" ref="S1201:T1204" si="361">"22:14:31.000"</f>
        <v>22:14:31.000</v>
      </c>
      <c r="T1201" t="str">
        <f t="shared" si="361"/>
        <v>22:14:31.000</v>
      </c>
      <c r="U1201" t="str">
        <f t="shared" si="346"/>
        <v>A9D71F</v>
      </c>
      <c r="V1201">
        <v>0</v>
      </c>
      <c r="W1201">
        <v>0</v>
      </c>
      <c r="X1201">
        <v>2</v>
      </c>
      <c r="Z1201">
        <v>1</v>
      </c>
      <c r="AA1201">
        <v>7</v>
      </c>
      <c r="AB1201">
        <v>3</v>
      </c>
      <c r="AC1201">
        <v>0</v>
      </c>
      <c r="AD1201">
        <v>9</v>
      </c>
      <c r="AE1201">
        <v>0</v>
      </c>
      <c r="AF1201">
        <v>3</v>
      </c>
      <c r="AG1201">
        <v>1</v>
      </c>
      <c r="AH1201">
        <v>0</v>
      </c>
      <c r="AI1201" t="s">
        <v>650</v>
      </c>
      <c r="AJ1201">
        <v>33.126483</v>
      </c>
      <c r="AK1201" t="s">
        <v>651</v>
      </c>
      <c r="AL1201">
        <v>-97.705815000000001</v>
      </c>
      <c r="AM1201">
        <v>25</v>
      </c>
      <c r="AN1201">
        <v>3400</v>
      </c>
      <c r="AO1201" t="s">
        <v>118</v>
      </c>
      <c r="AP1201">
        <v>50</v>
      </c>
      <c r="AQ1201">
        <v>-93</v>
      </c>
      <c r="AR1201">
        <v>-320</v>
      </c>
      <c r="AZ1201">
        <v>1200</v>
      </c>
      <c r="BA1201">
        <v>1</v>
      </c>
      <c r="BB1201" t="str">
        <f t="shared" si="354"/>
        <v xml:space="preserve">N733KP  </v>
      </c>
      <c r="BC1201">
        <v>1</v>
      </c>
      <c r="BE1201">
        <v>0</v>
      </c>
      <c r="BF1201">
        <v>0</v>
      </c>
      <c r="BG1201">
        <v>0</v>
      </c>
      <c r="BH1201">
        <v>3400</v>
      </c>
      <c r="BI1201">
        <v>1</v>
      </c>
      <c r="BJ1201">
        <v>1</v>
      </c>
      <c r="BK1201">
        <v>0</v>
      </c>
      <c r="BL1201">
        <v>0</v>
      </c>
      <c r="BO1201">
        <v>0</v>
      </c>
      <c r="BP1201">
        <v>0</v>
      </c>
      <c r="BW1201" t="str">
        <f>"22:14:31.787"</f>
        <v>22:14:31.787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7</v>
      </c>
      <c r="CP1201" t="s">
        <v>119</v>
      </c>
      <c r="CQ1201">
        <v>364</v>
      </c>
      <c r="CR1201">
        <v>0</v>
      </c>
      <c r="CW1201">
        <v>1410364</v>
      </c>
      <c r="CY1201">
        <v>1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"03/24/2022 22:14:31.975"</f>
        <v>03/24/2022 22:14:31.975</v>
      </c>
      <c r="C1202" t="str">
        <f t="shared" si="353"/>
        <v>FFDFD3C0</v>
      </c>
      <c r="D1202" t="s">
        <v>123</v>
      </c>
      <c r="E1202">
        <v>8</v>
      </c>
      <c r="H1202">
        <v>31</v>
      </c>
      <c r="I1202" t="s">
        <v>124</v>
      </c>
      <c r="J1202" t="s">
        <v>125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S1202" t="str">
        <f t="shared" si="361"/>
        <v>22:14:31.000</v>
      </c>
      <c r="T1202" t="str">
        <f t="shared" si="361"/>
        <v>22:14:31.000</v>
      </c>
      <c r="U1202" t="str">
        <f t="shared" si="346"/>
        <v>A9D71F</v>
      </c>
      <c r="V1202">
        <v>0</v>
      </c>
      <c r="W1202">
        <v>0</v>
      </c>
      <c r="X1202">
        <v>2</v>
      </c>
      <c r="Z1202">
        <v>1</v>
      </c>
      <c r="AA1202">
        <v>7</v>
      </c>
      <c r="AB1202">
        <v>3</v>
      </c>
      <c r="AC1202">
        <v>0</v>
      </c>
      <c r="AD1202">
        <v>9</v>
      </c>
      <c r="AE1202">
        <v>0</v>
      </c>
      <c r="AF1202">
        <v>3</v>
      </c>
      <c r="AG1202">
        <v>1</v>
      </c>
      <c r="AH1202">
        <v>0</v>
      </c>
      <c r="AI1202" t="s">
        <v>650</v>
      </c>
      <c r="AJ1202">
        <v>33.126483</v>
      </c>
      <c r="AK1202" t="s">
        <v>651</v>
      </c>
      <c r="AL1202">
        <v>-97.705815000000001</v>
      </c>
      <c r="AM1202">
        <v>25</v>
      </c>
      <c r="AN1202">
        <v>3400</v>
      </c>
      <c r="AO1202" t="s">
        <v>118</v>
      </c>
      <c r="AP1202">
        <v>50</v>
      </c>
      <c r="AQ1202">
        <v>-93</v>
      </c>
      <c r="AR1202">
        <v>-320</v>
      </c>
      <c r="AZ1202">
        <v>1200</v>
      </c>
      <c r="BA1202">
        <v>1</v>
      </c>
      <c r="BB1202" t="str">
        <f t="shared" si="354"/>
        <v xml:space="preserve">N733KP  </v>
      </c>
      <c r="BC1202">
        <v>1</v>
      </c>
      <c r="BE1202">
        <v>0</v>
      </c>
      <c r="BF1202">
        <v>0</v>
      </c>
      <c r="BG1202">
        <v>0</v>
      </c>
      <c r="BH1202">
        <v>3400</v>
      </c>
      <c r="BI1202">
        <v>1</v>
      </c>
      <c r="BJ1202">
        <v>1</v>
      </c>
      <c r="BK1202">
        <v>0</v>
      </c>
      <c r="BL1202">
        <v>0</v>
      </c>
      <c r="BO1202">
        <v>0</v>
      </c>
      <c r="BP1202">
        <v>0</v>
      </c>
      <c r="BW1202" t="str">
        <f>"22:14:31.787"</f>
        <v>22:14:31.787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7</v>
      </c>
      <c r="CP1202" t="s">
        <v>119</v>
      </c>
      <c r="CQ1202">
        <v>364</v>
      </c>
      <c r="CR1202">
        <v>0</v>
      </c>
      <c r="CW1202">
        <v>1410364</v>
      </c>
      <c r="CY1202">
        <v>1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"03/24/2022 22:14:31.991"</f>
        <v>03/24/2022 22:14:31.991</v>
      </c>
      <c r="C1203" t="str">
        <f t="shared" si="353"/>
        <v>FFDFD3C0</v>
      </c>
      <c r="D1203" t="s">
        <v>113</v>
      </c>
      <c r="E1203">
        <v>24</v>
      </c>
      <c r="F1203">
        <v>2024</v>
      </c>
      <c r="G1203" t="s">
        <v>114</v>
      </c>
      <c r="J1203" t="s">
        <v>115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S1203" t="str">
        <f t="shared" si="361"/>
        <v>22:14:31.000</v>
      </c>
      <c r="T1203" t="str">
        <f t="shared" si="361"/>
        <v>22:14:31.000</v>
      </c>
      <c r="U1203" t="str">
        <f t="shared" si="346"/>
        <v>A9D71F</v>
      </c>
      <c r="V1203">
        <v>0</v>
      </c>
      <c r="W1203">
        <v>0</v>
      </c>
      <c r="X1203">
        <v>2</v>
      </c>
      <c r="Z1203">
        <v>1</v>
      </c>
      <c r="AA1203">
        <v>7</v>
      </c>
      <c r="AB1203">
        <v>3</v>
      </c>
      <c r="AC1203">
        <v>0</v>
      </c>
      <c r="AD1203">
        <v>9</v>
      </c>
      <c r="AE1203">
        <v>0</v>
      </c>
      <c r="AF1203">
        <v>3</v>
      </c>
      <c r="AG1203">
        <v>1</v>
      </c>
      <c r="AH1203">
        <v>0</v>
      </c>
      <c r="AI1203" t="s">
        <v>650</v>
      </c>
      <c r="AJ1203">
        <v>33.126483</v>
      </c>
      <c r="AK1203" t="s">
        <v>651</v>
      </c>
      <c r="AL1203">
        <v>-97.705815000000001</v>
      </c>
      <c r="AM1203">
        <v>25</v>
      </c>
      <c r="AN1203">
        <v>3400</v>
      </c>
      <c r="AO1203" t="s">
        <v>118</v>
      </c>
      <c r="AP1203">
        <v>50</v>
      </c>
      <c r="AQ1203">
        <v>-93</v>
      </c>
      <c r="AR1203">
        <v>-320</v>
      </c>
      <c r="AZ1203">
        <v>1200</v>
      </c>
      <c r="BA1203">
        <v>1</v>
      </c>
      <c r="BB1203" t="str">
        <f t="shared" si="354"/>
        <v xml:space="preserve">N733KP  </v>
      </c>
      <c r="BC1203">
        <v>1</v>
      </c>
      <c r="BE1203">
        <v>0</v>
      </c>
      <c r="BF1203">
        <v>0</v>
      </c>
      <c r="BG1203">
        <v>0</v>
      </c>
      <c r="BH1203">
        <v>3400</v>
      </c>
      <c r="BI1203">
        <v>1</v>
      </c>
      <c r="BJ1203">
        <v>1</v>
      </c>
      <c r="BK1203">
        <v>0</v>
      </c>
      <c r="BL1203">
        <v>0</v>
      </c>
      <c r="BO1203">
        <v>0</v>
      </c>
      <c r="BP1203">
        <v>0</v>
      </c>
      <c r="BW1203" t="str">
        <f>"22:14:31.787"</f>
        <v>22:14:31.787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119</v>
      </c>
      <c r="CQ1203">
        <v>364</v>
      </c>
      <c r="CR1203">
        <v>0</v>
      </c>
      <c r="CW1203">
        <v>1410364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"03/24/2022 22:14:31.991"</f>
        <v>03/24/2022 22:14:31.991</v>
      </c>
      <c r="C1204" t="str">
        <f t="shared" si="353"/>
        <v>FFDFD3C0</v>
      </c>
      <c r="D1204" t="s">
        <v>120</v>
      </c>
      <c r="E1204">
        <v>14</v>
      </c>
      <c r="F1204">
        <v>1014</v>
      </c>
      <c r="G1204" t="s">
        <v>121</v>
      </c>
      <c r="J1204" t="s">
        <v>122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S1204" t="str">
        <f t="shared" si="361"/>
        <v>22:14:31.000</v>
      </c>
      <c r="T1204" t="str">
        <f t="shared" si="361"/>
        <v>22:14:31.000</v>
      </c>
      <c r="U1204" t="str">
        <f t="shared" si="346"/>
        <v>A9D71F</v>
      </c>
      <c r="V1204">
        <v>0</v>
      </c>
      <c r="W1204">
        <v>0</v>
      </c>
      <c r="X1204">
        <v>2</v>
      </c>
      <c r="Z1204">
        <v>1</v>
      </c>
      <c r="AA1204">
        <v>7</v>
      </c>
      <c r="AB1204">
        <v>3</v>
      </c>
      <c r="AC1204">
        <v>0</v>
      </c>
      <c r="AD1204">
        <v>9</v>
      </c>
      <c r="AE1204">
        <v>0</v>
      </c>
      <c r="AF1204">
        <v>3</v>
      </c>
      <c r="AG1204">
        <v>1</v>
      </c>
      <c r="AH1204">
        <v>0</v>
      </c>
      <c r="AI1204" t="s">
        <v>650</v>
      </c>
      <c r="AJ1204">
        <v>33.126483</v>
      </c>
      <c r="AK1204" t="s">
        <v>651</v>
      </c>
      <c r="AL1204">
        <v>-97.705815000000001</v>
      </c>
      <c r="AM1204">
        <v>25</v>
      </c>
      <c r="AN1204">
        <v>3400</v>
      </c>
      <c r="AO1204" t="s">
        <v>118</v>
      </c>
      <c r="AP1204">
        <v>50</v>
      </c>
      <c r="AQ1204">
        <v>-93</v>
      </c>
      <c r="AR1204">
        <v>-320</v>
      </c>
      <c r="AZ1204">
        <v>1200</v>
      </c>
      <c r="BA1204">
        <v>1</v>
      </c>
      <c r="BB1204" t="str">
        <f t="shared" si="354"/>
        <v xml:space="preserve">N733KP  </v>
      </c>
      <c r="BC1204">
        <v>1</v>
      </c>
      <c r="BE1204">
        <v>0</v>
      </c>
      <c r="BF1204">
        <v>0</v>
      </c>
      <c r="BG1204">
        <v>0</v>
      </c>
      <c r="BH1204">
        <v>3400</v>
      </c>
      <c r="BI1204">
        <v>1</v>
      </c>
      <c r="BJ1204">
        <v>1</v>
      </c>
      <c r="BK1204">
        <v>0</v>
      </c>
      <c r="BL1204">
        <v>0</v>
      </c>
      <c r="BO1204">
        <v>0</v>
      </c>
      <c r="BP1204">
        <v>0</v>
      </c>
      <c r="BW1204" t="str">
        <f>"22:14:31.787"</f>
        <v>22:14:31.787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119</v>
      </c>
      <c r="CQ1204">
        <v>364</v>
      </c>
      <c r="CR1204">
        <v>0</v>
      </c>
      <c r="CW1204">
        <v>1410364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"03/24/2022 22:14:32.694"</f>
        <v>03/24/2022 22:14:32.694</v>
      </c>
      <c r="C1205" t="str">
        <f t="shared" si="353"/>
        <v>FFDFD3C0</v>
      </c>
      <c r="D1205" t="s">
        <v>113</v>
      </c>
      <c r="E1205">
        <v>24</v>
      </c>
      <c r="F1205">
        <v>2024</v>
      </c>
      <c r="G1205" t="s">
        <v>114</v>
      </c>
      <c r="J1205" t="s">
        <v>115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S1205" t="str">
        <f t="shared" ref="S1205:T1208" si="362">"22:14:32.000"</f>
        <v>22:14:32.000</v>
      </c>
      <c r="T1205" t="str">
        <f t="shared" si="362"/>
        <v>22:14:32.000</v>
      </c>
      <c r="U1205" t="str">
        <f t="shared" si="346"/>
        <v>A9D71F</v>
      </c>
      <c r="V1205">
        <v>0</v>
      </c>
      <c r="W1205">
        <v>0</v>
      </c>
      <c r="X1205">
        <v>2</v>
      </c>
      <c r="Z1205">
        <v>1</v>
      </c>
      <c r="AA1205">
        <v>7</v>
      </c>
      <c r="AB1205">
        <v>3</v>
      </c>
      <c r="AC1205">
        <v>0</v>
      </c>
      <c r="AD1205">
        <v>9</v>
      </c>
      <c r="AE1205">
        <v>0</v>
      </c>
      <c r="AF1205">
        <v>3</v>
      </c>
      <c r="AG1205">
        <v>1</v>
      </c>
      <c r="AH1205">
        <v>0</v>
      </c>
      <c r="AI1205" t="s">
        <v>652</v>
      </c>
      <c r="AJ1205">
        <v>33.126010999999998</v>
      </c>
      <c r="AK1205" t="s">
        <v>653</v>
      </c>
      <c r="AL1205">
        <v>-97.705513999999994</v>
      </c>
      <c r="AM1205">
        <v>25</v>
      </c>
      <c r="AN1205">
        <v>3400</v>
      </c>
      <c r="AO1205" t="s">
        <v>118</v>
      </c>
      <c r="AP1205">
        <v>50</v>
      </c>
      <c r="AQ1205">
        <v>-92</v>
      </c>
      <c r="AR1205">
        <v>-256</v>
      </c>
      <c r="AZ1205">
        <v>1200</v>
      </c>
      <c r="BA1205">
        <v>1</v>
      </c>
      <c r="BB1205" t="str">
        <f t="shared" si="354"/>
        <v xml:space="preserve">N733KP  </v>
      </c>
      <c r="BC1205">
        <v>1</v>
      </c>
      <c r="BE1205">
        <v>0</v>
      </c>
      <c r="BF1205">
        <v>0</v>
      </c>
      <c r="BG1205">
        <v>0</v>
      </c>
      <c r="BH1205">
        <v>3400</v>
      </c>
      <c r="BI1205">
        <v>1</v>
      </c>
      <c r="BJ1205">
        <v>1</v>
      </c>
      <c r="BK1205">
        <v>0</v>
      </c>
      <c r="BL1205">
        <v>0</v>
      </c>
      <c r="BO1205">
        <v>0</v>
      </c>
      <c r="BP1205">
        <v>0</v>
      </c>
      <c r="BW1205" t="str">
        <f>"22:14:32.509"</f>
        <v>22:14:32.509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364</v>
      </c>
      <c r="CR1205">
        <v>0</v>
      </c>
      <c r="CW1205">
        <v>1410473</v>
      </c>
      <c r="CY1205">
        <v>1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"03/24/2022 22:14:32.694"</f>
        <v>03/24/2022 22:14:32.694</v>
      </c>
      <c r="C1206" t="str">
        <f t="shared" si="353"/>
        <v>FFDFD3C0</v>
      </c>
      <c r="D1206" t="s">
        <v>120</v>
      </c>
      <c r="E1206">
        <v>14</v>
      </c>
      <c r="F1206">
        <v>1014</v>
      </c>
      <c r="G1206" t="s">
        <v>121</v>
      </c>
      <c r="J1206" t="s">
        <v>122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S1206" t="str">
        <f t="shared" si="362"/>
        <v>22:14:32.000</v>
      </c>
      <c r="T1206" t="str">
        <f t="shared" si="362"/>
        <v>22:14:32.000</v>
      </c>
      <c r="U1206" t="str">
        <f t="shared" si="346"/>
        <v>A9D71F</v>
      </c>
      <c r="V1206">
        <v>0</v>
      </c>
      <c r="W1206">
        <v>0</v>
      </c>
      <c r="X1206">
        <v>2</v>
      </c>
      <c r="Z1206">
        <v>1</v>
      </c>
      <c r="AA1206">
        <v>7</v>
      </c>
      <c r="AB1206">
        <v>3</v>
      </c>
      <c r="AC1206">
        <v>0</v>
      </c>
      <c r="AD1206">
        <v>9</v>
      </c>
      <c r="AE1206">
        <v>0</v>
      </c>
      <c r="AF1206">
        <v>3</v>
      </c>
      <c r="AG1206">
        <v>1</v>
      </c>
      <c r="AH1206">
        <v>0</v>
      </c>
      <c r="AI1206" t="s">
        <v>652</v>
      </c>
      <c r="AJ1206">
        <v>33.126010999999998</v>
      </c>
      <c r="AK1206" t="s">
        <v>653</v>
      </c>
      <c r="AL1206">
        <v>-97.705513999999994</v>
      </c>
      <c r="AM1206">
        <v>25</v>
      </c>
      <c r="AN1206">
        <v>3400</v>
      </c>
      <c r="AO1206" t="s">
        <v>118</v>
      </c>
      <c r="AP1206">
        <v>50</v>
      </c>
      <c r="AQ1206">
        <v>-92</v>
      </c>
      <c r="AR1206">
        <v>-256</v>
      </c>
      <c r="AZ1206">
        <v>1200</v>
      </c>
      <c r="BA1206">
        <v>1</v>
      </c>
      <c r="BB1206" t="str">
        <f t="shared" si="354"/>
        <v xml:space="preserve">N733KP  </v>
      </c>
      <c r="BC1206">
        <v>1</v>
      </c>
      <c r="BE1206">
        <v>0</v>
      </c>
      <c r="BF1206">
        <v>0</v>
      </c>
      <c r="BG1206">
        <v>0</v>
      </c>
      <c r="BH1206">
        <v>3400</v>
      </c>
      <c r="BI1206">
        <v>1</v>
      </c>
      <c r="BJ1206">
        <v>1</v>
      </c>
      <c r="BK1206">
        <v>0</v>
      </c>
      <c r="BL1206">
        <v>0</v>
      </c>
      <c r="BO1206">
        <v>0</v>
      </c>
      <c r="BP1206">
        <v>0</v>
      </c>
      <c r="BW1206" t="str">
        <f>"22:14:32.509"</f>
        <v>22:14:32.509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364</v>
      </c>
      <c r="CR1206">
        <v>0</v>
      </c>
      <c r="CW1206">
        <v>1410473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"03/24/2022 22:14:32.694"</f>
        <v>03/24/2022 22:14:32.694</v>
      </c>
      <c r="C1207" t="str">
        <f t="shared" si="353"/>
        <v>FFDFD3C0</v>
      </c>
      <c r="D1207" t="s">
        <v>126</v>
      </c>
      <c r="E1207">
        <v>3</v>
      </c>
      <c r="H1207">
        <v>160</v>
      </c>
      <c r="I1207" t="s">
        <v>121</v>
      </c>
      <c r="J1207" t="s">
        <v>127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S1207" t="str">
        <f t="shared" si="362"/>
        <v>22:14:32.000</v>
      </c>
      <c r="T1207" t="str">
        <f t="shared" si="362"/>
        <v>22:14:32.000</v>
      </c>
      <c r="U1207" t="str">
        <f t="shared" si="346"/>
        <v>A9D71F</v>
      </c>
      <c r="V1207">
        <v>0</v>
      </c>
      <c r="W1207">
        <v>0</v>
      </c>
      <c r="X1207">
        <v>2</v>
      </c>
      <c r="Z1207">
        <v>1</v>
      </c>
      <c r="AA1207">
        <v>7</v>
      </c>
      <c r="AB1207">
        <v>3</v>
      </c>
      <c r="AC1207">
        <v>0</v>
      </c>
      <c r="AD1207">
        <v>9</v>
      </c>
      <c r="AE1207">
        <v>0</v>
      </c>
      <c r="AF1207">
        <v>3</v>
      </c>
      <c r="AG1207">
        <v>1</v>
      </c>
      <c r="AH1207">
        <v>0</v>
      </c>
      <c r="AI1207" t="s">
        <v>652</v>
      </c>
      <c r="AJ1207">
        <v>33.126010999999998</v>
      </c>
      <c r="AK1207" t="s">
        <v>653</v>
      </c>
      <c r="AL1207">
        <v>-97.705513999999994</v>
      </c>
      <c r="AM1207">
        <v>25</v>
      </c>
      <c r="AN1207">
        <v>3400</v>
      </c>
      <c r="AO1207" t="s">
        <v>118</v>
      </c>
      <c r="AP1207">
        <v>50</v>
      </c>
      <c r="AQ1207">
        <v>-92</v>
      </c>
      <c r="AR1207">
        <v>-256</v>
      </c>
      <c r="AZ1207">
        <v>1200</v>
      </c>
      <c r="BA1207">
        <v>1</v>
      </c>
      <c r="BB1207" t="str">
        <f t="shared" si="354"/>
        <v xml:space="preserve">N733KP  </v>
      </c>
      <c r="BC1207">
        <v>1</v>
      </c>
      <c r="BE1207">
        <v>0</v>
      </c>
      <c r="BF1207">
        <v>0</v>
      </c>
      <c r="BG1207">
        <v>0</v>
      </c>
      <c r="BH1207">
        <v>3400</v>
      </c>
      <c r="BI1207">
        <v>1</v>
      </c>
      <c r="BJ1207">
        <v>1</v>
      </c>
      <c r="BK1207">
        <v>0</v>
      </c>
      <c r="BL1207">
        <v>0</v>
      </c>
      <c r="BO1207">
        <v>0</v>
      </c>
      <c r="BP1207">
        <v>0</v>
      </c>
      <c r="BW1207" t="str">
        <f>"22:14:32.509"</f>
        <v>22:14:32.509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364</v>
      </c>
      <c r="CR1207">
        <v>0</v>
      </c>
      <c r="CW1207">
        <v>1410473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"03/24/2022 22:14:32.725"</f>
        <v>03/24/2022 22:14:32.725</v>
      </c>
      <c r="C1208" t="str">
        <f t="shared" si="353"/>
        <v>FFDFD3C0</v>
      </c>
      <c r="D1208" t="s">
        <v>123</v>
      </c>
      <c r="E1208">
        <v>8</v>
      </c>
      <c r="H1208">
        <v>31</v>
      </c>
      <c r="I1208" t="s">
        <v>124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S1208" t="str">
        <f t="shared" si="362"/>
        <v>22:14:32.000</v>
      </c>
      <c r="T1208" t="str">
        <f t="shared" si="362"/>
        <v>22:14:32.000</v>
      </c>
      <c r="U1208" t="str">
        <f t="shared" si="346"/>
        <v>A9D71F</v>
      </c>
      <c r="V1208">
        <v>0</v>
      </c>
      <c r="W1208">
        <v>0</v>
      </c>
      <c r="X1208">
        <v>2</v>
      </c>
      <c r="Z1208">
        <v>1</v>
      </c>
      <c r="AA1208">
        <v>7</v>
      </c>
      <c r="AB1208">
        <v>3</v>
      </c>
      <c r="AC1208">
        <v>0</v>
      </c>
      <c r="AD1208">
        <v>9</v>
      </c>
      <c r="AE1208">
        <v>0</v>
      </c>
      <c r="AF1208">
        <v>3</v>
      </c>
      <c r="AG1208">
        <v>1</v>
      </c>
      <c r="AH1208">
        <v>0</v>
      </c>
      <c r="AI1208" t="s">
        <v>652</v>
      </c>
      <c r="AJ1208">
        <v>33.126010999999998</v>
      </c>
      <c r="AK1208" t="s">
        <v>653</v>
      </c>
      <c r="AL1208">
        <v>-97.705513999999994</v>
      </c>
      <c r="AM1208">
        <v>25</v>
      </c>
      <c r="AN1208">
        <v>3400</v>
      </c>
      <c r="AO1208" t="s">
        <v>118</v>
      </c>
      <c r="AP1208">
        <v>50</v>
      </c>
      <c r="AQ1208">
        <v>-92</v>
      </c>
      <c r="AR1208">
        <v>-256</v>
      </c>
      <c r="AZ1208">
        <v>1200</v>
      </c>
      <c r="BA1208">
        <v>1</v>
      </c>
      <c r="BB1208" t="str">
        <f t="shared" si="354"/>
        <v xml:space="preserve">N733KP  </v>
      </c>
      <c r="BC1208">
        <v>1</v>
      </c>
      <c r="BE1208">
        <v>0</v>
      </c>
      <c r="BF1208">
        <v>0</v>
      </c>
      <c r="BG1208">
        <v>0</v>
      </c>
      <c r="BH1208">
        <v>3400</v>
      </c>
      <c r="BI1208">
        <v>1</v>
      </c>
      <c r="BJ1208">
        <v>1</v>
      </c>
      <c r="BK1208">
        <v>0</v>
      </c>
      <c r="BL1208">
        <v>0</v>
      </c>
      <c r="BO1208">
        <v>0</v>
      </c>
      <c r="BP1208">
        <v>0</v>
      </c>
      <c r="BW1208" t="str">
        <f>"22:14:32.509"</f>
        <v>22:14:32.509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364</v>
      </c>
      <c r="CR1208">
        <v>0</v>
      </c>
      <c r="CW1208">
        <v>1410473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"03/24/2022 22:14:33.620"</f>
        <v>03/24/2022 22:14:33.620</v>
      </c>
      <c r="C1209" t="str">
        <f t="shared" si="353"/>
        <v>FFDFD3C0</v>
      </c>
      <c r="D1209" t="s">
        <v>120</v>
      </c>
      <c r="E1209">
        <v>14</v>
      </c>
      <c r="F1209">
        <v>1014</v>
      </c>
      <c r="G1209" t="s">
        <v>121</v>
      </c>
      <c r="J1209" t="s">
        <v>122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S1209" t="str">
        <f t="shared" ref="S1209:T1212" si="363">"22:14:33.000"</f>
        <v>22:14:33.000</v>
      </c>
      <c r="T1209" t="str">
        <f t="shared" si="363"/>
        <v>22:14:33.000</v>
      </c>
      <c r="U1209" t="str">
        <f t="shared" si="346"/>
        <v>A9D71F</v>
      </c>
      <c r="V1209">
        <v>0</v>
      </c>
      <c r="W1209">
        <v>0</v>
      </c>
      <c r="X1209">
        <v>2</v>
      </c>
      <c r="Z1209">
        <v>1</v>
      </c>
      <c r="AA1209">
        <v>7</v>
      </c>
      <c r="AB1209">
        <v>3</v>
      </c>
      <c r="AC1209">
        <v>0</v>
      </c>
      <c r="AD1209">
        <v>9</v>
      </c>
      <c r="AE1209">
        <v>0</v>
      </c>
      <c r="AF1209">
        <v>3</v>
      </c>
      <c r="AG1209">
        <v>1</v>
      </c>
      <c r="AH1209">
        <v>0</v>
      </c>
      <c r="AI1209" t="s">
        <v>654</v>
      </c>
      <c r="AJ1209">
        <v>33.125582000000001</v>
      </c>
      <c r="AK1209" t="s">
        <v>655</v>
      </c>
      <c r="AL1209">
        <v>-97.705235000000002</v>
      </c>
      <c r="AM1209">
        <v>25</v>
      </c>
      <c r="AN1209">
        <v>3400</v>
      </c>
      <c r="AO1209" t="s">
        <v>118</v>
      </c>
      <c r="AP1209">
        <v>50</v>
      </c>
      <c r="AQ1209">
        <v>-92</v>
      </c>
      <c r="AR1209">
        <v>-192</v>
      </c>
      <c r="AZ1209">
        <v>1200</v>
      </c>
      <c r="BA1209">
        <v>1</v>
      </c>
      <c r="BB1209" t="str">
        <f t="shared" si="354"/>
        <v xml:space="preserve">N733KP  </v>
      </c>
      <c r="BC1209">
        <v>1</v>
      </c>
      <c r="BE1209">
        <v>0</v>
      </c>
      <c r="BF1209">
        <v>0</v>
      </c>
      <c r="BG1209">
        <v>0</v>
      </c>
      <c r="BH1209">
        <v>3375</v>
      </c>
      <c r="BI1209">
        <v>1</v>
      </c>
      <c r="BJ1209">
        <v>1</v>
      </c>
      <c r="BK1209">
        <v>0</v>
      </c>
      <c r="BL1209">
        <v>0</v>
      </c>
      <c r="BO1209">
        <v>0</v>
      </c>
      <c r="BP1209">
        <v>0</v>
      </c>
      <c r="BW1209" t="str">
        <f>"22:14:33.448"</f>
        <v>22:14:33.448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364</v>
      </c>
      <c r="CR1209">
        <v>0</v>
      </c>
      <c r="CW1209">
        <v>1410629</v>
      </c>
      <c r="CY1209">
        <v>1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"03/24/2022 22:14:33.620"</f>
        <v>03/24/2022 22:14:33.620</v>
      </c>
      <c r="C1210" t="str">
        <f t="shared" si="353"/>
        <v>FFDFD3C0</v>
      </c>
      <c r="D1210" t="s">
        <v>126</v>
      </c>
      <c r="E1210">
        <v>3</v>
      </c>
      <c r="H1210">
        <v>160</v>
      </c>
      <c r="I1210" t="s">
        <v>121</v>
      </c>
      <c r="J1210" t="s">
        <v>127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S1210" t="str">
        <f t="shared" si="363"/>
        <v>22:14:33.000</v>
      </c>
      <c r="T1210" t="str">
        <f t="shared" si="363"/>
        <v>22:14:33.000</v>
      </c>
      <c r="U1210" t="str">
        <f t="shared" si="346"/>
        <v>A9D71F</v>
      </c>
      <c r="V1210">
        <v>0</v>
      </c>
      <c r="W1210">
        <v>0</v>
      </c>
      <c r="X1210">
        <v>2</v>
      </c>
      <c r="Z1210">
        <v>1</v>
      </c>
      <c r="AA1210">
        <v>7</v>
      </c>
      <c r="AB1210">
        <v>3</v>
      </c>
      <c r="AC1210">
        <v>0</v>
      </c>
      <c r="AD1210">
        <v>9</v>
      </c>
      <c r="AE1210">
        <v>0</v>
      </c>
      <c r="AF1210">
        <v>3</v>
      </c>
      <c r="AG1210">
        <v>1</v>
      </c>
      <c r="AH1210">
        <v>0</v>
      </c>
      <c r="AI1210" t="s">
        <v>654</v>
      </c>
      <c r="AJ1210">
        <v>33.125582000000001</v>
      </c>
      <c r="AK1210" t="s">
        <v>655</v>
      </c>
      <c r="AL1210">
        <v>-97.705235000000002</v>
      </c>
      <c r="AM1210">
        <v>25</v>
      </c>
      <c r="AN1210">
        <v>3400</v>
      </c>
      <c r="AO1210" t="s">
        <v>118</v>
      </c>
      <c r="AP1210">
        <v>50</v>
      </c>
      <c r="AQ1210">
        <v>-92</v>
      </c>
      <c r="AR1210">
        <v>-192</v>
      </c>
      <c r="AZ1210">
        <v>1200</v>
      </c>
      <c r="BA1210">
        <v>1</v>
      </c>
      <c r="BB1210" t="str">
        <f t="shared" si="354"/>
        <v xml:space="preserve">N733KP  </v>
      </c>
      <c r="BC1210">
        <v>1</v>
      </c>
      <c r="BE1210">
        <v>0</v>
      </c>
      <c r="BF1210">
        <v>0</v>
      </c>
      <c r="BG1210">
        <v>0</v>
      </c>
      <c r="BH1210">
        <v>3375</v>
      </c>
      <c r="BI1210">
        <v>1</v>
      </c>
      <c r="BJ1210">
        <v>1</v>
      </c>
      <c r="BK1210">
        <v>0</v>
      </c>
      <c r="BL1210">
        <v>0</v>
      </c>
      <c r="BO1210">
        <v>0</v>
      </c>
      <c r="BP1210">
        <v>0</v>
      </c>
      <c r="BW1210" t="str">
        <f>"22:14:33.448"</f>
        <v>22:14:33.448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364</v>
      </c>
      <c r="CR1210">
        <v>0</v>
      </c>
      <c r="CW1210">
        <v>1410629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"03/24/2022 22:14:33.620"</f>
        <v>03/24/2022 22:14:33.620</v>
      </c>
      <c r="C1211" t="str">
        <f t="shared" si="353"/>
        <v>FFDFD3C0</v>
      </c>
      <c r="D1211" t="s">
        <v>123</v>
      </c>
      <c r="E1211">
        <v>8</v>
      </c>
      <c r="H1211">
        <v>31</v>
      </c>
      <c r="I1211" t="s">
        <v>124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S1211" t="str">
        <f t="shared" si="363"/>
        <v>22:14:33.000</v>
      </c>
      <c r="T1211" t="str">
        <f t="shared" si="363"/>
        <v>22:14:33.000</v>
      </c>
      <c r="U1211" t="str">
        <f t="shared" si="346"/>
        <v>A9D71F</v>
      </c>
      <c r="V1211">
        <v>0</v>
      </c>
      <c r="W1211">
        <v>0</v>
      </c>
      <c r="X1211">
        <v>2</v>
      </c>
      <c r="Z1211">
        <v>1</v>
      </c>
      <c r="AA1211">
        <v>7</v>
      </c>
      <c r="AB1211">
        <v>3</v>
      </c>
      <c r="AC1211">
        <v>0</v>
      </c>
      <c r="AD1211">
        <v>9</v>
      </c>
      <c r="AE1211">
        <v>0</v>
      </c>
      <c r="AF1211">
        <v>3</v>
      </c>
      <c r="AG1211">
        <v>1</v>
      </c>
      <c r="AH1211">
        <v>0</v>
      </c>
      <c r="AI1211" t="s">
        <v>654</v>
      </c>
      <c r="AJ1211">
        <v>33.125582000000001</v>
      </c>
      <c r="AK1211" t="s">
        <v>655</v>
      </c>
      <c r="AL1211">
        <v>-97.705235000000002</v>
      </c>
      <c r="AM1211">
        <v>25</v>
      </c>
      <c r="AN1211">
        <v>3400</v>
      </c>
      <c r="AO1211" t="s">
        <v>118</v>
      </c>
      <c r="AP1211">
        <v>50</v>
      </c>
      <c r="AQ1211">
        <v>-92</v>
      </c>
      <c r="AR1211">
        <v>-192</v>
      </c>
      <c r="AZ1211">
        <v>1200</v>
      </c>
      <c r="BA1211">
        <v>1</v>
      </c>
      <c r="BB1211" t="str">
        <f t="shared" si="354"/>
        <v xml:space="preserve">N733KP  </v>
      </c>
      <c r="BC1211">
        <v>1</v>
      </c>
      <c r="BE1211">
        <v>0</v>
      </c>
      <c r="BF1211">
        <v>0</v>
      </c>
      <c r="BG1211">
        <v>0</v>
      </c>
      <c r="BH1211">
        <v>3375</v>
      </c>
      <c r="BI1211">
        <v>1</v>
      </c>
      <c r="BJ1211">
        <v>1</v>
      </c>
      <c r="BK1211">
        <v>0</v>
      </c>
      <c r="BL1211">
        <v>0</v>
      </c>
      <c r="BO1211">
        <v>0</v>
      </c>
      <c r="BP1211">
        <v>0</v>
      </c>
      <c r="BW1211" t="str">
        <f>"22:14:33.448"</f>
        <v>22:14:33.448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364</v>
      </c>
      <c r="CR1211">
        <v>0</v>
      </c>
      <c r="CW1211">
        <v>1410629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"03/24/2022 22:14:33.651"</f>
        <v>03/24/2022 22:14:33.651</v>
      </c>
      <c r="C1212" t="str">
        <f t="shared" si="353"/>
        <v>FFDFD3C0</v>
      </c>
      <c r="D1212" t="s">
        <v>113</v>
      </c>
      <c r="E1212">
        <v>24</v>
      </c>
      <c r="F1212">
        <v>2024</v>
      </c>
      <c r="G1212" t="s">
        <v>114</v>
      </c>
      <c r="J1212" t="s">
        <v>115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S1212" t="str">
        <f t="shared" si="363"/>
        <v>22:14:33.000</v>
      </c>
      <c r="T1212" t="str">
        <f t="shared" si="363"/>
        <v>22:14:33.000</v>
      </c>
      <c r="U1212" t="str">
        <f t="shared" si="346"/>
        <v>A9D71F</v>
      </c>
      <c r="V1212">
        <v>0</v>
      </c>
      <c r="W1212">
        <v>0</v>
      </c>
      <c r="X1212">
        <v>2</v>
      </c>
      <c r="Z1212">
        <v>1</v>
      </c>
      <c r="AA1212">
        <v>7</v>
      </c>
      <c r="AB1212">
        <v>3</v>
      </c>
      <c r="AC1212">
        <v>0</v>
      </c>
      <c r="AD1212">
        <v>9</v>
      </c>
      <c r="AE1212">
        <v>0</v>
      </c>
      <c r="AF1212">
        <v>3</v>
      </c>
      <c r="AG1212">
        <v>1</v>
      </c>
      <c r="AH1212">
        <v>0</v>
      </c>
      <c r="AI1212" t="s">
        <v>654</v>
      </c>
      <c r="AJ1212">
        <v>33.125582000000001</v>
      </c>
      <c r="AK1212" t="s">
        <v>655</v>
      </c>
      <c r="AL1212">
        <v>-97.705235000000002</v>
      </c>
      <c r="AM1212">
        <v>25</v>
      </c>
      <c r="AN1212">
        <v>3400</v>
      </c>
      <c r="AO1212" t="s">
        <v>118</v>
      </c>
      <c r="AP1212">
        <v>50</v>
      </c>
      <c r="AQ1212">
        <v>-92</v>
      </c>
      <c r="AR1212">
        <v>-192</v>
      </c>
      <c r="AZ1212">
        <v>1200</v>
      </c>
      <c r="BA1212">
        <v>1</v>
      </c>
      <c r="BB1212" t="str">
        <f t="shared" si="354"/>
        <v xml:space="preserve">N733KP  </v>
      </c>
      <c r="BC1212">
        <v>1</v>
      </c>
      <c r="BE1212">
        <v>0</v>
      </c>
      <c r="BF1212">
        <v>0</v>
      </c>
      <c r="BG1212">
        <v>0</v>
      </c>
      <c r="BH1212">
        <v>3375</v>
      </c>
      <c r="BI1212">
        <v>1</v>
      </c>
      <c r="BJ1212">
        <v>1</v>
      </c>
      <c r="BK1212">
        <v>0</v>
      </c>
      <c r="BL1212">
        <v>0</v>
      </c>
      <c r="BO1212">
        <v>0</v>
      </c>
      <c r="BP1212">
        <v>0</v>
      </c>
      <c r="BW1212" t="str">
        <f>"22:14:33.448"</f>
        <v>22:14:33.448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364</v>
      </c>
      <c r="CR1212">
        <v>0</v>
      </c>
      <c r="CW1212">
        <v>1410629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"03/24/2022 22:14:34.745"</f>
        <v>03/24/2022 22:14:34.745</v>
      </c>
      <c r="C1213" t="str">
        <f t="shared" si="353"/>
        <v>FFDFD3C0</v>
      </c>
      <c r="D1213" t="s">
        <v>123</v>
      </c>
      <c r="E1213">
        <v>8</v>
      </c>
      <c r="H1213">
        <v>31</v>
      </c>
      <c r="I1213" t="s">
        <v>124</v>
      </c>
      <c r="J1213" t="s">
        <v>125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S1213" t="str">
        <f t="shared" ref="S1213:T1216" si="364">"22:14:34.000"</f>
        <v>22:14:34.000</v>
      </c>
      <c r="T1213" t="str">
        <f t="shared" si="364"/>
        <v>22:14:34.000</v>
      </c>
      <c r="U1213" t="str">
        <f t="shared" si="346"/>
        <v>A9D71F</v>
      </c>
      <c r="V1213">
        <v>0</v>
      </c>
      <c r="W1213">
        <v>0</v>
      </c>
      <c r="X1213">
        <v>2</v>
      </c>
      <c r="Z1213">
        <v>1</v>
      </c>
      <c r="AA1213">
        <v>7</v>
      </c>
      <c r="AB1213">
        <v>3</v>
      </c>
      <c r="AC1213">
        <v>0</v>
      </c>
      <c r="AD1213">
        <v>9</v>
      </c>
      <c r="AE1213">
        <v>0</v>
      </c>
      <c r="AF1213">
        <v>3</v>
      </c>
      <c r="AG1213">
        <v>1</v>
      </c>
      <c r="AH1213">
        <v>0</v>
      </c>
      <c r="AI1213" t="s">
        <v>656</v>
      </c>
      <c r="AJ1213">
        <v>33.125174000000001</v>
      </c>
      <c r="AK1213" t="s">
        <v>657</v>
      </c>
      <c r="AL1213">
        <v>-97.704977999999997</v>
      </c>
      <c r="AM1213">
        <v>25</v>
      </c>
      <c r="AN1213">
        <v>3400</v>
      </c>
      <c r="AO1213" t="s">
        <v>118</v>
      </c>
      <c r="AP1213">
        <v>52</v>
      </c>
      <c r="AQ1213">
        <v>-93</v>
      </c>
      <c r="AR1213">
        <v>-192</v>
      </c>
      <c r="AZ1213">
        <v>1200</v>
      </c>
      <c r="BA1213">
        <v>1</v>
      </c>
      <c r="BB1213" t="str">
        <f t="shared" si="354"/>
        <v xml:space="preserve">N733KP  </v>
      </c>
      <c r="BC1213">
        <v>1</v>
      </c>
      <c r="BE1213">
        <v>0</v>
      </c>
      <c r="BF1213">
        <v>0</v>
      </c>
      <c r="BG1213">
        <v>0</v>
      </c>
      <c r="BH1213">
        <v>3375</v>
      </c>
      <c r="BI1213">
        <v>1</v>
      </c>
      <c r="BJ1213">
        <v>1</v>
      </c>
      <c r="BK1213">
        <v>0</v>
      </c>
      <c r="BL1213">
        <v>0</v>
      </c>
      <c r="BO1213">
        <v>0</v>
      </c>
      <c r="BP1213">
        <v>0</v>
      </c>
      <c r="BW1213" t="str">
        <f>"22:14:34.560"</f>
        <v>22:14:34.560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364</v>
      </c>
      <c r="CR1213">
        <v>0</v>
      </c>
      <c r="CW1213">
        <v>1410820</v>
      </c>
      <c r="CY1213">
        <v>1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"03/24/2022 22:14:34.792"</f>
        <v>03/24/2022 22:14:34.792</v>
      </c>
      <c r="C1214" t="str">
        <f t="shared" si="353"/>
        <v>FFDFD3C0</v>
      </c>
      <c r="D1214" t="s">
        <v>113</v>
      </c>
      <c r="E1214">
        <v>24</v>
      </c>
      <c r="F1214">
        <v>2024</v>
      </c>
      <c r="G1214" t="s">
        <v>114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S1214" t="str">
        <f t="shared" si="364"/>
        <v>22:14:34.000</v>
      </c>
      <c r="T1214" t="str">
        <f t="shared" si="364"/>
        <v>22:14:34.000</v>
      </c>
      <c r="U1214" t="str">
        <f t="shared" si="346"/>
        <v>A9D71F</v>
      </c>
      <c r="V1214">
        <v>0</v>
      </c>
      <c r="W1214">
        <v>0</v>
      </c>
      <c r="X1214">
        <v>2</v>
      </c>
      <c r="Z1214">
        <v>1</v>
      </c>
      <c r="AA1214">
        <v>7</v>
      </c>
      <c r="AB1214">
        <v>3</v>
      </c>
      <c r="AC1214">
        <v>0</v>
      </c>
      <c r="AD1214">
        <v>9</v>
      </c>
      <c r="AE1214">
        <v>0</v>
      </c>
      <c r="AF1214">
        <v>3</v>
      </c>
      <c r="AG1214">
        <v>1</v>
      </c>
      <c r="AH1214">
        <v>0</v>
      </c>
      <c r="AI1214" t="s">
        <v>656</v>
      </c>
      <c r="AJ1214">
        <v>33.125174000000001</v>
      </c>
      <c r="AK1214" t="s">
        <v>657</v>
      </c>
      <c r="AL1214">
        <v>-97.704977999999997</v>
      </c>
      <c r="AM1214">
        <v>25</v>
      </c>
      <c r="AN1214">
        <v>3400</v>
      </c>
      <c r="AO1214" t="s">
        <v>118</v>
      </c>
      <c r="AP1214">
        <v>52</v>
      </c>
      <c r="AQ1214">
        <v>-93</v>
      </c>
      <c r="AR1214">
        <v>-192</v>
      </c>
      <c r="AZ1214">
        <v>1200</v>
      </c>
      <c r="BA1214">
        <v>1</v>
      </c>
      <c r="BB1214" t="str">
        <f t="shared" si="354"/>
        <v xml:space="preserve">N733KP  </v>
      </c>
      <c r="BC1214">
        <v>1</v>
      </c>
      <c r="BE1214">
        <v>0</v>
      </c>
      <c r="BF1214">
        <v>0</v>
      </c>
      <c r="BG1214">
        <v>0</v>
      </c>
      <c r="BH1214">
        <v>3375</v>
      </c>
      <c r="BI1214">
        <v>1</v>
      </c>
      <c r="BJ1214">
        <v>1</v>
      </c>
      <c r="BK1214">
        <v>0</v>
      </c>
      <c r="BL1214">
        <v>0</v>
      </c>
      <c r="BO1214">
        <v>0</v>
      </c>
      <c r="BP1214">
        <v>0</v>
      </c>
      <c r="BW1214" t="str">
        <f>"22:14:34.560"</f>
        <v>22:14:34.560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364</v>
      </c>
      <c r="CR1214">
        <v>0</v>
      </c>
      <c r="CW1214">
        <v>1410820</v>
      </c>
      <c r="CY1214">
        <v>1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"03/24/2022 22:14:34.807"</f>
        <v>03/24/2022 22:14:34.807</v>
      </c>
      <c r="C1215" t="str">
        <f t="shared" si="353"/>
        <v>FFDFD3C0</v>
      </c>
      <c r="D1215" t="s">
        <v>120</v>
      </c>
      <c r="E1215">
        <v>14</v>
      </c>
      <c r="F1215">
        <v>1014</v>
      </c>
      <c r="G1215" t="s">
        <v>121</v>
      </c>
      <c r="J1215" t="s">
        <v>122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S1215" t="str">
        <f t="shared" si="364"/>
        <v>22:14:34.000</v>
      </c>
      <c r="T1215" t="str">
        <f t="shared" si="364"/>
        <v>22:14:34.000</v>
      </c>
      <c r="U1215" t="str">
        <f t="shared" si="346"/>
        <v>A9D71F</v>
      </c>
      <c r="V1215">
        <v>0</v>
      </c>
      <c r="W1215">
        <v>0</v>
      </c>
      <c r="X1215">
        <v>2</v>
      </c>
      <c r="Z1215">
        <v>1</v>
      </c>
      <c r="AA1215">
        <v>7</v>
      </c>
      <c r="AB1215">
        <v>3</v>
      </c>
      <c r="AC1215">
        <v>0</v>
      </c>
      <c r="AD1215">
        <v>9</v>
      </c>
      <c r="AE1215">
        <v>0</v>
      </c>
      <c r="AF1215">
        <v>3</v>
      </c>
      <c r="AG1215">
        <v>1</v>
      </c>
      <c r="AH1215">
        <v>0</v>
      </c>
      <c r="AI1215" t="s">
        <v>656</v>
      </c>
      <c r="AJ1215">
        <v>33.125174000000001</v>
      </c>
      <c r="AK1215" t="s">
        <v>657</v>
      </c>
      <c r="AL1215">
        <v>-97.704977999999997</v>
      </c>
      <c r="AM1215">
        <v>25</v>
      </c>
      <c r="AN1215">
        <v>3400</v>
      </c>
      <c r="AO1215" t="s">
        <v>118</v>
      </c>
      <c r="AP1215">
        <v>52</v>
      </c>
      <c r="AQ1215">
        <v>-93</v>
      </c>
      <c r="AR1215">
        <v>-192</v>
      </c>
      <c r="AZ1215">
        <v>1200</v>
      </c>
      <c r="BA1215">
        <v>1</v>
      </c>
      <c r="BB1215" t="str">
        <f t="shared" si="354"/>
        <v xml:space="preserve">N733KP  </v>
      </c>
      <c r="BC1215">
        <v>1</v>
      </c>
      <c r="BE1215">
        <v>0</v>
      </c>
      <c r="BF1215">
        <v>0</v>
      </c>
      <c r="BG1215">
        <v>0</v>
      </c>
      <c r="BH1215">
        <v>3375</v>
      </c>
      <c r="BI1215">
        <v>1</v>
      </c>
      <c r="BJ1215">
        <v>1</v>
      </c>
      <c r="BK1215">
        <v>0</v>
      </c>
      <c r="BL1215">
        <v>0</v>
      </c>
      <c r="BO1215">
        <v>0</v>
      </c>
      <c r="BP1215">
        <v>0</v>
      </c>
      <c r="BW1215" t="str">
        <f>"22:14:34.560"</f>
        <v>22:14:34.560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364</v>
      </c>
      <c r="CR1215">
        <v>0</v>
      </c>
      <c r="CW1215">
        <v>1410820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"03/24/2022 22:14:34.807"</f>
        <v>03/24/2022 22:14:34.807</v>
      </c>
      <c r="C1216" t="str">
        <f t="shared" si="353"/>
        <v>FFDFD3C0</v>
      </c>
      <c r="D1216" t="s">
        <v>126</v>
      </c>
      <c r="E1216">
        <v>3</v>
      </c>
      <c r="H1216">
        <v>160</v>
      </c>
      <c r="I1216" t="s">
        <v>121</v>
      </c>
      <c r="J1216" t="s">
        <v>127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S1216" t="str">
        <f t="shared" si="364"/>
        <v>22:14:34.000</v>
      </c>
      <c r="T1216" t="str">
        <f t="shared" si="364"/>
        <v>22:14:34.000</v>
      </c>
      <c r="U1216" t="str">
        <f t="shared" si="346"/>
        <v>A9D71F</v>
      </c>
      <c r="V1216">
        <v>0</v>
      </c>
      <c r="W1216">
        <v>0</v>
      </c>
      <c r="X1216">
        <v>2</v>
      </c>
      <c r="Z1216">
        <v>1</v>
      </c>
      <c r="AA1216">
        <v>7</v>
      </c>
      <c r="AB1216">
        <v>3</v>
      </c>
      <c r="AC1216">
        <v>0</v>
      </c>
      <c r="AD1216">
        <v>9</v>
      </c>
      <c r="AE1216">
        <v>0</v>
      </c>
      <c r="AF1216">
        <v>3</v>
      </c>
      <c r="AG1216">
        <v>1</v>
      </c>
      <c r="AH1216">
        <v>0</v>
      </c>
      <c r="AI1216" t="s">
        <v>656</v>
      </c>
      <c r="AJ1216">
        <v>33.125174000000001</v>
      </c>
      <c r="AK1216" t="s">
        <v>657</v>
      </c>
      <c r="AL1216">
        <v>-97.704977999999997</v>
      </c>
      <c r="AM1216">
        <v>25</v>
      </c>
      <c r="AN1216">
        <v>3400</v>
      </c>
      <c r="AO1216" t="s">
        <v>118</v>
      </c>
      <c r="AP1216">
        <v>52</v>
      </c>
      <c r="AQ1216">
        <v>-93</v>
      </c>
      <c r="AR1216">
        <v>-192</v>
      </c>
      <c r="AZ1216">
        <v>1200</v>
      </c>
      <c r="BA1216">
        <v>1</v>
      </c>
      <c r="BB1216" t="str">
        <f t="shared" si="354"/>
        <v xml:space="preserve">N733KP  </v>
      </c>
      <c r="BC1216">
        <v>1</v>
      </c>
      <c r="BE1216">
        <v>0</v>
      </c>
      <c r="BF1216">
        <v>0</v>
      </c>
      <c r="BG1216">
        <v>0</v>
      </c>
      <c r="BH1216">
        <v>3375</v>
      </c>
      <c r="BI1216">
        <v>1</v>
      </c>
      <c r="BJ1216">
        <v>1</v>
      </c>
      <c r="BK1216">
        <v>0</v>
      </c>
      <c r="BL1216">
        <v>0</v>
      </c>
      <c r="BO1216">
        <v>0</v>
      </c>
      <c r="BP1216">
        <v>0</v>
      </c>
      <c r="BW1216" t="str">
        <f>"22:14:34.560"</f>
        <v>22:14:34.560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364</v>
      </c>
      <c r="CR1216">
        <v>0</v>
      </c>
      <c r="CW1216">
        <v>1410820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"03/24/2022 22:14:36.089"</f>
        <v>03/24/2022 22:14:36.089</v>
      </c>
      <c r="C1217" t="str">
        <f t="shared" si="353"/>
        <v>FFDFD3C0</v>
      </c>
      <c r="D1217" t="s">
        <v>120</v>
      </c>
      <c r="E1217">
        <v>14</v>
      </c>
      <c r="F1217">
        <v>1014</v>
      </c>
      <c r="G1217" t="s">
        <v>121</v>
      </c>
      <c r="J1217" t="s">
        <v>122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S1217" t="str">
        <f t="shared" ref="S1217:T1219" si="365">"22:14:35.000"</f>
        <v>22:14:35.000</v>
      </c>
      <c r="T1217" t="str">
        <f t="shared" si="365"/>
        <v>22:14:35.000</v>
      </c>
      <c r="U1217" t="str">
        <f t="shared" si="346"/>
        <v>A9D71F</v>
      </c>
      <c r="V1217">
        <v>0</v>
      </c>
      <c r="W1217">
        <v>0</v>
      </c>
      <c r="X1217">
        <v>2</v>
      </c>
      <c r="Z1217">
        <v>1</v>
      </c>
      <c r="AA1217">
        <v>7</v>
      </c>
      <c r="AB1217">
        <v>3</v>
      </c>
      <c r="AC1217">
        <v>0</v>
      </c>
      <c r="AD1217">
        <v>9</v>
      </c>
      <c r="AE1217">
        <v>0</v>
      </c>
      <c r="AF1217">
        <v>3</v>
      </c>
      <c r="AG1217">
        <v>1</v>
      </c>
      <c r="AH1217">
        <v>0</v>
      </c>
      <c r="AI1217" t="s">
        <v>658</v>
      </c>
      <c r="AJ1217">
        <v>33.124744999999997</v>
      </c>
      <c r="AK1217" t="s">
        <v>659</v>
      </c>
      <c r="AL1217">
        <v>-97.704699000000005</v>
      </c>
      <c r="AM1217">
        <v>25</v>
      </c>
      <c r="AN1217">
        <v>3400</v>
      </c>
      <c r="AO1217" t="s">
        <v>118</v>
      </c>
      <c r="AP1217">
        <v>52</v>
      </c>
      <c r="AQ1217">
        <v>-92</v>
      </c>
      <c r="AR1217">
        <v>-128</v>
      </c>
      <c r="AZ1217">
        <v>1200</v>
      </c>
      <c r="BA1217">
        <v>1</v>
      </c>
      <c r="BB1217" t="str">
        <f t="shared" si="354"/>
        <v xml:space="preserve">N733KP  </v>
      </c>
      <c r="BC1217">
        <v>1</v>
      </c>
      <c r="BE1217">
        <v>0</v>
      </c>
      <c r="BF1217">
        <v>0</v>
      </c>
      <c r="BG1217">
        <v>0</v>
      </c>
      <c r="BH1217">
        <v>3375</v>
      </c>
      <c r="BI1217">
        <v>1</v>
      </c>
      <c r="BJ1217">
        <v>1</v>
      </c>
      <c r="BK1217">
        <v>0</v>
      </c>
      <c r="BL1217">
        <v>0</v>
      </c>
      <c r="BO1217">
        <v>0</v>
      </c>
      <c r="BP1217">
        <v>0</v>
      </c>
      <c r="BW1217" t="str">
        <f>"22:14:35.906"</f>
        <v>22:14:35.906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3</v>
      </c>
      <c r="CP1217" t="s">
        <v>119</v>
      </c>
      <c r="CQ1217">
        <v>439</v>
      </c>
      <c r="CR1217">
        <v>0</v>
      </c>
      <c r="CW1217">
        <v>11501242</v>
      </c>
      <c r="CY1217">
        <v>1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"03/24/2022 22:14:36.089"</f>
        <v>03/24/2022 22:14:36.089</v>
      </c>
      <c r="C1218" t="str">
        <f t="shared" si="353"/>
        <v>FFDFD3C0</v>
      </c>
      <c r="D1218" t="s">
        <v>126</v>
      </c>
      <c r="E1218">
        <v>3</v>
      </c>
      <c r="H1218">
        <v>160</v>
      </c>
      <c r="I1218" t="s">
        <v>121</v>
      </c>
      <c r="J1218" t="s">
        <v>127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S1218" t="str">
        <f t="shared" si="365"/>
        <v>22:14:35.000</v>
      </c>
      <c r="T1218" t="str">
        <f t="shared" si="365"/>
        <v>22:14:35.000</v>
      </c>
      <c r="U1218" t="str">
        <f t="shared" ref="U1218:U1281" si="366">"A9D71F"</f>
        <v>A9D71F</v>
      </c>
      <c r="V1218">
        <v>0</v>
      </c>
      <c r="W1218">
        <v>0</v>
      </c>
      <c r="X1218">
        <v>2</v>
      </c>
      <c r="Z1218">
        <v>1</v>
      </c>
      <c r="AA1218">
        <v>7</v>
      </c>
      <c r="AB1218">
        <v>3</v>
      </c>
      <c r="AC1218">
        <v>0</v>
      </c>
      <c r="AD1218">
        <v>9</v>
      </c>
      <c r="AE1218">
        <v>0</v>
      </c>
      <c r="AF1218">
        <v>3</v>
      </c>
      <c r="AG1218">
        <v>1</v>
      </c>
      <c r="AH1218">
        <v>0</v>
      </c>
      <c r="AI1218" t="s">
        <v>658</v>
      </c>
      <c r="AJ1218">
        <v>33.124744999999997</v>
      </c>
      <c r="AK1218" t="s">
        <v>659</v>
      </c>
      <c r="AL1218">
        <v>-97.704699000000005</v>
      </c>
      <c r="AM1218">
        <v>25</v>
      </c>
      <c r="AN1218">
        <v>3400</v>
      </c>
      <c r="AO1218" t="s">
        <v>118</v>
      </c>
      <c r="AP1218">
        <v>52</v>
      </c>
      <c r="AQ1218">
        <v>-92</v>
      </c>
      <c r="AR1218">
        <v>-128</v>
      </c>
      <c r="AZ1218">
        <v>1200</v>
      </c>
      <c r="BA1218">
        <v>1</v>
      </c>
      <c r="BB1218" t="str">
        <f t="shared" si="354"/>
        <v xml:space="preserve">N733KP  </v>
      </c>
      <c r="BC1218">
        <v>1</v>
      </c>
      <c r="BE1218">
        <v>0</v>
      </c>
      <c r="BF1218">
        <v>0</v>
      </c>
      <c r="BG1218">
        <v>0</v>
      </c>
      <c r="BH1218">
        <v>3375</v>
      </c>
      <c r="BI1218">
        <v>1</v>
      </c>
      <c r="BJ1218">
        <v>1</v>
      </c>
      <c r="BK1218">
        <v>0</v>
      </c>
      <c r="BL1218">
        <v>0</v>
      </c>
      <c r="BO1218">
        <v>0</v>
      </c>
      <c r="BP1218">
        <v>0</v>
      </c>
      <c r="BW1218" t="str">
        <f>"22:14:35.906"</f>
        <v>22:14:35.906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3</v>
      </c>
      <c r="CP1218" t="s">
        <v>119</v>
      </c>
      <c r="CQ1218">
        <v>439</v>
      </c>
      <c r="CR1218">
        <v>0</v>
      </c>
      <c r="CW1218">
        <v>11501242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"03/24/2022 22:14:36.151"</f>
        <v>03/24/2022 22:14:36.151</v>
      </c>
      <c r="C1219" t="str">
        <f t="shared" si="353"/>
        <v>FFDFD3C0</v>
      </c>
      <c r="D1219" t="s">
        <v>113</v>
      </c>
      <c r="E1219">
        <v>24</v>
      </c>
      <c r="F1219">
        <v>2024</v>
      </c>
      <c r="G1219" t="s">
        <v>114</v>
      </c>
      <c r="J1219" t="s">
        <v>115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S1219" t="str">
        <f t="shared" si="365"/>
        <v>22:14:35.000</v>
      </c>
      <c r="T1219" t="str">
        <f t="shared" si="365"/>
        <v>22:14:35.000</v>
      </c>
      <c r="U1219" t="str">
        <f t="shared" si="366"/>
        <v>A9D71F</v>
      </c>
      <c r="V1219">
        <v>0</v>
      </c>
      <c r="W1219">
        <v>0</v>
      </c>
      <c r="X1219">
        <v>2</v>
      </c>
      <c r="Z1219">
        <v>1</v>
      </c>
      <c r="AA1219">
        <v>7</v>
      </c>
      <c r="AB1219">
        <v>3</v>
      </c>
      <c r="AC1219">
        <v>0</v>
      </c>
      <c r="AD1219">
        <v>9</v>
      </c>
      <c r="AE1219">
        <v>0</v>
      </c>
      <c r="AF1219">
        <v>3</v>
      </c>
      <c r="AG1219">
        <v>1</v>
      </c>
      <c r="AH1219">
        <v>0</v>
      </c>
      <c r="AI1219" t="s">
        <v>658</v>
      </c>
      <c r="AJ1219">
        <v>33.124744999999997</v>
      </c>
      <c r="AK1219" t="s">
        <v>659</v>
      </c>
      <c r="AL1219">
        <v>-97.704699000000005</v>
      </c>
      <c r="AM1219">
        <v>25</v>
      </c>
      <c r="AN1219">
        <v>3400</v>
      </c>
      <c r="AO1219" t="s">
        <v>118</v>
      </c>
      <c r="AP1219">
        <v>52</v>
      </c>
      <c r="AQ1219">
        <v>-92</v>
      </c>
      <c r="AR1219">
        <v>-128</v>
      </c>
      <c r="AZ1219">
        <v>1200</v>
      </c>
      <c r="BA1219">
        <v>1</v>
      </c>
      <c r="BB1219" t="str">
        <f t="shared" si="354"/>
        <v xml:space="preserve">N733KP  </v>
      </c>
      <c r="BC1219">
        <v>1</v>
      </c>
      <c r="BE1219">
        <v>0</v>
      </c>
      <c r="BF1219">
        <v>0</v>
      </c>
      <c r="BG1219">
        <v>0</v>
      </c>
      <c r="BH1219">
        <v>3375</v>
      </c>
      <c r="BI1219">
        <v>1</v>
      </c>
      <c r="BJ1219">
        <v>1</v>
      </c>
      <c r="BK1219">
        <v>0</v>
      </c>
      <c r="BL1219">
        <v>0</v>
      </c>
      <c r="BO1219">
        <v>0</v>
      </c>
      <c r="BP1219">
        <v>0</v>
      </c>
      <c r="BW1219" t="str">
        <f>"22:14:35.906"</f>
        <v>22:14:35.906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3</v>
      </c>
      <c r="CP1219" t="s">
        <v>119</v>
      </c>
      <c r="CQ1219">
        <v>439</v>
      </c>
      <c r="CR1219">
        <v>0</v>
      </c>
      <c r="CW1219">
        <v>11501242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"03/24/2022 22:14:36.980"</f>
        <v>03/24/2022 22:14:36.980</v>
      </c>
      <c r="C1220" t="str">
        <f t="shared" si="353"/>
        <v>FFDFD3C0</v>
      </c>
      <c r="D1220" t="s">
        <v>120</v>
      </c>
      <c r="E1220">
        <v>14</v>
      </c>
      <c r="F1220">
        <v>1014</v>
      </c>
      <c r="G1220" t="s">
        <v>121</v>
      </c>
      <c r="J1220" t="s">
        <v>122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S1220" t="str">
        <f t="shared" ref="S1220:T1223" si="367">"22:14:36.000"</f>
        <v>22:14:36.000</v>
      </c>
      <c r="T1220" t="str">
        <f t="shared" si="367"/>
        <v>22:14:36.000</v>
      </c>
      <c r="U1220" t="str">
        <f t="shared" si="366"/>
        <v>A9D71F</v>
      </c>
      <c r="V1220">
        <v>0</v>
      </c>
      <c r="W1220">
        <v>0</v>
      </c>
      <c r="X1220">
        <v>2</v>
      </c>
      <c r="Z1220">
        <v>1</v>
      </c>
      <c r="AA1220">
        <v>7</v>
      </c>
      <c r="AB1220">
        <v>3</v>
      </c>
      <c r="AC1220">
        <v>0</v>
      </c>
      <c r="AD1220">
        <v>9</v>
      </c>
      <c r="AE1220">
        <v>0</v>
      </c>
      <c r="AF1220">
        <v>3</v>
      </c>
      <c r="AG1220">
        <v>1</v>
      </c>
      <c r="AH1220">
        <v>0</v>
      </c>
      <c r="AI1220" t="s">
        <v>660</v>
      </c>
      <c r="AJ1220">
        <v>33.124336999999997</v>
      </c>
      <c r="AK1220" t="s">
        <v>661</v>
      </c>
      <c r="AL1220">
        <v>-97.704419999999999</v>
      </c>
      <c r="AM1220">
        <v>25</v>
      </c>
      <c r="AN1220">
        <v>3400</v>
      </c>
      <c r="AO1220" t="s">
        <v>118</v>
      </c>
      <c r="AP1220">
        <v>52</v>
      </c>
      <c r="AQ1220">
        <v>-92</v>
      </c>
      <c r="AR1220">
        <v>-128</v>
      </c>
      <c r="AZ1220">
        <v>1200</v>
      </c>
      <c r="BA1220">
        <v>1</v>
      </c>
      <c r="BB1220" t="str">
        <f t="shared" si="354"/>
        <v xml:space="preserve">N733KP  </v>
      </c>
      <c r="BC1220">
        <v>1</v>
      </c>
      <c r="BE1220">
        <v>0</v>
      </c>
      <c r="BF1220">
        <v>0</v>
      </c>
      <c r="BG1220">
        <v>0</v>
      </c>
      <c r="BH1220">
        <v>3375</v>
      </c>
      <c r="BI1220">
        <v>1</v>
      </c>
      <c r="BJ1220">
        <v>1</v>
      </c>
      <c r="BK1220">
        <v>0</v>
      </c>
      <c r="BL1220">
        <v>0</v>
      </c>
      <c r="BO1220">
        <v>0</v>
      </c>
      <c r="BP1220">
        <v>0</v>
      </c>
      <c r="BW1220" t="str">
        <f>"22:14:36.808"</f>
        <v>22:14:36.808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364</v>
      </c>
      <c r="CR1220">
        <v>0</v>
      </c>
      <c r="CW1220">
        <v>1411172</v>
      </c>
      <c r="CY1220">
        <v>1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"03/24/2022 22:14:36.980"</f>
        <v>03/24/2022 22:14:36.980</v>
      </c>
      <c r="C1221" t="str">
        <f t="shared" si="353"/>
        <v>FFDFD3C0</v>
      </c>
      <c r="D1221" t="s">
        <v>123</v>
      </c>
      <c r="E1221">
        <v>8</v>
      </c>
      <c r="H1221">
        <v>31</v>
      </c>
      <c r="I1221" t="s">
        <v>124</v>
      </c>
      <c r="J1221" t="s">
        <v>125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S1221" t="str">
        <f t="shared" si="367"/>
        <v>22:14:36.000</v>
      </c>
      <c r="T1221" t="str">
        <f t="shared" si="367"/>
        <v>22:14:36.000</v>
      </c>
      <c r="U1221" t="str">
        <f t="shared" si="366"/>
        <v>A9D71F</v>
      </c>
      <c r="V1221">
        <v>0</v>
      </c>
      <c r="W1221">
        <v>0</v>
      </c>
      <c r="X1221">
        <v>2</v>
      </c>
      <c r="Z1221">
        <v>1</v>
      </c>
      <c r="AA1221">
        <v>7</v>
      </c>
      <c r="AB1221">
        <v>3</v>
      </c>
      <c r="AC1221">
        <v>0</v>
      </c>
      <c r="AD1221">
        <v>9</v>
      </c>
      <c r="AE1221">
        <v>0</v>
      </c>
      <c r="AF1221">
        <v>3</v>
      </c>
      <c r="AG1221">
        <v>1</v>
      </c>
      <c r="AH1221">
        <v>0</v>
      </c>
      <c r="AI1221" t="s">
        <v>660</v>
      </c>
      <c r="AJ1221">
        <v>33.124336999999997</v>
      </c>
      <c r="AK1221" t="s">
        <v>661</v>
      </c>
      <c r="AL1221">
        <v>-97.704419999999999</v>
      </c>
      <c r="AM1221">
        <v>25</v>
      </c>
      <c r="AN1221">
        <v>3400</v>
      </c>
      <c r="AO1221" t="s">
        <v>118</v>
      </c>
      <c r="AP1221">
        <v>52</v>
      </c>
      <c r="AQ1221">
        <v>-92</v>
      </c>
      <c r="AR1221">
        <v>-128</v>
      </c>
      <c r="AZ1221">
        <v>1200</v>
      </c>
      <c r="BA1221">
        <v>1</v>
      </c>
      <c r="BB1221" t="str">
        <f t="shared" si="354"/>
        <v xml:space="preserve">N733KP  </v>
      </c>
      <c r="BC1221">
        <v>1</v>
      </c>
      <c r="BE1221">
        <v>0</v>
      </c>
      <c r="BF1221">
        <v>0</v>
      </c>
      <c r="BG1221">
        <v>0</v>
      </c>
      <c r="BH1221">
        <v>3375</v>
      </c>
      <c r="BI1221">
        <v>1</v>
      </c>
      <c r="BJ1221">
        <v>1</v>
      </c>
      <c r="BK1221">
        <v>0</v>
      </c>
      <c r="BL1221">
        <v>0</v>
      </c>
      <c r="BO1221">
        <v>0</v>
      </c>
      <c r="BP1221">
        <v>0</v>
      </c>
      <c r="BW1221" t="str">
        <f>"22:14:36.808"</f>
        <v>22:14:36.808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364</v>
      </c>
      <c r="CR1221">
        <v>0</v>
      </c>
      <c r="CW1221">
        <v>1411172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"03/24/2022 22:14:36.980"</f>
        <v>03/24/2022 22:14:36.980</v>
      </c>
      <c r="C1222" t="str">
        <f t="shared" si="353"/>
        <v>FFDFD3C0</v>
      </c>
      <c r="D1222" t="s">
        <v>113</v>
      </c>
      <c r="E1222">
        <v>24</v>
      </c>
      <c r="F1222">
        <v>2024</v>
      </c>
      <c r="G1222" t="s">
        <v>114</v>
      </c>
      <c r="J1222" t="s">
        <v>115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S1222" t="str">
        <f t="shared" si="367"/>
        <v>22:14:36.000</v>
      </c>
      <c r="T1222" t="str">
        <f t="shared" si="367"/>
        <v>22:14:36.000</v>
      </c>
      <c r="U1222" t="str">
        <f t="shared" si="366"/>
        <v>A9D71F</v>
      </c>
      <c r="V1222">
        <v>0</v>
      </c>
      <c r="W1222">
        <v>0</v>
      </c>
      <c r="X1222">
        <v>2</v>
      </c>
      <c r="Z1222">
        <v>1</v>
      </c>
      <c r="AA1222">
        <v>7</v>
      </c>
      <c r="AB1222">
        <v>3</v>
      </c>
      <c r="AC1222">
        <v>0</v>
      </c>
      <c r="AD1222">
        <v>9</v>
      </c>
      <c r="AE1222">
        <v>0</v>
      </c>
      <c r="AF1222">
        <v>3</v>
      </c>
      <c r="AG1222">
        <v>1</v>
      </c>
      <c r="AH1222">
        <v>0</v>
      </c>
      <c r="AI1222" t="s">
        <v>660</v>
      </c>
      <c r="AJ1222">
        <v>33.124336999999997</v>
      </c>
      <c r="AK1222" t="s">
        <v>661</v>
      </c>
      <c r="AL1222">
        <v>-97.704419999999999</v>
      </c>
      <c r="AM1222">
        <v>25</v>
      </c>
      <c r="AN1222">
        <v>3400</v>
      </c>
      <c r="AO1222" t="s">
        <v>118</v>
      </c>
      <c r="AP1222">
        <v>52</v>
      </c>
      <c r="AQ1222">
        <v>-92</v>
      </c>
      <c r="AR1222">
        <v>-128</v>
      </c>
      <c r="AZ1222">
        <v>1200</v>
      </c>
      <c r="BA1222">
        <v>1</v>
      </c>
      <c r="BB1222" t="str">
        <f t="shared" si="354"/>
        <v xml:space="preserve">N733KP  </v>
      </c>
      <c r="BC1222">
        <v>1</v>
      </c>
      <c r="BE1222">
        <v>0</v>
      </c>
      <c r="BF1222">
        <v>0</v>
      </c>
      <c r="BG1222">
        <v>0</v>
      </c>
      <c r="BH1222">
        <v>3375</v>
      </c>
      <c r="BI1222">
        <v>1</v>
      </c>
      <c r="BJ1222">
        <v>1</v>
      </c>
      <c r="BK1222">
        <v>0</v>
      </c>
      <c r="BL1222">
        <v>0</v>
      </c>
      <c r="BO1222">
        <v>0</v>
      </c>
      <c r="BP1222">
        <v>0</v>
      </c>
      <c r="BW1222" t="str">
        <f>"22:14:36.808"</f>
        <v>22:14:36.808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364</v>
      </c>
      <c r="CR1222">
        <v>0</v>
      </c>
      <c r="CW1222">
        <v>1411172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"03/24/2022 22:14:37.012"</f>
        <v>03/24/2022 22:14:37.012</v>
      </c>
      <c r="C1223" t="str">
        <f t="shared" si="353"/>
        <v>FFDFD3C0</v>
      </c>
      <c r="D1223" t="s">
        <v>126</v>
      </c>
      <c r="E1223">
        <v>3</v>
      </c>
      <c r="H1223">
        <v>160</v>
      </c>
      <c r="I1223" t="s">
        <v>121</v>
      </c>
      <c r="J1223" t="s">
        <v>127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S1223" t="str">
        <f t="shared" si="367"/>
        <v>22:14:36.000</v>
      </c>
      <c r="T1223" t="str">
        <f t="shared" si="367"/>
        <v>22:14:36.000</v>
      </c>
      <c r="U1223" t="str">
        <f t="shared" si="366"/>
        <v>A9D71F</v>
      </c>
      <c r="V1223">
        <v>0</v>
      </c>
      <c r="W1223">
        <v>0</v>
      </c>
      <c r="X1223">
        <v>2</v>
      </c>
      <c r="Z1223">
        <v>1</v>
      </c>
      <c r="AA1223">
        <v>7</v>
      </c>
      <c r="AB1223">
        <v>3</v>
      </c>
      <c r="AC1223">
        <v>0</v>
      </c>
      <c r="AD1223">
        <v>9</v>
      </c>
      <c r="AE1223">
        <v>0</v>
      </c>
      <c r="AF1223">
        <v>3</v>
      </c>
      <c r="AG1223">
        <v>1</v>
      </c>
      <c r="AH1223">
        <v>0</v>
      </c>
      <c r="AI1223" t="s">
        <v>660</v>
      </c>
      <c r="AJ1223">
        <v>33.124336999999997</v>
      </c>
      <c r="AK1223" t="s">
        <v>661</v>
      </c>
      <c r="AL1223">
        <v>-97.704419999999999</v>
      </c>
      <c r="AM1223">
        <v>25</v>
      </c>
      <c r="AN1223">
        <v>3400</v>
      </c>
      <c r="AO1223" t="s">
        <v>118</v>
      </c>
      <c r="AP1223">
        <v>52</v>
      </c>
      <c r="AQ1223">
        <v>-92</v>
      </c>
      <c r="AR1223">
        <v>-128</v>
      </c>
      <c r="AZ1223">
        <v>1200</v>
      </c>
      <c r="BA1223">
        <v>1</v>
      </c>
      <c r="BB1223" t="str">
        <f t="shared" si="354"/>
        <v xml:space="preserve">N733KP  </v>
      </c>
      <c r="BC1223">
        <v>1</v>
      </c>
      <c r="BE1223">
        <v>0</v>
      </c>
      <c r="BF1223">
        <v>0</v>
      </c>
      <c r="BG1223">
        <v>0</v>
      </c>
      <c r="BH1223">
        <v>3375</v>
      </c>
      <c r="BI1223">
        <v>1</v>
      </c>
      <c r="BJ1223">
        <v>1</v>
      </c>
      <c r="BK1223">
        <v>0</v>
      </c>
      <c r="BL1223">
        <v>0</v>
      </c>
      <c r="BO1223">
        <v>0</v>
      </c>
      <c r="BP1223">
        <v>0</v>
      </c>
      <c r="BW1223" t="str">
        <f>"22:14:36.808"</f>
        <v>22:14:36.808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364</v>
      </c>
      <c r="CR1223">
        <v>0</v>
      </c>
      <c r="CW1223">
        <v>1411172</v>
      </c>
      <c r="CY1223">
        <v>1</v>
      </c>
      <c r="CZ1223">
        <v>0</v>
      </c>
      <c r="DA1223">
        <v>1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"03/24/2022 22:14:37.559"</f>
        <v>03/24/2022 22:14:37.559</v>
      </c>
      <c r="C1224" t="str">
        <f t="shared" si="353"/>
        <v>FFDFD3C0</v>
      </c>
      <c r="D1224" t="s">
        <v>123</v>
      </c>
      <c r="E1224">
        <v>8</v>
      </c>
      <c r="H1224">
        <v>31</v>
      </c>
      <c r="I1224" t="s">
        <v>124</v>
      </c>
      <c r="J1224" t="s">
        <v>125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S1224" t="str">
        <f t="shared" ref="S1224:T1227" si="368">"22:14:37.000"</f>
        <v>22:14:37.000</v>
      </c>
      <c r="T1224" t="str">
        <f t="shared" si="368"/>
        <v>22:14:37.000</v>
      </c>
      <c r="U1224" t="str">
        <f t="shared" si="366"/>
        <v>A9D71F</v>
      </c>
      <c r="V1224">
        <v>0</v>
      </c>
      <c r="W1224">
        <v>0</v>
      </c>
      <c r="X1224">
        <v>2</v>
      </c>
      <c r="Z1224">
        <v>1</v>
      </c>
      <c r="AA1224">
        <v>7</v>
      </c>
      <c r="AB1224">
        <v>3</v>
      </c>
      <c r="AC1224">
        <v>0</v>
      </c>
      <c r="AD1224">
        <v>9</v>
      </c>
      <c r="AE1224">
        <v>0</v>
      </c>
      <c r="AF1224">
        <v>3</v>
      </c>
      <c r="AG1224">
        <v>1</v>
      </c>
      <c r="AH1224">
        <v>0</v>
      </c>
      <c r="AI1224" t="s">
        <v>662</v>
      </c>
      <c r="AJ1224">
        <v>33.123930000000001</v>
      </c>
      <c r="AK1224" t="s">
        <v>663</v>
      </c>
      <c r="AL1224">
        <v>-97.704141000000007</v>
      </c>
      <c r="AM1224">
        <v>25</v>
      </c>
      <c r="AN1224">
        <v>3400</v>
      </c>
      <c r="AO1224" t="s">
        <v>118</v>
      </c>
      <c r="AP1224">
        <v>53</v>
      </c>
      <c r="AQ1224">
        <v>-92</v>
      </c>
      <c r="AR1224">
        <v>-128</v>
      </c>
      <c r="AZ1224">
        <v>1200</v>
      </c>
      <c r="BA1224">
        <v>1</v>
      </c>
      <c r="BB1224" t="str">
        <f t="shared" si="354"/>
        <v xml:space="preserve">N733KP  </v>
      </c>
      <c r="BC1224">
        <v>1</v>
      </c>
      <c r="BE1224">
        <v>0</v>
      </c>
      <c r="BF1224">
        <v>0</v>
      </c>
      <c r="BG1224">
        <v>0</v>
      </c>
      <c r="BH1224">
        <v>3375</v>
      </c>
      <c r="BI1224">
        <v>1</v>
      </c>
      <c r="BJ1224">
        <v>1</v>
      </c>
      <c r="BK1224">
        <v>0</v>
      </c>
      <c r="BL1224">
        <v>0</v>
      </c>
      <c r="BO1224">
        <v>0</v>
      </c>
      <c r="BP1224">
        <v>0</v>
      </c>
      <c r="BW1224" t="str">
        <f>"22:14:37.360"</f>
        <v>22:14:37.360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6</v>
      </c>
      <c r="CP1224" t="s">
        <v>119</v>
      </c>
      <c r="CQ1224">
        <v>364</v>
      </c>
      <c r="CR1224">
        <v>0</v>
      </c>
      <c r="CW1224">
        <v>1411264</v>
      </c>
      <c r="CY1224">
        <v>1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"03/24/2022 22:14:37.590"</f>
        <v>03/24/2022 22:14:37.590</v>
      </c>
      <c r="C1225" t="str">
        <f t="shared" si="353"/>
        <v>FFDFD3C0</v>
      </c>
      <c r="D1225" t="s">
        <v>113</v>
      </c>
      <c r="E1225">
        <v>24</v>
      </c>
      <c r="F1225">
        <v>2024</v>
      </c>
      <c r="G1225" t="s">
        <v>114</v>
      </c>
      <c r="J1225" t="s">
        <v>115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S1225" t="str">
        <f t="shared" si="368"/>
        <v>22:14:37.000</v>
      </c>
      <c r="T1225" t="str">
        <f t="shared" si="368"/>
        <v>22:14:37.000</v>
      </c>
      <c r="U1225" t="str">
        <f t="shared" si="366"/>
        <v>A9D71F</v>
      </c>
      <c r="V1225">
        <v>0</v>
      </c>
      <c r="W1225">
        <v>0</v>
      </c>
      <c r="X1225">
        <v>2</v>
      </c>
      <c r="Z1225">
        <v>1</v>
      </c>
      <c r="AA1225">
        <v>7</v>
      </c>
      <c r="AB1225">
        <v>3</v>
      </c>
      <c r="AC1225">
        <v>0</v>
      </c>
      <c r="AD1225">
        <v>9</v>
      </c>
      <c r="AE1225">
        <v>0</v>
      </c>
      <c r="AF1225">
        <v>3</v>
      </c>
      <c r="AG1225">
        <v>1</v>
      </c>
      <c r="AH1225">
        <v>0</v>
      </c>
      <c r="AI1225" t="s">
        <v>662</v>
      </c>
      <c r="AJ1225">
        <v>33.123930000000001</v>
      </c>
      <c r="AK1225" t="s">
        <v>663</v>
      </c>
      <c r="AL1225">
        <v>-97.704141000000007</v>
      </c>
      <c r="AM1225">
        <v>25</v>
      </c>
      <c r="AN1225">
        <v>3400</v>
      </c>
      <c r="AO1225" t="s">
        <v>118</v>
      </c>
      <c r="AP1225">
        <v>53</v>
      </c>
      <c r="AQ1225">
        <v>-92</v>
      </c>
      <c r="AR1225">
        <v>-128</v>
      </c>
      <c r="AZ1225">
        <v>1200</v>
      </c>
      <c r="BA1225">
        <v>1</v>
      </c>
      <c r="BB1225" t="str">
        <f t="shared" si="354"/>
        <v xml:space="preserve">N733KP  </v>
      </c>
      <c r="BC1225">
        <v>1</v>
      </c>
      <c r="BE1225">
        <v>0</v>
      </c>
      <c r="BF1225">
        <v>0</v>
      </c>
      <c r="BG1225">
        <v>0</v>
      </c>
      <c r="BH1225">
        <v>3375</v>
      </c>
      <c r="BI1225">
        <v>1</v>
      </c>
      <c r="BJ1225">
        <v>1</v>
      </c>
      <c r="BK1225">
        <v>0</v>
      </c>
      <c r="BL1225">
        <v>0</v>
      </c>
      <c r="BO1225">
        <v>0</v>
      </c>
      <c r="BP1225">
        <v>0</v>
      </c>
      <c r="BW1225" t="str">
        <f>"22:14:37.360"</f>
        <v>22:14:37.360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364</v>
      </c>
      <c r="CR1225">
        <v>0</v>
      </c>
      <c r="CW1225">
        <v>1411264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"03/24/2022 22:14:37.590"</f>
        <v>03/24/2022 22:14:37.590</v>
      </c>
      <c r="C1226" t="str">
        <f t="shared" si="353"/>
        <v>FFDFD3C0</v>
      </c>
      <c r="D1226" t="s">
        <v>126</v>
      </c>
      <c r="E1226">
        <v>3</v>
      </c>
      <c r="H1226">
        <v>160</v>
      </c>
      <c r="I1226" t="s">
        <v>121</v>
      </c>
      <c r="J1226" t="s">
        <v>127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S1226" t="str">
        <f t="shared" si="368"/>
        <v>22:14:37.000</v>
      </c>
      <c r="T1226" t="str">
        <f t="shared" si="368"/>
        <v>22:14:37.000</v>
      </c>
      <c r="U1226" t="str">
        <f t="shared" si="366"/>
        <v>A9D71F</v>
      </c>
      <c r="V1226">
        <v>0</v>
      </c>
      <c r="W1226">
        <v>0</v>
      </c>
      <c r="X1226">
        <v>2</v>
      </c>
      <c r="Z1226">
        <v>1</v>
      </c>
      <c r="AA1226">
        <v>7</v>
      </c>
      <c r="AB1226">
        <v>3</v>
      </c>
      <c r="AC1226">
        <v>0</v>
      </c>
      <c r="AD1226">
        <v>9</v>
      </c>
      <c r="AE1226">
        <v>0</v>
      </c>
      <c r="AF1226">
        <v>3</v>
      </c>
      <c r="AG1226">
        <v>1</v>
      </c>
      <c r="AH1226">
        <v>0</v>
      </c>
      <c r="AI1226" t="s">
        <v>662</v>
      </c>
      <c r="AJ1226">
        <v>33.123930000000001</v>
      </c>
      <c r="AK1226" t="s">
        <v>663</v>
      </c>
      <c r="AL1226">
        <v>-97.704141000000007</v>
      </c>
      <c r="AM1226">
        <v>25</v>
      </c>
      <c r="AN1226">
        <v>3400</v>
      </c>
      <c r="AO1226" t="s">
        <v>118</v>
      </c>
      <c r="AP1226">
        <v>53</v>
      </c>
      <c r="AQ1226">
        <v>-92</v>
      </c>
      <c r="AR1226">
        <v>-128</v>
      </c>
      <c r="AZ1226">
        <v>1200</v>
      </c>
      <c r="BA1226">
        <v>1</v>
      </c>
      <c r="BB1226" t="str">
        <f t="shared" si="354"/>
        <v xml:space="preserve">N733KP  </v>
      </c>
      <c r="BC1226">
        <v>1</v>
      </c>
      <c r="BE1226">
        <v>0</v>
      </c>
      <c r="BF1226">
        <v>0</v>
      </c>
      <c r="BG1226">
        <v>0</v>
      </c>
      <c r="BH1226">
        <v>3375</v>
      </c>
      <c r="BI1226">
        <v>1</v>
      </c>
      <c r="BJ1226">
        <v>1</v>
      </c>
      <c r="BK1226">
        <v>0</v>
      </c>
      <c r="BL1226">
        <v>0</v>
      </c>
      <c r="BO1226">
        <v>0</v>
      </c>
      <c r="BP1226">
        <v>0</v>
      </c>
      <c r="BW1226" t="str">
        <f>"22:14:37.360"</f>
        <v>22:14:37.360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6</v>
      </c>
      <c r="CP1226" t="s">
        <v>119</v>
      </c>
      <c r="CQ1226">
        <v>364</v>
      </c>
      <c r="CR1226">
        <v>0</v>
      </c>
      <c r="CW1226">
        <v>1411264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"03/24/2022 22:14:37.590"</f>
        <v>03/24/2022 22:14:37.590</v>
      </c>
      <c r="C1227" t="str">
        <f t="shared" si="353"/>
        <v>FFDFD3C0</v>
      </c>
      <c r="D1227" t="s">
        <v>120</v>
      </c>
      <c r="E1227">
        <v>14</v>
      </c>
      <c r="F1227">
        <v>1014</v>
      </c>
      <c r="G1227" t="s">
        <v>121</v>
      </c>
      <c r="J1227" t="s">
        <v>122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S1227" t="str">
        <f t="shared" si="368"/>
        <v>22:14:37.000</v>
      </c>
      <c r="T1227" t="str">
        <f t="shared" si="368"/>
        <v>22:14:37.000</v>
      </c>
      <c r="U1227" t="str">
        <f t="shared" si="366"/>
        <v>A9D71F</v>
      </c>
      <c r="V1227">
        <v>0</v>
      </c>
      <c r="W1227">
        <v>0</v>
      </c>
      <c r="X1227">
        <v>2</v>
      </c>
      <c r="Z1227">
        <v>1</v>
      </c>
      <c r="AA1227">
        <v>7</v>
      </c>
      <c r="AB1227">
        <v>3</v>
      </c>
      <c r="AC1227">
        <v>0</v>
      </c>
      <c r="AD1227">
        <v>9</v>
      </c>
      <c r="AE1227">
        <v>0</v>
      </c>
      <c r="AF1227">
        <v>3</v>
      </c>
      <c r="AG1227">
        <v>1</v>
      </c>
      <c r="AH1227">
        <v>0</v>
      </c>
      <c r="AI1227" t="s">
        <v>662</v>
      </c>
      <c r="AJ1227">
        <v>33.123930000000001</v>
      </c>
      <c r="AK1227" t="s">
        <v>663</v>
      </c>
      <c r="AL1227">
        <v>-97.704141000000007</v>
      </c>
      <c r="AM1227">
        <v>25</v>
      </c>
      <c r="AN1227">
        <v>3400</v>
      </c>
      <c r="AO1227" t="s">
        <v>118</v>
      </c>
      <c r="AP1227">
        <v>53</v>
      </c>
      <c r="AQ1227">
        <v>-92</v>
      </c>
      <c r="AR1227">
        <v>-128</v>
      </c>
      <c r="AZ1227">
        <v>1200</v>
      </c>
      <c r="BA1227">
        <v>1</v>
      </c>
      <c r="BB1227" t="str">
        <f t="shared" si="354"/>
        <v xml:space="preserve">N733KP  </v>
      </c>
      <c r="BC1227">
        <v>1</v>
      </c>
      <c r="BE1227">
        <v>0</v>
      </c>
      <c r="BF1227">
        <v>0</v>
      </c>
      <c r="BG1227">
        <v>0</v>
      </c>
      <c r="BH1227">
        <v>3375</v>
      </c>
      <c r="BI1227">
        <v>1</v>
      </c>
      <c r="BJ1227">
        <v>1</v>
      </c>
      <c r="BK1227">
        <v>0</v>
      </c>
      <c r="BL1227">
        <v>0</v>
      </c>
      <c r="BO1227">
        <v>0</v>
      </c>
      <c r="BP1227">
        <v>0</v>
      </c>
      <c r="BW1227" t="str">
        <f>"22:14:37.360"</f>
        <v>22:14:37.360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6</v>
      </c>
      <c r="CP1227" t="s">
        <v>119</v>
      </c>
      <c r="CQ1227">
        <v>364</v>
      </c>
      <c r="CR1227">
        <v>0</v>
      </c>
      <c r="CW1227">
        <v>1411264</v>
      </c>
      <c r="CY1227">
        <v>1</v>
      </c>
      <c r="CZ1227">
        <v>0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"03/24/2022 22:14:38.826"</f>
        <v>03/24/2022 22:14:38.826</v>
      </c>
      <c r="C1228" t="str">
        <f t="shared" si="353"/>
        <v>FFDFD3C0</v>
      </c>
      <c r="D1228" t="s">
        <v>126</v>
      </c>
      <c r="E1228">
        <v>3</v>
      </c>
      <c r="H1228">
        <v>160</v>
      </c>
      <c r="I1228" t="s">
        <v>121</v>
      </c>
      <c r="J1228" t="s">
        <v>127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S1228" t="str">
        <f t="shared" ref="S1228:T1231" si="369">"22:14:38.000"</f>
        <v>22:14:38.000</v>
      </c>
      <c r="T1228" t="str">
        <f t="shared" si="369"/>
        <v>22:14:38.000</v>
      </c>
      <c r="U1228" t="str">
        <f t="shared" si="366"/>
        <v>A9D71F</v>
      </c>
      <c r="V1228">
        <v>0</v>
      </c>
      <c r="W1228">
        <v>0</v>
      </c>
      <c r="X1228">
        <v>2</v>
      </c>
      <c r="Z1228">
        <v>1</v>
      </c>
      <c r="AA1228">
        <v>7</v>
      </c>
      <c r="AB1228">
        <v>3</v>
      </c>
      <c r="AC1228">
        <v>0</v>
      </c>
      <c r="AD1228">
        <v>9</v>
      </c>
      <c r="AE1228">
        <v>0</v>
      </c>
      <c r="AF1228">
        <v>3</v>
      </c>
      <c r="AG1228">
        <v>1</v>
      </c>
      <c r="AH1228">
        <v>0</v>
      </c>
      <c r="AI1228" t="s">
        <v>664</v>
      </c>
      <c r="AJ1228">
        <v>33.1235</v>
      </c>
      <c r="AK1228" t="s">
        <v>665</v>
      </c>
      <c r="AL1228">
        <v>-97.703862000000001</v>
      </c>
      <c r="AM1228">
        <v>25</v>
      </c>
      <c r="AN1228">
        <v>3400</v>
      </c>
      <c r="AO1228" t="s">
        <v>118</v>
      </c>
      <c r="AP1228">
        <v>53</v>
      </c>
      <c r="AQ1228">
        <v>-93</v>
      </c>
      <c r="AR1228">
        <v>-192</v>
      </c>
      <c r="AZ1228">
        <v>1200</v>
      </c>
      <c r="BA1228">
        <v>1</v>
      </c>
      <c r="BB1228" t="str">
        <f t="shared" si="354"/>
        <v xml:space="preserve">N733KP  </v>
      </c>
      <c r="BC1228">
        <v>1</v>
      </c>
      <c r="BE1228">
        <v>0</v>
      </c>
      <c r="BF1228">
        <v>0</v>
      </c>
      <c r="BG1228">
        <v>0</v>
      </c>
      <c r="BH1228">
        <v>3375</v>
      </c>
      <c r="BI1228">
        <v>1</v>
      </c>
      <c r="BJ1228">
        <v>1</v>
      </c>
      <c r="BK1228">
        <v>0</v>
      </c>
      <c r="BL1228">
        <v>0</v>
      </c>
      <c r="BO1228">
        <v>0</v>
      </c>
      <c r="BP1228">
        <v>0</v>
      </c>
      <c r="BW1228" t="str">
        <f>"22:14:38.653"</f>
        <v>22:14:38.653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6</v>
      </c>
      <c r="CP1228" t="s">
        <v>119</v>
      </c>
      <c r="CQ1228">
        <v>364</v>
      </c>
      <c r="CR1228">
        <v>0</v>
      </c>
      <c r="CW1228">
        <v>1411482</v>
      </c>
      <c r="CY1228">
        <v>1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"03/24/2022 22:14:38.826"</f>
        <v>03/24/2022 22:14:38.826</v>
      </c>
      <c r="C1229" t="str">
        <f t="shared" si="353"/>
        <v>FFDFD3C0</v>
      </c>
      <c r="D1229" t="s">
        <v>120</v>
      </c>
      <c r="E1229">
        <v>14</v>
      </c>
      <c r="F1229">
        <v>1014</v>
      </c>
      <c r="G1229" t="s">
        <v>121</v>
      </c>
      <c r="J1229" t="s">
        <v>122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S1229" t="str">
        <f t="shared" si="369"/>
        <v>22:14:38.000</v>
      </c>
      <c r="T1229" t="str">
        <f t="shared" si="369"/>
        <v>22:14:38.000</v>
      </c>
      <c r="U1229" t="str">
        <f t="shared" si="366"/>
        <v>A9D71F</v>
      </c>
      <c r="V1229">
        <v>0</v>
      </c>
      <c r="W1229">
        <v>0</v>
      </c>
      <c r="X1229">
        <v>2</v>
      </c>
      <c r="Z1229">
        <v>1</v>
      </c>
      <c r="AA1229">
        <v>7</v>
      </c>
      <c r="AB1229">
        <v>3</v>
      </c>
      <c r="AC1229">
        <v>0</v>
      </c>
      <c r="AD1229">
        <v>9</v>
      </c>
      <c r="AE1229">
        <v>0</v>
      </c>
      <c r="AF1229">
        <v>3</v>
      </c>
      <c r="AG1229">
        <v>1</v>
      </c>
      <c r="AH1229">
        <v>0</v>
      </c>
      <c r="AI1229" t="s">
        <v>664</v>
      </c>
      <c r="AJ1229">
        <v>33.1235</v>
      </c>
      <c r="AK1229" t="s">
        <v>665</v>
      </c>
      <c r="AL1229">
        <v>-97.703862000000001</v>
      </c>
      <c r="AM1229">
        <v>25</v>
      </c>
      <c r="AN1229">
        <v>3400</v>
      </c>
      <c r="AO1229" t="s">
        <v>118</v>
      </c>
      <c r="AP1229">
        <v>53</v>
      </c>
      <c r="AQ1229">
        <v>-93</v>
      </c>
      <c r="AR1229">
        <v>-192</v>
      </c>
      <c r="AZ1229">
        <v>1200</v>
      </c>
      <c r="BA1229">
        <v>1</v>
      </c>
      <c r="BB1229" t="str">
        <f t="shared" si="354"/>
        <v xml:space="preserve">N733KP  </v>
      </c>
      <c r="BC1229">
        <v>1</v>
      </c>
      <c r="BE1229">
        <v>0</v>
      </c>
      <c r="BF1229">
        <v>0</v>
      </c>
      <c r="BG1229">
        <v>0</v>
      </c>
      <c r="BH1229">
        <v>3375</v>
      </c>
      <c r="BI1229">
        <v>1</v>
      </c>
      <c r="BJ1229">
        <v>1</v>
      </c>
      <c r="BK1229">
        <v>0</v>
      </c>
      <c r="BL1229">
        <v>0</v>
      </c>
      <c r="BO1229">
        <v>0</v>
      </c>
      <c r="BP1229">
        <v>0</v>
      </c>
      <c r="BW1229" t="str">
        <f>"22:14:38.653"</f>
        <v>22:14:38.653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6</v>
      </c>
      <c r="CP1229" t="s">
        <v>119</v>
      </c>
      <c r="CQ1229">
        <v>364</v>
      </c>
      <c r="CR1229">
        <v>0</v>
      </c>
      <c r="CW1229">
        <v>1411482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"03/24/2022 22:14:38.873"</f>
        <v>03/24/2022 22:14:38.873</v>
      </c>
      <c r="C1230" t="str">
        <f t="shared" si="353"/>
        <v>FFDFD3C0</v>
      </c>
      <c r="D1230" t="s">
        <v>123</v>
      </c>
      <c r="E1230">
        <v>8</v>
      </c>
      <c r="H1230">
        <v>31</v>
      </c>
      <c r="I1230" t="s">
        <v>124</v>
      </c>
      <c r="J1230" t="s">
        <v>125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S1230" t="str">
        <f t="shared" si="369"/>
        <v>22:14:38.000</v>
      </c>
      <c r="T1230" t="str">
        <f t="shared" si="369"/>
        <v>22:14:38.000</v>
      </c>
      <c r="U1230" t="str">
        <f t="shared" si="366"/>
        <v>A9D71F</v>
      </c>
      <c r="V1230">
        <v>0</v>
      </c>
      <c r="W1230">
        <v>0</v>
      </c>
      <c r="X1230">
        <v>2</v>
      </c>
      <c r="Z1230">
        <v>1</v>
      </c>
      <c r="AA1230">
        <v>7</v>
      </c>
      <c r="AB1230">
        <v>3</v>
      </c>
      <c r="AC1230">
        <v>0</v>
      </c>
      <c r="AD1230">
        <v>9</v>
      </c>
      <c r="AE1230">
        <v>0</v>
      </c>
      <c r="AF1230">
        <v>3</v>
      </c>
      <c r="AG1230">
        <v>1</v>
      </c>
      <c r="AH1230">
        <v>0</v>
      </c>
      <c r="AI1230" t="s">
        <v>664</v>
      </c>
      <c r="AJ1230">
        <v>33.1235</v>
      </c>
      <c r="AK1230" t="s">
        <v>665</v>
      </c>
      <c r="AL1230">
        <v>-97.703862000000001</v>
      </c>
      <c r="AM1230">
        <v>25</v>
      </c>
      <c r="AN1230">
        <v>3400</v>
      </c>
      <c r="AO1230" t="s">
        <v>118</v>
      </c>
      <c r="AP1230">
        <v>53</v>
      </c>
      <c r="AQ1230">
        <v>-93</v>
      </c>
      <c r="AR1230">
        <v>-192</v>
      </c>
      <c r="AZ1230">
        <v>1200</v>
      </c>
      <c r="BA1230">
        <v>1</v>
      </c>
      <c r="BB1230" t="str">
        <f t="shared" si="354"/>
        <v xml:space="preserve">N733KP  </v>
      </c>
      <c r="BC1230">
        <v>1</v>
      </c>
      <c r="BE1230">
        <v>0</v>
      </c>
      <c r="BF1230">
        <v>0</v>
      </c>
      <c r="BG1230">
        <v>0</v>
      </c>
      <c r="BH1230">
        <v>3375</v>
      </c>
      <c r="BI1230">
        <v>1</v>
      </c>
      <c r="BJ1230">
        <v>1</v>
      </c>
      <c r="BK1230">
        <v>0</v>
      </c>
      <c r="BL1230">
        <v>0</v>
      </c>
      <c r="BO1230">
        <v>0</v>
      </c>
      <c r="BP1230">
        <v>0</v>
      </c>
      <c r="BW1230" t="str">
        <f>"22:14:38.653"</f>
        <v>22:14:38.653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6</v>
      </c>
      <c r="CP1230" t="s">
        <v>119</v>
      </c>
      <c r="CQ1230">
        <v>364</v>
      </c>
      <c r="CR1230">
        <v>0</v>
      </c>
      <c r="CW1230">
        <v>1411482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"03/24/2022 22:14:38.873"</f>
        <v>03/24/2022 22:14:38.873</v>
      </c>
      <c r="C1231" t="str">
        <f t="shared" si="353"/>
        <v>FFDFD3C0</v>
      </c>
      <c r="D1231" t="s">
        <v>113</v>
      </c>
      <c r="E1231">
        <v>24</v>
      </c>
      <c r="F1231">
        <v>2024</v>
      </c>
      <c r="G1231" t="s">
        <v>114</v>
      </c>
      <c r="J1231" t="s">
        <v>115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S1231" t="str">
        <f t="shared" si="369"/>
        <v>22:14:38.000</v>
      </c>
      <c r="T1231" t="str">
        <f t="shared" si="369"/>
        <v>22:14:38.000</v>
      </c>
      <c r="U1231" t="str">
        <f t="shared" si="366"/>
        <v>A9D71F</v>
      </c>
      <c r="V1231">
        <v>0</v>
      </c>
      <c r="W1231">
        <v>0</v>
      </c>
      <c r="X1231">
        <v>2</v>
      </c>
      <c r="Z1231">
        <v>1</v>
      </c>
      <c r="AA1231">
        <v>7</v>
      </c>
      <c r="AB1231">
        <v>3</v>
      </c>
      <c r="AC1231">
        <v>0</v>
      </c>
      <c r="AD1231">
        <v>9</v>
      </c>
      <c r="AE1231">
        <v>0</v>
      </c>
      <c r="AF1231">
        <v>3</v>
      </c>
      <c r="AG1231">
        <v>1</v>
      </c>
      <c r="AH1231">
        <v>0</v>
      </c>
      <c r="AI1231" t="s">
        <v>664</v>
      </c>
      <c r="AJ1231">
        <v>33.1235</v>
      </c>
      <c r="AK1231" t="s">
        <v>665</v>
      </c>
      <c r="AL1231">
        <v>-97.703862000000001</v>
      </c>
      <c r="AM1231">
        <v>25</v>
      </c>
      <c r="AN1231">
        <v>3400</v>
      </c>
      <c r="AO1231" t="s">
        <v>118</v>
      </c>
      <c r="AP1231">
        <v>53</v>
      </c>
      <c r="AQ1231">
        <v>-93</v>
      </c>
      <c r="AR1231">
        <v>-192</v>
      </c>
      <c r="AZ1231">
        <v>1200</v>
      </c>
      <c r="BA1231">
        <v>1</v>
      </c>
      <c r="BB1231" t="str">
        <f t="shared" si="354"/>
        <v xml:space="preserve">N733KP  </v>
      </c>
      <c r="BC1231">
        <v>1</v>
      </c>
      <c r="BE1231">
        <v>0</v>
      </c>
      <c r="BF1231">
        <v>0</v>
      </c>
      <c r="BG1231">
        <v>0</v>
      </c>
      <c r="BH1231">
        <v>3375</v>
      </c>
      <c r="BI1231">
        <v>1</v>
      </c>
      <c r="BJ1231">
        <v>1</v>
      </c>
      <c r="BK1231">
        <v>0</v>
      </c>
      <c r="BL1231">
        <v>0</v>
      </c>
      <c r="BO1231">
        <v>0</v>
      </c>
      <c r="BP1231">
        <v>0</v>
      </c>
      <c r="BW1231" t="str">
        <f>"22:14:38.653"</f>
        <v>22:14:38.653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6</v>
      </c>
      <c r="CP1231" t="s">
        <v>119</v>
      </c>
      <c r="CQ1231">
        <v>364</v>
      </c>
      <c r="CR1231">
        <v>0</v>
      </c>
      <c r="CW1231">
        <v>1411482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"03/24/2022 22:14:40.076"</f>
        <v>03/24/2022 22:14:40.076</v>
      </c>
      <c r="C1232" t="str">
        <f t="shared" si="353"/>
        <v>FFDFD3C0</v>
      </c>
      <c r="D1232" t="s">
        <v>113</v>
      </c>
      <c r="E1232">
        <v>24</v>
      </c>
      <c r="F1232">
        <v>2024</v>
      </c>
      <c r="G1232" t="s">
        <v>114</v>
      </c>
      <c r="J1232" t="s">
        <v>115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S1232" t="str">
        <f t="shared" ref="S1232:T1235" si="370">"22:14:39.000"</f>
        <v>22:14:39.000</v>
      </c>
      <c r="T1232" t="str">
        <f t="shared" si="370"/>
        <v>22:14:39.000</v>
      </c>
      <c r="U1232" t="str">
        <f t="shared" si="366"/>
        <v>A9D71F</v>
      </c>
      <c r="V1232">
        <v>0</v>
      </c>
      <c r="W1232">
        <v>0</v>
      </c>
      <c r="X1232">
        <v>2</v>
      </c>
      <c r="Z1232">
        <v>1</v>
      </c>
      <c r="AA1232">
        <v>7</v>
      </c>
      <c r="AB1232">
        <v>3</v>
      </c>
      <c r="AC1232">
        <v>0</v>
      </c>
      <c r="AD1232">
        <v>9</v>
      </c>
      <c r="AE1232">
        <v>0</v>
      </c>
      <c r="AF1232">
        <v>3</v>
      </c>
      <c r="AG1232">
        <v>1</v>
      </c>
      <c r="AH1232">
        <v>0</v>
      </c>
      <c r="AI1232" t="s">
        <v>666</v>
      </c>
      <c r="AJ1232">
        <v>33.123049999999999</v>
      </c>
      <c r="AK1232" t="s">
        <v>667</v>
      </c>
      <c r="AL1232">
        <v>-97.703562000000005</v>
      </c>
      <c r="AM1232">
        <v>25</v>
      </c>
      <c r="AN1232">
        <v>3400</v>
      </c>
      <c r="AO1232" t="s">
        <v>118</v>
      </c>
      <c r="AP1232">
        <v>53</v>
      </c>
      <c r="AQ1232">
        <v>-93</v>
      </c>
      <c r="AR1232">
        <v>-256</v>
      </c>
      <c r="AZ1232">
        <v>1200</v>
      </c>
      <c r="BA1232">
        <v>1</v>
      </c>
      <c r="BB1232" t="str">
        <f t="shared" si="354"/>
        <v xml:space="preserve">N733KP  </v>
      </c>
      <c r="BC1232">
        <v>1</v>
      </c>
      <c r="BE1232">
        <v>0</v>
      </c>
      <c r="BF1232">
        <v>0</v>
      </c>
      <c r="BG1232">
        <v>0</v>
      </c>
      <c r="BH1232">
        <v>3375</v>
      </c>
      <c r="BI1232">
        <v>1</v>
      </c>
      <c r="BJ1232">
        <v>1</v>
      </c>
      <c r="BK1232">
        <v>0</v>
      </c>
      <c r="BL1232">
        <v>0</v>
      </c>
      <c r="BO1232">
        <v>0</v>
      </c>
      <c r="BP1232">
        <v>0</v>
      </c>
      <c r="BW1232" t="str">
        <f>"22:14:39.812"</f>
        <v>22:14:39.812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7</v>
      </c>
      <c r="CP1232" t="s">
        <v>119</v>
      </c>
      <c r="CQ1232">
        <v>364</v>
      </c>
      <c r="CR1232">
        <v>0</v>
      </c>
      <c r="CW1232">
        <v>1411676</v>
      </c>
      <c r="CY1232">
        <v>1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"03/24/2022 22:14:40.076"</f>
        <v>03/24/2022 22:14:40.076</v>
      </c>
      <c r="C1233" t="str">
        <f t="shared" si="353"/>
        <v>FFDFD3C0</v>
      </c>
      <c r="D1233" t="s">
        <v>126</v>
      </c>
      <c r="E1233">
        <v>3</v>
      </c>
      <c r="H1233">
        <v>160</v>
      </c>
      <c r="I1233" t="s">
        <v>121</v>
      </c>
      <c r="J1233" t="s">
        <v>127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S1233" t="str">
        <f t="shared" si="370"/>
        <v>22:14:39.000</v>
      </c>
      <c r="T1233" t="str">
        <f t="shared" si="370"/>
        <v>22:14:39.000</v>
      </c>
      <c r="U1233" t="str">
        <f t="shared" si="366"/>
        <v>A9D71F</v>
      </c>
      <c r="V1233">
        <v>0</v>
      </c>
      <c r="W1233">
        <v>0</v>
      </c>
      <c r="X1233">
        <v>2</v>
      </c>
      <c r="Z1233">
        <v>1</v>
      </c>
      <c r="AA1233">
        <v>7</v>
      </c>
      <c r="AB1233">
        <v>3</v>
      </c>
      <c r="AC1233">
        <v>0</v>
      </c>
      <c r="AD1233">
        <v>9</v>
      </c>
      <c r="AE1233">
        <v>0</v>
      </c>
      <c r="AF1233">
        <v>3</v>
      </c>
      <c r="AG1233">
        <v>1</v>
      </c>
      <c r="AH1233">
        <v>0</v>
      </c>
      <c r="AI1233" t="s">
        <v>666</v>
      </c>
      <c r="AJ1233">
        <v>33.123049999999999</v>
      </c>
      <c r="AK1233" t="s">
        <v>667</v>
      </c>
      <c r="AL1233">
        <v>-97.703562000000005</v>
      </c>
      <c r="AM1233">
        <v>25</v>
      </c>
      <c r="AN1233">
        <v>3400</v>
      </c>
      <c r="AO1233" t="s">
        <v>118</v>
      </c>
      <c r="AP1233">
        <v>53</v>
      </c>
      <c r="AQ1233">
        <v>-93</v>
      </c>
      <c r="AR1233">
        <v>-256</v>
      </c>
      <c r="AZ1233">
        <v>1200</v>
      </c>
      <c r="BA1233">
        <v>1</v>
      </c>
      <c r="BB1233" t="str">
        <f t="shared" si="354"/>
        <v xml:space="preserve">N733KP  </v>
      </c>
      <c r="BC1233">
        <v>1</v>
      </c>
      <c r="BE1233">
        <v>0</v>
      </c>
      <c r="BF1233">
        <v>0</v>
      </c>
      <c r="BG1233">
        <v>0</v>
      </c>
      <c r="BH1233">
        <v>3375</v>
      </c>
      <c r="BI1233">
        <v>1</v>
      </c>
      <c r="BJ1233">
        <v>1</v>
      </c>
      <c r="BK1233">
        <v>0</v>
      </c>
      <c r="BL1233">
        <v>0</v>
      </c>
      <c r="BO1233">
        <v>0</v>
      </c>
      <c r="BP1233">
        <v>0</v>
      </c>
      <c r="BW1233" t="str">
        <f>"22:14:39.812"</f>
        <v>22:14:39.812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7</v>
      </c>
      <c r="CP1233" t="s">
        <v>119</v>
      </c>
      <c r="CQ1233">
        <v>364</v>
      </c>
      <c r="CR1233">
        <v>0</v>
      </c>
      <c r="CW1233">
        <v>1411676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"03/24/2022 22:14:40.076"</f>
        <v>03/24/2022 22:14:40.076</v>
      </c>
      <c r="C1234" t="str">
        <f t="shared" si="353"/>
        <v>FFDFD3C0</v>
      </c>
      <c r="D1234" t="s">
        <v>120</v>
      </c>
      <c r="E1234">
        <v>14</v>
      </c>
      <c r="F1234">
        <v>1014</v>
      </c>
      <c r="G1234" t="s">
        <v>121</v>
      </c>
      <c r="J1234" t="s">
        <v>122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S1234" t="str">
        <f t="shared" si="370"/>
        <v>22:14:39.000</v>
      </c>
      <c r="T1234" t="str">
        <f t="shared" si="370"/>
        <v>22:14:39.000</v>
      </c>
      <c r="U1234" t="str">
        <f t="shared" si="366"/>
        <v>A9D71F</v>
      </c>
      <c r="V1234">
        <v>0</v>
      </c>
      <c r="W1234">
        <v>0</v>
      </c>
      <c r="X1234">
        <v>2</v>
      </c>
      <c r="Z1234">
        <v>1</v>
      </c>
      <c r="AA1234">
        <v>7</v>
      </c>
      <c r="AB1234">
        <v>3</v>
      </c>
      <c r="AC1234">
        <v>0</v>
      </c>
      <c r="AD1234">
        <v>9</v>
      </c>
      <c r="AE1234">
        <v>0</v>
      </c>
      <c r="AF1234">
        <v>3</v>
      </c>
      <c r="AG1234">
        <v>1</v>
      </c>
      <c r="AH1234">
        <v>0</v>
      </c>
      <c r="AI1234" t="s">
        <v>666</v>
      </c>
      <c r="AJ1234">
        <v>33.123049999999999</v>
      </c>
      <c r="AK1234" t="s">
        <v>667</v>
      </c>
      <c r="AL1234">
        <v>-97.703562000000005</v>
      </c>
      <c r="AM1234">
        <v>25</v>
      </c>
      <c r="AN1234">
        <v>3400</v>
      </c>
      <c r="AO1234" t="s">
        <v>118</v>
      </c>
      <c r="AP1234">
        <v>53</v>
      </c>
      <c r="AQ1234">
        <v>-93</v>
      </c>
      <c r="AR1234">
        <v>-256</v>
      </c>
      <c r="AZ1234">
        <v>1200</v>
      </c>
      <c r="BA1234">
        <v>1</v>
      </c>
      <c r="BB1234" t="str">
        <f t="shared" si="354"/>
        <v xml:space="preserve">N733KP  </v>
      </c>
      <c r="BC1234">
        <v>1</v>
      </c>
      <c r="BE1234">
        <v>0</v>
      </c>
      <c r="BF1234">
        <v>0</v>
      </c>
      <c r="BG1234">
        <v>0</v>
      </c>
      <c r="BH1234">
        <v>3375</v>
      </c>
      <c r="BI1234">
        <v>1</v>
      </c>
      <c r="BJ1234">
        <v>1</v>
      </c>
      <c r="BK1234">
        <v>0</v>
      </c>
      <c r="BL1234">
        <v>0</v>
      </c>
      <c r="BO1234">
        <v>0</v>
      </c>
      <c r="BP1234">
        <v>0</v>
      </c>
      <c r="BW1234" t="str">
        <f>"22:14:39.812"</f>
        <v>22:14:39.812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364</v>
      </c>
      <c r="CR1234">
        <v>0</v>
      </c>
      <c r="CW1234">
        <v>1411676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"03/24/2022 22:14:40.076"</f>
        <v>03/24/2022 22:14:40.076</v>
      </c>
      <c r="C1235" t="str">
        <f t="shared" si="353"/>
        <v>FFDFD3C0</v>
      </c>
      <c r="D1235" t="s">
        <v>123</v>
      </c>
      <c r="E1235">
        <v>8</v>
      </c>
      <c r="H1235">
        <v>31</v>
      </c>
      <c r="I1235" t="s">
        <v>124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S1235" t="str">
        <f t="shared" si="370"/>
        <v>22:14:39.000</v>
      </c>
      <c r="T1235" t="str">
        <f t="shared" si="370"/>
        <v>22:14:39.000</v>
      </c>
      <c r="U1235" t="str">
        <f t="shared" si="366"/>
        <v>A9D71F</v>
      </c>
      <c r="V1235">
        <v>0</v>
      </c>
      <c r="W1235">
        <v>0</v>
      </c>
      <c r="X1235">
        <v>2</v>
      </c>
      <c r="Z1235">
        <v>1</v>
      </c>
      <c r="AA1235">
        <v>7</v>
      </c>
      <c r="AB1235">
        <v>3</v>
      </c>
      <c r="AC1235">
        <v>0</v>
      </c>
      <c r="AD1235">
        <v>9</v>
      </c>
      <c r="AE1235">
        <v>0</v>
      </c>
      <c r="AF1235">
        <v>3</v>
      </c>
      <c r="AG1235">
        <v>1</v>
      </c>
      <c r="AH1235">
        <v>0</v>
      </c>
      <c r="AI1235" t="s">
        <v>666</v>
      </c>
      <c r="AJ1235">
        <v>33.123049999999999</v>
      </c>
      <c r="AK1235" t="s">
        <v>667</v>
      </c>
      <c r="AL1235">
        <v>-97.703562000000005</v>
      </c>
      <c r="AM1235">
        <v>25</v>
      </c>
      <c r="AN1235">
        <v>3400</v>
      </c>
      <c r="AO1235" t="s">
        <v>118</v>
      </c>
      <c r="AP1235">
        <v>53</v>
      </c>
      <c r="AQ1235">
        <v>-93</v>
      </c>
      <c r="AR1235">
        <v>-256</v>
      </c>
      <c r="AZ1235">
        <v>1200</v>
      </c>
      <c r="BA1235">
        <v>1</v>
      </c>
      <c r="BB1235" t="str">
        <f t="shared" si="354"/>
        <v xml:space="preserve">N733KP  </v>
      </c>
      <c r="BC1235">
        <v>1</v>
      </c>
      <c r="BE1235">
        <v>0</v>
      </c>
      <c r="BF1235">
        <v>0</v>
      </c>
      <c r="BG1235">
        <v>0</v>
      </c>
      <c r="BH1235">
        <v>3375</v>
      </c>
      <c r="BI1235">
        <v>1</v>
      </c>
      <c r="BJ1235">
        <v>1</v>
      </c>
      <c r="BK1235">
        <v>0</v>
      </c>
      <c r="BL1235">
        <v>0</v>
      </c>
      <c r="BO1235">
        <v>0</v>
      </c>
      <c r="BP1235">
        <v>0</v>
      </c>
      <c r="BW1235" t="str">
        <f>"22:14:39.812"</f>
        <v>22:14:39.812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364</v>
      </c>
      <c r="CR1235">
        <v>0</v>
      </c>
      <c r="CW1235">
        <v>1411676</v>
      </c>
      <c r="CY1235">
        <v>1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"03/24/2022 22:14:40.842"</f>
        <v>03/24/2022 22:14:40.842</v>
      </c>
      <c r="C1236" t="str">
        <f t="shared" si="353"/>
        <v>FFDFD3C0</v>
      </c>
      <c r="D1236" t="s">
        <v>113</v>
      </c>
      <c r="E1236">
        <v>24</v>
      </c>
      <c r="F1236">
        <v>2024</v>
      </c>
      <c r="G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S1236" t="str">
        <f t="shared" ref="S1236:T1239" si="371">"22:14:40.000"</f>
        <v>22:14:40.000</v>
      </c>
      <c r="T1236" t="str">
        <f t="shared" si="371"/>
        <v>22:14:40.000</v>
      </c>
      <c r="U1236" t="str">
        <f t="shared" si="366"/>
        <v>A9D71F</v>
      </c>
      <c r="V1236">
        <v>0</v>
      </c>
      <c r="W1236">
        <v>0</v>
      </c>
      <c r="X1236">
        <v>2</v>
      </c>
      <c r="Z1236">
        <v>1</v>
      </c>
      <c r="AA1236">
        <v>7</v>
      </c>
      <c r="AB1236">
        <v>3</v>
      </c>
      <c r="AC1236">
        <v>0</v>
      </c>
      <c r="AD1236">
        <v>9</v>
      </c>
      <c r="AE1236">
        <v>0</v>
      </c>
      <c r="AF1236">
        <v>3</v>
      </c>
      <c r="AG1236">
        <v>1</v>
      </c>
      <c r="AH1236">
        <v>0</v>
      </c>
      <c r="AI1236" t="s">
        <v>668</v>
      </c>
      <c r="AJ1236">
        <v>33.122621000000002</v>
      </c>
      <c r="AK1236" t="s">
        <v>669</v>
      </c>
      <c r="AL1236">
        <v>-97.703260999999998</v>
      </c>
      <c r="AM1236">
        <v>25</v>
      </c>
      <c r="AN1236">
        <v>3400</v>
      </c>
      <c r="AO1236" t="s">
        <v>118</v>
      </c>
      <c r="AP1236">
        <v>53</v>
      </c>
      <c r="AQ1236">
        <v>-94</v>
      </c>
      <c r="AR1236">
        <v>-256</v>
      </c>
      <c r="AZ1236">
        <v>1200</v>
      </c>
      <c r="BA1236">
        <v>1</v>
      </c>
      <c r="BB1236" t="str">
        <f t="shared" si="354"/>
        <v xml:space="preserve">N733KP  </v>
      </c>
      <c r="BC1236">
        <v>1</v>
      </c>
      <c r="BE1236">
        <v>0</v>
      </c>
      <c r="BF1236">
        <v>0</v>
      </c>
      <c r="BG1236">
        <v>0</v>
      </c>
      <c r="BH1236">
        <v>3375</v>
      </c>
      <c r="BI1236">
        <v>1</v>
      </c>
      <c r="BJ1236">
        <v>1</v>
      </c>
      <c r="BK1236">
        <v>0</v>
      </c>
      <c r="BL1236">
        <v>0</v>
      </c>
      <c r="BO1236">
        <v>0</v>
      </c>
      <c r="BP1236">
        <v>0</v>
      </c>
      <c r="BW1236" t="str">
        <f>"22:14:40.695"</f>
        <v>22:14:40.695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3</v>
      </c>
      <c r="CP1236" t="s">
        <v>119</v>
      </c>
      <c r="CQ1236">
        <v>365</v>
      </c>
      <c r="CR1236">
        <v>0</v>
      </c>
      <c r="CW1236">
        <v>11463166</v>
      </c>
      <c r="CY1236">
        <v>1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"03/24/2022 22:14:40.842"</f>
        <v>03/24/2022 22:14:40.842</v>
      </c>
      <c r="C1237" t="str">
        <f t="shared" si="353"/>
        <v>FFDFD3C0</v>
      </c>
      <c r="D1237" t="s">
        <v>126</v>
      </c>
      <c r="E1237">
        <v>3</v>
      </c>
      <c r="H1237">
        <v>160</v>
      </c>
      <c r="I1237" t="s">
        <v>121</v>
      </c>
      <c r="J1237" t="s">
        <v>127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S1237" t="str">
        <f t="shared" si="371"/>
        <v>22:14:40.000</v>
      </c>
      <c r="T1237" t="str">
        <f t="shared" si="371"/>
        <v>22:14:40.000</v>
      </c>
      <c r="U1237" t="str">
        <f t="shared" si="366"/>
        <v>A9D71F</v>
      </c>
      <c r="V1237">
        <v>0</v>
      </c>
      <c r="W1237">
        <v>0</v>
      </c>
      <c r="X1237">
        <v>2</v>
      </c>
      <c r="Z1237">
        <v>1</v>
      </c>
      <c r="AA1237">
        <v>7</v>
      </c>
      <c r="AB1237">
        <v>3</v>
      </c>
      <c r="AC1237">
        <v>0</v>
      </c>
      <c r="AD1237">
        <v>9</v>
      </c>
      <c r="AE1237">
        <v>0</v>
      </c>
      <c r="AF1237">
        <v>3</v>
      </c>
      <c r="AG1237">
        <v>1</v>
      </c>
      <c r="AH1237">
        <v>0</v>
      </c>
      <c r="AI1237" t="s">
        <v>668</v>
      </c>
      <c r="AJ1237">
        <v>33.122621000000002</v>
      </c>
      <c r="AK1237" t="s">
        <v>669</v>
      </c>
      <c r="AL1237">
        <v>-97.703260999999998</v>
      </c>
      <c r="AM1237">
        <v>25</v>
      </c>
      <c r="AN1237">
        <v>3400</v>
      </c>
      <c r="AO1237" t="s">
        <v>118</v>
      </c>
      <c r="AP1237">
        <v>53</v>
      </c>
      <c r="AQ1237">
        <v>-94</v>
      </c>
      <c r="AR1237">
        <v>-256</v>
      </c>
      <c r="AZ1237">
        <v>1200</v>
      </c>
      <c r="BA1237">
        <v>1</v>
      </c>
      <c r="BB1237" t="str">
        <f t="shared" si="354"/>
        <v xml:space="preserve">N733KP  </v>
      </c>
      <c r="BC1237">
        <v>1</v>
      </c>
      <c r="BE1237">
        <v>0</v>
      </c>
      <c r="BF1237">
        <v>0</v>
      </c>
      <c r="BG1237">
        <v>0</v>
      </c>
      <c r="BH1237">
        <v>3375</v>
      </c>
      <c r="BI1237">
        <v>1</v>
      </c>
      <c r="BJ1237">
        <v>1</v>
      </c>
      <c r="BK1237">
        <v>0</v>
      </c>
      <c r="BL1237">
        <v>0</v>
      </c>
      <c r="BO1237">
        <v>0</v>
      </c>
      <c r="BP1237">
        <v>0</v>
      </c>
      <c r="BW1237" t="str">
        <f>"22:14:40.695"</f>
        <v>22:14:40.695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3</v>
      </c>
      <c r="CP1237" t="s">
        <v>119</v>
      </c>
      <c r="CQ1237">
        <v>365</v>
      </c>
      <c r="CR1237">
        <v>0</v>
      </c>
      <c r="CW1237">
        <v>11463166</v>
      </c>
      <c r="CY1237">
        <v>1</v>
      </c>
      <c r="CZ1237">
        <v>0</v>
      </c>
      <c r="DA1237">
        <v>1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"03/24/2022 22:14:40.858"</f>
        <v>03/24/2022 22:14:40.858</v>
      </c>
      <c r="C1238" t="str">
        <f t="shared" ref="C1238:C1301" si="372">"FFDFD3C0"</f>
        <v>FFDFD3C0</v>
      </c>
      <c r="D1238" t="s">
        <v>120</v>
      </c>
      <c r="E1238">
        <v>14</v>
      </c>
      <c r="F1238">
        <v>1014</v>
      </c>
      <c r="G1238" t="s">
        <v>121</v>
      </c>
      <c r="J1238" t="s">
        <v>122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S1238" t="str">
        <f t="shared" si="371"/>
        <v>22:14:40.000</v>
      </c>
      <c r="T1238" t="str">
        <f t="shared" si="371"/>
        <v>22:14:40.000</v>
      </c>
      <c r="U1238" t="str">
        <f t="shared" si="366"/>
        <v>A9D71F</v>
      </c>
      <c r="V1238">
        <v>0</v>
      </c>
      <c r="W1238">
        <v>0</v>
      </c>
      <c r="X1238">
        <v>2</v>
      </c>
      <c r="Z1238">
        <v>1</v>
      </c>
      <c r="AA1238">
        <v>7</v>
      </c>
      <c r="AB1238">
        <v>3</v>
      </c>
      <c r="AC1238">
        <v>0</v>
      </c>
      <c r="AD1238">
        <v>9</v>
      </c>
      <c r="AE1238">
        <v>0</v>
      </c>
      <c r="AF1238">
        <v>3</v>
      </c>
      <c r="AG1238">
        <v>1</v>
      </c>
      <c r="AH1238">
        <v>0</v>
      </c>
      <c r="AI1238" t="s">
        <v>668</v>
      </c>
      <c r="AJ1238">
        <v>33.122621000000002</v>
      </c>
      <c r="AK1238" t="s">
        <v>669</v>
      </c>
      <c r="AL1238">
        <v>-97.703260999999998</v>
      </c>
      <c r="AM1238">
        <v>25</v>
      </c>
      <c r="AN1238">
        <v>3400</v>
      </c>
      <c r="AO1238" t="s">
        <v>118</v>
      </c>
      <c r="AP1238">
        <v>53</v>
      </c>
      <c r="AQ1238">
        <v>-94</v>
      </c>
      <c r="AR1238">
        <v>-256</v>
      </c>
      <c r="AZ1238">
        <v>1200</v>
      </c>
      <c r="BA1238">
        <v>1</v>
      </c>
      <c r="BB1238" t="str">
        <f t="shared" ref="BB1238:BB1301" si="373">"N733KP  "</f>
        <v xml:space="preserve">N733KP  </v>
      </c>
      <c r="BC1238">
        <v>1</v>
      </c>
      <c r="BE1238">
        <v>0</v>
      </c>
      <c r="BF1238">
        <v>0</v>
      </c>
      <c r="BG1238">
        <v>0</v>
      </c>
      <c r="BH1238">
        <v>3375</v>
      </c>
      <c r="BI1238">
        <v>1</v>
      </c>
      <c r="BJ1238">
        <v>1</v>
      </c>
      <c r="BK1238">
        <v>0</v>
      </c>
      <c r="BL1238">
        <v>0</v>
      </c>
      <c r="BO1238">
        <v>0</v>
      </c>
      <c r="BP1238">
        <v>0</v>
      </c>
      <c r="BW1238" t="str">
        <f>"22:14:40.695"</f>
        <v>22:14:40.695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3</v>
      </c>
      <c r="CP1238" t="s">
        <v>119</v>
      </c>
      <c r="CQ1238">
        <v>365</v>
      </c>
      <c r="CR1238">
        <v>0</v>
      </c>
      <c r="CW1238">
        <v>11463166</v>
      </c>
      <c r="CY1238">
        <v>1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"03/24/2022 22:14:40.858"</f>
        <v>03/24/2022 22:14:40.858</v>
      </c>
      <c r="C1239" t="str">
        <f t="shared" si="372"/>
        <v>FFDFD3C0</v>
      </c>
      <c r="D1239" t="s">
        <v>123</v>
      </c>
      <c r="E1239">
        <v>8</v>
      </c>
      <c r="H1239">
        <v>31</v>
      </c>
      <c r="I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S1239" t="str">
        <f t="shared" si="371"/>
        <v>22:14:40.000</v>
      </c>
      <c r="T1239" t="str">
        <f t="shared" si="371"/>
        <v>22:14:40.000</v>
      </c>
      <c r="U1239" t="str">
        <f t="shared" si="366"/>
        <v>A9D71F</v>
      </c>
      <c r="V1239">
        <v>0</v>
      </c>
      <c r="W1239">
        <v>0</v>
      </c>
      <c r="X1239">
        <v>2</v>
      </c>
      <c r="Z1239">
        <v>1</v>
      </c>
      <c r="AA1239">
        <v>7</v>
      </c>
      <c r="AB1239">
        <v>3</v>
      </c>
      <c r="AC1239">
        <v>0</v>
      </c>
      <c r="AD1239">
        <v>9</v>
      </c>
      <c r="AE1239">
        <v>0</v>
      </c>
      <c r="AF1239">
        <v>3</v>
      </c>
      <c r="AG1239">
        <v>1</v>
      </c>
      <c r="AH1239">
        <v>0</v>
      </c>
      <c r="AI1239" t="s">
        <v>668</v>
      </c>
      <c r="AJ1239">
        <v>33.122621000000002</v>
      </c>
      <c r="AK1239" t="s">
        <v>669</v>
      </c>
      <c r="AL1239">
        <v>-97.703260999999998</v>
      </c>
      <c r="AM1239">
        <v>25</v>
      </c>
      <c r="AN1239">
        <v>3400</v>
      </c>
      <c r="AO1239" t="s">
        <v>118</v>
      </c>
      <c r="AP1239">
        <v>53</v>
      </c>
      <c r="AQ1239">
        <v>-94</v>
      </c>
      <c r="AR1239">
        <v>-256</v>
      </c>
      <c r="AZ1239">
        <v>1200</v>
      </c>
      <c r="BA1239">
        <v>1</v>
      </c>
      <c r="BB1239" t="str">
        <f t="shared" si="373"/>
        <v xml:space="preserve">N733KP  </v>
      </c>
      <c r="BC1239">
        <v>1</v>
      </c>
      <c r="BE1239">
        <v>0</v>
      </c>
      <c r="BF1239">
        <v>0</v>
      </c>
      <c r="BG1239">
        <v>0</v>
      </c>
      <c r="BH1239">
        <v>3375</v>
      </c>
      <c r="BI1239">
        <v>1</v>
      </c>
      <c r="BJ1239">
        <v>1</v>
      </c>
      <c r="BK1239">
        <v>0</v>
      </c>
      <c r="BL1239">
        <v>0</v>
      </c>
      <c r="BO1239">
        <v>0</v>
      </c>
      <c r="BP1239">
        <v>0</v>
      </c>
      <c r="BW1239" t="str">
        <f>"22:14:40.695"</f>
        <v>22:14:40.695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3</v>
      </c>
      <c r="CP1239" t="s">
        <v>119</v>
      </c>
      <c r="CQ1239">
        <v>365</v>
      </c>
      <c r="CR1239">
        <v>0</v>
      </c>
      <c r="CW1239">
        <v>11463166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"03/24/2022 22:14:41.623"</f>
        <v>03/24/2022 22:14:41.623</v>
      </c>
      <c r="C1240" t="str">
        <f t="shared" si="372"/>
        <v>FFDFD3C0</v>
      </c>
      <c r="D1240" t="s">
        <v>123</v>
      </c>
      <c r="E1240">
        <v>8</v>
      </c>
      <c r="H1240">
        <v>31</v>
      </c>
      <c r="I1240" t="s">
        <v>124</v>
      </c>
      <c r="J1240" t="s">
        <v>125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S1240" t="str">
        <f t="shared" ref="S1240:T1243" si="374">"22:14:41.000"</f>
        <v>22:14:41.000</v>
      </c>
      <c r="T1240" t="str">
        <f t="shared" si="374"/>
        <v>22:14:41.000</v>
      </c>
      <c r="U1240" t="str">
        <f t="shared" si="366"/>
        <v>A9D71F</v>
      </c>
      <c r="V1240">
        <v>0</v>
      </c>
      <c r="W1240">
        <v>0</v>
      </c>
      <c r="X1240">
        <v>2</v>
      </c>
      <c r="Z1240">
        <v>1</v>
      </c>
      <c r="AA1240">
        <v>7</v>
      </c>
      <c r="AB1240">
        <v>3</v>
      </c>
      <c r="AC1240">
        <v>0</v>
      </c>
      <c r="AD1240">
        <v>9</v>
      </c>
      <c r="AE1240">
        <v>0</v>
      </c>
      <c r="AF1240">
        <v>3</v>
      </c>
      <c r="AG1240">
        <v>1</v>
      </c>
      <c r="AH1240">
        <v>0</v>
      </c>
      <c r="AI1240" t="s">
        <v>670</v>
      </c>
      <c r="AJ1240">
        <v>33.122191000000001</v>
      </c>
      <c r="AK1240" t="s">
        <v>671</v>
      </c>
      <c r="AL1240">
        <v>-97.702961000000002</v>
      </c>
      <c r="AM1240">
        <v>25</v>
      </c>
      <c r="AN1240">
        <v>3400</v>
      </c>
      <c r="AO1240" t="s">
        <v>118</v>
      </c>
      <c r="AP1240">
        <v>53</v>
      </c>
      <c r="AQ1240">
        <v>-94</v>
      </c>
      <c r="AR1240">
        <v>-256</v>
      </c>
      <c r="AZ1240">
        <v>1200</v>
      </c>
      <c r="BA1240">
        <v>1</v>
      </c>
      <c r="BB1240" t="str">
        <f t="shared" si="373"/>
        <v xml:space="preserve">N733KP  </v>
      </c>
      <c r="BC1240">
        <v>1</v>
      </c>
      <c r="BE1240">
        <v>0</v>
      </c>
      <c r="BF1240">
        <v>0</v>
      </c>
      <c r="BG1240">
        <v>0</v>
      </c>
      <c r="BH1240">
        <v>3375</v>
      </c>
      <c r="BI1240">
        <v>1</v>
      </c>
      <c r="BJ1240">
        <v>1</v>
      </c>
      <c r="BK1240">
        <v>0</v>
      </c>
      <c r="BL1240">
        <v>0</v>
      </c>
      <c r="BO1240">
        <v>0</v>
      </c>
      <c r="BP1240">
        <v>0</v>
      </c>
      <c r="BW1240" t="str">
        <f>"22:14:41.460"</f>
        <v>22:14:41.460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6</v>
      </c>
      <c r="CP1240" t="s">
        <v>119</v>
      </c>
      <c r="CQ1240">
        <v>364</v>
      </c>
      <c r="CR1240">
        <v>0</v>
      </c>
      <c r="CW1240">
        <v>1411937</v>
      </c>
      <c r="CY1240">
        <v>1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"03/24/2022 22:14:41.655"</f>
        <v>03/24/2022 22:14:41.655</v>
      </c>
      <c r="C1241" t="str">
        <f t="shared" si="372"/>
        <v>FFDFD3C0</v>
      </c>
      <c r="D1241" t="s">
        <v>113</v>
      </c>
      <c r="E1241">
        <v>24</v>
      </c>
      <c r="F1241">
        <v>2024</v>
      </c>
      <c r="G1241" t="s">
        <v>114</v>
      </c>
      <c r="J1241" t="s">
        <v>115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S1241" t="str">
        <f t="shared" si="374"/>
        <v>22:14:41.000</v>
      </c>
      <c r="T1241" t="str">
        <f t="shared" si="374"/>
        <v>22:14:41.000</v>
      </c>
      <c r="U1241" t="str">
        <f t="shared" si="366"/>
        <v>A9D71F</v>
      </c>
      <c r="V1241">
        <v>0</v>
      </c>
      <c r="W1241">
        <v>0</v>
      </c>
      <c r="X1241">
        <v>2</v>
      </c>
      <c r="Z1241">
        <v>1</v>
      </c>
      <c r="AA1241">
        <v>7</v>
      </c>
      <c r="AB1241">
        <v>3</v>
      </c>
      <c r="AC1241">
        <v>0</v>
      </c>
      <c r="AD1241">
        <v>9</v>
      </c>
      <c r="AE1241">
        <v>0</v>
      </c>
      <c r="AF1241">
        <v>3</v>
      </c>
      <c r="AG1241">
        <v>1</v>
      </c>
      <c r="AH1241">
        <v>0</v>
      </c>
      <c r="AI1241" t="s">
        <v>670</v>
      </c>
      <c r="AJ1241">
        <v>33.122191000000001</v>
      </c>
      <c r="AK1241" t="s">
        <v>671</v>
      </c>
      <c r="AL1241">
        <v>-97.702961000000002</v>
      </c>
      <c r="AM1241">
        <v>25</v>
      </c>
      <c r="AN1241">
        <v>3400</v>
      </c>
      <c r="AO1241" t="s">
        <v>118</v>
      </c>
      <c r="AP1241">
        <v>53</v>
      </c>
      <c r="AQ1241">
        <v>-94</v>
      </c>
      <c r="AR1241">
        <v>-256</v>
      </c>
      <c r="AZ1241">
        <v>1200</v>
      </c>
      <c r="BA1241">
        <v>1</v>
      </c>
      <c r="BB1241" t="str">
        <f t="shared" si="373"/>
        <v xml:space="preserve">N733KP  </v>
      </c>
      <c r="BC1241">
        <v>1</v>
      </c>
      <c r="BE1241">
        <v>0</v>
      </c>
      <c r="BF1241">
        <v>0</v>
      </c>
      <c r="BG1241">
        <v>0</v>
      </c>
      <c r="BH1241">
        <v>3375</v>
      </c>
      <c r="BI1241">
        <v>1</v>
      </c>
      <c r="BJ1241">
        <v>1</v>
      </c>
      <c r="BK1241">
        <v>0</v>
      </c>
      <c r="BL1241">
        <v>0</v>
      </c>
      <c r="BO1241">
        <v>0</v>
      </c>
      <c r="BP1241">
        <v>0</v>
      </c>
      <c r="BW1241" t="str">
        <f>"22:14:41.460"</f>
        <v>22:14:41.460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6</v>
      </c>
      <c r="CP1241" t="s">
        <v>119</v>
      </c>
      <c r="CQ1241">
        <v>364</v>
      </c>
      <c r="CR1241">
        <v>0</v>
      </c>
      <c r="CW1241">
        <v>1411937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"03/24/2022 22:14:41.655"</f>
        <v>03/24/2022 22:14:41.655</v>
      </c>
      <c r="C1242" t="str">
        <f t="shared" si="372"/>
        <v>FFDFD3C0</v>
      </c>
      <c r="D1242" t="s">
        <v>120</v>
      </c>
      <c r="E1242">
        <v>14</v>
      </c>
      <c r="F1242">
        <v>1014</v>
      </c>
      <c r="G1242" t="s">
        <v>121</v>
      </c>
      <c r="J1242" t="s">
        <v>122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S1242" t="str">
        <f t="shared" si="374"/>
        <v>22:14:41.000</v>
      </c>
      <c r="T1242" t="str">
        <f t="shared" si="374"/>
        <v>22:14:41.000</v>
      </c>
      <c r="U1242" t="str">
        <f t="shared" si="366"/>
        <v>A9D71F</v>
      </c>
      <c r="V1242">
        <v>0</v>
      </c>
      <c r="W1242">
        <v>0</v>
      </c>
      <c r="X1242">
        <v>2</v>
      </c>
      <c r="Z1242">
        <v>1</v>
      </c>
      <c r="AA1242">
        <v>7</v>
      </c>
      <c r="AB1242">
        <v>3</v>
      </c>
      <c r="AC1242">
        <v>0</v>
      </c>
      <c r="AD1242">
        <v>9</v>
      </c>
      <c r="AE1242">
        <v>0</v>
      </c>
      <c r="AF1242">
        <v>3</v>
      </c>
      <c r="AG1242">
        <v>1</v>
      </c>
      <c r="AH1242">
        <v>0</v>
      </c>
      <c r="AI1242" t="s">
        <v>670</v>
      </c>
      <c r="AJ1242">
        <v>33.122191000000001</v>
      </c>
      <c r="AK1242" t="s">
        <v>671</v>
      </c>
      <c r="AL1242">
        <v>-97.702961000000002</v>
      </c>
      <c r="AM1242">
        <v>25</v>
      </c>
      <c r="AN1242">
        <v>3400</v>
      </c>
      <c r="AO1242" t="s">
        <v>118</v>
      </c>
      <c r="AP1242">
        <v>53</v>
      </c>
      <c r="AQ1242">
        <v>-94</v>
      </c>
      <c r="AR1242">
        <v>-256</v>
      </c>
      <c r="AZ1242">
        <v>1200</v>
      </c>
      <c r="BA1242">
        <v>1</v>
      </c>
      <c r="BB1242" t="str">
        <f t="shared" si="373"/>
        <v xml:space="preserve">N733KP  </v>
      </c>
      <c r="BC1242">
        <v>1</v>
      </c>
      <c r="BE1242">
        <v>0</v>
      </c>
      <c r="BF1242">
        <v>0</v>
      </c>
      <c r="BG1242">
        <v>0</v>
      </c>
      <c r="BH1242">
        <v>3375</v>
      </c>
      <c r="BI1242">
        <v>1</v>
      </c>
      <c r="BJ1242">
        <v>1</v>
      </c>
      <c r="BK1242">
        <v>0</v>
      </c>
      <c r="BL1242">
        <v>0</v>
      </c>
      <c r="BO1242">
        <v>0</v>
      </c>
      <c r="BP1242">
        <v>0</v>
      </c>
      <c r="BW1242" t="str">
        <f>"22:14:41.460"</f>
        <v>22:14:41.460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6</v>
      </c>
      <c r="CP1242" t="s">
        <v>119</v>
      </c>
      <c r="CQ1242">
        <v>364</v>
      </c>
      <c r="CR1242">
        <v>0</v>
      </c>
      <c r="CW1242">
        <v>1411937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"03/24/2022 22:14:41.655"</f>
        <v>03/24/2022 22:14:41.655</v>
      </c>
      <c r="C1243" t="str">
        <f t="shared" si="372"/>
        <v>FFDFD3C0</v>
      </c>
      <c r="D1243" t="s">
        <v>126</v>
      </c>
      <c r="E1243">
        <v>3</v>
      </c>
      <c r="H1243">
        <v>160</v>
      </c>
      <c r="I1243" t="s">
        <v>121</v>
      </c>
      <c r="J1243" t="s">
        <v>127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S1243" t="str">
        <f t="shared" si="374"/>
        <v>22:14:41.000</v>
      </c>
      <c r="T1243" t="str">
        <f t="shared" si="374"/>
        <v>22:14:41.000</v>
      </c>
      <c r="U1243" t="str">
        <f t="shared" si="366"/>
        <v>A9D71F</v>
      </c>
      <c r="V1243">
        <v>0</v>
      </c>
      <c r="W1243">
        <v>0</v>
      </c>
      <c r="X1243">
        <v>2</v>
      </c>
      <c r="Z1243">
        <v>1</v>
      </c>
      <c r="AA1243">
        <v>7</v>
      </c>
      <c r="AB1243">
        <v>3</v>
      </c>
      <c r="AC1243">
        <v>0</v>
      </c>
      <c r="AD1243">
        <v>9</v>
      </c>
      <c r="AE1243">
        <v>0</v>
      </c>
      <c r="AF1243">
        <v>3</v>
      </c>
      <c r="AG1243">
        <v>1</v>
      </c>
      <c r="AH1243">
        <v>0</v>
      </c>
      <c r="AI1243" t="s">
        <v>670</v>
      </c>
      <c r="AJ1243">
        <v>33.122191000000001</v>
      </c>
      <c r="AK1243" t="s">
        <v>671</v>
      </c>
      <c r="AL1243">
        <v>-97.702961000000002</v>
      </c>
      <c r="AM1243">
        <v>25</v>
      </c>
      <c r="AN1243">
        <v>3400</v>
      </c>
      <c r="AO1243" t="s">
        <v>118</v>
      </c>
      <c r="AP1243">
        <v>53</v>
      </c>
      <c r="AQ1243">
        <v>-94</v>
      </c>
      <c r="AR1243">
        <v>-256</v>
      </c>
      <c r="AZ1243">
        <v>1200</v>
      </c>
      <c r="BA1243">
        <v>1</v>
      </c>
      <c r="BB1243" t="str">
        <f t="shared" si="373"/>
        <v xml:space="preserve">N733KP  </v>
      </c>
      <c r="BC1243">
        <v>1</v>
      </c>
      <c r="BE1243">
        <v>0</v>
      </c>
      <c r="BF1243">
        <v>0</v>
      </c>
      <c r="BG1243">
        <v>0</v>
      </c>
      <c r="BH1243">
        <v>3375</v>
      </c>
      <c r="BI1243">
        <v>1</v>
      </c>
      <c r="BJ1243">
        <v>1</v>
      </c>
      <c r="BK1243">
        <v>0</v>
      </c>
      <c r="BL1243">
        <v>0</v>
      </c>
      <c r="BO1243">
        <v>0</v>
      </c>
      <c r="BP1243">
        <v>0</v>
      </c>
      <c r="BW1243" t="str">
        <f>"22:14:41.460"</f>
        <v>22:14:41.460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6</v>
      </c>
      <c r="CP1243" t="s">
        <v>119</v>
      </c>
      <c r="CQ1243">
        <v>364</v>
      </c>
      <c r="CR1243">
        <v>0</v>
      </c>
      <c r="CW1243">
        <v>1411937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"03/24/2022 22:14:42.735"</f>
        <v>03/24/2022 22:14:42.735</v>
      </c>
      <c r="C1244" t="str">
        <f t="shared" si="372"/>
        <v>FFDFD3C0</v>
      </c>
      <c r="D1244" t="s">
        <v>123</v>
      </c>
      <c r="E1244">
        <v>8</v>
      </c>
      <c r="H1244">
        <v>31</v>
      </c>
      <c r="I1244" t="s">
        <v>124</v>
      </c>
      <c r="J1244" t="s">
        <v>125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S1244" t="str">
        <f t="shared" ref="S1244:T1247" si="375">"22:14:42.000"</f>
        <v>22:14:42.000</v>
      </c>
      <c r="T1244" t="str">
        <f t="shared" si="375"/>
        <v>22:14:42.000</v>
      </c>
      <c r="U1244" t="str">
        <f t="shared" si="366"/>
        <v>A9D71F</v>
      </c>
      <c r="V1244">
        <v>0</v>
      </c>
      <c r="W1244">
        <v>0</v>
      </c>
      <c r="X1244">
        <v>2</v>
      </c>
      <c r="Z1244">
        <v>1</v>
      </c>
      <c r="AA1244">
        <v>7</v>
      </c>
      <c r="AB1244">
        <v>3</v>
      </c>
      <c r="AC1244">
        <v>0</v>
      </c>
      <c r="AD1244">
        <v>9</v>
      </c>
      <c r="AE1244">
        <v>0</v>
      </c>
      <c r="AF1244">
        <v>3</v>
      </c>
      <c r="AG1244">
        <v>1</v>
      </c>
      <c r="AH1244">
        <v>0</v>
      </c>
      <c r="AI1244" t="s">
        <v>672</v>
      </c>
      <c r="AJ1244">
        <v>33.121761999999997</v>
      </c>
      <c r="AK1244" t="s">
        <v>673</v>
      </c>
      <c r="AL1244">
        <v>-97.702703</v>
      </c>
      <c r="AM1244">
        <v>25</v>
      </c>
      <c r="AN1244">
        <v>3400</v>
      </c>
      <c r="AO1244" t="s">
        <v>118</v>
      </c>
      <c r="AP1244">
        <v>54</v>
      </c>
      <c r="AQ1244">
        <v>-95</v>
      </c>
      <c r="AR1244">
        <v>-256</v>
      </c>
      <c r="AZ1244">
        <v>1200</v>
      </c>
      <c r="BA1244">
        <v>1</v>
      </c>
      <c r="BB1244" t="str">
        <f t="shared" si="373"/>
        <v xml:space="preserve">N733KP  </v>
      </c>
      <c r="BC1244">
        <v>1</v>
      </c>
      <c r="BE1244">
        <v>0</v>
      </c>
      <c r="BF1244">
        <v>0</v>
      </c>
      <c r="BG1244">
        <v>0</v>
      </c>
      <c r="BH1244">
        <v>3375</v>
      </c>
      <c r="BI1244">
        <v>1</v>
      </c>
      <c r="BJ1244">
        <v>1</v>
      </c>
      <c r="BK1244">
        <v>0</v>
      </c>
      <c r="BL1244">
        <v>0</v>
      </c>
      <c r="BO1244">
        <v>0</v>
      </c>
      <c r="BP1244">
        <v>0</v>
      </c>
      <c r="BW1244" t="str">
        <f>"22:14:42.533"</f>
        <v>22:14:42.533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6</v>
      </c>
      <c r="CP1244" t="s">
        <v>119</v>
      </c>
      <c r="CQ1244">
        <v>364</v>
      </c>
      <c r="CR1244">
        <v>0</v>
      </c>
      <c r="CW1244">
        <v>1412115</v>
      </c>
      <c r="CY1244">
        <v>1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"03/24/2022 22:14:42.735"</f>
        <v>03/24/2022 22:14:42.735</v>
      </c>
      <c r="C1245" t="str">
        <f t="shared" si="372"/>
        <v>FFDFD3C0</v>
      </c>
      <c r="D1245" t="s">
        <v>113</v>
      </c>
      <c r="E1245">
        <v>24</v>
      </c>
      <c r="F1245">
        <v>2024</v>
      </c>
      <c r="G1245" t="s">
        <v>114</v>
      </c>
      <c r="J1245" t="s">
        <v>115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S1245" t="str">
        <f t="shared" si="375"/>
        <v>22:14:42.000</v>
      </c>
      <c r="T1245" t="str">
        <f t="shared" si="375"/>
        <v>22:14:42.000</v>
      </c>
      <c r="U1245" t="str">
        <f t="shared" si="366"/>
        <v>A9D71F</v>
      </c>
      <c r="V1245">
        <v>0</v>
      </c>
      <c r="W1245">
        <v>0</v>
      </c>
      <c r="X1245">
        <v>2</v>
      </c>
      <c r="Z1245">
        <v>1</v>
      </c>
      <c r="AA1245">
        <v>7</v>
      </c>
      <c r="AB1245">
        <v>3</v>
      </c>
      <c r="AC1245">
        <v>0</v>
      </c>
      <c r="AD1245">
        <v>9</v>
      </c>
      <c r="AE1245">
        <v>0</v>
      </c>
      <c r="AF1245">
        <v>3</v>
      </c>
      <c r="AG1245">
        <v>1</v>
      </c>
      <c r="AH1245">
        <v>0</v>
      </c>
      <c r="AI1245" t="s">
        <v>672</v>
      </c>
      <c r="AJ1245">
        <v>33.121761999999997</v>
      </c>
      <c r="AK1245" t="s">
        <v>673</v>
      </c>
      <c r="AL1245">
        <v>-97.702703</v>
      </c>
      <c r="AM1245">
        <v>25</v>
      </c>
      <c r="AN1245">
        <v>3400</v>
      </c>
      <c r="AO1245" t="s">
        <v>118</v>
      </c>
      <c r="AP1245">
        <v>54</v>
      </c>
      <c r="AQ1245">
        <v>-95</v>
      </c>
      <c r="AR1245">
        <v>-256</v>
      </c>
      <c r="AZ1245">
        <v>1200</v>
      </c>
      <c r="BA1245">
        <v>1</v>
      </c>
      <c r="BB1245" t="str">
        <f t="shared" si="373"/>
        <v xml:space="preserve">N733KP  </v>
      </c>
      <c r="BC1245">
        <v>1</v>
      </c>
      <c r="BE1245">
        <v>0</v>
      </c>
      <c r="BF1245">
        <v>0</v>
      </c>
      <c r="BG1245">
        <v>0</v>
      </c>
      <c r="BH1245">
        <v>3375</v>
      </c>
      <c r="BI1245">
        <v>1</v>
      </c>
      <c r="BJ1245">
        <v>1</v>
      </c>
      <c r="BK1245">
        <v>0</v>
      </c>
      <c r="BL1245">
        <v>0</v>
      </c>
      <c r="BO1245">
        <v>0</v>
      </c>
      <c r="BP1245">
        <v>0</v>
      </c>
      <c r="BW1245" t="str">
        <f>"22:14:42.533"</f>
        <v>22:14:42.533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6</v>
      </c>
      <c r="CP1245" t="s">
        <v>119</v>
      </c>
      <c r="CQ1245">
        <v>364</v>
      </c>
      <c r="CR1245">
        <v>0</v>
      </c>
      <c r="CW1245">
        <v>1412115</v>
      </c>
      <c r="CY1245">
        <v>1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"03/24/2022 22:14:42.735"</f>
        <v>03/24/2022 22:14:42.735</v>
      </c>
      <c r="C1246" t="str">
        <f t="shared" si="372"/>
        <v>FFDFD3C0</v>
      </c>
      <c r="D1246" t="s">
        <v>126</v>
      </c>
      <c r="E1246">
        <v>3</v>
      </c>
      <c r="H1246">
        <v>160</v>
      </c>
      <c r="I1246" t="s">
        <v>121</v>
      </c>
      <c r="J1246" t="s">
        <v>127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S1246" t="str">
        <f t="shared" si="375"/>
        <v>22:14:42.000</v>
      </c>
      <c r="T1246" t="str">
        <f t="shared" si="375"/>
        <v>22:14:42.000</v>
      </c>
      <c r="U1246" t="str">
        <f t="shared" si="366"/>
        <v>A9D71F</v>
      </c>
      <c r="V1246">
        <v>0</v>
      </c>
      <c r="W1246">
        <v>0</v>
      </c>
      <c r="X1246">
        <v>2</v>
      </c>
      <c r="Z1246">
        <v>1</v>
      </c>
      <c r="AA1246">
        <v>7</v>
      </c>
      <c r="AB1246">
        <v>3</v>
      </c>
      <c r="AC1246">
        <v>0</v>
      </c>
      <c r="AD1246">
        <v>9</v>
      </c>
      <c r="AE1246">
        <v>0</v>
      </c>
      <c r="AF1246">
        <v>3</v>
      </c>
      <c r="AG1246">
        <v>1</v>
      </c>
      <c r="AH1246">
        <v>0</v>
      </c>
      <c r="AI1246" t="s">
        <v>672</v>
      </c>
      <c r="AJ1246">
        <v>33.121761999999997</v>
      </c>
      <c r="AK1246" t="s">
        <v>673</v>
      </c>
      <c r="AL1246">
        <v>-97.702703</v>
      </c>
      <c r="AM1246">
        <v>25</v>
      </c>
      <c r="AN1246">
        <v>3400</v>
      </c>
      <c r="AO1246" t="s">
        <v>118</v>
      </c>
      <c r="AP1246">
        <v>54</v>
      </c>
      <c r="AQ1246">
        <v>-95</v>
      </c>
      <c r="AR1246">
        <v>-256</v>
      </c>
      <c r="AZ1246">
        <v>1200</v>
      </c>
      <c r="BA1246">
        <v>1</v>
      </c>
      <c r="BB1246" t="str">
        <f t="shared" si="373"/>
        <v xml:space="preserve">N733KP  </v>
      </c>
      <c r="BC1246">
        <v>1</v>
      </c>
      <c r="BE1246">
        <v>0</v>
      </c>
      <c r="BF1246">
        <v>0</v>
      </c>
      <c r="BG1246">
        <v>0</v>
      </c>
      <c r="BH1246">
        <v>3375</v>
      </c>
      <c r="BI1246">
        <v>1</v>
      </c>
      <c r="BJ1246">
        <v>1</v>
      </c>
      <c r="BK1246">
        <v>0</v>
      </c>
      <c r="BL1246">
        <v>0</v>
      </c>
      <c r="BO1246">
        <v>0</v>
      </c>
      <c r="BP1246">
        <v>0</v>
      </c>
      <c r="BW1246" t="str">
        <f>"22:14:42.533"</f>
        <v>22:14:42.533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6</v>
      </c>
      <c r="CP1246" t="s">
        <v>119</v>
      </c>
      <c r="CQ1246">
        <v>364</v>
      </c>
      <c r="CR1246">
        <v>0</v>
      </c>
      <c r="CW1246">
        <v>1412115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"03/24/2022 22:14:42.735"</f>
        <v>03/24/2022 22:14:42.735</v>
      </c>
      <c r="C1247" t="str">
        <f t="shared" si="372"/>
        <v>FFDFD3C0</v>
      </c>
      <c r="D1247" t="s">
        <v>120</v>
      </c>
      <c r="E1247">
        <v>14</v>
      </c>
      <c r="F1247">
        <v>1014</v>
      </c>
      <c r="G1247" t="s">
        <v>121</v>
      </c>
      <c r="J1247" t="s">
        <v>122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S1247" t="str">
        <f t="shared" si="375"/>
        <v>22:14:42.000</v>
      </c>
      <c r="T1247" t="str">
        <f t="shared" si="375"/>
        <v>22:14:42.000</v>
      </c>
      <c r="U1247" t="str">
        <f t="shared" si="366"/>
        <v>A9D71F</v>
      </c>
      <c r="V1247">
        <v>0</v>
      </c>
      <c r="W1247">
        <v>0</v>
      </c>
      <c r="X1247">
        <v>2</v>
      </c>
      <c r="Z1247">
        <v>1</v>
      </c>
      <c r="AA1247">
        <v>7</v>
      </c>
      <c r="AB1247">
        <v>3</v>
      </c>
      <c r="AC1247">
        <v>0</v>
      </c>
      <c r="AD1247">
        <v>9</v>
      </c>
      <c r="AE1247">
        <v>0</v>
      </c>
      <c r="AF1247">
        <v>3</v>
      </c>
      <c r="AG1247">
        <v>1</v>
      </c>
      <c r="AH1247">
        <v>0</v>
      </c>
      <c r="AI1247" t="s">
        <v>672</v>
      </c>
      <c r="AJ1247">
        <v>33.121761999999997</v>
      </c>
      <c r="AK1247" t="s">
        <v>673</v>
      </c>
      <c r="AL1247">
        <v>-97.702703</v>
      </c>
      <c r="AM1247">
        <v>25</v>
      </c>
      <c r="AN1247">
        <v>3400</v>
      </c>
      <c r="AO1247" t="s">
        <v>118</v>
      </c>
      <c r="AP1247">
        <v>54</v>
      </c>
      <c r="AQ1247">
        <v>-95</v>
      </c>
      <c r="AR1247">
        <v>-256</v>
      </c>
      <c r="AZ1247">
        <v>1200</v>
      </c>
      <c r="BA1247">
        <v>1</v>
      </c>
      <c r="BB1247" t="str">
        <f t="shared" si="373"/>
        <v xml:space="preserve">N733KP  </v>
      </c>
      <c r="BC1247">
        <v>1</v>
      </c>
      <c r="BE1247">
        <v>0</v>
      </c>
      <c r="BF1247">
        <v>0</v>
      </c>
      <c r="BG1247">
        <v>0</v>
      </c>
      <c r="BH1247">
        <v>3375</v>
      </c>
      <c r="BI1247">
        <v>1</v>
      </c>
      <c r="BJ1247">
        <v>1</v>
      </c>
      <c r="BK1247">
        <v>0</v>
      </c>
      <c r="BL1247">
        <v>0</v>
      </c>
      <c r="BO1247">
        <v>0</v>
      </c>
      <c r="BP1247">
        <v>0</v>
      </c>
      <c r="BW1247" t="str">
        <f>"22:14:42.533"</f>
        <v>22:14:42.533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6</v>
      </c>
      <c r="CP1247" t="s">
        <v>119</v>
      </c>
      <c r="CQ1247">
        <v>364</v>
      </c>
      <c r="CR1247">
        <v>0</v>
      </c>
      <c r="CW1247">
        <v>1412115</v>
      </c>
      <c r="CY1247">
        <v>1</v>
      </c>
      <c r="CZ1247">
        <v>0</v>
      </c>
      <c r="DA1247">
        <v>1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"03/24/2022 22:14:43.659"</f>
        <v>03/24/2022 22:14:43.659</v>
      </c>
      <c r="C1248" t="str">
        <f t="shared" si="372"/>
        <v>FFDFD3C0</v>
      </c>
      <c r="D1248" t="s">
        <v>113</v>
      </c>
      <c r="E1248">
        <v>24</v>
      </c>
      <c r="F1248">
        <v>2024</v>
      </c>
      <c r="G1248" t="s">
        <v>114</v>
      </c>
      <c r="J1248" t="s">
        <v>115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S1248" t="str">
        <f t="shared" ref="S1248:T1251" si="376">"22:14:43.000"</f>
        <v>22:14:43.000</v>
      </c>
      <c r="T1248" t="str">
        <f t="shared" si="376"/>
        <v>22:14:43.000</v>
      </c>
      <c r="U1248" t="str">
        <f t="shared" si="366"/>
        <v>A9D71F</v>
      </c>
      <c r="V1248">
        <v>0</v>
      </c>
      <c r="W1248">
        <v>0</v>
      </c>
      <c r="X1248">
        <v>2</v>
      </c>
      <c r="Z1248">
        <v>1</v>
      </c>
      <c r="AA1248">
        <v>7</v>
      </c>
      <c r="AB1248">
        <v>3</v>
      </c>
      <c r="AC1248">
        <v>0</v>
      </c>
      <c r="AD1248">
        <v>9</v>
      </c>
      <c r="AE1248">
        <v>0</v>
      </c>
      <c r="AF1248">
        <v>3</v>
      </c>
      <c r="AG1248">
        <v>1</v>
      </c>
      <c r="AH1248">
        <v>0</v>
      </c>
      <c r="AI1248" t="s">
        <v>674</v>
      </c>
      <c r="AJ1248">
        <v>33.121290000000002</v>
      </c>
      <c r="AK1248" t="s">
        <v>675</v>
      </c>
      <c r="AL1248">
        <v>-97.702382</v>
      </c>
      <c r="AM1248">
        <v>25</v>
      </c>
      <c r="AN1248">
        <v>3400</v>
      </c>
      <c r="AO1248" t="s">
        <v>118</v>
      </c>
      <c r="AP1248">
        <v>54</v>
      </c>
      <c r="AQ1248">
        <v>-96</v>
      </c>
      <c r="AR1248">
        <v>-256</v>
      </c>
      <c r="AZ1248">
        <v>1200</v>
      </c>
      <c r="BA1248">
        <v>1</v>
      </c>
      <c r="BB1248" t="str">
        <f t="shared" si="373"/>
        <v xml:space="preserve">N733KP  </v>
      </c>
      <c r="BC1248">
        <v>1</v>
      </c>
      <c r="BE1248">
        <v>0</v>
      </c>
      <c r="BF1248">
        <v>0</v>
      </c>
      <c r="BG1248">
        <v>0</v>
      </c>
      <c r="BH1248">
        <v>3375</v>
      </c>
      <c r="BI1248">
        <v>1</v>
      </c>
      <c r="BJ1248">
        <v>1</v>
      </c>
      <c r="BK1248">
        <v>0</v>
      </c>
      <c r="BL1248">
        <v>0</v>
      </c>
      <c r="BO1248">
        <v>0</v>
      </c>
      <c r="BP1248">
        <v>0</v>
      </c>
      <c r="BW1248" t="str">
        <f>"22:14:43.505"</f>
        <v>22:14:43.505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6</v>
      </c>
      <c r="CP1248" t="s">
        <v>119</v>
      </c>
      <c r="CQ1248">
        <v>364</v>
      </c>
      <c r="CR1248">
        <v>0</v>
      </c>
      <c r="CW1248">
        <v>1412272</v>
      </c>
      <c r="CY1248">
        <v>1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"03/24/2022 22:14:43.659"</f>
        <v>03/24/2022 22:14:43.659</v>
      </c>
      <c r="C1249" t="str">
        <f t="shared" si="372"/>
        <v>FFDFD3C0</v>
      </c>
      <c r="D1249" t="s">
        <v>126</v>
      </c>
      <c r="E1249">
        <v>3</v>
      </c>
      <c r="H1249">
        <v>160</v>
      </c>
      <c r="I1249" t="s">
        <v>121</v>
      </c>
      <c r="J1249" t="s">
        <v>127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S1249" t="str">
        <f t="shared" si="376"/>
        <v>22:14:43.000</v>
      </c>
      <c r="T1249" t="str">
        <f t="shared" si="376"/>
        <v>22:14:43.000</v>
      </c>
      <c r="U1249" t="str">
        <f t="shared" si="366"/>
        <v>A9D71F</v>
      </c>
      <c r="V1249">
        <v>0</v>
      </c>
      <c r="W1249">
        <v>0</v>
      </c>
      <c r="X1249">
        <v>2</v>
      </c>
      <c r="Z1249">
        <v>1</v>
      </c>
      <c r="AA1249">
        <v>7</v>
      </c>
      <c r="AB1249">
        <v>3</v>
      </c>
      <c r="AC1249">
        <v>0</v>
      </c>
      <c r="AD1249">
        <v>9</v>
      </c>
      <c r="AE1249">
        <v>0</v>
      </c>
      <c r="AF1249">
        <v>3</v>
      </c>
      <c r="AG1249">
        <v>1</v>
      </c>
      <c r="AH1249">
        <v>0</v>
      </c>
      <c r="AI1249" t="s">
        <v>674</v>
      </c>
      <c r="AJ1249">
        <v>33.121290000000002</v>
      </c>
      <c r="AK1249" t="s">
        <v>675</v>
      </c>
      <c r="AL1249">
        <v>-97.702382</v>
      </c>
      <c r="AM1249">
        <v>25</v>
      </c>
      <c r="AN1249">
        <v>3400</v>
      </c>
      <c r="AO1249" t="s">
        <v>118</v>
      </c>
      <c r="AP1249">
        <v>54</v>
      </c>
      <c r="AQ1249">
        <v>-96</v>
      </c>
      <c r="AR1249">
        <v>-256</v>
      </c>
      <c r="AZ1249">
        <v>1200</v>
      </c>
      <c r="BA1249">
        <v>1</v>
      </c>
      <c r="BB1249" t="str">
        <f t="shared" si="373"/>
        <v xml:space="preserve">N733KP  </v>
      </c>
      <c r="BC1249">
        <v>1</v>
      </c>
      <c r="BE1249">
        <v>0</v>
      </c>
      <c r="BF1249">
        <v>0</v>
      </c>
      <c r="BG1249">
        <v>0</v>
      </c>
      <c r="BH1249">
        <v>3375</v>
      </c>
      <c r="BI1249">
        <v>1</v>
      </c>
      <c r="BJ1249">
        <v>1</v>
      </c>
      <c r="BK1249">
        <v>0</v>
      </c>
      <c r="BL1249">
        <v>0</v>
      </c>
      <c r="BO1249">
        <v>0</v>
      </c>
      <c r="BP1249">
        <v>0</v>
      </c>
      <c r="BW1249" t="str">
        <f>"22:14:43.505"</f>
        <v>22:14:43.505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6</v>
      </c>
      <c r="CP1249" t="s">
        <v>119</v>
      </c>
      <c r="CQ1249">
        <v>364</v>
      </c>
      <c r="CR1249">
        <v>0</v>
      </c>
      <c r="CW1249">
        <v>1412272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"03/24/2022 22:14:43.721"</f>
        <v>03/24/2022 22:14:43.721</v>
      </c>
      <c r="C1250" t="str">
        <f t="shared" si="372"/>
        <v>FFDFD3C0</v>
      </c>
      <c r="D1250" t="s">
        <v>120</v>
      </c>
      <c r="E1250">
        <v>14</v>
      </c>
      <c r="F1250">
        <v>1014</v>
      </c>
      <c r="G1250" t="s">
        <v>121</v>
      </c>
      <c r="J1250" t="s">
        <v>122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S1250" t="str">
        <f t="shared" si="376"/>
        <v>22:14:43.000</v>
      </c>
      <c r="T1250" t="str">
        <f t="shared" si="376"/>
        <v>22:14:43.000</v>
      </c>
      <c r="U1250" t="str">
        <f t="shared" si="366"/>
        <v>A9D71F</v>
      </c>
      <c r="V1250">
        <v>0</v>
      </c>
      <c r="W1250">
        <v>0</v>
      </c>
      <c r="X1250">
        <v>2</v>
      </c>
      <c r="Z1250">
        <v>1</v>
      </c>
      <c r="AA1250">
        <v>7</v>
      </c>
      <c r="AB1250">
        <v>3</v>
      </c>
      <c r="AC1250">
        <v>0</v>
      </c>
      <c r="AD1250">
        <v>9</v>
      </c>
      <c r="AE1250">
        <v>0</v>
      </c>
      <c r="AF1250">
        <v>3</v>
      </c>
      <c r="AG1250">
        <v>1</v>
      </c>
      <c r="AH1250">
        <v>0</v>
      </c>
      <c r="AI1250" t="s">
        <v>674</v>
      </c>
      <c r="AJ1250">
        <v>33.121290000000002</v>
      </c>
      <c r="AK1250" t="s">
        <v>675</v>
      </c>
      <c r="AL1250">
        <v>-97.702382</v>
      </c>
      <c r="AM1250">
        <v>25</v>
      </c>
      <c r="AN1250">
        <v>3400</v>
      </c>
      <c r="AO1250" t="s">
        <v>118</v>
      </c>
      <c r="AP1250">
        <v>54</v>
      </c>
      <c r="AQ1250">
        <v>-96</v>
      </c>
      <c r="AR1250">
        <v>-256</v>
      </c>
      <c r="AZ1250">
        <v>1200</v>
      </c>
      <c r="BA1250">
        <v>1</v>
      </c>
      <c r="BB1250" t="str">
        <f t="shared" si="373"/>
        <v xml:space="preserve">N733KP  </v>
      </c>
      <c r="BC1250">
        <v>1</v>
      </c>
      <c r="BE1250">
        <v>0</v>
      </c>
      <c r="BF1250">
        <v>0</v>
      </c>
      <c r="BG1250">
        <v>0</v>
      </c>
      <c r="BH1250">
        <v>3375</v>
      </c>
      <c r="BI1250">
        <v>1</v>
      </c>
      <c r="BJ1250">
        <v>1</v>
      </c>
      <c r="BK1250">
        <v>0</v>
      </c>
      <c r="BL1250">
        <v>0</v>
      </c>
      <c r="BO1250">
        <v>0</v>
      </c>
      <c r="BP1250">
        <v>0</v>
      </c>
      <c r="BW1250" t="str">
        <f>"22:14:43.505"</f>
        <v>22:14:43.505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6</v>
      </c>
      <c r="CP1250" t="s">
        <v>119</v>
      </c>
      <c r="CQ1250">
        <v>364</v>
      </c>
      <c r="CR1250">
        <v>0</v>
      </c>
      <c r="CW1250">
        <v>1412272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"03/24/2022 22:14:43.721"</f>
        <v>03/24/2022 22:14:43.721</v>
      </c>
      <c r="C1251" t="str">
        <f t="shared" si="372"/>
        <v>FFDFD3C0</v>
      </c>
      <c r="D1251" t="s">
        <v>123</v>
      </c>
      <c r="E1251">
        <v>8</v>
      </c>
      <c r="H1251">
        <v>31</v>
      </c>
      <c r="I1251" t="s">
        <v>124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S1251" t="str">
        <f t="shared" si="376"/>
        <v>22:14:43.000</v>
      </c>
      <c r="T1251" t="str">
        <f t="shared" si="376"/>
        <v>22:14:43.000</v>
      </c>
      <c r="U1251" t="str">
        <f t="shared" si="366"/>
        <v>A9D71F</v>
      </c>
      <c r="V1251">
        <v>0</v>
      </c>
      <c r="W1251">
        <v>0</v>
      </c>
      <c r="X1251">
        <v>2</v>
      </c>
      <c r="Z1251">
        <v>1</v>
      </c>
      <c r="AA1251">
        <v>7</v>
      </c>
      <c r="AB1251">
        <v>3</v>
      </c>
      <c r="AC1251">
        <v>0</v>
      </c>
      <c r="AD1251">
        <v>9</v>
      </c>
      <c r="AE1251">
        <v>0</v>
      </c>
      <c r="AF1251">
        <v>3</v>
      </c>
      <c r="AG1251">
        <v>1</v>
      </c>
      <c r="AH1251">
        <v>0</v>
      </c>
      <c r="AI1251" t="s">
        <v>674</v>
      </c>
      <c r="AJ1251">
        <v>33.121290000000002</v>
      </c>
      <c r="AK1251" t="s">
        <v>675</v>
      </c>
      <c r="AL1251">
        <v>-97.702382</v>
      </c>
      <c r="AM1251">
        <v>25</v>
      </c>
      <c r="AN1251">
        <v>3400</v>
      </c>
      <c r="AO1251" t="s">
        <v>118</v>
      </c>
      <c r="AP1251">
        <v>54</v>
      </c>
      <c r="AQ1251">
        <v>-96</v>
      </c>
      <c r="AR1251">
        <v>-256</v>
      </c>
      <c r="AZ1251">
        <v>1200</v>
      </c>
      <c r="BA1251">
        <v>1</v>
      </c>
      <c r="BB1251" t="str">
        <f t="shared" si="373"/>
        <v xml:space="preserve">N733KP  </v>
      </c>
      <c r="BC1251">
        <v>1</v>
      </c>
      <c r="BE1251">
        <v>0</v>
      </c>
      <c r="BF1251">
        <v>0</v>
      </c>
      <c r="BG1251">
        <v>0</v>
      </c>
      <c r="BH1251">
        <v>3375</v>
      </c>
      <c r="BI1251">
        <v>1</v>
      </c>
      <c r="BJ1251">
        <v>1</v>
      </c>
      <c r="BK1251">
        <v>0</v>
      </c>
      <c r="BL1251">
        <v>0</v>
      </c>
      <c r="BO1251">
        <v>0</v>
      </c>
      <c r="BP1251">
        <v>0</v>
      </c>
      <c r="BW1251" t="str">
        <f>"22:14:43.505"</f>
        <v>22:14:43.505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6</v>
      </c>
      <c r="CP1251" t="s">
        <v>119</v>
      </c>
      <c r="CQ1251">
        <v>364</v>
      </c>
      <c r="CR1251">
        <v>0</v>
      </c>
      <c r="CW1251">
        <v>1412272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"03/24/2022 22:14:44.974"</f>
        <v>03/24/2022 22:14:44.974</v>
      </c>
      <c r="C1252" t="str">
        <f t="shared" si="372"/>
        <v>FFDFD3C0</v>
      </c>
      <c r="D1252" t="s">
        <v>113</v>
      </c>
      <c r="E1252">
        <v>24</v>
      </c>
      <c r="F1252">
        <v>2024</v>
      </c>
      <c r="G1252" t="s">
        <v>114</v>
      </c>
      <c r="J1252" t="s">
        <v>115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S1252" t="str">
        <f t="shared" ref="S1252:T1255" si="377">"22:14:44.000"</f>
        <v>22:14:44.000</v>
      </c>
      <c r="T1252" t="str">
        <f t="shared" si="377"/>
        <v>22:14:44.000</v>
      </c>
      <c r="U1252" t="str">
        <f t="shared" si="366"/>
        <v>A9D71F</v>
      </c>
      <c r="V1252">
        <v>0</v>
      </c>
      <c r="W1252">
        <v>0</v>
      </c>
      <c r="X1252">
        <v>2</v>
      </c>
      <c r="Z1252">
        <v>1</v>
      </c>
      <c r="AA1252">
        <v>7</v>
      </c>
      <c r="AB1252">
        <v>3</v>
      </c>
      <c r="AC1252">
        <v>0</v>
      </c>
      <c r="AD1252">
        <v>9</v>
      </c>
      <c r="AE1252">
        <v>0</v>
      </c>
      <c r="AF1252">
        <v>3</v>
      </c>
      <c r="AG1252">
        <v>1</v>
      </c>
      <c r="AH1252">
        <v>0</v>
      </c>
      <c r="AI1252" t="s">
        <v>676</v>
      </c>
      <c r="AJ1252">
        <v>33.120840000000001</v>
      </c>
      <c r="AK1252" t="s">
        <v>677</v>
      </c>
      <c r="AL1252">
        <v>-97.702081000000007</v>
      </c>
      <c r="AM1252">
        <v>25</v>
      </c>
      <c r="AN1252">
        <v>3400</v>
      </c>
      <c r="AO1252" t="s">
        <v>118</v>
      </c>
      <c r="AP1252">
        <v>53</v>
      </c>
      <c r="AQ1252">
        <v>-97</v>
      </c>
      <c r="AR1252">
        <v>-192</v>
      </c>
      <c r="AZ1252">
        <v>1200</v>
      </c>
      <c r="BA1252">
        <v>1</v>
      </c>
      <c r="BB1252" t="str">
        <f t="shared" si="373"/>
        <v xml:space="preserve">N733KP  </v>
      </c>
      <c r="BC1252">
        <v>1</v>
      </c>
      <c r="BE1252">
        <v>0</v>
      </c>
      <c r="BF1252">
        <v>0</v>
      </c>
      <c r="BG1252">
        <v>0</v>
      </c>
      <c r="BH1252">
        <v>3350</v>
      </c>
      <c r="BI1252">
        <v>1</v>
      </c>
      <c r="BJ1252">
        <v>1</v>
      </c>
      <c r="BK1252">
        <v>0</v>
      </c>
      <c r="BL1252">
        <v>0</v>
      </c>
      <c r="BO1252">
        <v>0</v>
      </c>
      <c r="BP1252">
        <v>0</v>
      </c>
      <c r="BW1252" t="str">
        <f>"22:14:44.767"</f>
        <v>22:14:44.767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6</v>
      </c>
      <c r="CP1252" t="s">
        <v>119</v>
      </c>
      <c r="CQ1252">
        <v>364</v>
      </c>
      <c r="CR1252">
        <v>0</v>
      </c>
      <c r="CW1252">
        <v>1412488</v>
      </c>
      <c r="CY1252">
        <v>1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"03/24/2022 22:14:44.974"</f>
        <v>03/24/2022 22:14:44.974</v>
      </c>
      <c r="C1253" t="str">
        <f t="shared" si="372"/>
        <v>FFDFD3C0</v>
      </c>
      <c r="D1253" t="s">
        <v>126</v>
      </c>
      <c r="E1253">
        <v>3</v>
      </c>
      <c r="H1253">
        <v>160</v>
      </c>
      <c r="I1253" t="s">
        <v>121</v>
      </c>
      <c r="J1253" t="s">
        <v>127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S1253" t="str">
        <f t="shared" si="377"/>
        <v>22:14:44.000</v>
      </c>
      <c r="T1253" t="str">
        <f t="shared" si="377"/>
        <v>22:14:44.000</v>
      </c>
      <c r="U1253" t="str">
        <f t="shared" si="366"/>
        <v>A9D71F</v>
      </c>
      <c r="V1253">
        <v>0</v>
      </c>
      <c r="W1253">
        <v>0</v>
      </c>
      <c r="X1253">
        <v>2</v>
      </c>
      <c r="Z1253">
        <v>1</v>
      </c>
      <c r="AA1253">
        <v>7</v>
      </c>
      <c r="AB1253">
        <v>3</v>
      </c>
      <c r="AC1253">
        <v>0</v>
      </c>
      <c r="AD1253">
        <v>9</v>
      </c>
      <c r="AE1253">
        <v>0</v>
      </c>
      <c r="AF1253">
        <v>3</v>
      </c>
      <c r="AG1253">
        <v>1</v>
      </c>
      <c r="AH1253">
        <v>0</v>
      </c>
      <c r="AI1253" t="s">
        <v>676</v>
      </c>
      <c r="AJ1253">
        <v>33.120840000000001</v>
      </c>
      <c r="AK1253" t="s">
        <v>677</v>
      </c>
      <c r="AL1253">
        <v>-97.702081000000007</v>
      </c>
      <c r="AM1253">
        <v>25</v>
      </c>
      <c r="AN1253">
        <v>3400</v>
      </c>
      <c r="AO1253" t="s">
        <v>118</v>
      </c>
      <c r="AP1253">
        <v>53</v>
      </c>
      <c r="AQ1253">
        <v>-97</v>
      </c>
      <c r="AR1253">
        <v>-192</v>
      </c>
      <c r="AZ1253">
        <v>1200</v>
      </c>
      <c r="BA1253">
        <v>1</v>
      </c>
      <c r="BB1253" t="str">
        <f t="shared" si="373"/>
        <v xml:space="preserve">N733KP  </v>
      </c>
      <c r="BC1253">
        <v>1</v>
      </c>
      <c r="BE1253">
        <v>0</v>
      </c>
      <c r="BF1253">
        <v>0</v>
      </c>
      <c r="BG1253">
        <v>0</v>
      </c>
      <c r="BH1253">
        <v>3350</v>
      </c>
      <c r="BI1253">
        <v>1</v>
      </c>
      <c r="BJ1253">
        <v>1</v>
      </c>
      <c r="BK1253">
        <v>0</v>
      </c>
      <c r="BL1253">
        <v>0</v>
      </c>
      <c r="BO1253">
        <v>0</v>
      </c>
      <c r="BP1253">
        <v>0</v>
      </c>
      <c r="BW1253" t="str">
        <f>"22:14:44.767"</f>
        <v>22:14:44.767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6</v>
      </c>
      <c r="CP1253" t="s">
        <v>119</v>
      </c>
      <c r="CQ1253">
        <v>364</v>
      </c>
      <c r="CR1253">
        <v>0</v>
      </c>
      <c r="CW1253">
        <v>1412488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"03/24/2022 22:14:44.974"</f>
        <v>03/24/2022 22:14:44.974</v>
      </c>
      <c r="C1254" t="str">
        <f t="shared" si="372"/>
        <v>FFDFD3C0</v>
      </c>
      <c r="D1254" t="s">
        <v>123</v>
      </c>
      <c r="E1254">
        <v>8</v>
      </c>
      <c r="H1254">
        <v>31</v>
      </c>
      <c r="I1254" t="s">
        <v>124</v>
      </c>
      <c r="J1254" t="s">
        <v>125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S1254" t="str">
        <f t="shared" si="377"/>
        <v>22:14:44.000</v>
      </c>
      <c r="T1254" t="str">
        <f t="shared" si="377"/>
        <v>22:14:44.000</v>
      </c>
      <c r="U1254" t="str">
        <f t="shared" si="366"/>
        <v>A9D71F</v>
      </c>
      <c r="V1254">
        <v>0</v>
      </c>
      <c r="W1254">
        <v>0</v>
      </c>
      <c r="X1254">
        <v>2</v>
      </c>
      <c r="Z1254">
        <v>1</v>
      </c>
      <c r="AA1254">
        <v>7</v>
      </c>
      <c r="AB1254">
        <v>3</v>
      </c>
      <c r="AC1254">
        <v>0</v>
      </c>
      <c r="AD1254">
        <v>9</v>
      </c>
      <c r="AE1254">
        <v>0</v>
      </c>
      <c r="AF1254">
        <v>3</v>
      </c>
      <c r="AG1254">
        <v>1</v>
      </c>
      <c r="AH1254">
        <v>0</v>
      </c>
      <c r="AI1254" t="s">
        <v>676</v>
      </c>
      <c r="AJ1254">
        <v>33.120840000000001</v>
      </c>
      <c r="AK1254" t="s">
        <v>677</v>
      </c>
      <c r="AL1254">
        <v>-97.702081000000007</v>
      </c>
      <c r="AM1254">
        <v>25</v>
      </c>
      <c r="AN1254">
        <v>3400</v>
      </c>
      <c r="AO1254" t="s">
        <v>118</v>
      </c>
      <c r="AP1254">
        <v>53</v>
      </c>
      <c r="AQ1254">
        <v>-97</v>
      </c>
      <c r="AR1254">
        <v>-192</v>
      </c>
      <c r="AZ1254">
        <v>1200</v>
      </c>
      <c r="BA1254">
        <v>1</v>
      </c>
      <c r="BB1254" t="str">
        <f t="shared" si="373"/>
        <v xml:space="preserve">N733KP  </v>
      </c>
      <c r="BC1254">
        <v>1</v>
      </c>
      <c r="BE1254">
        <v>0</v>
      </c>
      <c r="BF1254">
        <v>0</v>
      </c>
      <c r="BG1254">
        <v>0</v>
      </c>
      <c r="BH1254">
        <v>3350</v>
      </c>
      <c r="BI1254">
        <v>1</v>
      </c>
      <c r="BJ1254">
        <v>1</v>
      </c>
      <c r="BK1254">
        <v>0</v>
      </c>
      <c r="BL1254">
        <v>0</v>
      </c>
      <c r="BO1254">
        <v>0</v>
      </c>
      <c r="BP1254">
        <v>0</v>
      </c>
      <c r="BW1254" t="str">
        <f>"22:14:44.767"</f>
        <v>22:14:44.767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6</v>
      </c>
      <c r="CP1254" t="s">
        <v>119</v>
      </c>
      <c r="CQ1254">
        <v>364</v>
      </c>
      <c r="CR1254">
        <v>0</v>
      </c>
      <c r="CW1254">
        <v>1412488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"03/24/2022 22:14:44.974"</f>
        <v>03/24/2022 22:14:44.974</v>
      </c>
      <c r="C1255" t="str">
        <f t="shared" si="372"/>
        <v>FFDFD3C0</v>
      </c>
      <c r="D1255" t="s">
        <v>120</v>
      </c>
      <c r="E1255">
        <v>14</v>
      </c>
      <c r="F1255">
        <v>1014</v>
      </c>
      <c r="G1255" t="s">
        <v>121</v>
      </c>
      <c r="J1255" t="s">
        <v>122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S1255" t="str">
        <f t="shared" si="377"/>
        <v>22:14:44.000</v>
      </c>
      <c r="T1255" t="str">
        <f t="shared" si="377"/>
        <v>22:14:44.000</v>
      </c>
      <c r="U1255" t="str">
        <f t="shared" si="366"/>
        <v>A9D71F</v>
      </c>
      <c r="V1255">
        <v>0</v>
      </c>
      <c r="W1255">
        <v>0</v>
      </c>
      <c r="X1255">
        <v>2</v>
      </c>
      <c r="Z1255">
        <v>1</v>
      </c>
      <c r="AA1255">
        <v>7</v>
      </c>
      <c r="AB1255">
        <v>3</v>
      </c>
      <c r="AC1255">
        <v>0</v>
      </c>
      <c r="AD1255">
        <v>9</v>
      </c>
      <c r="AE1255">
        <v>0</v>
      </c>
      <c r="AF1255">
        <v>3</v>
      </c>
      <c r="AG1255">
        <v>1</v>
      </c>
      <c r="AH1255">
        <v>0</v>
      </c>
      <c r="AI1255" t="s">
        <v>676</v>
      </c>
      <c r="AJ1255">
        <v>33.120840000000001</v>
      </c>
      <c r="AK1255" t="s">
        <v>677</v>
      </c>
      <c r="AL1255">
        <v>-97.702081000000007</v>
      </c>
      <c r="AM1255">
        <v>25</v>
      </c>
      <c r="AN1255">
        <v>3400</v>
      </c>
      <c r="AO1255" t="s">
        <v>118</v>
      </c>
      <c r="AP1255">
        <v>53</v>
      </c>
      <c r="AQ1255">
        <v>-97</v>
      </c>
      <c r="AR1255">
        <v>-192</v>
      </c>
      <c r="AZ1255">
        <v>1200</v>
      </c>
      <c r="BA1255">
        <v>1</v>
      </c>
      <c r="BB1255" t="str">
        <f t="shared" si="373"/>
        <v xml:space="preserve">N733KP  </v>
      </c>
      <c r="BC1255">
        <v>1</v>
      </c>
      <c r="BE1255">
        <v>0</v>
      </c>
      <c r="BF1255">
        <v>0</v>
      </c>
      <c r="BG1255">
        <v>0</v>
      </c>
      <c r="BH1255">
        <v>3350</v>
      </c>
      <c r="BI1255">
        <v>1</v>
      </c>
      <c r="BJ1255">
        <v>1</v>
      </c>
      <c r="BK1255">
        <v>0</v>
      </c>
      <c r="BL1255">
        <v>0</v>
      </c>
      <c r="BO1255">
        <v>0</v>
      </c>
      <c r="BP1255">
        <v>0</v>
      </c>
      <c r="BW1255" t="str">
        <f>"22:14:44.767"</f>
        <v>22:14:44.767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6</v>
      </c>
      <c r="CP1255" t="s">
        <v>119</v>
      </c>
      <c r="CQ1255">
        <v>364</v>
      </c>
      <c r="CR1255">
        <v>0</v>
      </c>
      <c r="CW1255">
        <v>1412488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"03/24/2022 22:14:45.615"</f>
        <v>03/24/2022 22:14:45.615</v>
      </c>
      <c r="C1256" t="str">
        <f t="shared" si="372"/>
        <v>FFDFD3C0</v>
      </c>
      <c r="D1256" t="s">
        <v>123</v>
      </c>
      <c r="E1256">
        <v>8</v>
      </c>
      <c r="H1256">
        <v>31</v>
      </c>
      <c r="I1256" t="s">
        <v>124</v>
      </c>
      <c r="J1256" t="s">
        <v>125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S1256" t="str">
        <f t="shared" ref="S1256:T1259" si="378">"22:14:45.000"</f>
        <v>22:14:45.000</v>
      </c>
      <c r="T1256" t="str">
        <f t="shared" si="378"/>
        <v>22:14:45.000</v>
      </c>
      <c r="U1256" t="str">
        <f t="shared" si="366"/>
        <v>A9D71F</v>
      </c>
      <c r="V1256">
        <v>0</v>
      </c>
      <c r="W1256">
        <v>0</v>
      </c>
      <c r="X1256">
        <v>2</v>
      </c>
      <c r="Z1256">
        <v>1</v>
      </c>
      <c r="AA1256">
        <v>7</v>
      </c>
      <c r="AB1256">
        <v>3</v>
      </c>
      <c r="AC1256">
        <v>0</v>
      </c>
      <c r="AD1256">
        <v>9</v>
      </c>
      <c r="AE1256">
        <v>0</v>
      </c>
      <c r="AF1256">
        <v>3</v>
      </c>
      <c r="AG1256">
        <v>1</v>
      </c>
      <c r="AH1256">
        <v>0</v>
      </c>
      <c r="AI1256" t="s">
        <v>678</v>
      </c>
      <c r="AJ1256">
        <v>33.12041</v>
      </c>
      <c r="AK1256" t="s">
        <v>679</v>
      </c>
      <c r="AL1256">
        <v>-97.701802000000001</v>
      </c>
      <c r="AM1256">
        <v>25</v>
      </c>
      <c r="AN1256">
        <v>3400</v>
      </c>
      <c r="AO1256" t="s">
        <v>118</v>
      </c>
      <c r="AP1256">
        <v>54</v>
      </c>
      <c r="AQ1256">
        <v>-97</v>
      </c>
      <c r="AR1256">
        <v>-128</v>
      </c>
      <c r="AZ1256">
        <v>1200</v>
      </c>
      <c r="BA1256">
        <v>1</v>
      </c>
      <c r="BB1256" t="str">
        <f t="shared" si="373"/>
        <v xml:space="preserve">N733KP  </v>
      </c>
      <c r="BC1256">
        <v>1</v>
      </c>
      <c r="BE1256">
        <v>0</v>
      </c>
      <c r="BF1256">
        <v>0</v>
      </c>
      <c r="BG1256">
        <v>0</v>
      </c>
      <c r="BH1256">
        <v>3350</v>
      </c>
      <c r="BI1256">
        <v>1</v>
      </c>
      <c r="BJ1256">
        <v>1</v>
      </c>
      <c r="BK1256">
        <v>0</v>
      </c>
      <c r="BL1256">
        <v>0</v>
      </c>
      <c r="BO1256">
        <v>0</v>
      </c>
      <c r="BP1256">
        <v>0</v>
      </c>
      <c r="BW1256" t="str">
        <f>"22:14:45.347"</f>
        <v>22:14:45.347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364</v>
      </c>
      <c r="CR1256">
        <v>0</v>
      </c>
      <c r="CW1256">
        <v>1412580</v>
      </c>
      <c r="CY1256">
        <v>1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"03/24/2022 22:14:45.615"</f>
        <v>03/24/2022 22:14:45.615</v>
      </c>
      <c r="C1257" t="str">
        <f t="shared" si="372"/>
        <v>FFDFD3C0</v>
      </c>
      <c r="D1257" t="s">
        <v>120</v>
      </c>
      <c r="E1257">
        <v>14</v>
      </c>
      <c r="F1257">
        <v>1014</v>
      </c>
      <c r="G1257" t="s">
        <v>121</v>
      </c>
      <c r="J1257" t="s">
        <v>122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S1257" t="str">
        <f t="shared" si="378"/>
        <v>22:14:45.000</v>
      </c>
      <c r="T1257" t="str">
        <f t="shared" si="378"/>
        <v>22:14:45.000</v>
      </c>
      <c r="U1257" t="str">
        <f t="shared" si="366"/>
        <v>A9D71F</v>
      </c>
      <c r="V1257">
        <v>0</v>
      </c>
      <c r="W1257">
        <v>0</v>
      </c>
      <c r="X1257">
        <v>2</v>
      </c>
      <c r="Z1257">
        <v>1</v>
      </c>
      <c r="AA1257">
        <v>7</v>
      </c>
      <c r="AB1257">
        <v>3</v>
      </c>
      <c r="AC1257">
        <v>0</v>
      </c>
      <c r="AD1257">
        <v>9</v>
      </c>
      <c r="AE1257">
        <v>0</v>
      </c>
      <c r="AF1257">
        <v>3</v>
      </c>
      <c r="AG1257">
        <v>1</v>
      </c>
      <c r="AH1257">
        <v>0</v>
      </c>
      <c r="AI1257" t="s">
        <v>678</v>
      </c>
      <c r="AJ1257">
        <v>33.12041</v>
      </c>
      <c r="AK1257" t="s">
        <v>679</v>
      </c>
      <c r="AL1257">
        <v>-97.701802000000001</v>
      </c>
      <c r="AM1257">
        <v>25</v>
      </c>
      <c r="AN1257">
        <v>3400</v>
      </c>
      <c r="AO1257" t="s">
        <v>118</v>
      </c>
      <c r="AP1257">
        <v>54</v>
      </c>
      <c r="AQ1257">
        <v>-97</v>
      </c>
      <c r="AR1257">
        <v>-128</v>
      </c>
      <c r="AZ1257">
        <v>1200</v>
      </c>
      <c r="BA1257">
        <v>1</v>
      </c>
      <c r="BB1257" t="str">
        <f t="shared" si="373"/>
        <v xml:space="preserve">N733KP  </v>
      </c>
      <c r="BC1257">
        <v>1</v>
      </c>
      <c r="BE1257">
        <v>0</v>
      </c>
      <c r="BF1257">
        <v>0</v>
      </c>
      <c r="BG1257">
        <v>0</v>
      </c>
      <c r="BH1257">
        <v>3350</v>
      </c>
      <c r="BI1257">
        <v>1</v>
      </c>
      <c r="BJ1257">
        <v>1</v>
      </c>
      <c r="BK1257">
        <v>0</v>
      </c>
      <c r="BL1257">
        <v>0</v>
      </c>
      <c r="BO1257">
        <v>0</v>
      </c>
      <c r="BP1257">
        <v>0</v>
      </c>
      <c r="BW1257" t="str">
        <f>"22:14:45.347"</f>
        <v>22:14:45.347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364</v>
      </c>
      <c r="CR1257">
        <v>0</v>
      </c>
      <c r="CW1257">
        <v>1412580</v>
      </c>
      <c r="CY1257">
        <v>1</v>
      </c>
      <c r="CZ1257">
        <v>0</v>
      </c>
      <c r="DA1257">
        <v>1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"03/24/2022 22:14:45.631"</f>
        <v>03/24/2022 22:14:45.631</v>
      </c>
      <c r="C1258" t="str">
        <f t="shared" si="372"/>
        <v>FFDFD3C0</v>
      </c>
      <c r="D1258" t="s">
        <v>126</v>
      </c>
      <c r="E1258">
        <v>3</v>
      </c>
      <c r="H1258">
        <v>160</v>
      </c>
      <c r="I1258" t="s">
        <v>121</v>
      </c>
      <c r="J1258" t="s">
        <v>127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S1258" t="str">
        <f t="shared" si="378"/>
        <v>22:14:45.000</v>
      </c>
      <c r="T1258" t="str">
        <f t="shared" si="378"/>
        <v>22:14:45.000</v>
      </c>
      <c r="U1258" t="str">
        <f t="shared" si="366"/>
        <v>A9D71F</v>
      </c>
      <c r="V1258">
        <v>0</v>
      </c>
      <c r="W1258">
        <v>0</v>
      </c>
      <c r="X1258">
        <v>2</v>
      </c>
      <c r="Z1258">
        <v>1</v>
      </c>
      <c r="AA1258">
        <v>7</v>
      </c>
      <c r="AB1258">
        <v>3</v>
      </c>
      <c r="AC1258">
        <v>0</v>
      </c>
      <c r="AD1258">
        <v>9</v>
      </c>
      <c r="AE1258">
        <v>0</v>
      </c>
      <c r="AF1258">
        <v>3</v>
      </c>
      <c r="AG1258">
        <v>1</v>
      </c>
      <c r="AH1258">
        <v>0</v>
      </c>
      <c r="AI1258" t="s">
        <v>678</v>
      </c>
      <c r="AJ1258">
        <v>33.12041</v>
      </c>
      <c r="AK1258" t="s">
        <v>679</v>
      </c>
      <c r="AL1258">
        <v>-97.701802000000001</v>
      </c>
      <c r="AM1258">
        <v>25</v>
      </c>
      <c r="AN1258">
        <v>3400</v>
      </c>
      <c r="AO1258" t="s">
        <v>118</v>
      </c>
      <c r="AP1258">
        <v>54</v>
      </c>
      <c r="AQ1258">
        <v>-97</v>
      </c>
      <c r="AR1258">
        <v>-128</v>
      </c>
      <c r="AZ1258">
        <v>1200</v>
      </c>
      <c r="BA1258">
        <v>1</v>
      </c>
      <c r="BB1258" t="str">
        <f t="shared" si="373"/>
        <v xml:space="preserve">N733KP  </v>
      </c>
      <c r="BC1258">
        <v>1</v>
      </c>
      <c r="BE1258">
        <v>0</v>
      </c>
      <c r="BF1258">
        <v>0</v>
      </c>
      <c r="BG1258">
        <v>0</v>
      </c>
      <c r="BH1258">
        <v>3350</v>
      </c>
      <c r="BI1258">
        <v>1</v>
      </c>
      <c r="BJ1258">
        <v>1</v>
      </c>
      <c r="BK1258">
        <v>0</v>
      </c>
      <c r="BL1258">
        <v>0</v>
      </c>
      <c r="BO1258">
        <v>0</v>
      </c>
      <c r="BP1258">
        <v>0</v>
      </c>
      <c r="BW1258" t="str">
        <f>"22:14:45.347"</f>
        <v>22:14:45.347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364</v>
      </c>
      <c r="CR1258">
        <v>0</v>
      </c>
      <c r="CW1258">
        <v>1412580</v>
      </c>
      <c r="CY1258">
        <v>1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"03/24/2022 22:14:45.631"</f>
        <v>03/24/2022 22:14:45.631</v>
      </c>
      <c r="C1259" t="str">
        <f t="shared" si="372"/>
        <v>FFDFD3C0</v>
      </c>
      <c r="D1259" t="s">
        <v>113</v>
      </c>
      <c r="E1259">
        <v>24</v>
      </c>
      <c r="F1259">
        <v>2024</v>
      </c>
      <c r="G1259" t="s">
        <v>114</v>
      </c>
      <c r="J1259" t="s">
        <v>115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S1259" t="str">
        <f t="shared" si="378"/>
        <v>22:14:45.000</v>
      </c>
      <c r="T1259" t="str">
        <f t="shared" si="378"/>
        <v>22:14:45.000</v>
      </c>
      <c r="U1259" t="str">
        <f t="shared" si="366"/>
        <v>A9D71F</v>
      </c>
      <c r="V1259">
        <v>0</v>
      </c>
      <c r="W1259">
        <v>0</v>
      </c>
      <c r="X1259">
        <v>2</v>
      </c>
      <c r="Z1259">
        <v>1</v>
      </c>
      <c r="AA1259">
        <v>7</v>
      </c>
      <c r="AB1259">
        <v>3</v>
      </c>
      <c r="AC1259">
        <v>0</v>
      </c>
      <c r="AD1259">
        <v>9</v>
      </c>
      <c r="AE1259">
        <v>0</v>
      </c>
      <c r="AF1259">
        <v>3</v>
      </c>
      <c r="AG1259">
        <v>1</v>
      </c>
      <c r="AH1259">
        <v>0</v>
      </c>
      <c r="AI1259" t="s">
        <v>678</v>
      </c>
      <c r="AJ1259">
        <v>33.12041</v>
      </c>
      <c r="AK1259" t="s">
        <v>679</v>
      </c>
      <c r="AL1259">
        <v>-97.701802000000001</v>
      </c>
      <c r="AM1259">
        <v>25</v>
      </c>
      <c r="AN1259">
        <v>3400</v>
      </c>
      <c r="AO1259" t="s">
        <v>118</v>
      </c>
      <c r="AP1259">
        <v>54</v>
      </c>
      <c r="AQ1259">
        <v>-97</v>
      </c>
      <c r="AR1259">
        <v>-128</v>
      </c>
      <c r="AZ1259">
        <v>1200</v>
      </c>
      <c r="BA1259">
        <v>1</v>
      </c>
      <c r="BB1259" t="str">
        <f t="shared" si="373"/>
        <v xml:space="preserve">N733KP  </v>
      </c>
      <c r="BC1259">
        <v>1</v>
      </c>
      <c r="BE1259">
        <v>0</v>
      </c>
      <c r="BF1259">
        <v>0</v>
      </c>
      <c r="BG1259">
        <v>0</v>
      </c>
      <c r="BH1259">
        <v>3350</v>
      </c>
      <c r="BI1259">
        <v>1</v>
      </c>
      <c r="BJ1259">
        <v>1</v>
      </c>
      <c r="BK1259">
        <v>0</v>
      </c>
      <c r="BL1259">
        <v>0</v>
      </c>
      <c r="BO1259">
        <v>0</v>
      </c>
      <c r="BP1259">
        <v>0</v>
      </c>
      <c r="BW1259" t="str">
        <f>"22:14:45.347"</f>
        <v>22:14:45.347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364</v>
      </c>
      <c r="CR1259">
        <v>0</v>
      </c>
      <c r="CW1259">
        <v>1412580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"03/24/2022 22:14:47.210"</f>
        <v>03/24/2022 22:14:47.210</v>
      </c>
      <c r="C1260" t="str">
        <f t="shared" si="372"/>
        <v>FFDFD3C0</v>
      </c>
      <c r="D1260" t="s">
        <v>126</v>
      </c>
      <c r="E1260">
        <v>3</v>
      </c>
      <c r="H1260">
        <v>160</v>
      </c>
      <c r="I1260" t="s">
        <v>121</v>
      </c>
      <c r="J1260" t="s">
        <v>127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S1260" t="str">
        <f t="shared" ref="S1260:T1263" si="379">"22:14:46.000"</f>
        <v>22:14:46.000</v>
      </c>
      <c r="T1260" t="str">
        <f t="shared" si="379"/>
        <v>22:14:46.000</v>
      </c>
      <c r="U1260" t="str">
        <f t="shared" si="366"/>
        <v>A9D71F</v>
      </c>
      <c r="V1260">
        <v>0</v>
      </c>
      <c r="W1260">
        <v>0</v>
      </c>
      <c r="X1260">
        <v>2</v>
      </c>
      <c r="Z1260">
        <v>1</v>
      </c>
      <c r="AA1260">
        <v>7</v>
      </c>
      <c r="AB1260">
        <v>3</v>
      </c>
      <c r="AC1260">
        <v>0</v>
      </c>
      <c r="AD1260">
        <v>9</v>
      </c>
      <c r="AE1260">
        <v>0</v>
      </c>
      <c r="AF1260">
        <v>3</v>
      </c>
      <c r="AG1260">
        <v>1</v>
      </c>
      <c r="AH1260">
        <v>0</v>
      </c>
      <c r="AI1260" t="s">
        <v>680</v>
      </c>
      <c r="AJ1260">
        <v>33.119959999999999</v>
      </c>
      <c r="AK1260" t="s">
        <v>681</v>
      </c>
      <c r="AL1260">
        <v>-97.701522999999995</v>
      </c>
      <c r="AM1260">
        <v>25</v>
      </c>
      <c r="AN1260">
        <v>3300</v>
      </c>
      <c r="AO1260" t="s">
        <v>118</v>
      </c>
      <c r="AP1260">
        <v>53</v>
      </c>
      <c r="AQ1260">
        <v>-98</v>
      </c>
      <c r="AR1260">
        <v>-64</v>
      </c>
      <c r="AZ1260">
        <v>1200</v>
      </c>
      <c r="BA1260">
        <v>1</v>
      </c>
      <c r="BB1260" t="str">
        <f t="shared" si="373"/>
        <v xml:space="preserve">N733KP  </v>
      </c>
      <c r="BC1260">
        <v>1</v>
      </c>
      <c r="BE1260">
        <v>0</v>
      </c>
      <c r="BF1260">
        <v>0</v>
      </c>
      <c r="BG1260">
        <v>0</v>
      </c>
      <c r="BH1260">
        <v>3350</v>
      </c>
      <c r="BI1260">
        <v>1</v>
      </c>
      <c r="BJ1260">
        <v>1</v>
      </c>
      <c r="BK1260">
        <v>0</v>
      </c>
      <c r="BL1260">
        <v>0</v>
      </c>
      <c r="BO1260">
        <v>0</v>
      </c>
      <c r="BP1260">
        <v>0</v>
      </c>
      <c r="BW1260" t="str">
        <f>"22:14:46.798"</f>
        <v>22:14:46.798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364</v>
      </c>
      <c r="CR1260">
        <v>0</v>
      </c>
      <c r="CW1260">
        <v>1412816</v>
      </c>
      <c r="CY1260">
        <v>1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"03/24/2022 22:14:47.210"</f>
        <v>03/24/2022 22:14:47.210</v>
      </c>
      <c r="C1261" t="str">
        <f t="shared" si="372"/>
        <v>FFDFD3C0</v>
      </c>
      <c r="D1261" t="s">
        <v>113</v>
      </c>
      <c r="E1261">
        <v>24</v>
      </c>
      <c r="F1261">
        <v>2024</v>
      </c>
      <c r="G1261" t="s">
        <v>114</v>
      </c>
      <c r="J1261" t="s">
        <v>115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S1261" t="str">
        <f t="shared" si="379"/>
        <v>22:14:46.000</v>
      </c>
      <c r="T1261" t="str">
        <f t="shared" si="379"/>
        <v>22:14:46.000</v>
      </c>
      <c r="U1261" t="str">
        <f t="shared" si="366"/>
        <v>A9D71F</v>
      </c>
      <c r="V1261">
        <v>0</v>
      </c>
      <c r="W1261">
        <v>0</v>
      </c>
      <c r="X1261">
        <v>2</v>
      </c>
      <c r="Z1261">
        <v>1</v>
      </c>
      <c r="AA1261">
        <v>7</v>
      </c>
      <c r="AB1261">
        <v>3</v>
      </c>
      <c r="AC1261">
        <v>0</v>
      </c>
      <c r="AD1261">
        <v>9</v>
      </c>
      <c r="AE1261">
        <v>0</v>
      </c>
      <c r="AF1261">
        <v>3</v>
      </c>
      <c r="AG1261">
        <v>1</v>
      </c>
      <c r="AH1261">
        <v>0</v>
      </c>
      <c r="AI1261" t="s">
        <v>680</v>
      </c>
      <c r="AJ1261">
        <v>33.119959999999999</v>
      </c>
      <c r="AK1261" t="s">
        <v>681</v>
      </c>
      <c r="AL1261">
        <v>-97.701522999999995</v>
      </c>
      <c r="AM1261">
        <v>25</v>
      </c>
      <c r="AN1261">
        <v>3300</v>
      </c>
      <c r="AO1261" t="s">
        <v>118</v>
      </c>
      <c r="AP1261">
        <v>53</v>
      </c>
      <c r="AQ1261">
        <v>-98</v>
      </c>
      <c r="AR1261">
        <v>-64</v>
      </c>
      <c r="AZ1261">
        <v>1200</v>
      </c>
      <c r="BA1261">
        <v>1</v>
      </c>
      <c r="BB1261" t="str">
        <f t="shared" si="373"/>
        <v xml:space="preserve">N733KP  </v>
      </c>
      <c r="BC1261">
        <v>1</v>
      </c>
      <c r="BE1261">
        <v>0</v>
      </c>
      <c r="BF1261">
        <v>0</v>
      </c>
      <c r="BG1261">
        <v>0</v>
      </c>
      <c r="BH1261">
        <v>3350</v>
      </c>
      <c r="BI1261">
        <v>1</v>
      </c>
      <c r="BJ1261">
        <v>1</v>
      </c>
      <c r="BK1261">
        <v>0</v>
      </c>
      <c r="BL1261">
        <v>0</v>
      </c>
      <c r="BO1261">
        <v>0</v>
      </c>
      <c r="BP1261">
        <v>0</v>
      </c>
      <c r="BW1261" t="str">
        <f>"22:14:46.798"</f>
        <v>22:14:46.798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364</v>
      </c>
      <c r="CR1261">
        <v>0</v>
      </c>
      <c r="CW1261">
        <v>1412816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"03/24/2022 22:14:47.210"</f>
        <v>03/24/2022 22:14:47.210</v>
      </c>
      <c r="C1262" t="str">
        <f t="shared" si="372"/>
        <v>FFDFD3C0</v>
      </c>
      <c r="D1262" t="s">
        <v>123</v>
      </c>
      <c r="E1262">
        <v>8</v>
      </c>
      <c r="H1262">
        <v>31</v>
      </c>
      <c r="I1262" t="s">
        <v>124</v>
      </c>
      <c r="J1262" t="s">
        <v>125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S1262" t="str">
        <f t="shared" si="379"/>
        <v>22:14:46.000</v>
      </c>
      <c r="T1262" t="str">
        <f t="shared" si="379"/>
        <v>22:14:46.000</v>
      </c>
      <c r="U1262" t="str">
        <f t="shared" si="366"/>
        <v>A9D71F</v>
      </c>
      <c r="V1262">
        <v>0</v>
      </c>
      <c r="W1262">
        <v>0</v>
      </c>
      <c r="X1262">
        <v>2</v>
      </c>
      <c r="Z1262">
        <v>1</v>
      </c>
      <c r="AA1262">
        <v>7</v>
      </c>
      <c r="AB1262">
        <v>3</v>
      </c>
      <c r="AC1262">
        <v>0</v>
      </c>
      <c r="AD1262">
        <v>9</v>
      </c>
      <c r="AE1262">
        <v>0</v>
      </c>
      <c r="AF1262">
        <v>3</v>
      </c>
      <c r="AG1262">
        <v>1</v>
      </c>
      <c r="AH1262">
        <v>0</v>
      </c>
      <c r="AI1262" t="s">
        <v>680</v>
      </c>
      <c r="AJ1262">
        <v>33.119959999999999</v>
      </c>
      <c r="AK1262" t="s">
        <v>681</v>
      </c>
      <c r="AL1262">
        <v>-97.701522999999995</v>
      </c>
      <c r="AM1262">
        <v>25</v>
      </c>
      <c r="AN1262">
        <v>3300</v>
      </c>
      <c r="AO1262" t="s">
        <v>118</v>
      </c>
      <c r="AP1262">
        <v>53</v>
      </c>
      <c r="AQ1262">
        <v>-98</v>
      </c>
      <c r="AR1262">
        <v>-64</v>
      </c>
      <c r="AZ1262">
        <v>1200</v>
      </c>
      <c r="BA1262">
        <v>1</v>
      </c>
      <c r="BB1262" t="str">
        <f t="shared" si="373"/>
        <v xml:space="preserve">N733KP  </v>
      </c>
      <c r="BC1262">
        <v>1</v>
      </c>
      <c r="BE1262">
        <v>0</v>
      </c>
      <c r="BF1262">
        <v>0</v>
      </c>
      <c r="BG1262">
        <v>0</v>
      </c>
      <c r="BH1262">
        <v>3350</v>
      </c>
      <c r="BI1262">
        <v>1</v>
      </c>
      <c r="BJ1262">
        <v>1</v>
      </c>
      <c r="BK1262">
        <v>0</v>
      </c>
      <c r="BL1262">
        <v>0</v>
      </c>
      <c r="BO1262">
        <v>0</v>
      </c>
      <c r="BP1262">
        <v>0</v>
      </c>
      <c r="BW1262" t="str">
        <f>"22:14:46.798"</f>
        <v>22:14:46.798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364</v>
      </c>
      <c r="CR1262">
        <v>0</v>
      </c>
      <c r="CW1262">
        <v>1412816</v>
      </c>
      <c r="CY1262">
        <v>1</v>
      </c>
      <c r="CZ1262">
        <v>0</v>
      </c>
      <c r="DA1262">
        <v>1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"03/24/2022 22:14:47.210"</f>
        <v>03/24/2022 22:14:47.210</v>
      </c>
      <c r="C1263" t="str">
        <f t="shared" si="372"/>
        <v>FFDFD3C0</v>
      </c>
      <c r="D1263" t="s">
        <v>120</v>
      </c>
      <c r="E1263">
        <v>14</v>
      </c>
      <c r="F1263">
        <v>1014</v>
      </c>
      <c r="G1263" t="s">
        <v>121</v>
      </c>
      <c r="J1263" t="s">
        <v>122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S1263" t="str">
        <f t="shared" si="379"/>
        <v>22:14:46.000</v>
      </c>
      <c r="T1263" t="str">
        <f t="shared" si="379"/>
        <v>22:14:46.000</v>
      </c>
      <c r="U1263" t="str">
        <f t="shared" si="366"/>
        <v>A9D71F</v>
      </c>
      <c r="V1263">
        <v>0</v>
      </c>
      <c r="W1263">
        <v>0</v>
      </c>
      <c r="X1263">
        <v>2</v>
      </c>
      <c r="Z1263">
        <v>1</v>
      </c>
      <c r="AA1263">
        <v>7</v>
      </c>
      <c r="AB1263">
        <v>3</v>
      </c>
      <c r="AC1263">
        <v>0</v>
      </c>
      <c r="AD1263">
        <v>9</v>
      </c>
      <c r="AE1263">
        <v>0</v>
      </c>
      <c r="AF1263">
        <v>3</v>
      </c>
      <c r="AG1263">
        <v>1</v>
      </c>
      <c r="AH1263">
        <v>0</v>
      </c>
      <c r="AI1263" t="s">
        <v>680</v>
      </c>
      <c r="AJ1263">
        <v>33.119959999999999</v>
      </c>
      <c r="AK1263" t="s">
        <v>681</v>
      </c>
      <c r="AL1263">
        <v>-97.701522999999995</v>
      </c>
      <c r="AM1263">
        <v>25</v>
      </c>
      <c r="AN1263">
        <v>3300</v>
      </c>
      <c r="AO1263" t="s">
        <v>118</v>
      </c>
      <c r="AP1263">
        <v>53</v>
      </c>
      <c r="AQ1263">
        <v>-98</v>
      </c>
      <c r="AR1263">
        <v>-64</v>
      </c>
      <c r="AZ1263">
        <v>1200</v>
      </c>
      <c r="BA1263">
        <v>1</v>
      </c>
      <c r="BB1263" t="str">
        <f t="shared" si="373"/>
        <v xml:space="preserve">N733KP  </v>
      </c>
      <c r="BC1263">
        <v>1</v>
      </c>
      <c r="BE1263">
        <v>0</v>
      </c>
      <c r="BF1263">
        <v>0</v>
      </c>
      <c r="BG1263">
        <v>0</v>
      </c>
      <c r="BH1263">
        <v>3350</v>
      </c>
      <c r="BI1263">
        <v>1</v>
      </c>
      <c r="BJ1263">
        <v>1</v>
      </c>
      <c r="BK1263">
        <v>0</v>
      </c>
      <c r="BL1263">
        <v>0</v>
      </c>
      <c r="BO1263">
        <v>0</v>
      </c>
      <c r="BP1263">
        <v>0</v>
      </c>
      <c r="BW1263" t="str">
        <f>"22:14:46.798"</f>
        <v>22:14:46.798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364</v>
      </c>
      <c r="CR1263">
        <v>0</v>
      </c>
      <c r="CW1263">
        <v>1412816</v>
      </c>
      <c r="CY1263">
        <v>1</v>
      </c>
      <c r="CZ1263">
        <v>0</v>
      </c>
      <c r="DA1263">
        <v>1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"03/24/2022 22:14:47.601"</f>
        <v>03/24/2022 22:14:47.601</v>
      </c>
      <c r="C1264" t="str">
        <f t="shared" si="372"/>
        <v>FFDFD3C0</v>
      </c>
      <c r="D1264" t="s">
        <v>123</v>
      </c>
      <c r="E1264">
        <v>8</v>
      </c>
      <c r="H1264">
        <v>31</v>
      </c>
      <c r="I1264" t="s">
        <v>124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S1264" t="str">
        <f t="shared" ref="S1264:T1267" si="380">"22:14:47.000"</f>
        <v>22:14:47.000</v>
      </c>
      <c r="T1264" t="str">
        <f t="shared" si="380"/>
        <v>22:14:47.000</v>
      </c>
      <c r="U1264" t="str">
        <f t="shared" si="366"/>
        <v>A9D71F</v>
      </c>
      <c r="V1264">
        <v>0</v>
      </c>
      <c r="W1264">
        <v>0</v>
      </c>
      <c r="X1264">
        <v>2</v>
      </c>
      <c r="Z1264">
        <v>1</v>
      </c>
      <c r="AA1264">
        <v>7</v>
      </c>
      <c r="AB1264">
        <v>3</v>
      </c>
      <c r="AC1264">
        <v>0</v>
      </c>
      <c r="AD1264">
        <v>9</v>
      </c>
      <c r="AE1264">
        <v>0</v>
      </c>
      <c r="AF1264">
        <v>3</v>
      </c>
      <c r="AG1264">
        <v>1</v>
      </c>
      <c r="AH1264">
        <v>0</v>
      </c>
      <c r="AI1264" t="s">
        <v>682</v>
      </c>
      <c r="AJ1264">
        <v>33.119509000000001</v>
      </c>
      <c r="AK1264" t="s">
        <v>683</v>
      </c>
      <c r="AL1264">
        <v>-97.701222999999999</v>
      </c>
      <c r="AM1264">
        <v>25</v>
      </c>
      <c r="AN1264">
        <v>3300</v>
      </c>
      <c r="AO1264" t="s">
        <v>118</v>
      </c>
      <c r="AP1264">
        <v>53</v>
      </c>
      <c r="AQ1264">
        <v>-98</v>
      </c>
      <c r="AR1264">
        <v>0</v>
      </c>
      <c r="AZ1264">
        <v>1200</v>
      </c>
      <c r="BA1264">
        <v>1</v>
      </c>
      <c r="BB1264" t="str">
        <f t="shared" si="373"/>
        <v xml:space="preserve">N733KP  </v>
      </c>
      <c r="BC1264">
        <v>1</v>
      </c>
      <c r="BE1264">
        <v>0</v>
      </c>
      <c r="BF1264">
        <v>0</v>
      </c>
      <c r="BG1264">
        <v>0</v>
      </c>
      <c r="BH1264">
        <v>3350</v>
      </c>
      <c r="BI1264">
        <v>1</v>
      </c>
      <c r="BJ1264">
        <v>1</v>
      </c>
      <c r="BK1264">
        <v>0</v>
      </c>
      <c r="BL1264">
        <v>0</v>
      </c>
      <c r="BO1264">
        <v>0</v>
      </c>
      <c r="BP1264">
        <v>0</v>
      </c>
      <c r="BW1264" t="str">
        <f>"22:14:47.384"</f>
        <v>22:14:47.384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364</v>
      </c>
      <c r="CR1264">
        <v>0</v>
      </c>
      <c r="CW1264">
        <v>1412902</v>
      </c>
      <c r="CY1264">
        <v>1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"03/24/2022 22:14:47.601"</f>
        <v>03/24/2022 22:14:47.601</v>
      </c>
      <c r="C1265" t="str">
        <f t="shared" si="372"/>
        <v>FFDFD3C0</v>
      </c>
      <c r="D1265" t="s">
        <v>120</v>
      </c>
      <c r="E1265">
        <v>14</v>
      </c>
      <c r="F1265">
        <v>1014</v>
      </c>
      <c r="G1265" t="s">
        <v>121</v>
      </c>
      <c r="J1265" t="s">
        <v>122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S1265" t="str">
        <f t="shared" si="380"/>
        <v>22:14:47.000</v>
      </c>
      <c r="T1265" t="str">
        <f t="shared" si="380"/>
        <v>22:14:47.000</v>
      </c>
      <c r="U1265" t="str">
        <f t="shared" si="366"/>
        <v>A9D71F</v>
      </c>
      <c r="V1265">
        <v>0</v>
      </c>
      <c r="W1265">
        <v>0</v>
      </c>
      <c r="X1265">
        <v>2</v>
      </c>
      <c r="Z1265">
        <v>1</v>
      </c>
      <c r="AA1265">
        <v>7</v>
      </c>
      <c r="AB1265">
        <v>3</v>
      </c>
      <c r="AC1265">
        <v>0</v>
      </c>
      <c r="AD1265">
        <v>9</v>
      </c>
      <c r="AE1265">
        <v>0</v>
      </c>
      <c r="AF1265">
        <v>3</v>
      </c>
      <c r="AG1265">
        <v>1</v>
      </c>
      <c r="AH1265">
        <v>0</v>
      </c>
      <c r="AI1265" t="s">
        <v>682</v>
      </c>
      <c r="AJ1265">
        <v>33.119509000000001</v>
      </c>
      <c r="AK1265" t="s">
        <v>683</v>
      </c>
      <c r="AL1265">
        <v>-97.701222999999999</v>
      </c>
      <c r="AM1265">
        <v>25</v>
      </c>
      <c r="AN1265">
        <v>3300</v>
      </c>
      <c r="AO1265" t="s">
        <v>118</v>
      </c>
      <c r="AP1265">
        <v>53</v>
      </c>
      <c r="AQ1265">
        <v>-98</v>
      </c>
      <c r="AR1265">
        <v>0</v>
      </c>
      <c r="AZ1265">
        <v>1200</v>
      </c>
      <c r="BA1265">
        <v>1</v>
      </c>
      <c r="BB1265" t="str">
        <f t="shared" si="373"/>
        <v xml:space="preserve">N733KP  </v>
      </c>
      <c r="BC1265">
        <v>1</v>
      </c>
      <c r="BE1265">
        <v>0</v>
      </c>
      <c r="BF1265">
        <v>0</v>
      </c>
      <c r="BG1265">
        <v>0</v>
      </c>
      <c r="BH1265">
        <v>3350</v>
      </c>
      <c r="BI1265">
        <v>1</v>
      </c>
      <c r="BJ1265">
        <v>1</v>
      </c>
      <c r="BK1265">
        <v>0</v>
      </c>
      <c r="BL1265">
        <v>0</v>
      </c>
      <c r="BO1265">
        <v>0</v>
      </c>
      <c r="BP1265">
        <v>0</v>
      </c>
      <c r="BW1265" t="str">
        <f>"22:14:47.384"</f>
        <v>22:14:47.384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364</v>
      </c>
      <c r="CR1265">
        <v>0</v>
      </c>
      <c r="CW1265">
        <v>1412902</v>
      </c>
      <c r="CY1265">
        <v>1</v>
      </c>
      <c r="CZ1265">
        <v>0</v>
      </c>
      <c r="DA1265">
        <v>1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"03/24/2022 22:14:47.632"</f>
        <v>03/24/2022 22:14:47.632</v>
      </c>
      <c r="C1266" t="str">
        <f t="shared" si="372"/>
        <v>FFDFD3C0</v>
      </c>
      <c r="D1266" t="s">
        <v>126</v>
      </c>
      <c r="E1266">
        <v>3</v>
      </c>
      <c r="H1266">
        <v>160</v>
      </c>
      <c r="I1266" t="s">
        <v>121</v>
      </c>
      <c r="J1266" t="s">
        <v>127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S1266" t="str">
        <f t="shared" si="380"/>
        <v>22:14:47.000</v>
      </c>
      <c r="T1266" t="str">
        <f t="shared" si="380"/>
        <v>22:14:47.000</v>
      </c>
      <c r="U1266" t="str">
        <f t="shared" si="366"/>
        <v>A9D71F</v>
      </c>
      <c r="V1266">
        <v>0</v>
      </c>
      <c r="W1266">
        <v>0</v>
      </c>
      <c r="X1266">
        <v>2</v>
      </c>
      <c r="Z1266">
        <v>1</v>
      </c>
      <c r="AA1266">
        <v>7</v>
      </c>
      <c r="AB1266">
        <v>3</v>
      </c>
      <c r="AC1266">
        <v>0</v>
      </c>
      <c r="AD1266">
        <v>9</v>
      </c>
      <c r="AE1266">
        <v>0</v>
      </c>
      <c r="AF1266">
        <v>3</v>
      </c>
      <c r="AG1266">
        <v>1</v>
      </c>
      <c r="AH1266">
        <v>0</v>
      </c>
      <c r="AI1266" t="s">
        <v>682</v>
      </c>
      <c r="AJ1266">
        <v>33.119509000000001</v>
      </c>
      <c r="AK1266" t="s">
        <v>683</v>
      </c>
      <c r="AL1266">
        <v>-97.701222999999999</v>
      </c>
      <c r="AM1266">
        <v>25</v>
      </c>
      <c r="AN1266">
        <v>3300</v>
      </c>
      <c r="AO1266" t="s">
        <v>118</v>
      </c>
      <c r="AP1266">
        <v>53</v>
      </c>
      <c r="AQ1266">
        <v>-98</v>
      </c>
      <c r="AR1266">
        <v>0</v>
      </c>
      <c r="AZ1266">
        <v>1200</v>
      </c>
      <c r="BA1266">
        <v>1</v>
      </c>
      <c r="BB1266" t="str">
        <f t="shared" si="373"/>
        <v xml:space="preserve">N733KP  </v>
      </c>
      <c r="BC1266">
        <v>1</v>
      </c>
      <c r="BE1266">
        <v>0</v>
      </c>
      <c r="BF1266">
        <v>0</v>
      </c>
      <c r="BG1266">
        <v>0</v>
      </c>
      <c r="BH1266">
        <v>3350</v>
      </c>
      <c r="BI1266">
        <v>1</v>
      </c>
      <c r="BJ1266">
        <v>1</v>
      </c>
      <c r="BK1266">
        <v>0</v>
      </c>
      <c r="BL1266">
        <v>0</v>
      </c>
      <c r="BO1266">
        <v>0</v>
      </c>
      <c r="BP1266">
        <v>0</v>
      </c>
      <c r="BW1266" t="str">
        <f>"22:14:47.384"</f>
        <v>22:14:47.384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364</v>
      </c>
      <c r="CR1266">
        <v>0</v>
      </c>
      <c r="CW1266">
        <v>1412902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"03/24/2022 22:14:47.632"</f>
        <v>03/24/2022 22:14:47.632</v>
      </c>
      <c r="C1267" t="str">
        <f t="shared" si="372"/>
        <v>FFDFD3C0</v>
      </c>
      <c r="D1267" t="s">
        <v>113</v>
      </c>
      <c r="E1267">
        <v>24</v>
      </c>
      <c r="F1267">
        <v>2024</v>
      </c>
      <c r="G1267" t="s">
        <v>114</v>
      </c>
      <c r="J1267" t="s">
        <v>115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S1267" t="str">
        <f t="shared" si="380"/>
        <v>22:14:47.000</v>
      </c>
      <c r="T1267" t="str">
        <f t="shared" si="380"/>
        <v>22:14:47.000</v>
      </c>
      <c r="U1267" t="str">
        <f t="shared" si="366"/>
        <v>A9D71F</v>
      </c>
      <c r="V1267">
        <v>0</v>
      </c>
      <c r="W1267">
        <v>0</v>
      </c>
      <c r="X1267">
        <v>2</v>
      </c>
      <c r="Z1267">
        <v>1</v>
      </c>
      <c r="AA1267">
        <v>7</v>
      </c>
      <c r="AB1267">
        <v>3</v>
      </c>
      <c r="AC1267">
        <v>0</v>
      </c>
      <c r="AD1267">
        <v>9</v>
      </c>
      <c r="AE1267">
        <v>0</v>
      </c>
      <c r="AF1267">
        <v>3</v>
      </c>
      <c r="AG1267">
        <v>1</v>
      </c>
      <c r="AH1267">
        <v>0</v>
      </c>
      <c r="AI1267" t="s">
        <v>682</v>
      </c>
      <c r="AJ1267">
        <v>33.119509000000001</v>
      </c>
      <c r="AK1267" t="s">
        <v>683</v>
      </c>
      <c r="AL1267">
        <v>-97.701222999999999</v>
      </c>
      <c r="AM1267">
        <v>25</v>
      </c>
      <c r="AN1267">
        <v>3300</v>
      </c>
      <c r="AO1267" t="s">
        <v>118</v>
      </c>
      <c r="AP1267">
        <v>53</v>
      </c>
      <c r="AQ1267">
        <v>-98</v>
      </c>
      <c r="AR1267">
        <v>0</v>
      </c>
      <c r="AZ1267">
        <v>1200</v>
      </c>
      <c r="BA1267">
        <v>1</v>
      </c>
      <c r="BB1267" t="str">
        <f t="shared" si="373"/>
        <v xml:space="preserve">N733KP  </v>
      </c>
      <c r="BC1267">
        <v>1</v>
      </c>
      <c r="BE1267">
        <v>0</v>
      </c>
      <c r="BF1267">
        <v>0</v>
      </c>
      <c r="BG1267">
        <v>0</v>
      </c>
      <c r="BH1267">
        <v>3350</v>
      </c>
      <c r="BI1267">
        <v>1</v>
      </c>
      <c r="BJ1267">
        <v>1</v>
      </c>
      <c r="BK1267">
        <v>0</v>
      </c>
      <c r="BL1267">
        <v>0</v>
      </c>
      <c r="BO1267">
        <v>0</v>
      </c>
      <c r="BP1267">
        <v>0</v>
      </c>
      <c r="BW1267" t="str">
        <f>"22:14:47.384"</f>
        <v>22:14:47.384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364</v>
      </c>
      <c r="CR1267">
        <v>0</v>
      </c>
      <c r="CW1267">
        <v>1412902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"03/24/2022 22:14:48.853"</f>
        <v>03/24/2022 22:14:48.853</v>
      </c>
      <c r="C1268" t="str">
        <f t="shared" si="372"/>
        <v>FFDFD3C0</v>
      </c>
      <c r="D1268" t="s">
        <v>126</v>
      </c>
      <c r="E1268">
        <v>3</v>
      </c>
      <c r="H1268">
        <v>160</v>
      </c>
      <c r="I1268" t="s">
        <v>121</v>
      </c>
      <c r="J1268" t="s">
        <v>127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S1268" t="str">
        <f t="shared" ref="S1268:T1271" si="381">"22:14:48.000"</f>
        <v>22:14:48.000</v>
      </c>
      <c r="T1268" t="str">
        <f t="shared" si="381"/>
        <v>22:14:48.000</v>
      </c>
      <c r="U1268" t="str">
        <f t="shared" si="366"/>
        <v>A9D71F</v>
      </c>
      <c r="V1268">
        <v>0</v>
      </c>
      <c r="W1268">
        <v>0</v>
      </c>
      <c r="X1268">
        <v>2</v>
      </c>
      <c r="Z1268">
        <v>1</v>
      </c>
      <c r="AA1268">
        <v>7</v>
      </c>
      <c r="AB1268">
        <v>3</v>
      </c>
      <c r="AC1268">
        <v>0</v>
      </c>
      <c r="AD1268">
        <v>9</v>
      </c>
      <c r="AE1268">
        <v>0</v>
      </c>
      <c r="AF1268">
        <v>3</v>
      </c>
      <c r="AG1268">
        <v>1</v>
      </c>
      <c r="AH1268">
        <v>0</v>
      </c>
      <c r="AI1268" t="s">
        <v>684</v>
      </c>
      <c r="AJ1268">
        <v>33.119036999999999</v>
      </c>
      <c r="AK1268" t="s">
        <v>685</v>
      </c>
      <c r="AL1268">
        <v>-97.700901000000002</v>
      </c>
      <c r="AM1268">
        <v>25</v>
      </c>
      <c r="AN1268">
        <v>3400</v>
      </c>
      <c r="AO1268" t="s">
        <v>118</v>
      </c>
      <c r="AP1268">
        <v>53</v>
      </c>
      <c r="AQ1268">
        <v>-99</v>
      </c>
      <c r="AR1268">
        <v>0</v>
      </c>
      <c r="AZ1268">
        <v>1200</v>
      </c>
      <c r="BA1268">
        <v>1</v>
      </c>
      <c r="BB1268" t="str">
        <f t="shared" si="373"/>
        <v xml:space="preserve">N733KP  </v>
      </c>
      <c r="BC1268">
        <v>1</v>
      </c>
      <c r="BE1268">
        <v>0</v>
      </c>
      <c r="BF1268">
        <v>0</v>
      </c>
      <c r="BG1268">
        <v>0</v>
      </c>
      <c r="BH1268">
        <v>3350</v>
      </c>
      <c r="BI1268">
        <v>1</v>
      </c>
      <c r="BJ1268">
        <v>1</v>
      </c>
      <c r="BK1268">
        <v>0</v>
      </c>
      <c r="BL1268">
        <v>0</v>
      </c>
      <c r="BO1268">
        <v>0</v>
      </c>
      <c r="BP1268">
        <v>0</v>
      </c>
      <c r="BW1268" t="str">
        <f>"22:14:48.625"</f>
        <v>22:14:48.625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7</v>
      </c>
      <c r="CP1268" t="s">
        <v>119</v>
      </c>
      <c r="CQ1268">
        <v>364</v>
      </c>
      <c r="CR1268">
        <v>0</v>
      </c>
      <c r="CW1268">
        <v>1413112</v>
      </c>
      <c r="CY1268">
        <v>1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"03/24/2022 22:14:48.853"</f>
        <v>03/24/2022 22:14:48.853</v>
      </c>
      <c r="C1269" t="str">
        <f t="shared" si="372"/>
        <v>FFDFD3C0</v>
      </c>
      <c r="D1269" t="s">
        <v>113</v>
      </c>
      <c r="E1269">
        <v>24</v>
      </c>
      <c r="F1269">
        <v>2024</v>
      </c>
      <c r="G1269" t="s">
        <v>114</v>
      </c>
      <c r="J1269" t="s">
        <v>115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S1269" t="str">
        <f t="shared" si="381"/>
        <v>22:14:48.000</v>
      </c>
      <c r="T1269" t="str">
        <f t="shared" si="381"/>
        <v>22:14:48.000</v>
      </c>
      <c r="U1269" t="str">
        <f t="shared" si="366"/>
        <v>A9D71F</v>
      </c>
      <c r="V1269">
        <v>0</v>
      </c>
      <c r="W1269">
        <v>0</v>
      </c>
      <c r="X1269">
        <v>2</v>
      </c>
      <c r="Z1269">
        <v>1</v>
      </c>
      <c r="AA1269">
        <v>7</v>
      </c>
      <c r="AB1269">
        <v>3</v>
      </c>
      <c r="AC1269">
        <v>0</v>
      </c>
      <c r="AD1269">
        <v>9</v>
      </c>
      <c r="AE1269">
        <v>0</v>
      </c>
      <c r="AF1269">
        <v>3</v>
      </c>
      <c r="AG1269">
        <v>1</v>
      </c>
      <c r="AH1269">
        <v>0</v>
      </c>
      <c r="AI1269" t="s">
        <v>684</v>
      </c>
      <c r="AJ1269">
        <v>33.119036999999999</v>
      </c>
      <c r="AK1269" t="s">
        <v>685</v>
      </c>
      <c r="AL1269">
        <v>-97.700901000000002</v>
      </c>
      <c r="AM1269">
        <v>25</v>
      </c>
      <c r="AN1269">
        <v>3400</v>
      </c>
      <c r="AO1269" t="s">
        <v>118</v>
      </c>
      <c r="AP1269">
        <v>53</v>
      </c>
      <c r="AQ1269">
        <v>-99</v>
      </c>
      <c r="AR1269">
        <v>0</v>
      </c>
      <c r="AZ1269">
        <v>1200</v>
      </c>
      <c r="BA1269">
        <v>1</v>
      </c>
      <c r="BB1269" t="str">
        <f t="shared" si="373"/>
        <v xml:space="preserve">N733KP  </v>
      </c>
      <c r="BC1269">
        <v>1</v>
      </c>
      <c r="BE1269">
        <v>0</v>
      </c>
      <c r="BF1269">
        <v>0</v>
      </c>
      <c r="BG1269">
        <v>0</v>
      </c>
      <c r="BH1269">
        <v>3350</v>
      </c>
      <c r="BI1269">
        <v>1</v>
      </c>
      <c r="BJ1269">
        <v>1</v>
      </c>
      <c r="BK1269">
        <v>0</v>
      </c>
      <c r="BL1269">
        <v>0</v>
      </c>
      <c r="BO1269">
        <v>0</v>
      </c>
      <c r="BP1269">
        <v>0</v>
      </c>
      <c r="BW1269" t="str">
        <f>"22:14:48.625"</f>
        <v>22:14:48.625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364</v>
      </c>
      <c r="CR1269">
        <v>0</v>
      </c>
      <c r="CW1269">
        <v>1413112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"03/24/2022 22:14:48.853"</f>
        <v>03/24/2022 22:14:48.853</v>
      </c>
      <c r="C1270" t="str">
        <f t="shared" si="372"/>
        <v>FFDFD3C0</v>
      </c>
      <c r="D1270" t="s">
        <v>123</v>
      </c>
      <c r="E1270">
        <v>8</v>
      </c>
      <c r="H1270">
        <v>31</v>
      </c>
      <c r="I1270" t="s">
        <v>124</v>
      </c>
      <c r="J1270" t="s">
        <v>125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S1270" t="str">
        <f t="shared" si="381"/>
        <v>22:14:48.000</v>
      </c>
      <c r="T1270" t="str">
        <f t="shared" si="381"/>
        <v>22:14:48.000</v>
      </c>
      <c r="U1270" t="str">
        <f t="shared" si="366"/>
        <v>A9D71F</v>
      </c>
      <c r="V1270">
        <v>0</v>
      </c>
      <c r="W1270">
        <v>0</v>
      </c>
      <c r="X1270">
        <v>2</v>
      </c>
      <c r="Z1270">
        <v>1</v>
      </c>
      <c r="AA1270">
        <v>7</v>
      </c>
      <c r="AB1270">
        <v>3</v>
      </c>
      <c r="AC1270">
        <v>0</v>
      </c>
      <c r="AD1270">
        <v>9</v>
      </c>
      <c r="AE1270">
        <v>0</v>
      </c>
      <c r="AF1270">
        <v>3</v>
      </c>
      <c r="AG1270">
        <v>1</v>
      </c>
      <c r="AH1270">
        <v>0</v>
      </c>
      <c r="AI1270" t="s">
        <v>684</v>
      </c>
      <c r="AJ1270">
        <v>33.119036999999999</v>
      </c>
      <c r="AK1270" t="s">
        <v>685</v>
      </c>
      <c r="AL1270">
        <v>-97.700901000000002</v>
      </c>
      <c r="AM1270">
        <v>25</v>
      </c>
      <c r="AN1270">
        <v>3400</v>
      </c>
      <c r="AO1270" t="s">
        <v>118</v>
      </c>
      <c r="AP1270">
        <v>53</v>
      </c>
      <c r="AQ1270">
        <v>-99</v>
      </c>
      <c r="AR1270">
        <v>0</v>
      </c>
      <c r="AZ1270">
        <v>1200</v>
      </c>
      <c r="BA1270">
        <v>1</v>
      </c>
      <c r="BB1270" t="str">
        <f t="shared" si="373"/>
        <v xml:space="preserve">N733KP  </v>
      </c>
      <c r="BC1270">
        <v>1</v>
      </c>
      <c r="BE1270">
        <v>0</v>
      </c>
      <c r="BF1270">
        <v>0</v>
      </c>
      <c r="BG1270">
        <v>0</v>
      </c>
      <c r="BH1270">
        <v>3350</v>
      </c>
      <c r="BI1270">
        <v>1</v>
      </c>
      <c r="BJ1270">
        <v>1</v>
      </c>
      <c r="BK1270">
        <v>0</v>
      </c>
      <c r="BL1270">
        <v>0</v>
      </c>
      <c r="BO1270">
        <v>0</v>
      </c>
      <c r="BP1270">
        <v>0</v>
      </c>
      <c r="BW1270" t="str">
        <f>"22:14:48.625"</f>
        <v>22:14:48.625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364</v>
      </c>
      <c r="CR1270">
        <v>0</v>
      </c>
      <c r="CW1270">
        <v>1413112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"03/24/2022 22:14:48.853"</f>
        <v>03/24/2022 22:14:48.853</v>
      </c>
      <c r="C1271" t="str">
        <f t="shared" si="372"/>
        <v>FFDFD3C0</v>
      </c>
      <c r="D1271" t="s">
        <v>120</v>
      </c>
      <c r="E1271">
        <v>14</v>
      </c>
      <c r="F1271">
        <v>1014</v>
      </c>
      <c r="G1271" t="s">
        <v>121</v>
      </c>
      <c r="J1271" t="s">
        <v>122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S1271" t="str">
        <f t="shared" si="381"/>
        <v>22:14:48.000</v>
      </c>
      <c r="T1271" t="str">
        <f t="shared" si="381"/>
        <v>22:14:48.000</v>
      </c>
      <c r="U1271" t="str">
        <f t="shared" si="366"/>
        <v>A9D71F</v>
      </c>
      <c r="V1271">
        <v>0</v>
      </c>
      <c r="W1271">
        <v>0</v>
      </c>
      <c r="X1271">
        <v>2</v>
      </c>
      <c r="Z1271">
        <v>1</v>
      </c>
      <c r="AA1271">
        <v>7</v>
      </c>
      <c r="AB1271">
        <v>3</v>
      </c>
      <c r="AC1271">
        <v>0</v>
      </c>
      <c r="AD1271">
        <v>9</v>
      </c>
      <c r="AE1271">
        <v>0</v>
      </c>
      <c r="AF1271">
        <v>3</v>
      </c>
      <c r="AG1271">
        <v>1</v>
      </c>
      <c r="AH1271">
        <v>0</v>
      </c>
      <c r="AI1271" t="s">
        <v>684</v>
      </c>
      <c r="AJ1271">
        <v>33.119036999999999</v>
      </c>
      <c r="AK1271" t="s">
        <v>685</v>
      </c>
      <c r="AL1271">
        <v>-97.700901000000002</v>
      </c>
      <c r="AM1271">
        <v>25</v>
      </c>
      <c r="AN1271">
        <v>3400</v>
      </c>
      <c r="AO1271" t="s">
        <v>118</v>
      </c>
      <c r="AP1271">
        <v>53</v>
      </c>
      <c r="AQ1271">
        <v>-99</v>
      </c>
      <c r="AR1271">
        <v>0</v>
      </c>
      <c r="AZ1271">
        <v>1200</v>
      </c>
      <c r="BA1271">
        <v>1</v>
      </c>
      <c r="BB1271" t="str">
        <f t="shared" si="373"/>
        <v xml:space="preserve">N733KP  </v>
      </c>
      <c r="BC1271">
        <v>1</v>
      </c>
      <c r="BE1271">
        <v>0</v>
      </c>
      <c r="BF1271">
        <v>0</v>
      </c>
      <c r="BG1271">
        <v>0</v>
      </c>
      <c r="BH1271">
        <v>3350</v>
      </c>
      <c r="BI1271">
        <v>1</v>
      </c>
      <c r="BJ1271">
        <v>1</v>
      </c>
      <c r="BK1271">
        <v>0</v>
      </c>
      <c r="BL1271">
        <v>0</v>
      </c>
      <c r="BO1271">
        <v>0</v>
      </c>
      <c r="BP1271">
        <v>0</v>
      </c>
      <c r="BW1271" t="str">
        <f>"22:14:48.625"</f>
        <v>22:14:48.625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364</v>
      </c>
      <c r="CR1271">
        <v>0</v>
      </c>
      <c r="CW1271">
        <v>1413112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"03/24/2022 22:14:49.416"</f>
        <v>03/24/2022 22:14:49.416</v>
      </c>
      <c r="C1272" t="str">
        <f t="shared" si="372"/>
        <v>FFDFD3C0</v>
      </c>
      <c r="D1272" t="s">
        <v>120</v>
      </c>
      <c r="E1272">
        <v>14</v>
      </c>
      <c r="F1272">
        <v>1014</v>
      </c>
      <c r="G1272" t="s">
        <v>121</v>
      </c>
      <c r="J1272" t="s">
        <v>122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S1272" t="str">
        <f t="shared" ref="S1272:T1275" si="382">"22:14:49.000"</f>
        <v>22:14:49.000</v>
      </c>
      <c r="T1272" t="str">
        <f t="shared" si="382"/>
        <v>22:14:49.000</v>
      </c>
      <c r="U1272" t="str">
        <f t="shared" si="366"/>
        <v>A9D71F</v>
      </c>
      <c r="V1272">
        <v>0</v>
      </c>
      <c r="W1272">
        <v>0</v>
      </c>
      <c r="X1272">
        <v>2</v>
      </c>
      <c r="Z1272">
        <v>1</v>
      </c>
      <c r="AA1272">
        <v>7</v>
      </c>
      <c r="AB1272">
        <v>3</v>
      </c>
      <c r="AC1272">
        <v>0</v>
      </c>
      <c r="AD1272">
        <v>9</v>
      </c>
      <c r="AE1272">
        <v>0</v>
      </c>
      <c r="AF1272">
        <v>3</v>
      </c>
      <c r="AG1272">
        <v>1</v>
      </c>
      <c r="AH1272">
        <v>0</v>
      </c>
      <c r="AI1272" t="s">
        <v>686</v>
      </c>
      <c r="AJ1272">
        <v>33.118564999999997</v>
      </c>
      <c r="AK1272" t="s">
        <v>687</v>
      </c>
      <c r="AL1272">
        <v>-97.700621999999996</v>
      </c>
      <c r="AM1272">
        <v>25</v>
      </c>
      <c r="AN1272">
        <v>3400</v>
      </c>
      <c r="AO1272" t="s">
        <v>118</v>
      </c>
      <c r="AP1272">
        <v>53</v>
      </c>
      <c r="AQ1272">
        <v>-98</v>
      </c>
      <c r="AR1272">
        <v>64</v>
      </c>
      <c r="AZ1272">
        <v>1200</v>
      </c>
      <c r="BA1272">
        <v>1</v>
      </c>
      <c r="BB1272" t="str">
        <f t="shared" si="373"/>
        <v xml:space="preserve">N733KP  </v>
      </c>
      <c r="BC1272">
        <v>1</v>
      </c>
      <c r="BE1272">
        <v>0</v>
      </c>
      <c r="BF1272">
        <v>0</v>
      </c>
      <c r="BG1272">
        <v>0</v>
      </c>
      <c r="BH1272">
        <v>3350</v>
      </c>
      <c r="BI1272">
        <v>1</v>
      </c>
      <c r="BJ1272">
        <v>1</v>
      </c>
      <c r="BK1272">
        <v>0</v>
      </c>
      <c r="BL1272">
        <v>0</v>
      </c>
      <c r="BO1272">
        <v>0</v>
      </c>
      <c r="BP1272">
        <v>0</v>
      </c>
      <c r="BW1272" t="str">
        <f>"22:14:49.218"</f>
        <v>22:14:49.218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364</v>
      </c>
      <c r="CR1272">
        <v>0</v>
      </c>
      <c r="CW1272">
        <v>1413193</v>
      </c>
      <c r="CY1272">
        <v>1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"03/24/2022 22:14:49.416"</f>
        <v>03/24/2022 22:14:49.416</v>
      </c>
      <c r="C1273" t="str">
        <f t="shared" si="372"/>
        <v>FFDFD3C0</v>
      </c>
      <c r="D1273" t="s">
        <v>126</v>
      </c>
      <c r="E1273">
        <v>3</v>
      </c>
      <c r="H1273">
        <v>160</v>
      </c>
      <c r="I1273" t="s">
        <v>121</v>
      </c>
      <c r="J1273" t="s">
        <v>127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S1273" t="str">
        <f t="shared" si="382"/>
        <v>22:14:49.000</v>
      </c>
      <c r="T1273" t="str">
        <f t="shared" si="382"/>
        <v>22:14:49.000</v>
      </c>
      <c r="U1273" t="str">
        <f t="shared" si="366"/>
        <v>A9D71F</v>
      </c>
      <c r="V1273">
        <v>0</v>
      </c>
      <c r="W1273">
        <v>0</v>
      </c>
      <c r="X1273">
        <v>2</v>
      </c>
      <c r="Z1273">
        <v>1</v>
      </c>
      <c r="AA1273">
        <v>7</v>
      </c>
      <c r="AB1273">
        <v>3</v>
      </c>
      <c r="AC1273">
        <v>0</v>
      </c>
      <c r="AD1273">
        <v>9</v>
      </c>
      <c r="AE1273">
        <v>0</v>
      </c>
      <c r="AF1273">
        <v>3</v>
      </c>
      <c r="AG1273">
        <v>1</v>
      </c>
      <c r="AH1273">
        <v>0</v>
      </c>
      <c r="AI1273" t="s">
        <v>686</v>
      </c>
      <c r="AJ1273">
        <v>33.118564999999997</v>
      </c>
      <c r="AK1273" t="s">
        <v>687</v>
      </c>
      <c r="AL1273">
        <v>-97.700621999999996</v>
      </c>
      <c r="AM1273">
        <v>25</v>
      </c>
      <c r="AN1273">
        <v>3400</v>
      </c>
      <c r="AO1273" t="s">
        <v>118</v>
      </c>
      <c r="AP1273">
        <v>53</v>
      </c>
      <c r="AQ1273">
        <v>-98</v>
      </c>
      <c r="AR1273">
        <v>64</v>
      </c>
      <c r="AZ1273">
        <v>1200</v>
      </c>
      <c r="BA1273">
        <v>1</v>
      </c>
      <c r="BB1273" t="str">
        <f t="shared" si="373"/>
        <v xml:space="preserve">N733KP  </v>
      </c>
      <c r="BC1273">
        <v>1</v>
      </c>
      <c r="BE1273">
        <v>0</v>
      </c>
      <c r="BF1273">
        <v>0</v>
      </c>
      <c r="BG1273">
        <v>0</v>
      </c>
      <c r="BH1273">
        <v>3350</v>
      </c>
      <c r="BI1273">
        <v>1</v>
      </c>
      <c r="BJ1273">
        <v>1</v>
      </c>
      <c r="BK1273">
        <v>0</v>
      </c>
      <c r="BL1273">
        <v>0</v>
      </c>
      <c r="BO1273">
        <v>0</v>
      </c>
      <c r="BP1273">
        <v>0</v>
      </c>
      <c r="BW1273" t="str">
        <f>"22:14:49.218"</f>
        <v>22:14:49.218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364</v>
      </c>
      <c r="CR1273">
        <v>0</v>
      </c>
      <c r="CW1273">
        <v>1413193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"03/24/2022 22:14:49.416"</f>
        <v>03/24/2022 22:14:49.416</v>
      </c>
      <c r="C1274" t="str">
        <f t="shared" si="372"/>
        <v>FFDFD3C0</v>
      </c>
      <c r="D1274" t="s">
        <v>113</v>
      </c>
      <c r="E1274">
        <v>24</v>
      </c>
      <c r="F1274">
        <v>2024</v>
      </c>
      <c r="G1274" t="s">
        <v>114</v>
      </c>
      <c r="J1274" t="s">
        <v>115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S1274" t="str">
        <f t="shared" si="382"/>
        <v>22:14:49.000</v>
      </c>
      <c r="T1274" t="str">
        <f t="shared" si="382"/>
        <v>22:14:49.000</v>
      </c>
      <c r="U1274" t="str">
        <f t="shared" si="366"/>
        <v>A9D71F</v>
      </c>
      <c r="V1274">
        <v>0</v>
      </c>
      <c r="W1274">
        <v>0</v>
      </c>
      <c r="X1274">
        <v>2</v>
      </c>
      <c r="Z1274">
        <v>1</v>
      </c>
      <c r="AA1274">
        <v>7</v>
      </c>
      <c r="AB1274">
        <v>3</v>
      </c>
      <c r="AC1274">
        <v>0</v>
      </c>
      <c r="AD1274">
        <v>9</v>
      </c>
      <c r="AE1274">
        <v>0</v>
      </c>
      <c r="AF1274">
        <v>3</v>
      </c>
      <c r="AG1274">
        <v>1</v>
      </c>
      <c r="AH1274">
        <v>0</v>
      </c>
      <c r="AI1274" t="s">
        <v>686</v>
      </c>
      <c r="AJ1274">
        <v>33.118564999999997</v>
      </c>
      <c r="AK1274" t="s">
        <v>687</v>
      </c>
      <c r="AL1274">
        <v>-97.700621999999996</v>
      </c>
      <c r="AM1274">
        <v>25</v>
      </c>
      <c r="AN1274">
        <v>3400</v>
      </c>
      <c r="AO1274" t="s">
        <v>118</v>
      </c>
      <c r="AP1274">
        <v>53</v>
      </c>
      <c r="AQ1274">
        <v>-98</v>
      </c>
      <c r="AR1274">
        <v>64</v>
      </c>
      <c r="AZ1274">
        <v>1200</v>
      </c>
      <c r="BA1274">
        <v>1</v>
      </c>
      <c r="BB1274" t="str">
        <f t="shared" si="373"/>
        <v xml:space="preserve">N733KP  </v>
      </c>
      <c r="BC1274">
        <v>1</v>
      </c>
      <c r="BE1274">
        <v>0</v>
      </c>
      <c r="BF1274">
        <v>0</v>
      </c>
      <c r="BG1274">
        <v>0</v>
      </c>
      <c r="BH1274">
        <v>3350</v>
      </c>
      <c r="BI1274">
        <v>1</v>
      </c>
      <c r="BJ1274">
        <v>1</v>
      </c>
      <c r="BK1274">
        <v>0</v>
      </c>
      <c r="BL1274">
        <v>0</v>
      </c>
      <c r="BO1274">
        <v>0</v>
      </c>
      <c r="BP1274">
        <v>0</v>
      </c>
      <c r="BW1274" t="str">
        <f>"22:14:49.218"</f>
        <v>22:14:49.218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364</v>
      </c>
      <c r="CR1274">
        <v>0</v>
      </c>
      <c r="CW1274">
        <v>1413193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"03/24/2022 22:14:49.416"</f>
        <v>03/24/2022 22:14:49.416</v>
      </c>
      <c r="C1275" t="str">
        <f t="shared" si="372"/>
        <v>FFDFD3C0</v>
      </c>
      <c r="D1275" t="s">
        <v>123</v>
      </c>
      <c r="E1275">
        <v>8</v>
      </c>
      <c r="H1275">
        <v>31</v>
      </c>
      <c r="I1275" t="s">
        <v>124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S1275" t="str">
        <f t="shared" si="382"/>
        <v>22:14:49.000</v>
      </c>
      <c r="T1275" t="str">
        <f t="shared" si="382"/>
        <v>22:14:49.000</v>
      </c>
      <c r="U1275" t="str">
        <f t="shared" si="366"/>
        <v>A9D71F</v>
      </c>
      <c r="V1275">
        <v>0</v>
      </c>
      <c r="W1275">
        <v>0</v>
      </c>
      <c r="X1275">
        <v>2</v>
      </c>
      <c r="Z1275">
        <v>1</v>
      </c>
      <c r="AA1275">
        <v>7</v>
      </c>
      <c r="AB1275">
        <v>3</v>
      </c>
      <c r="AC1275">
        <v>0</v>
      </c>
      <c r="AD1275">
        <v>9</v>
      </c>
      <c r="AE1275">
        <v>0</v>
      </c>
      <c r="AF1275">
        <v>3</v>
      </c>
      <c r="AG1275">
        <v>1</v>
      </c>
      <c r="AH1275">
        <v>0</v>
      </c>
      <c r="AI1275" t="s">
        <v>686</v>
      </c>
      <c r="AJ1275">
        <v>33.118564999999997</v>
      </c>
      <c r="AK1275" t="s">
        <v>687</v>
      </c>
      <c r="AL1275">
        <v>-97.700621999999996</v>
      </c>
      <c r="AM1275">
        <v>25</v>
      </c>
      <c r="AN1275">
        <v>3400</v>
      </c>
      <c r="AO1275" t="s">
        <v>118</v>
      </c>
      <c r="AP1275">
        <v>53</v>
      </c>
      <c r="AQ1275">
        <v>-98</v>
      </c>
      <c r="AR1275">
        <v>64</v>
      </c>
      <c r="AZ1275">
        <v>1200</v>
      </c>
      <c r="BA1275">
        <v>1</v>
      </c>
      <c r="BB1275" t="str">
        <f t="shared" si="373"/>
        <v xml:space="preserve">N733KP  </v>
      </c>
      <c r="BC1275">
        <v>1</v>
      </c>
      <c r="BE1275">
        <v>0</v>
      </c>
      <c r="BF1275">
        <v>0</v>
      </c>
      <c r="BG1275">
        <v>0</v>
      </c>
      <c r="BH1275">
        <v>3350</v>
      </c>
      <c r="BI1275">
        <v>1</v>
      </c>
      <c r="BJ1275">
        <v>1</v>
      </c>
      <c r="BK1275">
        <v>0</v>
      </c>
      <c r="BL1275">
        <v>0</v>
      </c>
      <c r="BO1275">
        <v>0</v>
      </c>
      <c r="BP1275">
        <v>0</v>
      </c>
      <c r="BW1275" t="str">
        <f>"22:14:49.218"</f>
        <v>22:14:49.218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364</v>
      </c>
      <c r="CR1275">
        <v>0</v>
      </c>
      <c r="CW1275">
        <v>1413193</v>
      </c>
      <c r="CY1275">
        <v>1</v>
      </c>
      <c r="CZ1275">
        <v>0</v>
      </c>
      <c r="DA1275">
        <v>1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"03/24/2022 22:14:50.619"</f>
        <v>03/24/2022 22:14:50.619</v>
      </c>
      <c r="C1276" t="str">
        <f t="shared" si="372"/>
        <v>FFDFD3C0</v>
      </c>
      <c r="D1276" t="s">
        <v>126</v>
      </c>
      <c r="E1276">
        <v>3</v>
      </c>
      <c r="H1276">
        <v>160</v>
      </c>
      <c r="I1276" t="s">
        <v>121</v>
      </c>
      <c r="J1276" t="s">
        <v>127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S1276" t="str">
        <f t="shared" ref="S1276:T1279" si="383">"22:14:50.000"</f>
        <v>22:14:50.000</v>
      </c>
      <c r="T1276" t="str">
        <f t="shared" si="383"/>
        <v>22:14:50.000</v>
      </c>
      <c r="U1276" t="str">
        <f t="shared" si="366"/>
        <v>A9D71F</v>
      </c>
      <c r="V1276">
        <v>0</v>
      </c>
      <c r="W1276">
        <v>0</v>
      </c>
      <c r="X1276">
        <v>2</v>
      </c>
      <c r="Z1276">
        <v>1</v>
      </c>
      <c r="AA1276">
        <v>7</v>
      </c>
      <c r="AB1276">
        <v>3</v>
      </c>
      <c r="AC1276">
        <v>0</v>
      </c>
      <c r="AD1276">
        <v>9</v>
      </c>
      <c r="AE1276">
        <v>0</v>
      </c>
      <c r="AF1276">
        <v>3</v>
      </c>
      <c r="AG1276">
        <v>1</v>
      </c>
      <c r="AH1276">
        <v>0</v>
      </c>
      <c r="AI1276" t="s">
        <v>688</v>
      </c>
      <c r="AJ1276">
        <v>33.118093000000002</v>
      </c>
      <c r="AK1276" t="s">
        <v>689</v>
      </c>
      <c r="AL1276">
        <v>-97.700322</v>
      </c>
      <c r="AM1276">
        <v>25</v>
      </c>
      <c r="AN1276">
        <v>3400</v>
      </c>
      <c r="AO1276" t="s">
        <v>118</v>
      </c>
      <c r="AP1276">
        <v>53</v>
      </c>
      <c r="AQ1276">
        <v>-98</v>
      </c>
      <c r="AR1276">
        <v>128</v>
      </c>
      <c r="AZ1276">
        <v>1200</v>
      </c>
      <c r="BA1276">
        <v>1</v>
      </c>
      <c r="BB1276" t="str">
        <f t="shared" si="373"/>
        <v xml:space="preserve">N733KP  </v>
      </c>
      <c r="BC1276">
        <v>1</v>
      </c>
      <c r="BE1276">
        <v>0</v>
      </c>
      <c r="BF1276">
        <v>0</v>
      </c>
      <c r="BG1276">
        <v>0</v>
      </c>
      <c r="BH1276">
        <v>3350</v>
      </c>
      <c r="BI1276">
        <v>1</v>
      </c>
      <c r="BJ1276">
        <v>1</v>
      </c>
      <c r="BK1276">
        <v>0</v>
      </c>
      <c r="BL1276">
        <v>0</v>
      </c>
      <c r="BO1276">
        <v>0</v>
      </c>
      <c r="BP1276">
        <v>0</v>
      </c>
      <c r="BW1276" t="str">
        <f>"22:14:50.448"</f>
        <v>22:14:50.448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364</v>
      </c>
      <c r="CR1276">
        <v>0</v>
      </c>
      <c r="CW1276">
        <v>1413396</v>
      </c>
      <c r="CY1276">
        <v>1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"03/24/2022 22:14:50.619"</f>
        <v>03/24/2022 22:14:50.619</v>
      </c>
      <c r="C1277" t="str">
        <f t="shared" si="372"/>
        <v>FFDFD3C0</v>
      </c>
      <c r="D1277" t="s">
        <v>123</v>
      </c>
      <c r="E1277">
        <v>8</v>
      </c>
      <c r="H1277">
        <v>31</v>
      </c>
      <c r="I1277" t="s">
        <v>124</v>
      </c>
      <c r="J1277" t="s">
        <v>125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S1277" t="str">
        <f t="shared" si="383"/>
        <v>22:14:50.000</v>
      </c>
      <c r="T1277" t="str">
        <f t="shared" si="383"/>
        <v>22:14:50.000</v>
      </c>
      <c r="U1277" t="str">
        <f t="shared" si="366"/>
        <v>A9D71F</v>
      </c>
      <c r="V1277">
        <v>0</v>
      </c>
      <c r="W1277">
        <v>0</v>
      </c>
      <c r="X1277">
        <v>2</v>
      </c>
      <c r="Z1277">
        <v>1</v>
      </c>
      <c r="AA1277">
        <v>7</v>
      </c>
      <c r="AB1277">
        <v>3</v>
      </c>
      <c r="AC1277">
        <v>0</v>
      </c>
      <c r="AD1277">
        <v>9</v>
      </c>
      <c r="AE1277">
        <v>0</v>
      </c>
      <c r="AF1277">
        <v>3</v>
      </c>
      <c r="AG1277">
        <v>1</v>
      </c>
      <c r="AH1277">
        <v>0</v>
      </c>
      <c r="AI1277" t="s">
        <v>688</v>
      </c>
      <c r="AJ1277">
        <v>33.118093000000002</v>
      </c>
      <c r="AK1277" t="s">
        <v>689</v>
      </c>
      <c r="AL1277">
        <v>-97.700322</v>
      </c>
      <c r="AM1277">
        <v>25</v>
      </c>
      <c r="AN1277">
        <v>3400</v>
      </c>
      <c r="AO1277" t="s">
        <v>118</v>
      </c>
      <c r="AP1277">
        <v>53</v>
      </c>
      <c r="AQ1277">
        <v>-98</v>
      </c>
      <c r="AR1277">
        <v>128</v>
      </c>
      <c r="AZ1277">
        <v>1200</v>
      </c>
      <c r="BA1277">
        <v>1</v>
      </c>
      <c r="BB1277" t="str">
        <f t="shared" si="373"/>
        <v xml:space="preserve">N733KP  </v>
      </c>
      <c r="BC1277">
        <v>1</v>
      </c>
      <c r="BE1277">
        <v>0</v>
      </c>
      <c r="BF1277">
        <v>0</v>
      </c>
      <c r="BG1277">
        <v>0</v>
      </c>
      <c r="BH1277">
        <v>3350</v>
      </c>
      <c r="BI1277">
        <v>1</v>
      </c>
      <c r="BJ1277">
        <v>1</v>
      </c>
      <c r="BK1277">
        <v>0</v>
      </c>
      <c r="BL1277">
        <v>0</v>
      </c>
      <c r="BO1277">
        <v>0</v>
      </c>
      <c r="BP1277">
        <v>0</v>
      </c>
      <c r="BW1277" t="str">
        <f>"22:14:50.448"</f>
        <v>22:14:50.448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364</v>
      </c>
      <c r="CR1277">
        <v>0</v>
      </c>
      <c r="CW1277">
        <v>1413396</v>
      </c>
      <c r="CY1277">
        <v>1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"03/24/2022 22:14:50.634"</f>
        <v>03/24/2022 22:14:50.634</v>
      </c>
      <c r="C1278" t="str">
        <f t="shared" si="372"/>
        <v>FFDFD3C0</v>
      </c>
      <c r="D1278" t="s">
        <v>113</v>
      </c>
      <c r="E1278">
        <v>24</v>
      </c>
      <c r="F1278">
        <v>2024</v>
      </c>
      <c r="G1278" t="s">
        <v>114</v>
      </c>
      <c r="J1278" t="s">
        <v>115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S1278" t="str">
        <f t="shared" si="383"/>
        <v>22:14:50.000</v>
      </c>
      <c r="T1278" t="str">
        <f t="shared" si="383"/>
        <v>22:14:50.000</v>
      </c>
      <c r="U1278" t="str">
        <f t="shared" si="366"/>
        <v>A9D71F</v>
      </c>
      <c r="V1278">
        <v>0</v>
      </c>
      <c r="W1278">
        <v>0</v>
      </c>
      <c r="X1278">
        <v>2</v>
      </c>
      <c r="Z1278">
        <v>1</v>
      </c>
      <c r="AA1278">
        <v>7</v>
      </c>
      <c r="AB1278">
        <v>3</v>
      </c>
      <c r="AC1278">
        <v>0</v>
      </c>
      <c r="AD1278">
        <v>9</v>
      </c>
      <c r="AE1278">
        <v>0</v>
      </c>
      <c r="AF1278">
        <v>3</v>
      </c>
      <c r="AG1278">
        <v>1</v>
      </c>
      <c r="AH1278">
        <v>0</v>
      </c>
      <c r="AI1278" t="s">
        <v>688</v>
      </c>
      <c r="AJ1278">
        <v>33.118093000000002</v>
      </c>
      <c r="AK1278" t="s">
        <v>689</v>
      </c>
      <c r="AL1278">
        <v>-97.700322</v>
      </c>
      <c r="AM1278">
        <v>25</v>
      </c>
      <c r="AN1278">
        <v>3400</v>
      </c>
      <c r="AO1278" t="s">
        <v>118</v>
      </c>
      <c r="AP1278">
        <v>53</v>
      </c>
      <c r="AQ1278">
        <v>-98</v>
      </c>
      <c r="AR1278">
        <v>128</v>
      </c>
      <c r="AZ1278">
        <v>1200</v>
      </c>
      <c r="BA1278">
        <v>1</v>
      </c>
      <c r="BB1278" t="str">
        <f t="shared" si="373"/>
        <v xml:space="preserve">N733KP  </v>
      </c>
      <c r="BC1278">
        <v>1</v>
      </c>
      <c r="BE1278">
        <v>0</v>
      </c>
      <c r="BF1278">
        <v>0</v>
      </c>
      <c r="BG1278">
        <v>0</v>
      </c>
      <c r="BH1278">
        <v>3350</v>
      </c>
      <c r="BI1278">
        <v>1</v>
      </c>
      <c r="BJ1278">
        <v>1</v>
      </c>
      <c r="BK1278">
        <v>0</v>
      </c>
      <c r="BL1278">
        <v>0</v>
      </c>
      <c r="BO1278">
        <v>0</v>
      </c>
      <c r="BP1278">
        <v>0</v>
      </c>
      <c r="BW1278" t="str">
        <f>"22:14:50.448"</f>
        <v>22:14:50.448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364</v>
      </c>
      <c r="CR1278">
        <v>0</v>
      </c>
      <c r="CW1278">
        <v>1413396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"03/24/2022 22:14:50.634"</f>
        <v>03/24/2022 22:14:50.634</v>
      </c>
      <c r="C1279" t="str">
        <f t="shared" si="372"/>
        <v>FFDFD3C0</v>
      </c>
      <c r="D1279" t="s">
        <v>120</v>
      </c>
      <c r="E1279">
        <v>14</v>
      </c>
      <c r="F1279">
        <v>1014</v>
      </c>
      <c r="G1279" t="s">
        <v>121</v>
      </c>
      <c r="J1279" t="s">
        <v>122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S1279" t="str">
        <f t="shared" si="383"/>
        <v>22:14:50.000</v>
      </c>
      <c r="T1279" t="str">
        <f t="shared" si="383"/>
        <v>22:14:50.000</v>
      </c>
      <c r="U1279" t="str">
        <f t="shared" si="366"/>
        <v>A9D71F</v>
      </c>
      <c r="V1279">
        <v>0</v>
      </c>
      <c r="W1279">
        <v>0</v>
      </c>
      <c r="X1279">
        <v>2</v>
      </c>
      <c r="Z1279">
        <v>1</v>
      </c>
      <c r="AA1279">
        <v>7</v>
      </c>
      <c r="AB1279">
        <v>3</v>
      </c>
      <c r="AC1279">
        <v>0</v>
      </c>
      <c r="AD1279">
        <v>9</v>
      </c>
      <c r="AE1279">
        <v>0</v>
      </c>
      <c r="AF1279">
        <v>3</v>
      </c>
      <c r="AG1279">
        <v>1</v>
      </c>
      <c r="AH1279">
        <v>0</v>
      </c>
      <c r="AI1279" t="s">
        <v>688</v>
      </c>
      <c r="AJ1279">
        <v>33.118093000000002</v>
      </c>
      <c r="AK1279" t="s">
        <v>689</v>
      </c>
      <c r="AL1279">
        <v>-97.700322</v>
      </c>
      <c r="AM1279">
        <v>25</v>
      </c>
      <c r="AN1279">
        <v>3400</v>
      </c>
      <c r="AO1279" t="s">
        <v>118</v>
      </c>
      <c r="AP1279">
        <v>53</v>
      </c>
      <c r="AQ1279">
        <v>-98</v>
      </c>
      <c r="AR1279">
        <v>128</v>
      </c>
      <c r="AZ1279">
        <v>1200</v>
      </c>
      <c r="BA1279">
        <v>1</v>
      </c>
      <c r="BB1279" t="str">
        <f t="shared" si="373"/>
        <v xml:space="preserve">N733KP  </v>
      </c>
      <c r="BC1279">
        <v>1</v>
      </c>
      <c r="BE1279">
        <v>0</v>
      </c>
      <c r="BF1279">
        <v>0</v>
      </c>
      <c r="BG1279">
        <v>0</v>
      </c>
      <c r="BH1279">
        <v>3350</v>
      </c>
      <c r="BI1279">
        <v>1</v>
      </c>
      <c r="BJ1279">
        <v>1</v>
      </c>
      <c r="BK1279">
        <v>0</v>
      </c>
      <c r="BL1279">
        <v>0</v>
      </c>
      <c r="BO1279">
        <v>0</v>
      </c>
      <c r="BP1279">
        <v>0</v>
      </c>
      <c r="BW1279" t="str">
        <f>"22:14:50.448"</f>
        <v>22:14:50.448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364</v>
      </c>
      <c r="CR1279">
        <v>0</v>
      </c>
      <c r="CW1279">
        <v>1413396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"03/24/2022 22:14:51.995"</f>
        <v>03/24/2022 22:14:51.995</v>
      </c>
      <c r="C1280" t="str">
        <f t="shared" si="372"/>
        <v>FFDFD3C0</v>
      </c>
      <c r="D1280" t="s">
        <v>120</v>
      </c>
      <c r="E1280">
        <v>14</v>
      </c>
      <c r="F1280">
        <v>1014</v>
      </c>
      <c r="G1280" t="s">
        <v>121</v>
      </c>
      <c r="J1280" t="s">
        <v>122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S1280" t="str">
        <f t="shared" ref="S1280:T1283" si="384">"22:14:51.000"</f>
        <v>22:14:51.000</v>
      </c>
      <c r="T1280" t="str">
        <f t="shared" si="384"/>
        <v>22:14:51.000</v>
      </c>
      <c r="U1280" t="str">
        <f t="shared" si="366"/>
        <v>A9D71F</v>
      </c>
      <c r="V1280">
        <v>0</v>
      </c>
      <c r="W1280">
        <v>0</v>
      </c>
      <c r="X1280">
        <v>2</v>
      </c>
      <c r="Z1280">
        <v>1</v>
      </c>
      <c r="AA1280">
        <v>7</v>
      </c>
      <c r="AB1280">
        <v>3</v>
      </c>
      <c r="AC1280">
        <v>0</v>
      </c>
      <c r="AD1280">
        <v>9</v>
      </c>
      <c r="AE1280">
        <v>0</v>
      </c>
      <c r="AF1280">
        <v>3</v>
      </c>
      <c r="AG1280">
        <v>1</v>
      </c>
      <c r="AH1280">
        <v>0</v>
      </c>
      <c r="AI1280" t="s">
        <v>690</v>
      </c>
      <c r="AJ1280">
        <v>33.117641999999996</v>
      </c>
      <c r="AK1280" t="s">
        <v>691</v>
      </c>
      <c r="AL1280">
        <v>-97.700021000000007</v>
      </c>
      <c r="AM1280">
        <v>25</v>
      </c>
      <c r="AN1280">
        <v>3400</v>
      </c>
      <c r="AO1280" t="s">
        <v>118</v>
      </c>
      <c r="AP1280">
        <v>53</v>
      </c>
      <c r="AQ1280">
        <v>-98</v>
      </c>
      <c r="AR1280">
        <v>128</v>
      </c>
      <c r="AZ1280">
        <v>1200</v>
      </c>
      <c r="BA1280">
        <v>1</v>
      </c>
      <c r="BB1280" t="str">
        <f t="shared" si="373"/>
        <v xml:space="preserve">N733KP  </v>
      </c>
      <c r="BC1280">
        <v>1</v>
      </c>
      <c r="BE1280">
        <v>0</v>
      </c>
      <c r="BF1280">
        <v>0</v>
      </c>
      <c r="BG1280">
        <v>0</v>
      </c>
      <c r="BH1280">
        <v>3350</v>
      </c>
      <c r="BI1280">
        <v>1</v>
      </c>
      <c r="BJ1280">
        <v>1</v>
      </c>
      <c r="BK1280">
        <v>0</v>
      </c>
      <c r="BL1280">
        <v>0</v>
      </c>
      <c r="BO1280">
        <v>0</v>
      </c>
      <c r="BP1280">
        <v>0</v>
      </c>
      <c r="BW1280" t="str">
        <f>"22:14:51.848"</f>
        <v>22:14:51.848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364</v>
      </c>
      <c r="CR1280">
        <v>0</v>
      </c>
      <c r="CW1280">
        <v>1413614</v>
      </c>
      <c r="CY1280">
        <v>1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"03/24/2022 22:14:52.042"</f>
        <v>03/24/2022 22:14:52.042</v>
      </c>
      <c r="C1281" t="str">
        <f t="shared" si="372"/>
        <v>FFDFD3C0</v>
      </c>
      <c r="D1281" t="s">
        <v>126</v>
      </c>
      <c r="E1281">
        <v>3</v>
      </c>
      <c r="H1281">
        <v>160</v>
      </c>
      <c r="I1281" t="s">
        <v>121</v>
      </c>
      <c r="J1281" t="s">
        <v>127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S1281" t="str">
        <f t="shared" si="384"/>
        <v>22:14:51.000</v>
      </c>
      <c r="T1281" t="str">
        <f t="shared" si="384"/>
        <v>22:14:51.000</v>
      </c>
      <c r="U1281" t="str">
        <f t="shared" si="366"/>
        <v>A9D71F</v>
      </c>
      <c r="V1281">
        <v>0</v>
      </c>
      <c r="W1281">
        <v>0</v>
      </c>
      <c r="X1281">
        <v>2</v>
      </c>
      <c r="Z1281">
        <v>1</v>
      </c>
      <c r="AA1281">
        <v>7</v>
      </c>
      <c r="AB1281">
        <v>3</v>
      </c>
      <c r="AC1281">
        <v>0</v>
      </c>
      <c r="AD1281">
        <v>9</v>
      </c>
      <c r="AE1281">
        <v>0</v>
      </c>
      <c r="AF1281">
        <v>3</v>
      </c>
      <c r="AG1281">
        <v>1</v>
      </c>
      <c r="AH1281">
        <v>0</v>
      </c>
      <c r="AI1281" t="s">
        <v>690</v>
      </c>
      <c r="AJ1281">
        <v>33.117641999999996</v>
      </c>
      <c r="AK1281" t="s">
        <v>691</v>
      </c>
      <c r="AL1281">
        <v>-97.700021000000007</v>
      </c>
      <c r="AM1281">
        <v>25</v>
      </c>
      <c r="AN1281">
        <v>3400</v>
      </c>
      <c r="AO1281" t="s">
        <v>118</v>
      </c>
      <c r="AP1281">
        <v>53</v>
      </c>
      <c r="AQ1281">
        <v>-98</v>
      </c>
      <c r="AR1281">
        <v>128</v>
      </c>
      <c r="AZ1281">
        <v>1200</v>
      </c>
      <c r="BA1281">
        <v>1</v>
      </c>
      <c r="BB1281" t="str">
        <f t="shared" si="373"/>
        <v xml:space="preserve">N733KP  </v>
      </c>
      <c r="BC1281">
        <v>1</v>
      </c>
      <c r="BE1281">
        <v>0</v>
      </c>
      <c r="BF1281">
        <v>0</v>
      </c>
      <c r="BG1281">
        <v>0</v>
      </c>
      <c r="BH1281">
        <v>3350</v>
      </c>
      <c r="BI1281">
        <v>1</v>
      </c>
      <c r="BJ1281">
        <v>1</v>
      </c>
      <c r="BK1281">
        <v>0</v>
      </c>
      <c r="BL1281">
        <v>0</v>
      </c>
      <c r="BO1281">
        <v>0</v>
      </c>
      <c r="BP1281">
        <v>0</v>
      </c>
      <c r="BW1281" t="str">
        <f>"22:14:51.848"</f>
        <v>22:14:51.848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364</v>
      </c>
      <c r="CR1281">
        <v>0</v>
      </c>
      <c r="CW1281">
        <v>1413614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"03/24/2022 22:14:52.042"</f>
        <v>03/24/2022 22:14:52.042</v>
      </c>
      <c r="C1282" t="str">
        <f t="shared" si="372"/>
        <v>FFDFD3C0</v>
      </c>
      <c r="D1282" t="s">
        <v>123</v>
      </c>
      <c r="E1282">
        <v>8</v>
      </c>
      <c r="H1282">
        <v>31</v>
      </c>
      <c r="I1282" t="s">
        <v>124</v>
      </c>
      <c r="J1282" t="s">
        <v>125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S1282" t="str">
        <f t="shared" si="384"/>
        <v>22:14:51.000</v>
      </c>
      <c r="T1282" t="str">
        <f t="shared" si="384"/>
        <v>22:14:51.000</v>
      </c>
      <c r="U1282" t="str">
        <f t="shared" ref="U1282:U1345" si="385">"A9D71F"</f>
        <v>A9D71F</v>
      </c>
      <c r="V1282">
        <v>0</v>
      </c>
      <c r="W1282">
        <v>0</v>
      </c>
      <c r="X1282">
        <v>2</v>
      </c>
      <c r="Z1282">
        <v>1</v>
      </c>
      <c r="AA1282">
        <v>7</v>
      </c>
      <c r="AB1282">
        <v>3</v>
      </c>
      <c r="AC1282">
        <v>0</v>
      </c>
      <c r="AD1282">
        <v>9</v>
      </c>
      <c r="AE1282">
        <v>0</v>
      </c>
      <c r="AF1282">
        <v>3</v>
      </c>
      <c r="AG1282">
        <v>1</v>
      </c>
      <c r="AH1282">
        <v>0</v>
      </c>
      <c r="AI1282" t="s">
        <v>690</v>
      </c>
      <c r="AJ1282">
        <v>33.117641999999996</v>
      </c>
      <c r="AK1282" t="s">
        <v>691</v>
      </c>
      <c r="AL1282">
        <v>-97.700021000000007</v>
      </c>
      <c r="AM1282">
        <v>25</v>
      </c>
      <c r="AN1282">
        <v>3400</v>
      </c>
      <c r="AO1282" t="s">
        <v>118</v>
      </c>
      <c r="AP1282">
        <v>53</v>
      </c>
      <c r="AQ1282">
        <v>-98</v>
      </c>
      <c r="AR1282">
        <v>128</v>
      </c>
      <c r="AZ1282">
        <v>1200</v>
      </c>
      <c r="BA1282">
        <v>1</v>
      </c>
      <c r="BB1282" t="str">
        <f t="shared" si="373"/>
        <v xml:space="preserve">N733KP  </v>
      </c>
      <c r="BC1282">
        <v>1</v>
      </c>
      <c r="BE1282">
        <v>0</v>
      </c>
      <c r="BF1282">
        <v>0</v>
      </c>
      <c r="BG1282">
        <v>0</v>
      </c>
      <c r="BH1282">
        <v>3350</v>
      </c>
      <c r="BI1282">
        <v>1</v>
      </c>
      <c r="BJ1282">
        <v>1</v>
      </c>
      <c r="BK1282">
        <v>0</v>
      </c>
      <c r="BL1282">
        <v>0</v>
      </c>
      <c r="BO1282">
        <v>0</v>
      </c>
      <c r="BP1282">
        <v>0</v>
      </c>
      <c r="BW1282" t="str">
        <f>"22:14:51.848"</f>
        <v>22:14:51.848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364</v>
      </c>
      <c r="CR1282">
        <v>0</v>
      </c>
      <c r="CW1282">
        <v>1413614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"03/24/2022 22:14:52.057"</f>
        <v>03/24/2022 22:14:52.057</v>
      </c>
      <c r="C1283" t="str">
        <f t="shared" si="372"/>
        <v>FFDFD3C0</v>
      </c>
      <c r="D1283" t="s">
        <v>113</v>
      </c>
      <c r="E1283">
        <v>24</v>
      </c>
      <c r="F1283">
        <v>2024</v>
      </c>
      <c r="G1283" t="s">
        <v>114</v>
      </c>
      <c r="J1283" t="s">
        <v>115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S1283" t="str">
        <f t="shared" si="384"/>
        <v>22:14:51.000</v>
      </c>
      <c r="T1283" t="str">
        <f t="shared" si="384"/>
        <v>22:14:51.000</v>
      </c>
      <c r="U1283" t="str">
        <f t="shared" si="385"/>
        <v>A9D71F</v>
      </c>
      <c r="V1283">
        <v>0</v>
      </c>
      <c r="W1283">
        <v>0</v>
      </c>
      <c r="X1283">
        <v>2</v>
      </c>
      <c r="Z1283">
        <v>1</v>
      </c>
      <c r="AA1283">
        <v>7</v>
      </c>
      <c r="AB1283">
        <v>3</v>
      </c>
      <c r="AC1283">
        <v>0</v>
      </c>
      <c r="AD1283">
        <v>9</v>
      </c>
      <c r="AE1283">
        <v>0</v>
      </c>
      <c r="AF1283">
        <v>3</v>
      </c>
      <c r="AG1283">
        <v>1</v>
      </c>
      <c r="AH1283">
        <v>0</v>
      </c>
      <c r="AI1283" t="s">
        <v>690</v>
      </c>
      <c r="AJ1283">
        <v>33.117641999999996</v>
      </c>
      <c r="AK1283" t="s">
        <v>691</v>
      </c>
      <c r="AL1283">
        <v>-97.700021000000007</v>
      </c>
      <c r="AM1283">
        <v>25</v>
      </c>
      <c r="AN1283">
        <v>3400</v>
      </c>
      <c r="AO1283" t="s">
        <v>118</v>
      </c>
      <c r="AP1283">
        <v>53</v>
      </c>
      <c r="AQ1283">
        <v>-98</v>
      </c>
      <c r="AR1283">
        <v>128</v>
      </c>
      <c r="AZ1283">
        <v>1200</v>
      </c>
      <c r="BA1283">
        <v>1</v>
      </c>
      <c r="BB1283" t="str">
        <f t="shared" si="373"/>
        <v xml:space="preserve">N733KP  </v>
      </c>
      <c r="BC1283">
        <v>1</v>
      </c>
      <c r="BE1283">
        <v>0</v>
      </c>
      <c r="BF1283">
        <v>0</v>
      </c>
      <c r="BG1283">
        <v>0</v>
      </c>
      <c r="BH1283">
        <v>3350</v>
      </c>
      <c r="BI1283">
        <v>1</v>
      </c>
      <c r="BJ1283">
        <v>1</v>
      </c>
      <c r="BK1283">
        <v>0</v>
      </c>
      <c r="BL1283">
        <v>0</v>
      </c>
      <c r="BO1283">
        <v>0</v>
      </c>
      <c r="BP1283">
        <v>0</v>
      </c>
      <c r="BW1283" t="str">
        <f>"22:14:51.848"</f>
        <v>22:14:51.848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364</v>
      </c>
      <c r="CR1283">
        <v>0</v>
      </c>
      <c r="CW1283">
        <v>1413614</v>
      </c>
      <c r="CY1283">
        <v>1</v>
      </c>
      <c r="CZ1283">
        <v>0</v>
      </c>
      <c r="DA1283">
        <v>1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"03/24/2022 22:14:52.432"</f>
        <v>03/24/2022 22:14:52.432</v>
      </c>
      <c r="C1284" t="str">
        <f t="shared" si="372"/>
        <v>FFDFD3C0</v>
      </c>
      <c r="D1284" t="s">
        <v>126</v>
      </c>
      <c r="E1284">
        <v>3</v>
      </c>
      <c r="H1284">
        <v>160</v>
      </c>
      <c r="I1284" t="s">
        <v>121</v>
      </c>
      <c r="J1284" t="s">
        <v>127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S1284" t="str">
        <f t="shared" ref="S1284:T1287" si="386">"22:14:52.000"</f>
        <v>22:14:52.000</v>
      </c>
      <c r="T1284" t="str">
        <f t="shared" si="386"/>
        <v>22:14:52.000</v>
      </c>
      <c r="U1284" t="str">
        <f t="shared" si="385"/>
        <v>A9D71F</v>
      </c>
      <c r="V1284">
        <v>0</v>
      </c>
      <c r="W1284">
        <v>0</v>
      </c>
      <c r="X1284">
        <v>2</v>
      </c>
      <c r="Z1284">
        <v>1</v>
      </c>
      <c r="AA1284">
        <v>7</v>
      </c>
      <c r="AB1284">
        <v>3</v>
      </c>
      <c r="AC1284">
        <v>0</v>
      </c>
      <c r="AD1284">
        <v>9</v>
      </c>
      <c r="AE1284">
        <v>0</v>
      </c>
      <c r="AF1284">
        <v>3</v>
      </c>
      <c r="AG1284">
        <v>1</v>
      </c>
      <c r="AH1284">
        <v>0</v>
      </c>
      <c r="AI1284" t="s">
        <v>692</v>
      </c>
      <c r="AJ1284">
        <v>33.117192000000003</v>
      </c>
      <c r="AK1284" t="s">
        <v>693</v>
      </c>
      <c r="AL1284">
        <v>-97.699720999999997</v>
      </c>
      <c r="AM1284">
        <v>25</v>
      </c>
      <c r="AN1284">
        <v>3400</v>
      </c>
      <c r="AO1284" t="s">
        <v>118</v>
      </c>
      <c r="AP1284">
        <v>52</v>
      </c>
      <c r="AQ1284">
        <v>-97</v>
      </c>
      <c r="AR1284">
        <v>192</v>
      </c>
      <c r="AZ1284">
        <v>1200</v>
      </c>
      <c r="BA1284">
        <v>1</v>
      </c>
      <c r="BB1284" t="str">
        <f t="shared" si="373"/>
        <v xml:space="preserve">N733KP  </v>
      </c>
      <c r="BC1284">
        <v>1</v>
      </c>
      <c r="BE1284">
        <v>0</v>
      </c>
      <c r="BF1284">
        <v>0</v>
      </c>
      <c r="BG1284">
        <v>0</v>
      </c>
      <c r="BH1284">
        <v>3350</v>
      </c>
      <c r="BI1284">
        <v>1</v>
      </c>
      <c r="BJ1284">
        <v>1</v>
      </c>
      <c r="BK1284">
        <v>0</v>
      </c>
      <c r="BL1284">
        <v>0</v>
      </c>
      <c r="BO1284">
        <v>0</v>
      </c>
      <c r="BP1284">
        <v>0</v>
      </c>
      <c r="BW1284" t="str">
        <f>"22:14:52.268"</f>
        <v>22:14:52.268</v>
      </c>
      <c r="CJ1284">
        <v>0</v>
      </c>
      <c r="CK1284">
        <v>1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364</v>
      </c>
      <c r="CR1284">
        <v>0</v>
      </c>
      <c r="CW1284">
        <v>1413677</v>
      </c>
      <c r="CY1284">
        <v>1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"03/24/2022 22:14:52.432"</f>
        <v>03/24/2022 22:14:52.432</v>
      </c>
      <c r="C1285" t="str">
        <f t="shared" si="372"/>
        <v>FFDFD3C0</v>
      </c>
      <c r="D1285" t="s">
        <v>123</v>
      </c>
      <c r="E1285">
        <v>8</v>
      </c>
      <c r="H1285">
        <v>31</v>
      </c>
      <c r="I1285" t="s">
        <v>124</v>
      </c>
      <c r="J1285" t="s">
        <v>125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S1285" t="str">
        <f t="shared" si="386"/>
        <v>22:14:52.000</v>
      </c>
      <c r="T1285" t="str">
        <f t="shared" si="386"/>
        <v>22:14:52.000</v>
      </c>
      <c r="U1285" t="str">
        <f t="shared" si="385"/>
        <v>A9D71F</v>
      </c>
      <c r="V1285">
        <v>0</v>
      </c>
      <c r="W1285">
        <v>0</v>
      </c>
      <c r="X1285">
        <v>2</v>
      </c>
      <c r="Z1285">
        <v>1</v>
      </c>
      <c r="AA1285">
        <v>7</v>
      </c>
      <c r="AB1285">
        <v>3</v>
      </c>
      <c r="AC1285">
        <v>0</v>
      </c>
      <c r="AD1285">
        <v>9</v>
      </c>
      <c r="AE1285">
        <v>0</v>
      </c>
      <c r="AF1285">
        <v>3</v>
      </c>
      <c r="AG1285">
        <v>1</v>
      </c>
      <c r="AH1285">
        <v>0</v>
      </c>
      <c r="AI1285" t="s">
        <v>692</v>
      </c>
      <c r="AJ1285">
        <v>33.117192000000003</v>
      </c>
      <c r="AK1285" t="s">
        <v>693</v>
      </c>
      <c r="AL1285">
        <v>-97.699720999999997</v>
      </c>
      <c r="AM1285">
        <v>25</v>
      </c>
      <c r="AN1285">
        <v>3400</v>
      </c>
      <c r="AO1285" t="s">
        <v>118</v>
      </c>
      <c r="AP1285">
        <v>52</v>
      </c>
      <c r="AQ1285">
        <v>-97</v>
      </c>
      <c r="AR1285">
        <v>192</v>
      </c>
      <c r="AZ1285">
        <v>1200</v>
      </c>
      <c r="BA1285">
        <v>1</v>
      </c>
      <c r="BB1285" t="str">
        <f t="shared" si="373"/>
        <v xml:space="preserve">N733KP  </v>
      </c>
      <c r="BC1285">
        <v>1</v>
      </c>
      <c r="BE1285">
        <v>0</v>
      </c>
      <c r="BF1285">
        <v>0</v>
      </c>
      <c r="BG1285">
        <v>0</v>
      </c>
      <c r="BH1285">
        <v>3350</v>
      </c>
      <c r="BI1285">
        <v>1</v>
      </c>
      <c r="BJ1285">
        <v>1</v>
      </c>
      <c r="BK1285">
        <v>0</v>
      </c>
      <c r="BL1285">
        <v>0</v>
      </c>
      <c r="BO1285">
        <v>0</v>
      </c>
      <c r="BP1285">
        <v>0</v>
      </c>
      <c r="BW1285" t="str">
        <f>"22:14:52.268"</f>
        <v>22:14:52.268</v>
      </c>
      <c r="CJ1285">
        <v>0</v>
      </c>
      <c r="CK1285">
        <v>1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364</v>
      </c>
      <c r="CR1285">
        <v>0</v>
      </c>
      <c r="CW1285">
        <v>1413677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"03/24/2022 22:14:52.448"</f>
        <v>03/24/2022 22:14:52.448</v>
      </c>
      <c r="C1286" t="str">
        <f t="shared" si="372"/>
        <v>FFDFD3C0</v>
      </c>
      <c r="D1286" t="s">
        <v>113</v>
      </c>
      <c r="E1286">
        <v>24</v>
      </c>
      <c r="F1286">
        <v>2024</v>
      </c>
      <c r="G1286" t="s">
        <v>114</v>
      </c>
      <c r="J1286" t="s">
        <v>115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S1286" t="str">
        <f t="shared" si="386"/>
        <v>22:14:52.000</v>
      </c>
      <c r="T1286" t="str">
        <f t="shared" si="386"/>
        <v>22:14:52.000</v>
      </c>
      <c r="U1286" t="str">
        <f t="shared" si="385"/>
        <v>A9D71F</v>
      </c>
      <c r="V1286">
        <v>0</v>
      </c>
      <c r="W1286">
        <v>0</v>
      </c>
      <c r="X1286">
        <v>2</v>
      </c>
      <c r="Z1286">
        <v>1</v>
      </c>
      <c r="AA1286">
        <v>7</v>
      </c>
      <c r="AB1286">
        <v>3</v>
      </c>
      <c r="AC1286">
        <v>0</v>
      </c>
      <c r="AD1286">
        <v>9</v>
      </c>
      <c r="AE1286">
        <v>0</v>
      </c>
      <c r="AF1286">
        <v>3</v>
      </c>
      <c r="AG1286">
        <v>1</v>
      </c>
      <c r="AH1286">
        <v>0</v>
      </c>
      <c r="AI1286" t="s">
        <v>692</v>
      </c>
      <c r="AJ1286">
        <v>33.117192000000003</v>
      </c>
      <c r="AK1286" t="s">
        <v>693</v>
      </c>
      <c r="AL1286">
        <v>-97.699720999999997</v>
      </c>
      <c r="AM1286">
        <v>25</v>
      </c>
      <c r="AN1286">
        <v>3400</v>
      </c>
      <c r="AO1286" t="s">
        <v>118</v>
      </c>
      <c r="AP1286">
        <v>52</v>
      </c>
      <c r="AQ1286">
        <v>-97</v>
      </c>
      <c r="AR1286">
        <v>192</v>
      </c>
      <c r="AZ1286">
        <v>1200</v>
      </c>
      <c r="BA1286">
        <v>1</v>
      </c>
      <c r="BB1286" t="str">
        <f t="shared" si="373"/>
        <v xml:space="preserve">N733KP  </v>
      </c>
      <c r="BC1286">
        <v>1</v>
      </c>
      <c r="BE1286">
        <v>0</v>
      </c>
      <c r="BF1286">
        <v>0</v>
      </c>
      <c r="BG1286">
        <v>0</v>
      </c>
      <c r="BH1286">
        <v>3350</v>
      </c>
      <c r="BI1286">
        <v>1</v>
      </c>
      <c r="BJ1286">
        <v>1</v>
      </c>
      <c r="BK1286">
        <v>0</v>
      </c>
      <c r="BL1286">
        <v>0</v>
      </c>
      <c r="BO1286">
        <v>0</v>
      </c>
      <c r="BP1286">
        <v>0</v>
      </c>
      <c r="BW1286" t="str">
        <f>"22:14:52.268"</f>
        <v>22:14:52.268</v>
      </c>
      <c r="CJ1286">
        <v>0</v>
      </c>
      <c r="CK1286">
        <v>1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364</v>
      </c>
      <c r="CR1286">
        <v>0</v>
      </c>
      <c r="CW1286">
        <v>1413677</v>
      </c>
      <c r="CY1286">
        <v>1</v>
      </c>
      <c r="CZ1286">
        <v>0</v>
      </c>
      <c r="DA1286">
        <v>1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"03/24/2022 22:14:52.479"</f>
        <v>03/24/2022 22:14:52.479</v>
      </c>
      <c r="C1287" t="str">
        <f t="shared" si="372"/>
        <v>FFDFD3C0</v>
      </c>
      <c r="D1287" t="s">
        <v>120</v>
      </c>
      <c r="E1287">
        <v>14</v>
      </c>
      <c r="F1287">
        <v>1014</v>
      </c>
      <c r="G1287" t="s">
        <v>121</v>
      </c>
      <c r="J1287" t="s">
        <v>122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S1287" t="str">
        <f t="shared" si="386"/>
        <v>22:14:52.000</v>
      </c>
      <c r="T1287" t="str">
        <f t="shared" si="386"/>
        <v>22:14:52.000</v>
      </c>
      <c r="U1287" t="str">
        <f t="shared" si="385"/>
        <v>A9D71F</v>
      </c>
      <c r="V1287">
        <v>0</v>
      </c>
      <c r="W1287">
        <v>0</v>
      </c>
      <c r="X1287">
        <v>2</v>
      </c>
      <c r="Z1287">
        <v>1</v>
      </c>
      <c r="AA1287">
        <v>7</v>
      </c>
      <c r="AB1287">
        <v>3</v>
      </c>
      <c r="AC1287">
        <v>0</v>
      </c>
      <c r="AD1287">
        <v>9</v>
      </c>
      <c r="AE1287">
        <v>0</v>
      </c>
      <c r="AF1287">
        <v>3</v>
      </c>
      <c r="AG1287">
        <v>1</v>
      </c>
      <c r="AH1287">
        <v>0</v>
      </c>
      <c r="AI1287" t="s">
        <v>692</v>
      </c>
      <c r="AJ1287">
        <v>33.117192000000003</v>
      </c>
      <c r="AK1287" t="s">
        <v>693</v>
      </c>
      <c r="AL1287">
        <v>-97.699720999999997</v>
      </c>
      <c r="AM1287">
        <v>25</v>
      </c>
      <c r="AN1287">
        <v>3400</v>
      </c>
      <c r="AO1287" t="s">
        <v>118</v>
      </c>
      <c r="AP1287">
        <v>52</v>
      </c>
      <c r="AQ1287">
        <v>-97</v>
      </c>
      <c r="AR1287">
        <v>192</v>
      </c>
      <c r="AZ1287">
        <v>1200</v>
      </c>
      <c r="BA1287">
        <v>1</v>
      </c>
      <c r="BB1287" t="str">
        <f t="shared" si="373"/>
        <v xml:space="preserve">N733KP  </v>
      </c>
      <c r="BC1287">
        <v>1</v>
      </c>
      <c r="BE1287">
        <v>0</v>
      </c>
      <c r="BF1287">
        <v>0</v>
      </c>
      <c r="BG1287">
        <v>0</v>
      </c>
      <c r="BH1287">
        <v>3350</v>
      </c>
      <c r="BI1287">
        <v>1</v>
      </c>
      <c r="BJ1287">
        <v>1</v>
      </c>
      <c r="BK1287">
        <v>0</v>
      </c>
      <c r="BL1287">
        <v>0</v>
      </c>
      <c r="BO1287">
        <v>0</v>
      </c>
      <c r="BP1287">
        <v>0</v>
      </c>
      <c r="BW1287" t="str">
        <f>"22:14:52.268"</f>
        <v>22:14:52.268</v>
      </c>
      <c r="CJ1287">
        <v>0</v>
      </c>
      <c r="CK1287">
        <v>1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364</v>
      </c>
      <c r="CR1287">
        <v>0</v>
      </c>
      <c r="CW1287">
        <v>1413677</v>
      </c>
      <c r="CY1287">
        <v>1</v>
      </c>
      <c r="CZ1287">
        <v>0</v>
      </c>
      <c r="DA1287">
        <v>1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"03/24/2022 22:14:53.454"</f>
        <v>03/24/2022 22:14:53.454</v>
      </c>
      <c r="C1288" t="str">
        <f t="shared" si="372"/>
        <v>FFDFD3C0</v>
      </c>
      <c r="D1288" t="s">
        <v>123</v>
      </c>
      <c r="E1288">
        <v>8</v>
      </c>
      <c r="H1288">
        <v>31</v>
      </c>
      <c r="I1288" t="s">
        <v>124</v>
      </c>
      <c r="J1288" t="s">
        <v>125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S1288" t="str">
        <f t="shared" ref="S1288:T1291" si="387">"22:14:53.000"</f>
        <v>22:14:53.000</v>
      </c>
      <c r="T1288" t="str">
        <f t="shared" si="387"/>
        <v>22:14:53.000</v>
      </c>
      <c r="U1288" t="str">
        <f t="shared" si="385"/>
        <v>A9D71F</v>
      </c>
      <c r="V1288">
        <v>0</v>
      </c>
      <c r="W1288">
        <v>0</v>
      </c>
      <c r="X1288">
        <v>2</v>
      </c>
      <c r="Z1288">
        <v>1</v>
      </c>
      <c r="AA1288">
        <v>7</v>
      </c>
      <c r="AB1288">
        <v>3</v>
      </c>
      <c r="AC1288">
        <v>0</v>
      </c>
      <c r="AD1288">
        <v>9</v>
      </c>
      <c r="AE1288">
        <v>0</v>
      </c>
      <c r="AF1288">
        <v>3</v>
      </c>
      <c r="AG1288">
        <v>1</v>
      </c>
      <c r="AH1288">
        <v>0</v>
      </c>
      <c r="AI1288" t="s">
        <v>694</v>
      </c>
      <c r="AJ1288">
        <v>33.116720000000001</v>
      </c>
      <c r="AK1288" t="s">
        <v>695</v>
      </c>
      <c r="AL1288">
        <v>-97.699420000000003</v>
      </c>
      <c r="AM1288">
        <v>25</v>
      </c>
      <c r="AN1288">
        <v>3400</v>
      </c>
      <c r="AO1288" t="s">
        <v>118</v>
      </c>
      <c r="AP1288">
        <v>52</v>
      </c>
      <c r="AQ1288">
        <v>-96</v>
      </c>
      <c r="AR1288">
        <v>256</v>
      </c>
      <c r="AZ1288">
        <v>1200</v>
      </c>
      <c r="BA1288">
        <v>1</v>
      </c>
      <c r="BB1288" t="str">
        <f t="shared" si="373"/>
        <v xml:space="preserve">N733KP  </v>
      </c>
      <c r="BC1288">
        <v>1</v>
      </c>
      <c r="BE1288">
        <v>0</v>
      </c>
      <c r="BF1288">
        <v>0</v>
      </c>
      <c r="BG1288">
        <v>0</v>
      </c>
      <c r="BH1288">
        <v>3350</v>
      </c>
      <c r="BI1288">
        <v>1</v>
      </c>
      <c r="BJ1288">
        <v>1</v>
      </c>
      <c r="BK1288">
        <v>0</v>
      </c>
      <c r="BL1288">
        <v>0</v>
      </c>
      <c r="BO1288">
        <v>0</v>
      </c>
      <c r="BP1288">
        <v>0</v>
      </c>
      <c r="BW1288" t="str">
        <f>"22:14:53.275"</f>
        <v>22:14:53.275</v>
      </c>
      <c r="CJ1288">
        <v>0</v>
      </c>
      <c r="CK1288">
        <v>1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364</v>
      </c>
      <c r="CR1288">
        <v>0</v>
      </c>
      <c r="CW1288">
        <v>1413835</v>
      </c>
      <c r="CY1288">
        <v>1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"03/24/2022 22:14:53.454"</f>
        <v>03/24/2022 22:14:53.454</v>
      </c>
      <c r="C1289" t="str">
        <f t="shared" si="372"/>
        <v>FFDFD3C0</v>
      </c>
      <c r="D1289" t="s">
        <v>113</v>
      </c>
      <c r="E1289">
        <v>24</v>
      </c>
      <c r="F1289">
        <v>2024</v>
      </c>
      <c r="G1289" t="s">
        <v>114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S1289" t="str">
        <f t="shared" si="387"/>
        <v>22:14:53.000</v>
      </c>
      <c r="T1289" t="str">
        <f t="shared" si="387"/>
        <v>22:14:53.000</v>
      </c>
      <c r="U1289" t="str">
        <f t="shared" si="385"/>
        <v>A9D71F</v>
      </c>
      <c r="V1289">
        <v>0</v>
      </c>
      <c r="W1289">
        <v>0</v>
      </c>
      <c r="X1289">
        <v>2</v>
      </c>
      <c r="Z1289">
        <v>1</v>
      </c>
      <c r="AA1289">
        <v>7</v>
      </c>
      <c r="AB1289">
        <v>3</v>
      </c>
      <c r="AC1289">
        <v>0</v>
      </c>
      <c r="AD1289">
        <v>9</v>
      </c>
      <c r="AE1289">
        <v>0</v>
      </c>
      <c r="AF1289">
        <v>3</v>
      </c>
      <c r="AG1289">
        <v>1</v>
      </c>
      <c r="AH1289">
        <v>0</v>
      </c>
      <c r="AI1289" t="s">
        <v>694</v>
      </c>
      <c r="AJ1289">
        <v>33.116720000000001</v>
      </c>
      <c r="AK1289" t="s">
        <v>695</v>
      </c>
      <c r="AL1289">
        <v>-97.699420000000003</v>
      </c>
      <c r="AM1289">
        <v>25</v>
      </c>
      <c r="AN1289">
        <v>3400</v>
      </c>
      <c r="AO1289" t="s">
        <v>118</v>
      </c>
      <c r="AP1289">
        <v>52</v>
      </c>
      <c r="AQ1289">
        <v>-96</v>
      </c>
      <c r="AR1289">
        <v>256</v>
      </c>
      <c r="AZ1289">
        <v>1200</v>
      </c>
      <c r="BA1289">
        <v>1</v>
      </c>
      <c r="BB1289" t="str">
        <f t="shared" si="373"/>
        <v xml:space="preserve">N733KP  </v>
      </c>
      <c r="BC1289">
        <v>1</v>
      </c>
      <c r="BE1289">
        <v>0</v>
      </c>
      <c r="BF1289">
        <v>0</v>
      </c>
      <c r="BG1289">
        <v>0</v>
      </c>
      <c r="BH1289">
        <v>3350</v>
      </c>
      <c r="BI1289">
        <v>1</v>
      </c>
      <c r="BJ1289">
        <v>1</v>
      </c>
      <c r="BK1289">
        <v>0</v>
      </c>
      <c r="BL1289">
        <v>0</v>
      </c>
      <c r="BO1289">
        <v>0</v>
      </c>
      <c r="BP1289">
        <v>0</v>
      </c>
      <c r="BW1289" t="str">
        <f>"22:14:53.275"</f>
        <v>22:14:53.275</v>
      </c>
      <c r="CJ1289">
        <v>0</v>
      </c>
      <c r="CK1289">
        <v>1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364</v>
      </c>
      <c r="CR1289">
        <v>0</v>
      </c>
      <c r="CW1289">
        <v>1413835</v>
      </c>
      <c r="CY1289">
        <v>1</v>
      </c>
      <c r="CZ1289">
        <v>0</v>
      </c>
      <c r="DA1289">
        <v>1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"03/24/2022 22:14:53.485"</f>
        <v>03/24/2022 22:14:53.485</v>
      </c>
      <c r="C1290" t="str">
        <f t="shared" si="372"/>
        <v>FFDFD3C0</v>
      </c>
      <c r="D1290" t="s">
        <v>120</v>
      </c>
      <c r="E1290">
        <v>14</v>
      </c>
      <c r="F1290">
        <v>1014</v>
      </c>
      <c r="G1290" t="s">
        <v>121</v>
      </c>
      <c r="J1290" t="s">
        <v>122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S1290" t="str">
        <f t="shared" si="387"/>
        <v>22:14:53.000</v>
      </c>
      <c r="T1290" t="str">
        <f t="shared" si="387"/>
        <v>22:14:53.000</v>
      </c>
      <c r="U1290" t="str">
        <f t="shared" si="385"/>
        <v>A9D71F</v>
      </c>
      <c r="V1290">
        <v>0</v>
      </c>
      <c r="W1290">
        <v>0</v>
      </c>
      <c r="X1290">
        <v>2</v>
      </c>
      <c r="Z1290">
        <v>1</v>
      </c>
      <c r="AA1290">
        <v>7</v>
      </c>
      <c r="AB1290">
        <v>3</v>
      </c>
      <c r="AC1290">
        <v>0</v>
      </c>
      <c r="AD1290">
        <v>9</v>
      </c>
      <c r="AE1290">
        <v>0</v>
      </c>
      <c r="AF1290">
        <v>3</v>
      </c>
      <c r="AG1290">
        <v>1</v>
      </c>
      <c r="AH1290">
        <v>0</v>
      </c>
      <c r="AI1290" t="s">
        <v>694</v>
      </c>
      <c r="AJ1290">
        <v>33.116720000000001</v>
      </c>
      <c r="AK1290" t="s">
        <v>695</v>
      </c>
      <c r="AL1290">
        <v>-97.699420000000003</v>
      </c>
      <c r="AM1290">
        <v>25</v>
      </c>
      <c r="AN1290">
        <v>3400</v>
      </c>
      <c r="AO1290" t="s">
        <v>118</v>
      </c>
      <c r="AP1290">
        <v>52</v>
      </c>
      <c r="AQ1290">
        <v>-96</v>
      </c>
      <c r="AR1290">
        <v>256</v>
      </c>
      <c r="AZ1290">
        <v>1200</v>
      </c>
      <c r="BA1290">
        <v>1</v>
      </c>
      <c r="BB1290" t="str">
        <f t="shared" si="373"/>
        <v xml:space="preserve">N733KP  </v>
      </c>
      <c r="BC1290">
        <v>1</v>
      </c>
      <c r="BE1290">
        <v>0</v>
      </c>
      <c r="BF1290">
        <v>0</v>
      </c>
      <c r="BG1290">
        <v>0</v>
      </c>
      <c r="BH1290">
        <v>3350</v>
      </c>
      <c r="BI1290">
        <v>1</v>
      </c>
      <c r="BJ1290">
        <v>1</v>
      </c>
      <c r="BK1290">
        <v>0</v>
      </c>
      <c r="BL1290">
        <v>0</v>
      </c>
      <c r="BO1290">
        <v>0</v>
      </c>
      <c r="BP1290">
        <v>0</v>
      </c>
      <c r="BW1290" t="str">
        <f>"22:14:53.275"</f>
        <v>22:14:53.275</v>
      </c>
      <c r="CJ1290">
        <v>0</v>
      </c>
      <c r="CK1290">
        <v>1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364</v>
      </c>
      <c r="CR1290">
        <v>0</v>
      </c>
      <c r="CW1290">
        <v>1413835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"03/24/2022 22:14:53.485"</f>
        <v>03/24/2022 22:14:53.485</v>
      </c>
      <c r="C1291" t="str">
        <f t="shared" si="372"/>
        <v>FFDFD3C0</v>
      </c>
      <c r="D1291" t="s">
        <v>126</v>
      </c>
      <c r="E1291">
        <v>3</v>
      </c>
      <c r="H1291">
        <v>160</v>
      </c>
      <c r="I1291" t="s">
        <v>121</v>
      </c>
      <c r="J1291" t="s">
        <v>127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S1291" t="str">
        <f t="shared" si="387"/>
        <v>22:14:53.000</v>
      </c>
      <c r="T1291" t="str">
        <f t="shared" si="387"/>
        <v>22:14:53.000</v>
      </c>
      <c r="U1291" t="str">
        <f t="shared" si="385"/>
        <v>A9D71F</v>
      </c>
      <c r="V1291">
        <v>0</v>
      </c>
      <c r="W1291">
        <v>0</v>
      </c>
      <c r="X1291">
        <v>2</v>
      </c>
      <c r="Z1291">
        <v>1</v>
      </c>
      <c r="AA1291">
        <v>7</v>
      </c>
      <c r="AB1291">
        <v>3</v>
      </c>
      <c r="AC1291">
        <v>0</v>
      </c>
      <c r="AD1291">
        <v>9</v>
      </c>
      <c r="AE1291">
        <v>0</v>
      </c>
      <c r="AF1291">
        <v>3</v>
      </c>
      <c r="AG1291">
        <v>1</v>
      </c>
      <c r="AH1291">
        <v>0</v>
      </c>
      <c r="AI1291" t="s">
        <v>694</v>
      </c>
      <c r="AJ1291">
        <v>33.116720000000001</v>
      </c>
      <c r="AK1291" t="s">
        <v>695</v>
      </c>
      <c r="AL1291">
        <v>-97.699420000000003</v>
      </c>
      <c r="AM1291">
        <v>25</v>
      </c>
      <c r="AN1291">
        <v>3400</v>
      </c>
      <c r="AO1291" t="s">
        <v>118</v>
      </c>
      <c r="AP1291">
        <v>52</v>
      </c>
      <c r="AQ1291">
        <v>-96</v>
      </c>
      <c r="AR1291">
        <v>256</v>
      </c>
      <c r="AZ1291">
        <v>1200</v>
      </c>
      <c r="BA1291">
        <v>1</v>
      </c>
      <c r="BB1291" t="str">
        <f t="shared" si="373"/>
        <v xml:space="preserve">N733KP  </v>
      </c>
      <c r="BC1291">
        <v>1</v>
      </c>
      <c r="BE1291">
        <v>0</v>
      </c>
      <c r="BF1291">
        <v>0</v>
      </c>
      <c r="BG1291">
        <v>0</v>
      </c>
      <c r="BH1291">
        <v>3350</v>
      </c>
      <c r="BI1291">
        <v>1</v>
      </c>
      <c r="BJ1291">
        <v>1</v>
      </c>
      <c r="BK1291">
        <v>0</v>
      </c>
      <c r="BL1291">
        <v>0</v>
      </c>
      <c r="BO1291">
        <v>0</v>
      </c>
      <c r="BP1291">
        <v>0</v>
      </c>
      <c r="BW1291" t="str">
        <f>"22:14:53.275"</f>
        <v>22:14:53.275</v>
      </c>
      <c r="CJ1291">
        <v>0</v>
      </c>
      <c r="CK1291">
        <v>1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364</v>
      </c>
      <c r="CR1291">
        <v>0</v>
      </c>
      <c r="CW1291">
        <v>1413835</v>
      </c>
      <c r="CY1291">
        <v>1</v>
      </c>
      <c r="CZ1291">
        <v>0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"03/24/2022 22:14:55.048"</f>
        <v>03/24/2022 22:14:55.048</v>
      </c>
      <c r="C1292" t="str">
        <f t="shared" si="372"/>
        <v>FFDFD3C0</v>
      </c>
      <c r="D1292" t="s">
        <v>120</v>
      </c>
      <c r="E1292">
        <v>14</v>
      </c>
      <c r="F1292">
        <v>1014</v>
      </c>
      <c r="G1292" t="s">
        <v>121</v>
      </c>
      <c r="J1292" t="s">
        <v>122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S1292" t="str">
        <f t="shared" ref="S1292:T1294" si="388">"22:14:54.000"</f>
        <v>22:14:54.000</v>
      </c>
      <c r="T1292" t="str">
        <f t="shared" si="388"/>
        <v>22:14:54.000</v>
      </c>
      <c r="U1292" t="str">
        <f t="shared" si="385"/>
        <v>A9D71F</v>
      </c>
      <c r="V1292">
        <v>0</v>
      </c>
      <c r="W1292">
        <v>0</v>
      </c>
      <c r="X1292">
        <v>2</v>
      </c>
      <c r="Z1292">
        <v>1</v>
      </c>
      <c r="AA1292">
        <v>8</v>
      </c>
      <c r="AB1292">
        <v>3</v>
      </c>
      <c r="AC1292">
        <v>0</v>
      </c>
      <c r="AD1292">
        <v>9</v>
      </c>
      <c r="AE1292">
        <v>0</v>
      </c>
      <c r="AF1292">
        <v>3</v>
      </c>
      <c r="AG1292">
        <v>1</v>
      </c>
      <c r="AH1292">
        <v>0</v>
      </c>
      <c r="AI1292" t="s">
        <v>696</v>
      </c>
      <c r="AJ1292">
        <v>33.116269000000003</v>
      </c>
      <c r="AK1292" t="s">
        <v>697</v>
      </c>
      <c r="AL1292">
        <v>-97.699141999999995</v>
      </c>
      <c r="AM1292">
        <v>25</v>
      </c>
      <c r="AN1292">
        <v>3400</v>
      </c>
      <c r="AO1292" t="s">
        <v>118</v>
      </c>
      <c r="AP1292">
        <v>51</v>
      </c>
      <c r="AQ1292">
        <v>-96</v>
      </c>
      <c r="AR1292">
        <v>384</v>
      </c>
      <c r="AZ1292">
        <v>1200</v>
      </c>
      <c r="BA1292">
        <v>1</v>
      </c>
      <c r="BB1292" t="str">
        <f t="shared" si="373"/>
        <v xml:space="preserve">N733KP  </v>
      </c>
      <c r="BC1292">
        <v>1</v>
      </c>
      <c r="BE1292">
        <v>0</v>
      </c>
      <c r="BF1292">
        <v>0</v>
      </c>
      <c r="BG1292">
        <v>0</v>
      </c>
      <c r="BH1292">
        <v>3375</v>
      </c>
      <c r="BI1292">
        <v>1</v>
      </c>
      <c r="BJ1292">
        <v>1</v>
      </c>
      <c r="BK1292">
        <v>0</v>
      </c>
      <c r="BL1292">
        <v>0</v>
      </c>
      <c r="BO1292">
        <v>0</v>
      </c>
      <c r="BP1292">
        <v>0</v>
      </c>
      <c r="BW1292" t="str">
        <f>"22:14:54.883"</f>
        <v>22:14:54.883</v>
      </c>
      <c r="CJ1292">
        <v>0</v>
      </c>
      <c r="CK1292">
        <v>1</v>
      </c>
      <c r="CL1292">
        <v>0</v>
      </c>
      <c r="CM1292">
        <v>2</v>
      </c>
      <c r="CN1292">
        <v>0</v>
      </c>
      <c r="CO1292">
        <v>3</v>
      </c>
      <c r="CP1292" t="s">
        <v>119</v>
      </c>
      <c r="CQ1292">
        <v>440</v>
      </c>
      <c r="CR1292">
        <v>0</v>
      </c>
      <c r="CW1292">
        <v>6706846</v>
      </c>
      <c r="CY1292">
        <v>1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"03/24/2022 22:14:55.048"</f>
        <v>03/24/2022 22:14:55.048</v>
      </c>
      <c r="C1293" t="str">
        <f t="shared" si="372"/>
        <v>FFDFD3C0</v>
      </c>
      <c r="D1293" t="s">
        <v>126</v>
      </c>
      <c r="E1293">
        <v>3</v>
      </c>
      <c r="H1293">
        <v>160</v>
      </c>
      <c r="I1293" t="s">
        <v>121</v>
      </c>
      <c r="J1293" t="s">
        <v>127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S1293" t="str">
        <f t="shared" si="388"/>
        <v>22:14:54.000</v>
      </c>
      <c r="T1293" t="str">
        <f t="shared" si="388"/>
        <v>22:14:54.000</v>
      </c>
      <c r="U1293" t="str">
        <f t="shared" si="385"/>
        <v>A9D71F</v>
      </c>
      <c r="V1293">
        <v>0</v>
      </c>
      <c r="W1293">
        <v>0</v>
      </c>
      <c r="X1293">
        <v>2</v>
      </c>
      <c r="Z1293">
        <v>1</v>
      </c>
      <c r="AA1293">
        <v>8</v>
      </c>
      <c r="AB1293">
        <v>3</v>
      </c>
      <c r="AC1293">
        <v>0</v>
      </c>
      <c r="AD1293">
        <v>9</v>
      </c>
      <c r="AE1293">
        <v>0</v>
      </c>
      <c r="AF1293">
        <v>3</v>
      </c>
      <c r="AG1293">
        <v>1</v>
      </c>
      <c r="AH1293">
        <v>0</v>
      </c>
      <c r="AI1293" t="s">
        <v>696</v>
      </c>
      <c r="AJ1293">
        <v>33.116269000000003</v>
      </c>
      <c r="AK1293" t="s">
        <v>697</v>
      </c>
      <c r="AL1293">
        <v>-97.699141999999995</v>
      </c>
      <c r="AM1293">
        <v>25</v>
      </c>
      <c r="AN1293">
        <v>3400</v>
      </c>
      <c r="AO1293" t="s">
        <v>118</v>
      </c>
      <c r="AP1293">
        <v>51</v>
      </c>
      <c r="AQ1293">
        <v>-96</v>
      </c>
      <c r="AR1293">
        <v>384</v>
      </c>
      <c r="AZ1293">
        <v>1200</v>
      </c>
      <c r="BA1293">
        <v>1</v>
      </c>
      <c r="BB1293" t="str">
        <f t="shared" si="373"/>
        <v xml:space="preserve">N733KP  </v>
      </c>
      <c r="BC1293">
        <v>1</v>
      </c>
      <c r="BE1293">
        <v>0</v>
      </c>
      <c r="BF1293">
        <v>0</v>
      </c>
      <c r="BG1293">
        <v>0</v>
      </c>
      <c r="BH1293">
        <v>3375</v>
      </c>
      <c r="BI1293">
        <v>1</v>
      </c>
      <c r="BJ1293">
        <v>1</v>
      </c>
      <c r="BK1293">
        <v>0</v>
      </c>
      <c r="BL1293">
        <v>0</v>
      </c>
      <c r="BO1293">
        <v>0</v>
      </c>
      <c r="BP1293">
        <v>0</v>
      </c>
      <c r="BW1293" t="str">
        <f>"22:14:54.883"</f>
        <v>22:14:54.883</v>
      </c>
      <c r="CJ1293">
        <v>0</v>
      </c>
      <c r="CK1293">
        <v>1</v>
      </c>
      <c r="CL1293">
        <v>0</v>
      </c>
      <c r="CM1293">
        <v>2</v>
      </c>
      <c r="CN1293">
        <v>0</v>
      </c>
      <c r="CO1293">
        <v>3</v>
      </c>
      <c r="CP1293" t="s">
        <v>119</v>
      </c>
      <c r="CQ1293">
        <v>440</v>
      </c>
      <c r="CR1293">
        <v>0</v>
      </c>
      <c r="CW1293">
        <v>6706846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"03/24/2022 22:14:55.126"</f>
        <v>03/24/2022 22:14:55.126</v>
      </c>
      <c r="C1294" t="str">
        <f t="shared" si="372"/>
        <v>FFDFD3C0</v>
      </c>
      <c r="D1294" t="s">
        <v>113</v>
      </c>
      <c r="E1294">
        <v>24</v>
      </c>
      <c r="F1294">
        <v>2024</v>
      </c>
      <c r="G1294" t="s">
        <v>114</v>
      </c>
      <c r="J1294" t="s">
        <v>115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S1294" t="str">
        <f t="shared" si="388"/>
        <v>22:14:54.000</v>
      </c>
      <c r="T1294" t="str">
        <f t="shared" si="388"/>
        <v>22:14:54.000</v>
      </c>
      <c r="U1294" t="str">
        <f t="shared" si="385"/>
        <v>A9D71F</v>
      </c>
      <c r="V1294">
        <v>0</v>
      </c>
      <c r="W1294">
        <v>0</v>
      </c>
      <c r="X1294">
        <v>2</v>
      </c>
      <c r="Z1294">
        <v>1</v>
      </c>
      <c r="AA1294">
        <v>8</v>
      </c>
      <c r="AB1294">
        <v>3</v>
      </c>
      <c r="AC1294">
        <v>0</v>
      </c>
      <c r="AD1294">
        <v>9</v>
      </c>
      <c r="AE1294">
        <v>0</v>
      </c>
      <c r="AF1294">
        <v>3</v>
      </c>
      <c r="AG1294">
        <v>1</v>
      </c>
      <c r="AH1294">
        <v>0</v>
      </c>
      <c r="AI1294" t="s">
        <v>696</v>
      </c>
      <c r="AJ1294">
        <v>33.116269000000003</v>
      </c>
      <c r="AK1294" t="s">
        <v>697</v>
      </c>
      <c r="AL1294">
        <v>-97.699141999999995</v>
      </c>
      <c r="AM1294">
        <v>25</v>
      </c>
      <c r="AN1294">
        <v>3400</v>
      </c>
      <c r="AO1294" t="s">
        <v>118</v>
      </c>
      <c r="AP1294">
        <v>51</v>
      </c>
      <c r="AQ1294">
        <v>-96</v>
      </c>
      <c r="AR1294">
        <v>384</v>
      </c>
      <c r="AZ1294">
        <v>1200</v>
      </c>
      <c r="BA1294">
        <v>1</v>
      </c>
      <c r="BB1294" t="str">
        <f t="shared" si="373"/>
        <v xml:space="preserve">N733KP  </v>
      </c>
      <c r="BC1294">
        <v>1</v>
      </c>
      <c r="BE1294">
        <v>0</v>
      </c>
      <c r="BF1294">
        <v>0</v>
      </c>
      <c r="BG1294">
        <v>0</v>
      </c>
      <c r="BH1294">
        <v>3375</v>
      </c>
      <c r="BI1294">
        <v>1</v>
      </c>
      <c r="BJ1294">
        <v>1</v>
      </c>
      <c r="BK1294">
        <v>0</v>
      </c>
      <c r="BL1294">
        <v>0</v>
      </c>
      <c r="BO1294">
        <v>0</v>
      </c>
      <c r="BP1294">
        <v>0</v>
      </c>
      <c r="BW1294" t="str">
        <f>"22:14:54.883"</f>
        <v>22:14:54.883</v>
      </c>
      <c r="CJ1294">
        <v>0</v>
      </c>
      <c r="CK1294">
        <v>1</v>
      </c>
      <c r="CL1294">
        <v>0</v>
      </c>
      <c r="CM1294">
        <v>2</v>
      </c>
      <c r="CN1294">
        <v>0</v>
      </c>
      <c r="CO1294">
        <v>3</v>
      </c>
      <c r="CP1294" t="s">
        <v>119</v>
      </c>
      <c r="CQ1294">
        <v>440</v>
      </c>
      <c r="CR1294">
        <v>0</v>
      </c>
      <c r="CW1294">
        <v>6706846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"03/24/2022 22:14:55.892"</f>
        <v>03/24/2022 22:14:55.892</v>
      </c>
      <c r="C1295" t="str">
        <f t="shared" si="372"/>
        <v>FFDFD3C0</v>
      </c>
      <c r="D1295" t="s">
        <v>126</v>
      </c>
      <c r="E1295">
        <v>3</v>
      </c>
      <c r="H1295">
        <v>160</v>
      </c>
      <c r="I1295" t="s">
        <v>121</v>
      </c>
      <c r="J1295" t="s">
        <v>127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S1295" t="str">
        <f t="shared" ref="S1295:T1298" si="389">"22:14:55.000"</f>
        <v>22:14:55.000</v>
      </c>
      <c r="T1295" t="str">
        <f t="shared" si="389"/>
        <v>22:14:55.000</v>
      </c>
      <c r="U1295" t="str">
        <f t="shared" si="385"/>
        <v>A9D71F</v>
      </c>
      <c r="V1295">
        <v>0</v>
      </c>
      <c r="W1295">
        <v>0</v>
      </c>
      <c r="X1295">
        <v>2</v>
      </c>
      <c r="Z1295">
        <v>1</v>
      </c>
      <c r="AA1295">
        <v>8</v>
      </c>
      <c r="AB1295">
        <v>3</v>
      </c>
      <c r="AC1295">
        <v>0</v>
      </c>
      <c r="AD1295">
        <v>9</v>
      </c>
      <c r="AE1295">
        <v>0</v>
      </c>
      <c r="AF1295">
        <v>3</v>
      </c>
      <c r="AG1295">
        <v>1</v>
      </c>
      <c r="AH1295">
        <v>0</v>
      </c>
      <c r="AI1295" t="s">
        <v>698</v>
      </c>
      <c r="AJ1295">
        <v>33.115819000000002</v>
      </c>
      <c r="AK1295" t="s">
        <v>699</v>
      </c>
      <c r="AL1295">
        <v>-97.698819999999998</v>
      </c>
      <c r="AM1295">
        <v>25</v>
      </c>
      <c r="AN1295">
        <v>3400</v>
      </c>
      <c r="AO1295" t="s">
        <v>118</v>
      </c>
      <c r="AP1295">
        <v>50</v>
      </c>
      <c r="AQ1295">
        <v>-95</v>
      </c>
      <c r="AR1295">
        <v>448</v>
      </c>
      <c r="AZ1295">
        <v>1200</v>
      </c>
      <c r="BA1295">
        <v>1</v>
      </c>
      <c r="BB1295" t="str">
        <f t="shared" si="373"/>
        <v xml:space="preserve">N733KP  </v>
      </c>
      <c r="BC1295">
        <v>1</v>
      </c>
      <c r="BE1295">
        <v>0</v>
      </c>
      <c r="BF1295">
        <v>0</v>
      </c>
      <c r="BG1295">
        <v>0</v>
      </c>
      <c r="BH1295">
        <v>3375</v>
      </c>
      <c r="BI1295">
        <v>1</v>
      </c>
      <c r="BJ1295">
        <v>1</v>
      </c>
      <c r="BK1295">
        <v>0</v>
      </c>
      <c r="BL1295">
        <v>0</v>
      </c>
      <c r="BO1295">
        <v>0</v>
      </c>
      <c r="BP1295">
        <v>0</v>
      </c>
      <c r="BW1295" t="str">
        <f>"22:14:55.698"</f>
        <v>22:14:55.698</v>
      </c>
      <c r="CJ1295">
        <v>0</v>
      </c>
      <c r="CK1295">
        <v>1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364</v>
      </c>
      <c r="CR1295">
        <v>0</v>
      </c>
      <c r="CW1295">
        <v>1414204</v>
      </c>
      <c r="CY1295">
        <v>1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"03/24/2022 22:14:55.923"</f>
        <v>03/24/2022 22:14:55.923</v>
      </c>
      <c r="C1296" t="str">
        <f t="shared" si="372"/>
        <v>FFDFD3C0</v>
      </c>
      <c r="D1296" t="s">
        <v>123</v>
      </c>
      <c r="E1296">
        <v>8</v>
      </c>
      <c r="H1296">
        <v>31</v>
      </c>
      <c r="I1296" t="s">
        <v>124</v>
      </c>
      <c r="J1296" t="s">
        <v>125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S1296" t="str">
        <f t="shared" si="389"/>
        <v>22:14:55.000</v>
      </c>
      <c r="T1296" t="str">
        <f t="shared" si="389"/>
        <v>22:14:55.000</v>
      </c>
      <c r="U1296" t="str">
        <f t="shared" si="385"/>
        <v>A9D71F</v>
      </c>
      <c r="V1296">
        <v>0</v>
      </c>
      <c r="W1296">
        <v>0</v>
      </c>
      <c r="X1296">
        <v>2</v>
      </c>
      <c r="Z1296">
        <v>1</v>
      </c>
      <c r="AA1296">
        <v>8</v>
      </c>
      <c r="AB1296">
        <v>3</v>
      </c>
      <c r="AC1296">
        <v>0</v>
      </c>
      <c r="AD1296">
        <v>9</v>
      </c>
      <c r="AE1296">
        <v>0</v>
      </c>
      <c r="AF1296">
        <v>3</v>
      </c>
      <c r="AG1296">
        <v>1</v>
      </c>
      <c r="AH1296">
        <v>0</v>
      </c>
      <c r="AI1296" t="s">
        <v>698</v>
      </c>
      <c r="AJ1296">
        <v>33.115819000000002</v>
      </c>
      <c r="AK1296" t="s">
        <v>699</v>
      </c>
      <c r="AL1296">
        <v>-97.698819999999998</v>
      </c>
      <c r="AM1296">
        <v>25</v>
      </c>
      <c r="AN1296">
        <v>3400</v>
      </c>
      <c r="AO1296" t="s">
        <v>118</v>
      </c>
      <c r="AP1296">
        <v>50</v>
      </c>
      <c r="AQ1296">
        <v>-95</v>
      </c>
      <c r="AR1296">
        <v>448</v>
      </c>
      <c r="AZ1296">
        <v>1200</v>
      </c>
      <c r="BA1296">
        <v>1</v>
      </c>
      <c r="BB1296" t="str">
        <f t="shared" si="373"/>
        <v xml:space="preserve">N733KP  </v>
      </c>
      <c r="BC1296">
        <v>1</v>
      </c>
      <c r="BE1296">
        <v>0</v>
      </c>
      <c r="BF1296">
        <v>0</v>
      </c>
      <c r="BG1296">
        <v>0</v>
      </c>
      <c r="BH1296">
        <v>3375</v>
      </c>
      <c r="BI1296">
        <v>1</v>
      </c>
      <c r="BJ1296">
        <v>1</v>
      </c>
      <c r="BK1296">
        <v>0</v>
      </c>
      <c r="BL1296">
        <v>0</v>
      </c>
      <c r="BO1296">
        <v>0</v>
      </c>
      <c r="BP1296">
        <v>0</v>
      </c>
      <c r="BW1296" t="str">
        <f>"22:14:55.698"</f>
        <v>22:14:55.698</v>
      </c>
      <c r="CJ1296">
        <v>0</v>
      </c>
      <c r="CK1296">
        <v>1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364</v>
      </c>
      <c r="CR1296">
        <v>0</v>
      </c>
      <c r="CW1296">
        <v>1414204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"03/24/2022 22:14:55.923"</f>
        <v>03/24/2022 22:14:55.923</v>
      </c>
      <c r="C1297" t="str">
        <f t="shared" si="372"/>
        <v>FFDFD3C0</v>
      </c>
      <c r="D1297" t="s">
        <v>113</v>
      </c>
      <c r="E1297">
        <v>24</v>
      </c>
      <c r="F1297">
        <v>2024</v>
      </c>
      <c r="G1297" t="s">
        <v>114</v>
      </c>
      <c r="J1297" t="s">
        <v>115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S1297" t="str">
        <f t="shared" si="389"/>
        <v>22:14:55.000</v>
      </c>
      <c r="T1297" t="str">
        <f t="shared" si="389"/>
        <v>22:14:55.000</v>
      </c>
      <c r="U1297" t="str">
        <f t="shared" si="385"/>
        <v>A9D71F</v>
      </c>
      <c r="V1297">
        <v>0</v>
      </c>
      <c r="W1297">
        <v>0</v>
      </c>
      <c r="X1297">
        <v>2</v>
      </c>
      <c r="Z1297">
        <v>1</v>
      </c>
      <c r="AA1297">
        <v>8</v>
      </c>
      <c r="AB1297">
        <v>3</v>
      </c>
      <c r="AC1297">
        <v>0</v>
      </c>
      <c r="AD1297">
        <v>9</v>
      </c>
      <c r="AE1297">
        <v>0</v>
      </c>
      <c r="AF1297">
        <v>3</v>
      </c>
      <c r="AG1297">
        <v>1</v>
      </c>
      <c r="AH1297">
        <v>0</v>
      </c>
      <c r="AI1297" t="s">
        <v>698</v>
      </c>
      <c r="AJ1297">
        <v>33.115819000000002</v>
      </c>
      <c r="AK1297" t="s">
        <v>699</v>
      </c>
      <c r="AL1297">
        <v>-97.698819999999998</v>
      </c>
      <c r="AM1297">
        <v>25</v>
      </c>
      <c r="AN1297">
        <v>3400</v>
      </c>
      <c r="AO1297" t="s">
        <v>118</v>
      </c>
      <c r="AP1297">
        <v>50</v>
      </c>
      <c r="AQ1297">
        <v>-95</v>
      </c>
      <c r="AR1297">
        <v>448</v>
      </c>
      <c r="AZ1297">
        <v>1200</v>
      </c>
      <c r="BA1297">
        <v>1</v>
      </c>
      <c r="BB1297" t="str">
        <f t="shared" si="373"/>
        <v xml:space="preserve">N733KP  </v>
      </c>
      <c r="BC1297">
        <v>1</v>
      </c>
      <c r="BE1297">
        <v>0</v>
      </c>
      <c r="BF1297">
        <v>0</v>
      </c>
      <c r="BG1297">
        <v>0</v>
      </c>
      <c r="BH1297">
        <v>3375</v>
      </c>
      <c r="BI1297">
        <v>1</v>
      </c>
      <c r="BJ1297">
        <v>1</v>
      </c>
      <c r="BK1297">
        <v>0</v>
      </c>
      <c r="BL1297">
        <v>0</v>
      </c>
      <c r="BO1297">
        <v>0</v>
      </c>
      <c r="BP1297">
        <v>0</v>
      </c>
      <c r="BW1297" t="str">
        <f>"22:14:55.698"</f>
        <v>22:14:55.698</v>
      </c>
      <c r="CJ1297">
        <v>0</v>
      </c>
      <c r="CK1297">
        <v>1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364</v>
      </c>
      <c r="CR1297">
        <v>0</v>
      </c>
      <c r="CW1297">
        <v>1414204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"03/24/2022 22:14:55.923"</f>
        <v>03/24/2022 22:14:55.923</v>
      </c>
      <c r="C1298" t="str">
        <f t="shared" si="372"/>
        <v>FFDFD3C0</v>
      </c>
      <c r="D1298" t="s">
        <v>120</v>
      </c>
      <c r="E1298">
        <v>14</v>
      </c>
      <c r="F1298">
        <v>1014</v>
      </c>
      <c r="G1298" t="s">
        <v>121</v>
      </c>
      <c r="J1298" t="s">
        <v>122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S1298" t="str">
        <f t="shared" si="389"/>
        <v>22:14:55.000</v>
      </c>
      <c r="T1298" t="str">
        <f t="shared" si="389"/>
        <v>22:14:55.000</v>
      </c>
      <c r="U1298" t="str">
        <f t="shared" si="385"/>
        <v>A9D71F</v>
      </c>
      <c r="V1298">
        <v>0</v>
      </c>
      <c r="W1298">
        <v>0</v>
      </c>
      <c r="X1298">
        <v>2</v>
      </c>
      <c r="Z1298">
        <v>1</v>
      </c>
      <c r="AA1298">
        <v>8</v>
      </c>
      <c r="AB1298">
        <v>3</v>
      </c>
      <c r="AC1298">
        <v>0</v>
      </c>
      <c r="AD1298">
        <v>9</v>
      </c>
      <c r="AE1298">
        <v>0</v>
      </c>
      <c r="AF1298">
        <v>3</v>
      </c>
      <c r="AG1298">
        <v>1</v>
      </c>
      <c r="AH1298">
        <v>0</v>
      </c>
      <c r="AI1298" t="s">
        <v>698</v>
      </c>
      <c r="AJ1298">
        <v>33.115819000000002</v>
      </c>
      <c r="AK1298" t="s">
        <v>699</v>
      </c>
      <c r="AL1298">
        <v>-97.698819999999998</v>
      </c>
      <c r="AM1298">
        <v>25</v>
      </c>
      <c r="AN1298">
        <v>3400</v>
      </c>
      <c r="AO1298" t="s">
        <v>118</v>
      </c>
      <c r="AP1298">
        <v>50</v>
      </c>
      <c r="AQ1298">
        <v>-95</v>
      </c>
      <c r="AR1298">
        <v>448</v>
      </c>
      <c r="AZ1298">
        <v>1200</v>
      </c>
      <c r="BA1298">
        <v>1</v>
      </c>
      <c r="BB1298" t="str">
        <f t="shared" si="373"/>
        <v xml:space="preserve">N733KP  </v>
      </c>
      <c r="BC1298">
        <v>1</v>
      </c>
      <c r="BE1298">
        <v>0</v>
      </c>
      <c r="BF1298">
        <v>0</v>
      </c>
      <c r="BG1298">
        <v>0</v>
      </c>
      <c r="BH1298">
        <v>3375</v>
      </c>
      <c r="BI1298">
        <v>1</v>
      </c>
      <c r="BJ1298">
        <v>1</v>
      </c>
      <c r="BK1298">
        <v>0</v>
      </c>
      <c r="BL1298">
        <v>0</v>
      </c>
      <c r="BO1298">
        <v>0</v>
      </c>
      <c r="BP1298">
        <v>0</v>
      </c>
      <c r="BW1298" t="str">
        <f>"22:14:55.698"</f>
        <v>22:14:55.698</v>
      </c>
      <c r="CJ1298">
        <v>0</v>
      </c>
      <c r="CK1298">
        <v>1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364</v>
      </c>
      <c r="CR1298">
        <v>0</v>
      </c>
      <c r="CW1298">
        <v>1414204</v>
      </c>
      <c r="CY1298">
        <v>1</v>
      </c>
      <c r="CZ1298">
        <v>0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"03/24/2022 22:14:56.470"</f>
        <v>03/24/2022 22:14:56.470</v>
      </c>
      <c r="C1299" t="str">
        <f t="shared" si="372"/>
        <v>FFDFD3C0</v>
      </c>
      <c r="D1299" t="s">
        <v>126</v>
      </c>
      <c r="E1299">
        <v>3</v>
      </c>
      <c r="H1299">
        <v>160</v>
      </c>
      <c r="I1299" t="s">
        <v>121</v>
      </c>
      <c r="J1299" t="s">
        <v>127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S1299" t="str">
        <f t="shared" ref="S1299:T1302" si="390">"22:14:56.000"</f>
        <v>22:14:56.000</v>
      </c>
      <c r="T1299" t="str">
        <f t="shared" si="390"/>
        <v>22:14:56.000</v>
      </c>
      <c r="U1299" t="str">
        <f t="shared" si="385"/>
        <v>A9D71F</v>
      </c>
      <c r="V1299">
        <v>0</v>
      </c>
      <c r="W1299">
        <v>0</v>
      </c>
      <c r="X1299">
        <v>2</v>
      </c>
      <c r="Z1299">
        <v>1</v>
      </c>
      <c r="AA1299">
        <v>8</v>
      </c>
      <c r="AB1299">
        <v>3</v>
      </c>
      <c r="AC1299">
        <v>0</v>
      </c>
      <c r="AD1299">
        <v>9</v>
      </c>
      <c r="AE1299">
        <v>0</v>
      </c>
      <c r="AF1299">
        <v>3</v>
      </c>
      <c r="AG1299">
        <v>1</v>
      </c>
      <c r="AH1299">
        <v>0</v>
      </c>
      <c r="AI1299" t="s">
        <v>700</v>
      </c>
      <c r="AJ1299">
        <v>33.115367999999997</v>
      </c>
      <c r="AK1299" t="s">
        <v>701</v>
      </c>
      <c r="AL1299">
        <v>-97.698541000000006</v>
      </c>
      <c r="AM1299">
        <v>25</v>
      </c>
      <c r="AN1299">
        <v>3400</v>
      </c>
      <c r="AO1299" t="s">
        <v>118</v>
      </c>
      <c r="AP1299">
        <v>51</v>
      </c>
      <c r="AQ1299">
        <v>-94</v>
      </c>
      <c r="AR1299">
        <v>512</v>
      </c>
      <c r="AZ1299">
        <v>1200</v>
      </c>
      <c r="BA1299">
        <v>1</v>
      </c>
      <c r="BB1299" t="str">
        <f t="shared" si="373"/>
        <v xml:space="preserve">N733KP  </v>
      </c>
      <c r="BC1299">
        <v>1</v>
      </c>
      <c r="BE1299">
        <v>0</v>
      </c>
      <c r="BF1299">
        <v>0</v>
      </c>
      <c r="BG1299">
        <v>0</v>
      </c>
      <c r="BH1299">
        <v>3375</v>
      </c>
      <c r="BI1299">
        <v>1</v>
      </c>
      <c r="BJ1299">
        <v>1</v>
      </c>
      <c r="BK1299">
        <v>0</v>
      </c>
      <c r="BL1299">
        <v>0</v>
      </c>
      <c r="BO1299">
        <v>0</v>
      </c>
      <c r="BP1299">
        <v>0</v>
      </c>
      <c r="BW1299" t="str">
        <f>"22:14:56.296"</f>
        <v>22:14:56.296</v>
      </c>
      <c r="CJ1299">
        <v>0</v>
      </c>
      <c r="CK1299">
        <v>1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364</v>
      </c>
      <c r="CR1299">
        <v>0</v>
      </c>
      <c r="CW1299">
        <v>1414300</v>
      </c>
      <c r="CY1299">
        <v>1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"03/24/2022 22:14:56.532"</f>
        <v>03/24/2022 22:14:56.532</v>
      </c>
      <c r="C1300" t="str">
        <f t="shared" si="372"/>
        <v>FFDFD3C0</v>
      </c>
      <c r="D1300" t="s">
        <v>123</v>
      </c>
      <c r="E1300">
        <v>8</v>
      </c>
      <c r="H1300">
        <v>31</v>
      </c>
      <c r="I1300" t="s">
        <v>124</v>
      </c>
      <c r="J1300" t="s">
        <v>125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S1300" t="str">
        <f t="shared" si="390"/>
        <v>22:14:56.000</v>
      </c>
      <c r="T1300" t="str">
        <f t="shared" si="390"/>
        <v>22:14:56.000</v>
      </c>
      <c r="U1300" t="str">
        <f t="shared" si="385"/>
        <v>A9D71F</v>
      </c>
      <c r="V1300">
        <v>0</v>
      </c>
      <c r="W1300">
        <v>0</v>
      </c>
      <c r="X1300">
        <v>2</v>
      </c>
      <c r="Z1300">
        <v>1</v>
      </c>
      <c r="AA1300">
        <v>8</v>
      </c>
      <c r="AB1300">
        <v>3</v>
      </c>
      <c r="AC1300">
        <v>0</v>
      </c>
      <c r="AD1300">
        <v>9</v>
      </c>
      <c r="AE1300">
        <v>0</v>
      </c>
      <c r="AF1300">
        <v>3</v>
      </c>
      <c r="AG1300">
        <v>1</v>
      </c>
      <c r="AH1300">
        <v>0</v>
      </c>
      <c r="AI1300" t="s">
        <v>700</v>
      </c>
      <c r="AJ1300">
        <v>33.115367999999997</v>
      </c>
      <c r="AK1300" t="s">
        <v>701</v>
      </c>
      <c r="AL1300">
        <v>-97.698541000000006</v>
      </c>
      <c r="AM1300">
        <v>25</v>
      </c>
      <c r="AN1300">
        <v>3400</v>
      </c>
      <c r="AO1300" t="s">
        <v>118</v>
      </c>
      <c r="AP1300">
        <v>51</v>
      </c>
      <c r="AQ1300">
        <v>-94</v>
      </c>
      <c r="AR1300">
        <v>512</v>
      </c>
      <c r="AZ1300">
        <v>1200</v>
      </c>
      <c r="BA1300">
        <v>1</v>
      </c>
      <c r="BB1300" t="str">
        <f t="shared" si="373"/>
        <v xml:space="preserve">N733KP  </v>
      </c>
      <c r="BC1300">
        <v>1</v>
      </c>
      <c r="BE1300">
        <v>0</v>
      </c>
      <c r="BF1300">
        <v>0</v>
      </c>
      <c r="BG1300">
        <v>0</v>
      </c>
      <c r="BH1300">
        <v>3375</v>
      </c>
      <c r="BI1300">
        <v>1</v>
      </c>
      <c r="BJ1300">
        <v>1</v>
      </c>
      <c r="BK1300">
        <v>0</v>
      </c>
      <c r="BL1300">
        <v>0</v>
      </c>
      <c r="BO1300">
        <v>0</v>
      </c>
      <c r="BP1300">
        <v>0</v>
      </c>
      <c r="BW1300" t="str">
        <f>"22:14:56.296"</f>
        <v>22:14:56.296</v>
      </c>
      <c r="CJ1300">
        <v>0</v>
      </c>
      <c r="CK1300">
        <v>1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364</v>
      </c>
      <c r="CR1300">
        <v>0</v>
      </c>
      <c r="CW1300">
        <v>1414300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"03/24/2022 22:14:56.532"</f>
        <v>03/24/2022 22:14:56.532</v>
      </c>
      <c r="C1301" t="str">
        <f t="shared" si="372"/>
        <v>FFDFD3C0</v>
      </c>
      <c r="D1301" t="s">
        <v>113</v>
      </c>
      <c r="E1301">
        <v>24</v>
      </c>
      <c r="F1301">
        <v>2024</v>
      </c>
      <c r="G1301" t="s">
        <v>114</v>
      </c>
      <c r="J1301" t="s">
        <v>115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S1301" t="str">
        <f t="shared" si="390"/>
        <v>22:14:56.000</v>
      </c>
      <c r="T1301" t="str">
        <f t="shared" si="390"/>
        <v>22:14:56.000</v>
      </c>
      <c r="U1301" t="str">
        <f t="shared" si="385"/>
        <v>A9D71F</v>
      </c>
      <c r="V1301">
        <v>0</v>
      </c>
      <c r="W1301">
        <v>0</v>
      </c>
      <c r="X1301">
        <v>2</v>
      </c>
      <c r="Z1301">
        <v>1</v>
      </c>
      <c r="AA1301">
        <v>8</v>
      </c>
      <c r="AB1301">
        <v>3</v>
      </c>
      <c r="AC1301">
        <v>0</v>
      </c>
      <c r="AD1301">
        <v>9</v>
      </c>
      <c r="AE1301">
        <v>0</v>
      </c>
      <c r="AF1301">
        <v>3</v>
      </c>
      <c r="AG1301">
        <v>1</v>
      </c>
      <c r="AH1301">
        <v>0</v>
      </c>
      <c r="AI1301" t="s">
        <v>700</v>
      </c>
      <c r="AJ1301">
        <v>33.115367999999997</v>
      </c>
      <c r="AK1301" t="s">
        <v>701</v>
      </c>
      <c r="AL1301">
        <v>-97.698541000000006</v>
      </c>
      <c r="AM1301">
        <v>25</v>
      </c>
      <c r="AN1301">
        <v>3400</v>
      </c>
      <c r="AO1301" t="s">
        <v>118</v>
      </c>
      <c r="AP1301">
        <v>51</v>
      </c>
      <c r="AQ1301">
        <v>-94</v>
      </c>
      <c r="AR1301">
        <v>512</v>
      </c>
      <c r="AZ1301">
        <v>1200</v>
      </c>
      <c r="BA1301">
        <v>1</v>
      </c>
      <c r="BB1301" t="str">
        <f t="shared" si="373"/>
        <v xml:space="preserve">N733KP  </v>
      </c>
      <c r="BC1301">
        <v>1</v>
      </c>
      <c r="BE1301">
        <v>0</v>
      </c>
      <c r="BF1301">
        <v>0</v>
      </c>
      <c r="BG1301">
        <v>0</v>
      </c>
      <c r="BH1301">
        <v>3375</v>
      </c>
      <c r="BI1301">
        <v>1</v>
      </c>
      <c r="BJ1301">
        <v>1</v>
      </c>
      <c r="BK1301">
        <v>0</v>
      </c>
      <c r="BL1301">
        <v>0</v>
      </c>
      <c r="BO1301">
        <v>0</v>
      </c>
      <c r="BP1301">
        <v>0</v>
      </c>
      <c r="BW1301" t="str">
        <f>"22:14:56.296"</f>
        <v>22:14:56.296</v>
      </c>
      <c r="CJ1301">
        <v>0</v>
      </c>
      <c r="CK1301">
        <v>1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364</v>
      </c>
      <c r="CR1301">
        <v>0</v>
      </c>
      <c r="CW1301">
        <v>1414300</v>
      </c>
      <c r="CY1301">
        <v>1</v>
      </c>
      <c r="CZ1301">
        <v>0</v>
      </c>
      <c r="DA1301">
        <v>1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"03/24/2022 22:14:56.548"</f>
        <v>03/24/2022 22:14:56.548</v>
      </c>
      <c r="C1302" t="str">
        <f t="shared" ref="C1302:C1365" si="391">"FFDFD3C0"</f>
        <v>FFDFD3C0</v>
      </c>
      <c r="D1302" t="s">
        <v>120</v>
      </c>
      <c r="E1302">
        <v>14</v>
      </c>
      <c r="F1302">
        <v>1014</v>
      </c>
      <c r="G1302" t="s">
        <v>121</v>
      </c>
      <c r="J1302" t="s">
        <v>122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S1302" t="str">
        <f t="shared" si="390"/>
        <v>22:14:56.000</v>
      </c>
      <c r="T1302" t="str">
        <f t="shared" si="390"/>
        <v>22:14:56.000</v>
      </c>
      <c r="U1302" t="str">
        <f t="shared" si="385"/>
        <v>A9D71F</v>
      </c>
      <c r="V1302">
        <v>0</v>
      </c>
      <c r="W1302">
        <v>0</v>
      </c>
      <c r="X1302">
        <v>2</v>
      </c>
      <c r="Z1302">
        <v>1</v>
      </c>
      <c r="AA1302">
        <v>8</v>
      </c>
      <c r="AB1302">
        <v>3</v>
      </c>
      <c r="AC1302">
        <v>0</v>
      </c>
      <c r="AD1302">
        <v>9</v>
      </c>
      <c r="AE1302">
        <v>0</v>
      </c>
      <c r="AF1302">
        <v>3</v>
      </c>
      <c r="AG1302">
        <v>1</v>
      </c>
      <c r="AH1302">
        <v>0</v>
      </c>
      <c r="AI1302" t="s">
        <v>700</v>
      </c>
      <c r="AJ1302">
        <v>33.115367999999997</v>
      </c>
      <c r="AK1302" t="s">
        <v>701</v>
      </c>
      <c r="AL1302">
        <v>-97.698541000000006</v>
      </c>
      <c r="AM1302">
        <v>25</v>
      </c>
      <c r="AN1302">
        <v>3400</v>
      </c>
      <c r="AO1302" t="s">
        <v>118</v>
      </c>
      <c r="AP1302">
        <v>51</v>
      </c>
      <c r="AQ1302">
        <v>-94</v>
      </c>
      <c r="AR1302">
        <v>512</v>
      </c>
      <c r="AZ1302">
        <v>1200</v>
      </c>
      <c r="BA1302">
        <v>1</v>
      </c>
      <c r="BB1302" t="str">
        <f t="shared" ref="BB1302:BB1365" si="392">"N733KP  "</f>
        <v xml:space="preserve">N733KP  </v>
      </c>
      <c r="BC1302">
        <v>1</v>
      </c>
      <c r="BE1302">
        <v>0</v>
      </c>
      <c r="BF1302">
        <v>0</v>
      </c>
      <c r="BG1302">
        <v>0</v>
      </c>
      <c r="BH1302">
        <v>3375</v>
      </c>
      <c r="BI1302">
        <v>1</v>
      </c>
      <c r="BJ1302">
        <v>1</v>
      </c>
      <c r="BK1302">
        <v>0</v>
      </c>
      <c r="BL1302">
        <v>0</v>
      </c>
      <c r="BO1302">
        <v>0</v>
      </c>
      <c r="BP1302">
        <v>0</v>
      </c>
      <c r="BW1302" t="str">
        <f>"22:14:56.296"</f>
        <v>22:14:56.296</v>
      </c>
      <c r="CJ1302">
        <v>0</v>
      </c>
      <c r="CK1302">
        <v>1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364</v>
      </c>
      <c r="CR1302">
        <v>0</v>
      </c>
      <c r="CW1302">
        <v>1414300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"03/24/2022 22:14:57.502"</f>
        <v>03/24/2022 22:14:57.502</v>
      </c>
      <c r="C1303" t="str">
        <f t="shared" si="391"/>
        <v>FFDFD3C0</v>
      </c>
      <c r="D1303" t="s">
        <v>113</v>
      </c>
      <c r="E1303">
        <v>24</v>
      </c>
      <c r="F1303">
        <v>2024</v>
      </c>
      <c r="G1303" t="s">
        <v>114</v>
      </c>
      <c r="J1303" t="s">
        <v>115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S1303" t="str">
        <f t="shared" ref="S1303:T1306" si="393">"22:14:57.000"</f>
        <v>22:14:57.000</v>
      </c>
      <c r="T1303" t="str">
        <f t="shared" si="393"/>
        <v>22:14:57.000</v>
      </c>
      <c r="U1303" t="str">
        <f t="shared" si="385"/>
        <v>A9D71F</v>
      </c>
      <c r="V1303">
        <v>0</v>
      </c>
      <c r="W1303">
        <v>0</v>
      </c>
      <c r="X1303">
        <v>2</v>
      </c>
      <c r="Z1303">
        <v>1</v>
      </c>
      <c r="AA1303">
        <v>8</v>
      </c>
      <c r="AB1303">
        <v>3</v>
      </c>
      <c r="AC1303">
        <v>0</v>
      </c>
      <c r="AD1303">
        <v>9</v>
      </c>
      <c r="AE1303">
        <v>0</v>
      </c>
      <c r="AF1303">
        <v>3</v>
      </c>
      <c r="AG1303">
        <v>1</v>
      </c>
      <c r="AH1303">
        <v>0</v>
      </c>
      <c r="AI1303" t="s">
        <v>702</v>
      </c>
      <c r="AJ1303">
        <v>33.114960000000004</v>
      </c>
      <c r="AK1303" t="s">
        <v>703</v>
      </c>
      <c r="AL1303">
        <v>-97.698305000000005</v>
      </c>
      <c r="AM1303">
        <v>25</v>
      </c>
      <c r="AN1303">
        <v>3400</v>
      </c>
      <c r="AO1303" t="s">
        <v>118</v>
      </c>
      <c r="AP1303">
        <v>50</v>
      </c>
      <c r="AQ1303">
        <v>-93</v>
      </c>
      <c r="AR1303">
        <v>512</v>
      </c>
      <c r="AZ1303">
        <v>1200</v>
      </c>
      <c r="BA1303">
        <v>1</v>
      </c>
      <c r="BB1303" t="str">
        <f t="shared" si="392"/>
        <v xml:space="preserve">N733KP  </v>
      </c>
      <c r="BC1303">
        <v>1</v>
      </c>
      <c r="BE1303">
        <v>0</v>
      </c>
      <c r="BF1303">
        <v>0</v>
      </c>
      <c r="BG1303">
        <v>0</v>
      </c>
      <c r="BH1303">
        <v>3375</v>
      </c>
      <c r="BI1303">
        <v>1</v>
      </c>
      <c r="BJ1303">
        <v>1</v>
      </c>
      <c r="BK1303">
        <v>0</v>
      </c>
      <c r="BL1303">
        <v>0</v>
      </c>
      <c r="BO1303">
        <v>0</v>
      </c>
      <c r="BP1303">
        <v>0</v>
      </c>
      <c r="BW1303" t="str">
        <f>"22:14:57.316"</f>
        <v>22:14:57.316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364</v>
      </c>
      <c r="CR1303">
        <v>0</v>
      </c>
      <c r="CW1303">
        <v>1414446</v>
      </c>
      <c r="CY1303">
        <v>1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"03/24/2022 22:14:57.534"</f>
        <v>03/24/2022 22:14:57.534</v>
      </c>
      <c r="C1304" t="str">
        <f t="shared" si="391"/>
        <v>FFDFD3C0</v>
      </c>
      <c r="D1304" t="s">
        <v>120</v>
      </c>
      <c r="E1304">
        <v>14</v>
      </c>
      <c r="F1304">
        <v>1014</v>
      </c>
      <c r="G1304" t="s">
        <v>121</v>
      </c>
      <c r="J1304" t="s">
        <v>122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S1304" t="str">
        <f t="shared" si="393"/>
        <v>22:14:57.000</v>
      </c>
      <c r="T1304" t="str">
        <f t="shared" si="393"/>
        <v>22:14:57.000</v>
      </c>
      <c r="U1304" t="str">
        <f t="shared" si="385"/>
        <v>A9D71F</v>
      </c>
      <c r="V1304">
        <v>0</v>
      </c>
      <c r="W1304">
        <v>0</v>
      </c>
      <c r="X1304">
        <v>2</v>
      </c>
      <c r="Z1304">
        <v>1</v>
      </c>
      <c r="AA1304">
        <v>8</v>
      </c>
      <c r="AB1304">
        <v>3</v>
      </c>
      <c r="AC1304">
        <v>0</v>
      </c>
      <c r="AD1304">
        <v>9</v>
      </c>
      <c r="AE1304">
        <v>0</v>
      </c>
      <c r="AF1304">
        <v>3</v>
      </c>
      <c r="AG1304">
        <v>1</v>
      </c>
      <c r="AH1304">
        <v>0</v>
      </c>
      <c r="AI1304" t="s">
        <v>702</v>
      </c>
      <c r="AJ1304">
        <v>33.114960000000004</v>
      </c>
      <c r="AK1304" t="s">
        <v>703</v>
      </c>
      <c r="AL1304">
        <v>-97.698305000000005</v>
      </c>
      <c r="AM1304">
        <v>25</v>
      </c>
      <c r="AN1304">
        <v>3400</v>
      </c>
      <c r="AO1304" t="s">
        <v>118</v>
      </c>
      <c r="AP1304">
        <v>50</v>
      </c>
      <c r="AQ1304">
        <v>-93</v>
      </c>
      <c r="AR1304">
        <v>512</v>
      </c>
      <c r="AZ1304">
        <v>1200</v>
      </c>
      <c r="BA1304">
        <v>1</v>
      </c>
      <c r="BB1304" t="str">
        <f t="shared" si="392"/>
        <v xml:space="preserve">N733KP  </v>
      </c>
      <c r="BC1304">
        <v>1</v>
      </c>
      <c r="BE1304">
        <v>0</v>
      </c>
      <c r="BF1304">
        <v>0</v>
      </c>
      <c r="BG1304">
        <v>0</v>
      </c>
      <c r="BH1304">
        <v>3375</v>
      </c>
      <c r="BI1304">
        <v>1</v>
      </c>
      <c r="BJ1304">
        <v>1</v>
      </c>
      <c r="BK1304">
        <v>0</v>
      </c>
      <c r="BL1304">
        <v>0</v>
      </c>
      <c r="BO1304">
        <v>0</v>
      </c>
      <c r="BP1304">
        <v>0</v>
      </c>
      <c r="BW1304" t="str">
        <f>"22:14:57.316"</f>
        <v>22:14:57.316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364</v>
      </c>
      <c r="CR1304">
        <v>0</v>
      </c>
      <c r="CW1304">
        <v>1414446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"03/24/2022 22:14:57.534"</f>
        <v>03/24/2022 22:14:57.534</v>
      </c>
      <c r="C1305" t="str">
        <f t="shared" si="391"/>
        <v>FFDFD3C0</v>
      </c>
      <c r="D1305" t="s">
        <v>126</v>
      </c>
      <c r="E1305">
        <v>3</v>
      </c>
      <c r="H1305">
        <v>160</v>
      </c>
      <c r="I1305" t="s">
        <v>121</v>
      </c>
      <c r="J1305" t="s">
        <v>127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S1305" t="str">
        <f t="shared" si="393"/>
        <v>22:14:57.000</v>
      </c>
      <c r="T1305" t="str">
        <f t="shared" si="393"/>
        <v>22:14:57.000</v>
      </c>
      <c r="U1305" t="str">
        <f t="shared" si="385"/>
        <v>A9D71F</v>
      </c>
      <c r="V1305">
        <v>0</v>
      </c>
      <c r="W1305">
        <v>0</v>
      </c>
      <c r="X1305">
        <v>2</v>
      </c>
      <c r="Z1305">
        <v>1</v>
      </c>
      <c r="AA1305">
        <v>8</v>
      </c>
      <c r="AB1305">
        <v>3</v>
      </c>
      <c r="AC1305">
        <v>0</v>
      </c>
      <c r="AD1305">
        <v>9</v>
      </c>
      <c r="AE1305">
        <v>0</v>
      </c>
      <c r="AF1305">
        <v>3</v>
      </c>
      <c r="AG1305">
        <v>1</v>
      </c>
      <c r="AH1305">
        <v>0</v>
      </c>
      <c r="AI1305" t="s">
        <v>702</v>
      </c>
      <c r="AJ1305">
        <v>33.114960000000004</v>
      </c>
      <c r="AK1305" t="s">
        <v>703</v>
      </c>
      <c r="AL1305">
        <v>-97.698305000000005</v>
      </c>
      <c r="AM1305">
        <v>25</v>
      </c>
      <c r="AN1305">
        <v>3400</v>
      </c>
      <c r="AO1305" t="s">
        <v>118</v>
      </c>
      <c r="AP1305">
        <v>50</v>
      </c>
      <c r="AQ1305">
        <v>-93</v>
      </c>
      <c r="AR1305">
        <v>512</v>
      </c>
      <c r="AZ1305">
        <v>1200</v>
      </c>
      <c r="BA1305">
        <v>1</v>
      </c>
      <c r="BB1305" t="str">
        <f t="shared" si="392"/>
        <v xml:space="preserve">N733KP  </v>
      </c>
      <c r="BC1305">
        <v>1</v>
      </c>
      <c r="BE1305">
        <v>0</v>
      </c>
      <c r="BF1305">
        <v>0</v>
      </c>
      <c r="BG1305">
        <v>0</v>
      </c>
      <c r="BH1305">
        <v>3375</v>
      </c>
      <c r="BI1305">
        <v>1</v>
      </c>
      <c r="BJ1305">
        <v>1</v>
      </c>
      <c r="BK1305">
        <v>0</v>
      </c>
      <c r="BL1305">
        <v>0</v>
      </c>
      <c r="BO1305">
        <v>0</v>
      </c>
      <c r="BP1305">
        <v>0</v>
      </c>
      <c r="BW1305" t="str">
        <f>"22:14:57.316"</f>
        <v>22:14:57.316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364</v>
      </c>
      <c r="CR1305">
        <v>0</v>
      </c>
      <c r="CW1305">
        <v>1414446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"03/24/2022 22:14:57.534"</f>
        <v>03/24/2022 22:14:57.534</v>
      </c>
      <c r="C1306" t="str">
        <f t="shared" si="391"/>
        <v>FFDFD3C0</v>
      </c>
      <c r="D1306" t="s">
        <v>123</v>
      </c>
      <c r="E1306">
        <v>8</v>
      </c>
      <c r="H1306">
        <v>31</v>
      </c>
      <c r="I1306" t="s">
        <v>124</v>
      </c>
      <c r="J1306" t="s">
        <v>125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S1306" t="str">
        <f t="shared" si="393"/>
        <v>22:14:57.000</v>
      </c>
      <c r="T1306" t="str">
        <f t="shared" si="393"/>
        <v>22:14:57.000</v>
      </c>
      <c r="U1306" t="str">
        <f t="shared" si="385"/>
        <v>A9D71F</v>
      </c>
      <c r="V1306">
        <v>0</v>
      </c>
      <c r="W1306">
        <v>0</v>
      </c>
      <c r="X1306">
        <v>2</v>
      </c>
      <c r="Z1306">
        <v>1</v>
      </c>
      <c r="AA1306">
        <v>8</v>
      </c>
      <c r="AB1306">
        <v>3</v>
      </c>
      <c r="AC1306">
        <v>0</v>
      </c>
      <c r="AD1306">
        <v>9</v>
      </c>
      <c r="AE1306">
        <v>0</v>
      </c>
      <c r="AF1306">
        <v>3</v>
      </c>
      <c r="AG1306">
        <v>1</v>
      </c>
      <c r="AH1306">
        <v>0</v>
      </c>
      <c r="AI1306" t="s">
        <v>702</v>
      </c>
      <c r="AJ1306">
        <v>33.114960000000004</v>
      </c>
      <c r="AK1306" t="s">
        <v>703</v>
      </c>
      <c r="AL1306">
        <v>-97.698305000000005</v>
      </c>
      <c r="AM1306">
        <v>25</v>
      </c>
      <c r="AN1306">
        <v>3400</v>
      </c>
      <c r="AO1306" t="s">
        <v>118</v>
      </c>
      <c r="AP1306">
        <v>50</v>
      </c>
      <c r="AQ1306">
        <v>-93</v>
      </c>
      <c r="AR1306">
        <v>512</v>
      </c>
      <c r="AZ1306">
        <v>1200</v>
      </c>
      <c r="BA1306">
        <v>1</v>
      </c>
      <c r="BB1306" t="str">
        <f t="shared" si="392"/>
        <v xml:space="preserve">N733KP  </v>
      </c>
      <c r="BC1306">
        <v>1</v>
      </c>
      <c r="BE1306">
        <v>0</v>
      </c>
      <c r="BF1306">
        <v>0</v>
      </c>
      <c r="BG1306">
        <v>0</v>
      </c>
      <c r="BH1306">
        <v>3375</v>
      </c>
      <c r="BI1306">
        <v>1</v>
      </c>
      <c r="BJ1306">
        <v>1</v>
      </c>
      <c r="BK1306">
        <v>0</v>
      </c>
      <c r="BL1306">
        <v>0</v>
      </c>
      <c r="BO1306">
        <v>0</v>
      </c>
      <c r="BP1306">
        <v>0</v>
      </c>
      <c r="BW1306" t="str">
        <f>"22:14:57.316"</f>
        <v>22:14:57.316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364</v>
      </c>
      <c r="CR1306">
        <v>0</v>
      </c>
      <c r="CW1306">
        <v>1414446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"03/24/2022 22:14:59.051"</f>
        <v>03/24/2022 22:14:59.051</v>
      </c>
      <c r="C1307" t="str">
        <f t="shared" si="391"/>
        <v>FFDFD3C0</v>
      </c>
      <c r="D1307" t="s">
        <v>126</v>
      </c>
      <c r="E1307">
        <v>3</v>
      </c>
      <c r="H1307">
        <v>160</v>
      </c>
      <c r="I1307" t="s">
        <v>121</v>
      </c>
      <c r="J1307" t="s">
        <v>127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S1307" t="str">
        <f t="shared" ref="S1307:T1310" si="394">"22:14:58.000"</f>
        <v>22:14:58.000</v>
      </c>
      <c r="T1307" t="str">
        <f t="shared" si="394"/>
        <v>22:14:58.000</v>
      </c>
      <c r="U1307" t="str">
        <f t="shared" si="385"/>
        <v>A9D71F</v>
      </c>
      <c r="V1307">
        <v>0</v>
      </c>
      <c r="W1307">
        <v>0</v>
      </c>
      <c r="X1307">
        <v>2</v>
      </c>
      <c r="Z1307">
        <v>1</v>
      </c>
      <c r="AA1307">
        <v>8</v>
      </c>
      <c r="AB1307">
        <v>3</v>
      </c>
      <c r="AC1307">
        <v>0</v>
      </c>
      <c r="AD1307">
        <v>9</v>
      </c>
      <c r="AE1307">
        <v>0</v>
      </c>
      <c r="AF1307">
        <v>3</v>
      </c>
      <c r="AG1307">
        <v>1</v>
      </c>
      <c r="AH1307">
        <v>0</v>
      </c>
      <c r="AI1307" t="s">
        <v>704</v>
      </c>
      <c r="AJ1307">
        <v>33.114510000000003</v>
      </c>
      <c r="AK1307" t="s">
        <v>705</v>
      </c>
      <c r="AL1307">
        <v>-97.698025999999999</v>
      </c>
      <c r="AM1307">
        <v>25</v>
      </c>
      <c r="AN1307">
        <v>3400</v>
      </c>
      <c r="AO1307" t="s">
        <v>118</v>
      </c>
      <c r="AP1307">
        <v>49</v>
      </c>
      <c r="AQ1307">
        <v>-92</v>
      </c>
      <c r="AR1307">
        <v>512</v>
      </c>
      <c r="AZ1307">
        <v>1200</v>
      </c>
      <c r="BA1307">
        <v>1</v>
      </c>
      <c r="BB1307" t="str">
        <f t="shared" si="392"/>
        <v xml:space="preserve">N733KP  </v>
      </c>
      <c r="BC1307">
        <v>1</v>
      </c>
      <c r="BE1307">
        <v>0</v>
      </c>
      <c r="BF1307">
        <v>0</v>
      </c>
      <c r="BG1307">
        <v>0</v>
      </c>
      <c r="BH1307">
        <v>3375</v>
      </c>
      <c r="BI1307">
        <v>1</v>
      </c>
      <c r="BJ1307">
        <v>1</v>
      </c>
      <c r="BK1307">
        <v>0</v>
      </c>
      <c r="BL1307">
        <v>0</v>
      </c>
      <c r="BO1307">
        <v>0</v>
      </c>
      <c r="BP1307">
        <v>0</v>
      </c>
      <c r="BW1307" t="str">
        <f>"22:14:58.904"</f>
        <v>22:14:58.904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364</v>
      </c>
      <c r="CR1307">
        <v>0</v>
      </c>
      <c r="CW1307">
        <v>1414672</v>
      </c>
      <c r="CY1307">
        <v>1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"03/24/2022 22:14:59.051"</f>
        <v>03/24/2022 22:14:59.051</v>
      </c>
      <c r="C1308" t="str">
        <f t="shared" si="391"/>
        <v>FFDFD3C0</v>
      </c>
      <c r="D1308" t="s">
        <v>123</v>
      </c>
      <c r="E1308">
        <v>8</v>
      </c>
      <c r="H1308">
        <v>31</v>
      </c>
      <c r="I1308" t="s">
        <v>124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S1308" t="str">
        <f t="shared" si="394"/>
        <v>22:14:58.000</v>
      </c>
      <c r="T1308" t="str">
        <f t="shared" si="394"/>
        <v>22:14:58.000</v>
      </c>
      <c r="U1308" t="str">
        <f t="shared" si="385"/>
        <v>A9D71F</v>
      </c>
      <c r="V1308">
        <v>0</v>
      </c>
      <c r="W1308">
        <v>0</v>
      </c>
      <c r="X1308">
        <v>2</v>
      </c>
      <c r="Z1308">
        <v>1</v>
      </c>
      <c r="AA1308">
        <v>8</v>
      </c>
      <c r="AB1308">
        <v>3</v>
      </c>
      <c r="AC1308">
        <v>0</v>
      </c>
      <c r="AD1308">
        <v>9</v>
      </c>
      <c r="AE1308">
        <v>0</v>
      </c>
      <c r="AF1308">
        <v>3</v>
      </c>
      <c r="AG1308">
        <v>1</v>
      </c>
      <c r="AH1308">
        <v>0</v>
      </c>
      <c r="AI1308" t="s">
        <v>704</v>
      </c>
      <c r="AJ1308">
        <v>33.114510000000003</v>
      </c>
      <c r="AK1308" t="s">
        <v>705</v>
      </c>
      <c r="AL1308">
        <v>-97.698025999999999</v>
      </c>
      <c r="AM1308">
        <v>25</v>
      </c>
      <c r="AN1308">
        <v>3400</v>
      </c>
      <c r="AO1308" t="s">
        <v>118</v>
      </c>
      <c r="AP1308">
        <v>49</v>
      </c>
      <c r="AQ1308">
        <v>-92</v>
      </c>
      <c r="AR1308">
        <v>512</v>
      </c>
      <c r="AZ1308">
        <v>1200</v>
      </c>
      <c r="BA1308">
        <v>1</v>
      </c>
      <c r="BB1308" t="str">
        <f t="shared" si="392"/>
        <v xml:space="preserve">N733KP  </v>
      </c>
      <c r="BC1308">
        <v>1</v>
      </c>
      <c r="BE1308">
        <v>0</v>
      </c>
      <c r="BF1308">
        <v>0</v>
      </c>
      <c r="BG1308">
        <v>0</v>
      </c>
      <c r="BH1308">
        <v>3375</v>
      </c>
      <c r="BI1308">
        <v>1</v>
      </c>
      <c r="BJ1308">
        <v>1</v>
      </c>
      <c r="BK1308">
        <v>0</v>
      </c>
      <c r="BL1308">
        <v>0</v>
      </c>
      <c r="BO1308">
        <v>0</v>
      </c>
      <c r="BP1308">
        <v>0</v>
      </c>
      <c r="BW1308" t="str">
        <f>"22:14:58.904"</f>
        <v>22:14:58.904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364</v>
      </c>
      <c r="CR1308">
        <v>0</v>
      </c>
      <c r="CW1308">
        <v>1414672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"03/24/2022 22:14:59.051"</f>
        <v>03/24/2022 22:14:59.051</v>
      </c>
      <c r="C1309" t="str">
        <f t="shared" si="391"/>
        <v>FFDFD3C0</v>
      </c>
      <c r="D1309" t="s">
        <v>120</v>
      </c>
      <c r="E1309">
        <v>14</v>
      </c>
      <c r="F1309">
        <v>1014</v>
      </c>
      <c r="G1309" t="s">
        <v>121</v>
      </c>
      <c r="J1309" t="s">
        <v>122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S1309" t="str">
        <f t="shared" si="394"/>
        <v>22:14:58.000</v>
      </c>
      <c r="T1309" t="str">
        <f t="shared" si="394"/>
        <v>22:14:58.000</v>
      </c>
      <c r="U1309" t="str">
        <f t="shared" si="385"/>
        <v>A9D71F</v>
      </c>
      <c r="V1309">
        <v>0</v>
      </c>
      <c r="W1309">
        <v>0</v>
      </c>
      <c r="X1309">
        <v>2</v>
      </c>
      <c r="Z1309">
        <v>1</v>
      </c>
      <c r="AA1309">
        <v>8</v>
      </c>
      <c r="AB1309">
        <v>3</v>
      </c>
      <c r="AC1309">
        <v>0</v>
      </c>
      <c r="AD1309">
        <v>9</v>
      </c>
      <c r="AE1309">
        <v>0</v>
      </c>
      <c r="AF1309">
        <v>3</v>
      </c>
      <c r="AG1309">
        <v>1</v>
      </c>
      <c r="AH1309">
        <v>0</v>
      </c>
      <c r="AI1309" t="s">
        <v>704</v>
      </c>
      <c r="AJ1309">
        <v>33.114510000000003</v>
      </c>
      <c r="AK1309" t="s">
        <v>705</v>
      </c>
      <c r="AL1309">
        <v>-97.698025999999999</v>
      </c>
      <c r="AM1309">
        <v>25</v>
      </c>
      <c r="AN1309">
        <v>3400</v>
      </c>
      <c r="AO1309" t="s">
        <v>118</v>
      </c>
      <c r="AP1309">
        <v>49</v>
      </c>
      <c r="AQ1309">
        <v>-92</v>
      </c>
      <c r="AR1309">
        <v>512</v>
      </c>
      <c r="AZ1309">
        <v>1200</v>
      </c>
      <c r="BA1309">
        <v>1</v>
      </c>
      <c r="BB1309" t="str">
        <f t="shared" si="392"/>
        <v xml:space="preserve">N733KP  </v>
      </c>
      <c r="BC1309">
        <v>1</v>
      </c>
      <c r="BE1309">
        <v>0</v>
      </c>
      <c r="BF1309">
        <v>0</v>
      </c>
      <c r="BG1309">
        <v>0</v>
      </c>
      <c r="BH1309">
        <v>3375</v>
      </c>
      <c r="BI1309">
        <v>1</v>
      </c>
      <c r="BJ1309">
        <v>1</v>
      </c>
      <c r="BK1309">
        <v>0</v>
      </c>
      <c r="BL1309">
        <v>0</v>
      </c>
      <c r="BO1309">
        <v>0</v>
      </c>
      <c r="BP1309">
        <v>0</v>
      </c>
      <c r="BW1309" t="str">
        <f>"22:14:58.904"</f>
        <v>22:14:58.904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364</v>
      </c>
      <c r="CR1309">
        <v>0</v>
      </c>
      <c r="CW1309">
        <v>1414672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"03/24/2022 22:14:59.161"</f>
        <v>03/24/2022 22:14:59.161</v>
      </c>
      <c r="C1310" t="str">
        <f t="shared" si="391"/>
        <v>FFDFD3C0</v>
      </c>
      <c r="D1310" t="s">
        <v>113</v>
      </c>
      <c r="E1310">
        <v>24</v>
      </c>
      <c r="F1310">
        <v>2024</v>
      </c>
      <c r="G1310" t="s">
        <v>114</v>
      </c>
      <c r="J1310" t="s">
        <v>115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S1310" t="str">
        <f t="shared" si="394"/>
        <v>22:14:58.000</v>
      </c>
      <c r="T1310" t="str">
        <f t="shared" si="394"/>
        <v>22:14:58.000</v>
      </c>
      <c r="U1310" t="str">
        <f t="shared" si="385"/>
        <v>A9D71F</v>
      </c>
      <c r="V1310">
        <v>0</v>
      </c>
      <c r="W1310">
        <v>0</v>
      </c>
      <c r="X1310">
        <v>2</v>
      </c>
      <c r="Z1310">
        <v>1</v>
      </c>
      <c r="AA1310">
        <v>8</v>
      </c>
      <c r="AB1310">
        <v>3</v>
      </c>
      <c r="AC1310">
        <v>0</v>
      </c>
      <c r="AD1310">
        <v>9</v>
      </c>
      <c r="AE1310">
        <v>0</v>
      </c>
      <c r="AF1310">
        <v>3</v>
      </c>
      <c r="AG1310">
        <v>1</v>
      </c>
      <c r="AH1310">
        <v>0</v>
      </c>
      <c r="AI1310" t="s">
        <v>704</v>
      </c>
      <c r="AJ1310">
        <v>33.114510000000003</v>
      </c>
      <c r="AK1310" t="s">
        <v>705</v>
      </c>
      <c r="AL1310">
        <v>-97.698025999999999</v>
      </c>
      <c r="AM1310">
        <v>25</v>
      </c>
      <c r="AN1310">
        <v>3400</v>
      </c>
      <c r="AO1310" t="s">
        <v>118</v>
      </c>
      <c r="AP1310">
        <v>49</v>
      </c>
      <c r="AQ1310">
        <v>-92</v>
      </c>
      <c r="AR1310">
        <v>512</v>
      </c>
      <c r="AZ1310">
        <v>1200</v>
      </c>
      <c r="BA1310">
        <v>1</v>
      </c>
      <c r="BB1310" t="str">
        <f t="shared" si="392"/>
        <v xml:space="preserve">N733KP  </v>
      </c>
      <c r="BC1310">
        <v>1</v>
      </c>
      <c r="BE1310">
        <v>0</v>
      </c>
      <c r="BF1310">
        <v>0</v>
      </c>
      <c r="BG1310">
        <v>0</v>
      </c>
      <c r="BH1310">
        <v>3375</v>
      </c>
      <c r="BI1310">
        <v>1</v>
      </c>
      <c r="BJ1310">
        <v>1</v>
      </c>
      <c r="BK1310">
        <v>0</v>
      </c>
      <c r="BL1310">
        <v>0</v>
      </c>
      <c r="BO1310">
        <v>0</v>
      </c>
      <c r="BP1310">
        <v>0</v>
      </c>
      <c r="BW1310" t="str">
        <f>"22:14:58.904"</f>
        <v>22:14:58.904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364</v>
      </c>
      <c r="CR1310">
        <v>0</v>
      </c>
      <c r="CW1310">
        <v>1414672</v>
      </c>
      <c r="CY1310">
        <v>1</v>
      </c>
      <c r="CZ1310">
        <v>0</v>
      </c>
      <c r="DA1310">
        <v>1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"03/24/2022 22:14:59.489"</f>
        <v>03/24/2022 22:14:59.489</v>
      </c>
      <c r="C1311" t="str">
        <f t="shared" si="391"/>
        <v>FFDFD3C0</v>
      </c>
      <c r="D1311" t="s">
        <v>113</v>
      </c>
      <c r="E1311">
        <v>24</v>
      </c>
      <c r="F1311">
        <v>2024</v>
      </c>
      <c r="G1311" t="s">
        <v>114</v>
      </c>
      <c r="J1311" t="s">
        <v>115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S1311" t="str">
        <f t="shared" ref="S1311:T1314" si="395">"22:14:59.000"</f>
        <v>22:14:59.000</v>
      </c>
      <c r="T1311" t="str">
        <f t="shared" si="395"/>
        <v>22:14:59.000</v>
      </c>
      <c r="U1311" t="str">
        <f t="shared" si="385"/>
        <v>A9D71F</v>
      </c>
      <c r="V1311">
        <v>0</v>
      </c>
      <c r="W1311">
        <v>0</v>
      </c>
      <c r="X1311">
        <v>2</v>
      </c>
      <c r="Z1311">
        <v>1</v>
      </c>
      <c r="AA1311">
        <v>8</v>
      </c>
      <c r="AB1311">
        <v>3</v>
      </c>
      <c r="AC1311">
        <v>0</v>
      </c>
      <c r="AD1311">
        <v>9</v>
      </c>
      <c r="AE1311">
        <v>0</v>
      </c>
      <c r="AF1311">
        <v>3</v>
      </c>
      <c r="AG1311">
        <v>1</v>
      </c>
      <c r="AH1311">
        <v>0</v>
      </c>
      <c r="AI1311" t="s">
        <v>706</v>
      </c>
      <c r="AJ1311">
        <v>33.114080000000001</v>
      </c>
      <c r="AK1311" t="s">
        <v>707</v>
      </c>
      <c r="AL1311">
        <v>-97.697725000000005</v>
      </c>
      <c r="AM1311">
        <v>25</v>
      </c>
      <c r="AN1311">
        <v>3400</v>
      </c>
      <c r="AO1311" t="s">
        <v>118</v>
      </c>
      <c r="AP1311">
        <v>49</v>
      </c>
      <c r="AQ1311">
        <v>-92</v>
      </c>
      <c r="AR1311">
        <v>448</v>
      </c>
      <c r="AZ1311">
        <v>1200</v>
      </c>
      <c r="BA1311">
        <v>1</v>
      </c>
      <c r="BB1311" t="str">
        <f t="shared" si="392"/>
        <v xml:space="preserve">N733KP  </v>
      </c>
      <c r="BC1311">
        <v>1</v>
      </c>
      <c r="BE1311">
        <v>0</v>
      </c>
      <c r="BF1311">
        <v>0</v>
      </c>
      <c r="BG1311">
        <v>0</v>
      </c>
      <c r="BH1311">
        <v>3375</v>
      </c>
      <c r="BI1311">
        <v>1</v>
      </c>
      <c r="BJ1311">
        <v>1</v>
      </c>
      <c r="BK1311">
        <v>0</v>
      </c>
      <c r="BL1311">
        <v>0</v>
      </c>
      <c r="BO1311">
        <v>0</v>
      </c>
      <c r="BP1311">
        <v>0</v>
      </c>
      <c r="BW1311" t="str">
        <f>"22:14:59.331"</f>
        <v>22:14:59.331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364</v>
      </c>
      <c r="CR1311">
        <v>0</v>
      </c>
      <c r="CW1311">
        <v>1414738</v>
      </c>
      <c r="CY1311">
        <v>1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"03/24/2022 22:14:59.661"</f>
        <v>03/24/2022 22:14:59.661</v>
      </c>
      <c r="C1312" t="str">
        <f t="shared" si="391"/>
        <v>FFDFD3C0</v>
      </c>
      <c r="D1312" t="s">
        <v>126</v>
      </c>
      <c r="E1312">
        <v>3</v>
      </c>
      <c r="H1312">
        <v>160</v>
      </c>
      <c r="I1312" t="s">
        <v>121</v>
      </c>
      <c r="J1312" t="s">
        <v>127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S1312" t="str">
        <f t="shared" si="395"/>
        <v>22:14:59.000</v>
      </c>
      <c r="T1312" t="str">
        <f t="shared" si="395"/>
        <v>22:14:59.000</v>
      </c>
      <c r="U1312" t="str">
        <f t="shared" si="385"/>
        <v>A9D71F</v>
      </c>
      <c r="V1312">
        <v>0</v>
      </c>
      <c r="W1312">
        <v>0</v>
      </c>
      <c r="X1312">
        <v>2</v>
      </c>
      <c r="Z1312">
        <v>1</v>
      </c>
      <c r="AA1312">
        <v>8</v>
      </c>
      <c r="AB1312">
        <v>3</v>
      </c>
      <c r="AC1312">
        <v>0</v>
      </c>
      <c r="AD1312">
        <v>9</v>
      </c>
      <c r="AE1312">
        <v>0</v>
      </c>
      <c r="AF1312">
        <v>3</v>
      </c>
      <c r="AG1312">
        <v>1</v>
      </c>
      <c r="AH1312">
        <v>0</v>
      </c>
      <c r="AI1312" t="s">
        <v>706</v>
      </c>
      <c r="AJ1312">
        <v>33.114080000000001</v>
      </c>
      <c r="AK1312" t="s">
        <v>707</v>
      </c>
      <c r="AL1312">
        <v>-97.697725000000005</v>
      </c>
      <c r="AM1312">
        <v>25</v>
      </c>
      <c r="AN1312">
        <v>3400</v>
      </c>
      <c r="AO1312" t="s">
        <v>118</v>
      </c>
      <c r="AP1312">
        <v>49</v>
      </c>
      <c r="AQ1312">
        <v>-92</v>
      </c>
      <c r="AR1312">
        <v>448</v>
      </c>
      <c r="AZ1312">
        <v>1200</v>
      </c>
      <c r="BA1312">
        <v>1</v>
      </c>
      <c r="BB1312" t="str">
        <f t="shared" si="392"/>
        <v xml:space="preserve">N733KP  </v>
      </c>
      <c r="BC1312">
        <v>1</v>
      </c>
      <c r="BE1312">
        <v>0</v>
      </c>
      <c r="BF1312">
        <v>0</v>
      </c>
      <c r="BG1312">
        <v>0</v>
      </c>
      <c r="BH1312">
        <v>3375</v>
      </c>
      <c r="BI1312">
        <v>1</v>
      </c>
      <c r="BJ1312">
        <v>1</v>
      </c>
      <c r="BK1312">
        <v>0</v>
      </c>
      <c r="BL1312">
        <v>0</v>
      </c>
      <c r="BO1312">
        <v>0</v>
      </c>
      <c r="BP1312">
        <v>0</v>
      </c>
      <c r="BW1312" t="str">
        <f>"22:14:59.331"</f>
        <v>22:14:59.331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364</v>
      </c>
      <c r="CR1312">
        <v>0</v>
      </c>
      <c r="CW1312">
        <v>1414738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"03/24/2022 22:14:59.661"</f>
        <v>03/24/2022 22:14:59.661</v>
      </c>
      <c r="C1313" t="str">
        <f t="shared" si="391"/>
        <v>FFDFD3C0</v>
      </c>
      <c r="D1313" t="s">
        <v>120</v>
      </c>
      <c r="E1313">
        <v>14</v>
      </c>
      <c r="F1313">
        <v>1014</v>
      </c>
      <c r="G1313" t="s">
        <v>121</v>
      </c>
      <c r="J1313" t="s">
        <v>122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S1313" t="str">
        <f t="shared" si="395"/>
        <v>22:14:59.000</v>
      </c>
      <c r="T1313" t="str">
        <f t="shared" si="395"/>
        <v>22:14:59.000</v>
      </c>
      <c r="U1313" t="str">
        <f t="shared" si="385"/>
        <v>A9D71F</v>
      </c>
      <c r="V1313">
        <v>0</v>
      </c>
      <c r="W1313">
        <v>0</v>
      </c>
      <c r="X1313">
        <v>2</v>
      </c>
      <c r="Z1313">
        <v>1</v>
      </c>
      <c r="AA1313">
        <v>8</v>
      </c>
      <c r="AB1313">
        <v>3</v>
      </c>
      <c r="AC1313">
        <v>0</v>
      </c>
      <c r="AD1313">
        <v>9</v>
      </c>
      <c r="AE1313">
        <v>0</v>
      </c>
      <c r="AF1313">
        <v>3</v>
      </c>
      <c r="AG1313">
        <v>1</v>
      </c>
      <c r="AH1313">
        <v>0</v>
      </c>
      <c r="AI1313" t="s">
        <v>706</v>
      </c>
      <c r="AJ1313">
        <v>33.114080000000001</v>
      </c>
      <c r="AK1313" t="s">
        <v>707</v>
      </c>
      <c r="AL1313">
        <v>-97.697725000000005</v>
      </c>
      <c r="AM1313">
        <v>25</v>
      </c>
      <c r="AN1313">
        <v>3400</v>
      </c>
      <c r="AO1313" t="s">
        <v>118</v>
      </c>
      <c r="AP1313">
        <v>49</v>
      </c>
      <c r="AQ1313">
        <v>-92</v>
      </c>
      <c r="AR1313">
        <v>448</v>
      </c>
      <c r="AZ1313">
        <v>1200</v>
      </c>
      <c r="BA1313">
        <v>1</v>
      </c>
      <c r="BB1313" t="str">
        <f t="shared" si="392"/>
        <v xml:space="preserve">N733KP  </v>
      </c>
      <c r="BC1313">
        <v>1</v>
      </c>
      <c r="BE1313">
        <v>0</v>
      </c>
      <c r="BF1313">
        <v>0</v>
      </c>
      <c r="BG1313">
        <v>0</v>
      </c>
      <c r="BH1313">
        <v>3375</v>
      </c>
      <c r="BI1313">
        <v>1</v>
      </c>
      <c r="BJ1313">
        <v>1</v>
      </c>
      <c r="BK1313">
        <v>0</v>
      </c>
      <c r="BL1313">
        <v>0</v>
      </c>
      <c r="BO1313">
        <v>0</v>
      </c>
      <c r="BP1313">
        <v>0</v>
      </c>
      <c r="BW1313" t="str">
        <f>"22:14:59.331"</f>
        <v>22:14:59.331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364</v>
      </c>
      <c r="CR1313">
        <v>0</v>
      </c>
      <c r="CW1313">
        <v>1414738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"03/24/2022 22:14:59.661"</f>
        <v>03/24/2022 22:14:59.661</v>
      </c>
      <c r="C1314" t="str">
        <f t="shared" si="391"/>
        <v>FFDFD3C0</v>
      </c>
      <c r="D1314" t="s">
        <v>123</v>
      </c>
      <c r="E1314">
        <v>8</v>
      </c>
      <c r="H1314">
        <v>31</v>
      </c>
      <c r="I1314" t="s">
        <v>124</v>
      </c>
      <c r="J1314" t="s">
        <v>125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S1314" t="str">
        <f t="shared" si="395"/>
        <v>22:14:59.000</v>
      </c>
      <c r="T1314" t="str">
        <f t="shared" si="395"/>
        <v>22:14:59.000</v>
      </c>
      <c r="U1314" t="str">
        <f t="shared" si="385"/>
        <v>A9D71F</v>
      </c>
      <c r="V1314">
        <v>0</v>
      </c>
      <c r="W1314">
        <v>0</v>
      </c>
      <c r="X1314">
        <v>2</v>
      </c>
      <c r="Z1314">
        <v>1</v>
      </c>
      <c r="AA1314">
        <v>8</v>
      </c>
      <c r="AB1314">
        <v>3</v>
      </c>
      <c r="AC1314">
        <v>0</v>
      </c>
      <c r="AD1314">
        <v>9</v>
      </c>
      <c r="AE1314">
        <v>0</v>
      </c>
      <c r="AF1314">
        <v>3</v>
      </c>
      <c r="AG1314">
        <v>1</v>
      </c>
      <c r="AH1314">
        <v>0</v>
      </c>
      <c r="AI1314" t="s">
        <v>706</v>
      </c>
      <c r="AJ1314">
        <v>33.114080000000001</v>
      </c>
      <c r="AK1314" t="s">
        <v>707</v>
      </c>
      <c r="AL1314">
        <v>-97.697725000000005</v>
      </c>
      <c r="AM1314">
        <v>25</v>
      </c>
      <c r="AN1314">
        <v>3400</v>
      </c>
      <c r="AO1314" t="s">
        <v>118</v>
      </c>
      <c r="AP1314">
        <v>49</v>
      </c>
      <c r="AQ1314">
        <v>-92</v>
      </c>
      <c r="AR1314">
        <v>448</v>
      </c>
      <c r="AZ1314">
        <v>1200</v>
      </c>
      <c r="BA1314">
        <v>1</v>
      </c>
      <c r="BB1314" t="str">
        <f t="shared" si="392"/>
        <v xml:space="preserve">N733KP  </v>
      </c>
      <c r="BC1314">
        <v>1</v>
      </c>
      <c r="BE1314">
        <v>0</v>
      </c>
      <c r="BF1314">
        <v>0</v>
      </c>
      <c r="BG1314">
        <v>0</v>
      </c>
      <c r="BH1314">
        <v>3375</v>
      </c>
      <c r="BI1314">
        <v>1</v>
      </c>
      <c r="BJ1314">
        <v>1</v>
      </c>
      <c r="BK1314">
        <v>0</v>
      </c>
      <c r="BL1314">
        <v>0</v>
      </c>
      <c r="BO1314">
        <v>0</v>
      </c>
      <c r="BP1314">
        <v>0</v>
      </c>
      <c r="BW1314" t="str">
        <f>"22:14:59.331"</f>
        <v>22:14:59.331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364</v>
      </c>
      <c r="CR1314">
        <v>0</v>
      </c>
      <c r="CW1314">
        <v>1414738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"03/24/2022 22:15:01.395"</f>
        <v>03/24/2022 22:15:01.395</v>
      </c>
      <c r="C1315" t="str">
        <f t="shared" si="391"/>
        <v>FFDFD3C0</v>
      </c>
      <c r="D1315" t="s">
        <v>113</v>
      </c>
      <c r="E1315">
        <v>24</v>
      </c>
      <c r="F1315">
        <v>2024</v>
      </c>
      <c r="G1315" t="s">
        <v>114</v>
      </c>
      <c r="J1315" t="s">
        <v>115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S1315" t="str">
        <f t="shared" ref="S1315:T1318" si="396">"22:15:00.000"</f>
        <v>22:15:00.000</v>
      </c>
      <c r="T1315" t="str">
        <f t="shared" si="396"/>
        <v>22:15:00.000</v>
      </c>
      <c r="U1315" t="str">
        <f t="shared" si="385"/>
        <v>A9D71F</v>
      </c>
      <c r="V1315">
        <v>0</v>
      </c>
      <c r="W1315">
        <v>0</v>
      </c>
      <c r="X1315">
        <v>2</v>
      </c>
      <c r="Z1315">
        <v>1</v>
      </c>
      <c r="AA1315">
        <v>8</v>
      </c>
      <c r="AB1315">
        <v>3</v>
      </c>
      <c r="AC1315">
        <v>0</v>
      </c>
      <c r="AD1315">
        <v>9</v>
      </c>
      <c r="AE1315">
        <v>0</v>
      </c>
      <c r="AF1315">
        <v>3</v>
      </c>
      <c r="AG1315">
        <v>1</v>
      </c>
      <c r="AH1315">
        <v>0</v>
      </c>
      <c r="AI1315" t="s">
        <v>708</v>
      </c>
      <c r="AJ1315">
        <v>33.113650999999997</v>
      </c>
      <c r="AK1315" t="s">
        <v>709</v>
      </c>
      <c r="AL1315">
        <v>-97.697468000000001</v>
      </c>
      <c r="AM1315">
        <v>25</v>
      </c>
      <c r="AN1315">
        <v>3400</v>
      </c>
      <c r="AO1315" t="s">
        <v>118</v>
      </c>
      <c r="AP1315">
        <v>50</v>
      </c>
      <c r="AQ1315">
        <v>-92</v>
      </c>
      <c r="AR1315">
        <v>448</v>
      </c>
      <c r="AZ1315">
        <v>1200</v>
      </c>
      <c r="BA1315">
        <v>1</v>
      </c>
      <c r="BB1315" t="str">
        <f t="shared" si="392"/>
        <v xml:space="preserve">N733KP  </v>
      </c>
      <c r="BC1315">
        <v>1</v>
      </c>
      <c r="BE1315">
        <v>0</v>
      </c>
      <c r="BF1315">
        <v>0</v>
      </c>
      <c r="BG1315">
        <v>0</v>
      </c>
      <c r="BH1315">
        <v>3400</v>
      </c>
      <c r="BI1315">
        <v>1</v>
      </c>
      <c r="BJ1315">
        <v>1</v>
      </c>
      <c r="BK1315">
        <v>0</v>
      </c>
      <c r="BL1315">
        <v>0</v>
      </c>
      <c r="BO1315">
        <v>0</v>
      </c>
      <c r="BP1315">
        <v>0</v>
      </c>
      <c r="BW1315" t="str">
        <f>"22:15:00.909"</f>
        <v>22:15:00.909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364</v>
      </c>
      <c r="CR1315">
        <v>0</v>
      </c>
      <c r="CW1315">
        <v>1414984</v>
      </c>
      <c r="CY1315">
        <v>1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"03/24/2022 22:15:01.395"</f>
        <v>03/24/2022 22:15:01.395</v>
      </c>
      <c r="C1316" t="str">
        <f t="shared" si="391"/>
        <v>FFDFD3C0</v>
      </c>
      <c r="D1316" t="s">
        <v>120</v>
      </c>
      <c r="E1316">
        <v>14</v>
      </c>
      <c r="F1316">
        <v>1014</v>
      </c>
      <c r="G1316" t="s">
        <v>121</v>
      </c>
      <c r="J1316" t="s">
        <v>122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S1316" t="str">
        <f t="shared" si="396"/>
        <v>22:15:00.000</v>
      </c>
      <c r="T1316" t="str">
        <f t="shared" si="396"/>
        <v>22:15:00.000</v>
      </c>
      <c r="U1316" t="str">
        <f t="shared" si="385"/>
        <v>A9D71F</v>
      </c>
      <c r="V1316">
        <v>0</v>
      </c>
      <c r="W1316">
        <v>0</v>
      </c>
      <c r="X1316">
        <v>2</v>
      </c>
      <c r="Z1316">
        <v>1</v>
      </c>
      <c r="AA1316">
        <v>8</v>
      </c>
      <c r="AB1316">
        <v>3</v>
      </c>
      <c r="AC1316">
        <v>0</v>
      </c>
      <c r="AD1316">
        <v>9</v>
      </c>
      <c r="AE1316">
        <v>0</v>
      </c>
      <c r="AF1316">
        <v>3</v>
      </c>
      <c r="AG1316">
        <v>1</v>
      </c>
      <c r="AH1316">
        <v>0</v>
      </c>
      <c r="AI1316" t="s">
        <v>708</v>
      </c>
      <c r="AJ1316">
        <v>33.113650999999997</v>
      </c>
      <c r="AK1316" t="s">
        <v>709</v>
      </c>
      <c r="AL1316">
        <v>-97.697468000000001</v>
      </c>
      <c r="AM1316">
        <v>25</v>
      </c>
      <c r="AN1316">
        <v>3400</v>
      </c>
      <c r="AO1316" t="s">
        <v>118</v>
      </c>
      <c r="AP1316">
        <v>50</v>
      </c>
      <c r="AQ1316">
        <v>-92</v>
      </c>
      <c r="AR1316">
        <v>448</v>
      </c>
      <c r="AZ1316">
        <v>1200</v>
      </c>
      <c r="BA1316">
        <v>1</v>
      </c>
      <c r="BB1316" t="str">
        <f t="shared" si="392"/>
        <v xml:space="preserve">N733KP  </v>
      </c>
      <c r="BC1316">
        <v>1</v>
      </c>
      <c r="BE1316">
        <v>0</v>
      </c>
      <c r="BF1316">
        <v>0</v>
      </c>
      <c r="BG1316">
        <v>0</v>
      </c>
      <c r="BH1316">
        <v>3400</v>
      </c>
      <c r="BI1316">
        <v>1</v>
      </c>
      <c r="BJ1316">
        <v>1</v>
      </c>
      <c r="BK1316">
        <v>0</v>
      </c>
      <c r="BL1316">
        <v>0</v>
      </c>
      <c r="BO1316">
        <v>0</v>
      </c>
      <c r="BP1316">
        <v>0</v>
      </c>
      <c r="BW1316" t="str">
        <f>"22:15:00.909"</f>
        <v>22:15:00.909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364</v>
      </c>
      <c r="CR1316">
        <v>0</v>
      </c>
      <c r="CW1316">
        <v>1414984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"03/24/2022 22:15:01.395"</f>
        <v>03/24/2022 22:15:01.395</v>
      </c>
      <c r="C1317" t="str">
        <f t="shared" si="391"/>
        <v>FFDFD3C0</v>
      </c>
      <c r="D1317" t="s">
        <v>126</v>
      </c>
      <c r="E1317">
        <v>3</v>
      </c>
      <c r="H1317">
        <v>160</v>
      </c>
      <c r="I1317" t="s">
        <v>121</v>
      </c>
      <c r="J1317" t="s">
        <v>127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S1317" t="str">
        <f t="shared" si="396"/>
        <v>22:15:00.000</v>
      </c>
      <c r="T1317" t="str">
        <f t="shared" si="396"/>
        <v>22:15:00.000</v>
      </c>
      <c r="U1317" t="str">
        <f t="shared" si="385"/>
        <v>A9D71F</v>
      </c>
      <c r="V1317">
        <v>0</v>
      </c>
      <c r="W1317">
        <v>0</v>
      </c>
      <c r="X1317">
        <v>2</v>
      </c>
      <c r="Z1317">
        <v>1</v>
      </c>
      <c r="AA1317">
        <v>8</v>
      </c>
      <c r="AB1317">
        <v>3</v>
      </c>
      <c r="AC1317">
        <v>0</v>
      </c>
      <c r="AD1317">
        <v>9</v>
      </c>
      <c r="AE1317">
        <v>0</v>
      </c>
      <c r="AF1317">
        <v>3</v>
      </c>
      <c r="AG1317">
        <v>1</v>
      </c>
      <c r="AH1317">
        <v>0</v>
      </c>
      <c r="AI1317" t="s">
        <v>708</v>
      </c>
      <c r="AJ1317">
        <v>33.113650999999997</v>
      </c>
      <c r="AK1317" t="s">
        <v>709</v>
      </c>
      <c r="AL1317">
        <v>-97.697468000000001</v>
      </c>
      <c r="AM1317">
        <v>25</v>
      </c>
      <c r="AN1317">
        <v>3400</v>
      </c>
      <c r="AO1317" t="s">
        <v>118</v>
      </c>
      <c r="AP1317">
        <v>50</v>
      </c>
      <c r="AQ1317">
        <v>-92</v>
      </c>
      <c r="AR1317">
        <v>448</v>
      </c>
      <c r="AZ1317">
        <v>1200</v>
      </c>
      <c r="BA1317">
        <v>1</v>
      </c>
      <c r="BB1317" t="str">
        <f t="shared" si="392"/>
        <v xml:space="preserve">N733KP  </v>
      </c>
      <c r="BC1317">
        <v>1</v>
      </c>
      <c r="BE1317">
        <v>0</v>
      </c>
      <c r="BF1317">
        <v>0</v>
      </c>
      <c r="BG1317">
        <v>0</v>
      </c>
      <c r="BH1317">
        <v>3400</v>
      </c>
      <c r="BI1317">
        <v>1</v>
      </c>
      <c r="BJ1317">
        <v>1</v>
      </c>
      <c r="BK1317">
        <v>0</v>
      </c>
      <c r="BL1317">
        <v>0</v>
      </c>
      <c r="BO1317">
        <v>0</v>
      </c>
      <c r="BP1317">
        <v>0</v>
      </c>
      <c r="BW1317" t="str">
        <f>"22:15:00.909"</f>
        <v>22:15:00.909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364</v>
      </c>
      <c r="CR1317">
        <v>0</v>
      </c>
      <c r="CW1317">
        <v>1414984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"03/24/2022 22:15:01.395"</f>
        <v>03/24/2022 22:15:01.395</v>
      </c>
      <c r="C1318" t="str">
        <f t="shared" si="391"/>
        <v>FFDFD3C0</v>
      </c>
      <c r="D1318" t="s">
        <v>123</v>
      </c>
      <c r="E1318">
        <v>8</v>
      </c>
      <c r="H1318">
        <v>31</v>
      </c>
      <c r="I1318" t="s">
        <v>124</v>
      </c>
      <c r="J1318" t="s">
        <v>125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S1318" t="str">
        <f t="shared" si="396"/>
        <v>22:15:00.000</v>
      </c>
      <c r="T1318" t="str">
        <f t="shared" si="396"/>
        <v>22:15:00.000</v>
      </c>
      <c r="U1318" t="str">
        <f t="shared" si="385"/>
        <v>A9D71F</v>
      </c>
      <c r="V1318">
        <v>0</v>
      </c>
      <c r="W1318">
        <v>0</v>
      </c>
      <c r="X1318">
        <v>2</v>
      </c>
      <c r="Z1318">
        <v>1</v>
      </c>
      <c r="AA1318">
        <v>8</v>
      </c>
      <c r="AB1318">
        <v>3</v>
      </c>
      <c r="AC1318">
        <v>0</v>
      </c>
      <c r="AD1318">
        <v>9</v>
      </c>
      <c r="AE1318">
        <v>0</v>
      </c>
      <c r="AF1318">
        <v>3</v>
      </c>
      <c r="AG1318">
        <v>1</v>
      </c>
      <c r="AH1318">
        <v>0</v>
      </c>
      <c r="AI1318" t="s">
        <v>708</v>
      </c>
      <c r="AJ1318">
        <v>33.113650999999997</v>
      </c>
      <c r="AK1318" t="s">
        <v>709</v>
      </c>
      <c r="AL1318">
        <v>-97.697468000000001</v>
      </c>
      <c r="AM1318">
        <v>25</v>
      </c>
      <c r="AN1318">
        <v>3400</v>
      </c>
      <c r="AO1318" t="s">
        <v>118</v>
      </c>
      <c r="AP1318">
        <v>50</v>
      </c>
      <c r="AQ1318">
        <v>-92</v>
      </c>
      <c r="AR1318">
        <v>448</v>
      </c>
      <c r="AZ1318">
        <v>1200</v>
      </c>
      <c r="BA1318">
        <v>1</v>
      </c>
      <c r="BB1318" t="str">
        <f t="shared" si="392"/>
        <v xml:space="preserve">N733KP  </v>
      </c>
      <c r="BC1318">
        <v>1</v>
      </c>
      <c r="BE1318">
        <v>0</v>
      </c>
      <c r="BF1318">
        <v>0</v>
      </c>
      <c r="BG1318">
        <v>0</v>
      </c>
      <c r="BH1318">
        <v>3400</v>
      </c>
      <c r="BI1318">
        <v>1</v>
      </c>
      <c r="BJ1318">
        <v>1</v>
      </c>
      <c r="BK1318">
        <v>0</v>
      </c>
      <c r="BL1318">
        <v>0</v>
      </c>
      <c r="BO1318">
        <v>0</v>
      </c>
      <c r="BP1318">
        <v>0</v>
      </c>
      <c r="BW1318" t="str">
        <f>"22:15:00.909"</f>
        <v>22:15:00.909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364</v>
      </c>
      <c r="CR1318">
        <v>0</v>
      </c>
      <c r="CW1318">
        <v>1414984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"03/24/2022 22:15:01.645"</f>
        <v>03/24/2022 22:15:01.645</v>
      </c>
      <c r="C1319" t="str">
        <f t="shared" si="391"/>
        <v>FFDFD3C0</v>
      </c>
      <c r="D1319" t="s">
        <v>113</v>
      </c>
      <c r="E1319">
        <v>24</v>
      </c>
      <c r="F1319">
        <v>2024</v>
      </c>
      <c r="G1319" t="s">
        <v>114</v>
      </c>
      <c r="J1319" t="s">
        <v>115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S1319" t="str">
        <f t="shared" ref="S1319:T1322" si="397">"22:15:01.000"</f>
        <v>22:15:01.000</v>
      </c>
      <c r="T1319" t="str">
        <f t="shared" si="397"/>
        <v>22:15:01.000</v>
      </c>
      <c r="U1319" t="str">
        <f t="shared" si="385"/>
        <v>A9D71F</v>
      </c>
      <c r="V1319">
        <v>0</v>
      </c>
      <c r="W1319">
        <v>0</v>
      </c>
      <c r="X1319">
        <v>2</v>
      </c>
      <c r="Z1319">
        <v>1</v>
      </c>
      <c r="AA1319">
        <v>8</v>
      </c>
      <c r="AB1319">
        <v>3</v>
      </c>
      <c r="AC1319">
        <v>0</v>
      </c>
      <c r="AD1319">
        <v>9</v>
      </c>
      <c r="AE1319">
        <v>0</v>
      </c>
      <c r="AF1319">
        <v>3</v>
      </c>
      <c r="AG1319">
        <v>1</v>
      </c>
      <c r="AH1319">
        <v>0</v>
      </c>
      <c r="AI1319" t="s">
        <v>710</v>
      </c>
      <c r="AJ1319">
        <v>33.113222</v>
      </c>
      <c r="AK1319" t="s">
        <v>711</v>
      </c>
      <c r="AL1319">
        <v>-97.697166999999993</v>
      </c>
      <c r="AM1319">
        <v>25</v>
      </c>
      <c r="AN1319">
        <v>3500</v>
      </c>
      <c r="AO1319" t="s">
        <v>118</v>
      </c>
      <c r="AP1319">
        <v>50</v>
      </c>
      <c r="AQ1319">
        <v>-92</v>
      </c>
      <c r="AR1319">
        <v>448</v>
      </c>
      <c r="AZ1319">
        <v>1200</v>
      </c>
      <c r="BA1319">
        <v>1</v>
      </c>
      <c r="BB1319" t="str">
        <f t="shared" si="392"/>
        <v xml:space="preserve">N733KP  </v>
      </c>
      <c r="BC1319">
        <v>1</v>
      </c>
      <c r="BE1319">
        <v>0</v>
      </c>
      <c r="BF1319">
        <v>0</v>
      </c>
      <c r="BG1319">
        <v>0</v>
      </c>
      <c r="BH1319">
        <v>3400</v>
      </c>
      <c r="BI1319">
        <v>1</v>
      </c>
      <c r="BJ1319">
        <v>1</v>
      </c>
      <c r="BK1319">
        <v>0</v>
      </c>
      <c r="BL1319">
        <v>0</v>
      </c>
      <c r="BO1319">
        <v>0</v>
      </c>
      <c r="BP1319">
        <v>0</v>
      </c>
      <c r="BW1319" t="str">
        <f>"22:15:01.342"</f>
        <v>22:15:01.342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364</v>
      </c>
      <c r="CR1319">
        <v>0</v>
      </c>
      <c r="CW1319">
        <v>1415050</v>
      </c>
      <c r="CY1319">
        <v>1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"03/24/2022 22:15:01.645"</f>
        <v>03/24/2022 22:15:01.645</v>
      </c>
      <c r="C1320" t="str">
        <f t="shared" si="391"/>
        <v>FFDFD3C0</v>
      </c>
      <c r="D1320" t="s">
        <v>120</v>
      </c>
      <c r="E1320">
        <v>14</v>
      </c>
      <c r="F1320">
        <v>1014</v>
      </c>
      <c r="G1320" t="s">
        <v>121</v>
      </c>
      <c r="J1320" t="s">
        <v>122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S1320" t="str">
        <f t="shared" si="397"/>
        <v>22:15:01.000</v>
      </c>
      <c r="T1320" t="str">
        <f t="shared" si="397"/>
        <v>22:15:01.000</v>
      </c>
      <c r="U1320" t="str">
        <f t="shared" si="385"/>
        <v>A9D71F</v>
      </c>
      <c r="V1320">
        <v>0</v>
      </c>
      <c r="W1320">
        <v>0</v>
      </c>
      <c r="X1320">
        <v>2</v>
      </c>
      <c r="Z1320">
        <v>1</v>
      </c>
      <c r="AA1320">
        <v>8</v>
      </c>
      <c r="AB1320">
        <v>3</v>
      </c>
      <c r="AC1320">
        <v>0</v>
      </c>
      <c r="AD1320">
        <v>9</v>
      </c>
      <c r="AE1320">
        <v>0</v>
      </c>
      <c r="AF1320">
        <v>3</v>
      </c>
      <c r="AG1320">
        <v>1</v>
      </c>
      <c r="AH1320">
        <v>0</v>
      </c>
      <c r="AI1320" t="s">
        <v>710</v>
      </c>
      <c r="AJ1320">
        <v>33.113222</v>
      </c>
      <c r="AK1320" t="s">
        <v>711</v>
      </c>
      <c r="AL1320">
        <v>-97.697166999999993</v>
      </c>
      <c r="AM1320">
        <v>25</v>
      </c>
      <c r="AN1320">
        <v>3500</v>
      </c>
      <c r="AO1320" t="s">
        <v>118</v>
      </c>
      <c r="AP1320">
        <v>50</v>
      </c>
      <c r="AQ1320">
        <v>-92</v>
      </c>
      <c r="AR1320">
        <v>448</v>
      </c>
      <c r="AZ1320">
        <v>1200</v>
      </c>
      <c r="BA1320">
        <v>1</v>
      </c>
      <c r="BB1320" t="str">
        <f t="shared" si="392"/>
        <v xml:space="preserve">N733KP  </v>
      </c>
      <c r="BC1320">
        <v>1</v>
      </c>
      <c r="BE1320">
        <v>0</v>
      </c>
      <c r="BF1320">
        <v>0</v>
      </c>
      <c r="BG1320">
        <v>0</v>
      </c>
      <c r="BH1320">
        <v>3400</v>
      </c>
      <c r="BI1320">
        <v>1</v>
      </c>
      <c r="BJ1320">
        <v>1</v>
      </c>
      <c r="BK1320">
        <v>0</v>
      </c>
      <c r="BL1320">
        <v>0</v>
      </c>
      <c r="BO1320">
        <v>0</v>
      </c>
      <c r="BP1320">
        <v>0</v>
      </c>
      <c r="BW1320" t="str">
        <f>"22:15:01.342"</f>
        <v>22:15:01.342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364</v>
      </c>
      <c r="CR1320">
        <v>0</v>
      </c>
      <c r="CW1320">
        <v>1415050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"03/24/2022 22:15:01.645"</f>
        <v>03/24/2022 22:15:01.645</v>
      </c>
      <c r="C1321" t="str">
        <f t="shared" si="391"/>
        <v>FFDFD3C0</v>
      </c>
      <c r="D1321" t="s">
        <v>126</v>
      </c>
      <c r="E1321">
        <v>3</v>
      </c>
      <c r="H1321">
        <v>160</v>
      </c>
      <c r="I1321" t="s">
        <v>121</v>
      </c>
      <c r="J1321" t="s">
        <v>127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S1321" t="str">
        <f t="shared" si="397"/>
        <v>22:15:01.000</v>
      </c>
      <c r="T1321" t="str">
        <f t="shared" si="397"/>
        <v>22:15:01.000</v>
      </c>
      <c r="U1321" t="str">
        <f t="shared" si="385"/>
        <v>A9D71F</v>
      </c>
      <c r="V1321">
        <v>0</v>
      </c>
      <c r="W1321">
        <v>0</v>
      </c>
      <c r="X1321">
        <v>2</v>
      </c>
      <c r="Z1321">
        <v>1</v>
      </c>
      <c r="AA1321">
        <v>8</v>
      </c>
      <c r="AB1321">
        <v>3</v>
      </c>
      <c r="AC1321">
        <v>0</v>
      </c>
      <c r="AD1321">
        <v>9</v>
      </c>
      <c r="AE1321">
        <v>0</v>
      </c>
      <c r="AF1321">
        <v>3</v>
      </c>
      <c r="AG1321">
        <v>1</v>
      </c>
      <c r="AH1321">
        <v>0</v>
      </c>
      <c r="AI1321" t="s">
        <v>710</v>
      </c>
      <c r="AJ1321">
        <v>33.113222</v>
      </c>
      <c r="AK1321" t="s">
        <v>711</v>
      </c>
      <c r="AL1321">
        <v>-97.697166999999993</v>
      </c>
      <c r="AM1321">
        <v>25</v>
      </c>
      <c r="AN1321">
        <v>3500</v>
      </c>
      <c r="AO1321" t="s">
        <v>118</v>
      </c>
      <c r="AP1321">
        <v>50</v>
      </c>
      <c r="AQ1321">
        <v>-92</v>
      </c>
      <c r="AR1321">
        <v>448</v>
      </c>
      <c r="AZ1321">
        <v>1200</v>
      </c>
      <c r="BA1321">
        <v>1</v>
      </c>
      <c r="BB1321" t="str">
        <f t="shared" si="392"/>
        <v xml:space="preserve">N733KP  </v>
      </c>
      <c r="BC1321">
        <v>1</v>
      </c>
      <c r="BE1321">
        <v>0</v>
      </c>
      <c r="BF1321">
        <v>0</v>
      </c>
      <c r="BG1321">
        <v>0</v>
      </c>
      <c r="BH1321">
        <v>3400</v>
      </c>
      <c r="BI1321">
        <v>1</v>
      </c>
      <c r="BJ1321">
        <v>1</v>
      </c>
      <c r="BK1321">
        <v>0</v>
      </c>
      <c r="BL1321">
        <v>0</v>
      </c>
      <c r="BO1321">
        <v>0</v>
      </c>
      <c r="BP1321">
        <v>0</v>
      </c>
      <c r="BW1321" t="str">
        <f>"22:15:01.342"</f>
        <v>22:15:01.342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364</v>
      </c>
      <c r="CR1321">
        <v>0</v>
      </c>
      <c r="CW1321">
        <v>1415050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"03/24/2022 22:15:01.645"</f>
        <v>03/24/2022 22:15:01.645</v>
      </c>
      <c r="C1322" t="str">
        <f t="shared" si="391"/>
        <v>FFDFD3C0</v>
      </c>
      <c r="D1322" t="s">
        <v>123</v>
      </c>
      <c r="E1322">
        <v>8</v>
      </c>
      <c r="H1322">
        <v>31</v>
      </c>
      <c r="I1322" t="s">
        <v>124</v>
      </c>
      <c r="J1322" t="s">
        <v>125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S1322" t="str">
        <f t="shared" si="397"/>
        <v>22:15:01.000</v>
      </c>
      <c r="T1322" t="str">
        <f t="shared" si="397"/>
        <v>22:15:01.000</v>
      </c>
      <c r="U1322" t="str">
        <f t="shared" si="385"/>
        <v>A9D71F</v>
      </c>
      <c r="V1322">
        <v>0</v>
      </c>
      <c r="W1322">
        <v>0</v>
      </c>
      <c r="X1322">
        <v>2</v>
      </c>
      <c r="Z1322">
        <v>1</v>
      </c>
      <c r="AA1322">
        <v>8</v>
      </c>
      <c r="AB1322">
        <v>3</v>
      </c>
      <c r="AC1322">
        <v>0</v>
      </c>
      <c r="AD1322">
        <v>9</v>
      </c>
      <c r="AE1322">
        <v>0</v>
      </c>
      <c r="AF1322">
        <v>3</v>
      </c>
      <c r="AG1322">
        <v>1</v>
      </c>
      <c r="AH1322">
        <v>0</v>
      </c>
      <c r="AI1322" t="s">
        <v>710</v>
      </c>
      <c r="AJ1322">
        <v>33.113222</v>
      </c>
      <c r="AK1322" t="s">
        <v>711</v>
      </c>
      <c r="AL1322">
        <v>-97.697166999999993</v>
      </c>
      <c r="AM1322">
        <v>25</v>
      </c>
      <c r="AN1322">
        <v>3500</v>
      </c>
      <c r="AO1322" t="s">
        <v>118</v>
      </c>
      <c r="AP1322">
        <v>50</v>
      </c>
      <c r="AQ1322">
        <v>-92</v>
      </c>
      <c r="AR1322">
        <v>448</v>
      </c>
      <c r="AZ1322">
        <v>1200</v>
      </c>
      <c r="BA1322">
        <v>1</v>
      </c>
      <c r="BB1322" t="str">
        <f t="shared" si="392"/>
        <v xml:space="preserve">N733KP  </v>
      </c>
      <c r="BC1322">
        <v>1</v>
      </c>
      <c r="BE1322">
        <v>0</v>
      </c>
      <c r="BF1322">
        <v>0</v>
      </c>
      <c r="BG1322">
        <v>0</v>
      </c>
      <c r="BH1322">
        <v>3400</v>
      </c>
      <c r="BI1322">
        <v>1</v>
      </c>
      <c r="BJ1322">
        <v>1</v>
      </c>
      <c r="BK1322">
        <v>0</v>
      </c>
      <c r="BL1322">
        <v>0</v>
      </c>
      <c r="BO1322">
        <v>0</v>
      </c>
      <c r="BP1322">
        <v>0</v>
      </c>
      <c r="BW1322" t="str">
        <f>"22:15:01.342"</f>
        <v>22:15:01.342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364</v>
      </c>
      <c r="CR1322">
        <v>0</v>
      </c>
      <c r="CW1322">
        <v>1415050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"03/24/2022 22:15:02.666"</f>
        <v>03/24/2022 22:15:02.666</v>
      </c>
      <c r="C1323" t="str">
        <f t="shared" si="391"/>
        <v>FFDFD3C0</v>
      </c>
      <c r="D1323" t="s">
        <v>113</v>
      </c>
      <c r="E1323">
        <v>24</v>
      </c>
      <c r="F1323">
        <v>2024</v>
      </c>
      <c r="G1323" t="s">
        <v>114</v>
      </c>
      <c r="J1323" t="s">
        <v>115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S1323" t="str">
        <f t="shared" ref="S1323:T1326" si="398">"22:15:02.000"</f>
        <v>22:15:02.000</v>
      </c>
      <c r="T1323" t="str">
        <f t="shared" si="398"/>
        <v>22:15:02.000</v>
      </c>
      <c r="U1323" t="str">
        <f t="shared" si="385"/>
        <v>A9D71F</v>
      </c>
      <c r="V1323">
        <v>0</v>
      </c>
      <c r="W1323">
        <v>0</v>
      </c>
      <c r="X1323">
        <v>2</v>
      </c>
      <c r="Z1323">
        <v>1</v>
      </c>
      <c r="AA1323">
        <v>8</v>
      </c>
      <c r="AB1323">
        <v>3</v>
      </c>
      <c r="AC1323">
        <v>0</v>
      </c>
      <c r="AD1323">
        <v>9</v>
      </c>
      <c r="AE1323">
        <v>0</v>
      </c>
      <c r="AF1323">
        <v>3</v>
      </c>
      <c r="AG1323">
        <v>1</v>
      </c>
      <c r="AH1323">
        <v>0</v>
      </c>
      <c r="AI1323" t="s">
        <v>712</v>
      </c>
      <c r="AJ1323">
        <v>33.112772</v>
      </c>
      <c r="AK1323" t="s">
        <v>713</v>
      </c>
      <c r="AL1323">
        <v>-97.696888000000001</v>
      </c>
      <c r="AM1323">
        <v>25</v>
      </c>
      <c r="AN1323">
        <v>3400</v>
      </c>
      <c r="AO1323" t="s">
        <v>118</v>
      </c>
      <c r="AP1323">
        <v>50</v>
      </c>
      <c r="AQ1323">
        <v>-92</v>
      </c>
      <c r="AR1323">
        <v>448</v>
      </c>
      <c r="AZ1323">
        <v>1200</v>
      </c>
      <c r="BA1323">
        <v>1</v>
      </c>
      <c r="BB1323" t="str">
        <f t="shared" si="392"/>
        <v xml:space="preserve">N733KP  </v>
      </c>
      <c r="BC1323">
        <v>1</v>
      </c>
      <c r="BE1323">
        <v>0</v>
      </c>
      <c r="BF1323">
        <v>0</v>
      </c>
      <c r="BG1323">
        <v>0</v>
      </c>
      <c r="BH1323">
        <v>3425</v>
      </c>
      <c r="BI1323">
        <v>1</v>
      </c>
      <c r="BJ1323">
        <v>1</v>
      </c>
      <c r="BK1323">
        <v>0</v>
      </c>
      <c r="BL1323">
        <v>0</v>
      </c>
      <c r="BO1323">
        <v>0</v>
      </c>
      <c r="BP1323">
        <v>0</v>
      </c>
      <c r="BW1323" t="str">
        <f>"22:15:02.510"</f>
        <v>22:15:02.510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364</v>
      </c>
      <c r="CR1323">
        <v>0</v>
      </c>
      <c r="CW1323">
        <v>1415226</v>
      </c>
      <c r="CY1323">
        <v>1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"03/24/2022 22:15:02.682"</f>
        <v>03/24/2022 22:15:02.682</v>
      </c>
      <c r="C1324" t="str">
        <f t="shared" si="391"/>
        <v>FFDFD3C0</v>
      </c>
      <c r="D1324" t="s">
        <v>126</v>
      </c>
      <c r="E1324">
        <v>3</v>
      </c>
      <c r="H1324">
        <v>160</v>
      </c>
      <c r="I1324" t="s">
        <v>121</v>
      </c>
      <c r="J1324" t="s">
        <v>127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S1324" t="str">
        <f t="shared" si="398"/>
        <v>22:15:02.000</v>
      </c>
      <c r="T1324" t="str">
        <f t="shared" si="398"/>
        <v>22:15:02.000</v>
      </c>
      <c r="U1324" t="str">
        <f t="shared" si="385"/>
        <v>A9D71F</v>
      </c>
      <c r="V1324">
        <v>0</v>
      </c>
      <c r="W1324">
        <v>0</v>
      </c>
      <c r="X1324">
        <v>2</v>
      </c>
      <c r="Z1324">
        <v>1</v>
      </c>
      <c r="AA1324">
        <v>8</v>
      </c>
      <c r="AB1324">
        <v>3</v>
      </c>
      <c r="AC1324">
        <v>0</v>
      </c>
      <c r="AD1324">
        <v>9</v>
      </c>
      <c r="AE1324">
        <v>0</v>
      </c>
      <c r="AF1324">
        <v>3</v>
      </c>
      <c r="AG1324">
        <v>1</v>
      </c>
      <c r="AH1324">
        <v>0</v>
      </c>
      <c r="AI1324" t="s">
        <v>712</v>
      </c>
      <c r="AJ1324">
        <v>33.112772</v>
      </c>
      <c r="AK1324" t="s">
        <v>713</v>
      </c>
      <c r="AL1324">
        <v>-97.696888000000001</v>
      </c>
      <c r="AM1324">
        <v>25</v>
      </c>
      <c r="AN1324">
        <v>3400</v>
      </c>
      <c r="AO1324" t="s">
        <v>118</v>
      </c>
      <c r="AP1324">
        <v>50</v>
      </c>
      <c r="AQ1324">
        <v>-92</v>
      </c>
      <c r="AR1324">
        <v>448</v>
      </c>
      <c r="AZ1324">
        <v>1200</v>
      </c>
      <c r="BA1324">
        <v>1</v>
      </c>
      <c r="BB1324" t="str">
        <f t="shared" si="392"/>
        <v xml:space="preserve">N733KP  </v>
      </c>
      <c r="BC1324">
        <v>1</v>
      </c>
      <c r="BE1324">
        <v>0</v>
      </c>
      <c r="BF1324">
        <v>0</v>
      </c>
      <c r="BG1324">
        <v>0</v>
      </c>
      <c r="BH1324">
        <v>3425</v>
      </c>
      <c r="BI1324">
        <v>1</v>
      </c>
      <c r="BJ1324">
        <v>1</v>
      </c>
      <c r="BK1324">
        <v>0</v>
      </c>
      <c r="BL1324">
        <v>0</v>
      </c>
      <c r="BO1324">
        <v>0</v>
      </c>
      <c r="BP1324">
        <v>0</v>
      </c>
      <c r="BW1324" t="str">
        <f>"22:15:02.510"</f>
        <v>22:15:02.510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364</v>
      </c>
      <c r="CR1324">
        <v>0</v>
      </c>
      <c r="CW1324">
        <v>1415226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"03/24/2022 22:15:02.698"</f>
        <v>03/24/2022 22:15:02.698</v>
      </c>
      <c r="C1325" t="str">
        <f t="shared" si="391"/>
        <v>FFDFD3C0</v>
      </c>
      <c r="D1325" t="s">
        <v>120</v>
      </c>
      <c r="E1325">
        <v>14</v>
      </c>
      <c r="F1325">
        <v>1014</v>
      </c>
      <c r="G1325" t="s">
        <v>121</v>
      </c>
      <c r="J1325" t="s">
        <v>122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S1325" t="str">
        <f t="shared" si="398"/>
        <v>22:15:02.000</v>
      </c>
      <c r="T1325" t="str">
        <f t="shared" si="398"/>
        <v>22:15:02.000</v>
      </c>
      <c r="U1325" t="str">
        <f t="shared" si="385"/>
        <v>A9D71F</v>
      </c>
      <c r="V1325">
        <v>0</v>
      </c>
      <c r="W1325">
        <v>0</v>
      </c>
      <c r="X1325">
        <v>2</v>
      </c>
      <c r="Z1325">
        <v>1</v>
      </c>
      <c r="AA1325">
        <v>8</v>
      </c>
      <c r="AB1325">
        <v>3</v>
      </c>
      <c r="AC1325">
        <v>0</v>
      </c>
      <c r="AD1325">
        <v>9</v>
      </c>
      <c r="AE1325">
        <v>0</v>
      </c>
      <c r="AF1325">
        <v>3</v>
      </c>
      <c r="AG1325">
        <v>1</v>
      </c>
      <c r="AH1325">
        <v>0</v>
      </c>
      <c r="AI1325" t="s">
        <v>712</v>
      </c>
      <c r="AJ1325">
        <v>33.112772</v>
      </c>
      <c r="AK1325" t="s">
        <v>713</v>
      </c>
      <c r="AL1325">
        <v>-97.696888000000001</v>
      </c>
      <c r="AM1325">
        <v>25</v>
      </c>
      <c r="AN1325">
        <v>3400</v>
      </c>
      <c r="AO1325" t="s">
        <v>118</v>
      </c>
      <c r="AP1325">
        <v>50</v>
      </c>
      <c r="AQ1325">
        <v>-92</v>
      </c>
      <c r="AR1325">
        <v>448</v>
      </c>
      <c r="AZ1325">
        <v>1200</v>
      </c>
      <c r="BA1325">
        <v>1</v>
      </c>
      <c r="BB1325" t="str">
        <f t="shared" si="392"/>
        <v xml:space="preserve">N733KP  </v>
      </c>
      <c r="BC1325">
        <v>1</v>
      </c>
      <c r="BE1325">
        <v>0</v>
      </c>
      <c r="BF1325">
        <v>0</v>
      </c>
      <c r="BG1325">
        <v>0</v>
      </c>
      <c r="BH1325">
        <v>3425</v>
      </c>
      <c r="BI1325">
        <v>1</v>
      </c>
      <c r="BJ1325">
        <v>1</v>
      </c>
      <c r="BK1325">
        <v>0</v>
      </c>
      <c r="BL1325">
        <v>0</v>
      </c>
      <c r="BO1325">
        <v>0</v>
      </c>
      <c r="BP1325">
        <v>0</v>
      </c>
      <c r="BW1325" t="str">
        <f>"22:15:02.510"</f>
        <v>22:15:02.510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364</v>
      </c>
      <c r="CR1325">
        <v>0</v>
      </c>
      <c r="CW1325">
        <v>1415226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"03/24/2022 22:15:02.698"</f>
        <v>03/24/2022 22:15:02.698</v>
      </c>
      <c r="C1326" t="str">
        <f t="shared" si="391"/>
        <v>FFDFD3C0</v>
      </c>
      <c r="D1326" t="s">
        <v>123</v>
      </c>
      <c r="E1326">
        <v>8</v>
      </c>
      <c r="H1326">
        <v>31</v>
      </c>
      <c r="I1326" t="s">
        <v>124</v>
      </c>
      <c r="J1326" t="s">
        <v>125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S1326" t="str">
        <f t="shared" si="398"/>
        <v>22:15:02.000</v>
      </c>
      <c r="T1326" t="str">
        <f t="shared" si="398"/>
        <v>22:15:02.000</v>
      </c>
      <c r="U1326" t="str">
        <f t="shared" si="385"/>
        <v>A9D71F</v>
      </c>
      <c r="V1326">
        <v>0</v>
      </c>
      <c r="W1326">
        <v>0</v>
      </c>
      <c r="X1326">
        <v>2</v>
      </c>
      <c r="Z1326">
        <v>1</v>
      </c>
      <c r="AA1326">
        <v>8</v>
      </c>
      <c r="AB1326">
        <v>3</v>
      </c>
      <c r="AC1326">
        <v>0</v>
      </c>
      <c r="AD1326">
        <v>9</v>
      </c>
      <c r="AE1326">
        <v>0</v>
      </c>
      <c r="AF1326">
        <v>3</v>
      </c>
      <c r="AG1326">
        <v>1</v>
      </c>
      <c r="AH1326">
        <v>0</v>
      </c>
      <c r="AI1326" t="s">
        <v>712</v>
      </c>
      <c r="AJ1326">
        <v>33.112772</v>
      </c>
      <c r="AK1326" t="s">
        <v>713</v>
      </c>
      <c r="AL1326">
        <v>-97.696888000000001</v>
      </c>
      <c r="AM1326">
        <v>25</v>
      </c>
      <c r="AN1326">
        <v>3400</v>
      </c>
      <c r="AO1326" t="s">
        <v>118</v>
      </c>
      <c r="AP1326">
        <v>50</v>
      </c>
      <c r="AQ1326">
        <v>-92</v>
      </c>
      <c r="AR1326">
        <v>448</v>
      </c>
      <c r="AZ1326">
        <v>1200</v>
      </c>
      <c r="BA1326">
        <v>1</v>
      </c>
      <c r="BB1326" t="str">
        <f t="shared" si="392"/>
        <v xml:space="preserve">N733KP  </v>
      </c>
      <c r="BC1326">
        <v>1</v>
      </c>
      <c r="BE1326">
        <v>0</v>
      </c>
      <c r="BF1326">
        <v>0</v>
      </c>
      <c r="BG1326">
        <v>0</v>
      </c>
      <c r="BH1326">
        <v>3425</v>
      </c>
      <c r="BI1326">
        <v>1</v>
      </c>
      <c r="BJ1326">
        <v>1</v>
      </c>
      <c r="BK1326">
        <v>0</v>
      </c>
      <c r="BL1326">
        <v>0</v>
      </c>
      <c r="BO1326">
        <v>0</v>
      </c>
      <c r="BP1326">
        <v>0</v>
      </c>
      <c r="BW1326" t="str">
        <f>"22:15:02.510"</f>
        <v>22:15:02.510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364</v>
      </c>
      <c r="CR1326">
        <v>0</v>
      </c>
      <c r="CW1326">
        <v>1415226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"03/24/2022 22:15:04.200"</f>
        <v>03/24/2022 22:15:04.200</v>
      </c>
      <c r="C1327" t="str">
        <f t="shared" si="391"/>
        <v>FFDFD3C0</v>
      </c>
      <c r="D1327" t="s">
        <v>113</v>
      </c>
      <c r="E1327">
        <v>24</v>
      </c>
      <c r="F1327">
        <v>2024</v>
      </c>
      <c r="G1327" t="s">
        <v>114</v>
      </c>
      <c r="J1327" t="s">
        <v>115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S1327" t="str">
        <f t="shared" ref="S1327:T1330" si="399">"22:15:03.000"</f>
        <v>22:15:03.000</v>
      </c>
      <c r="T1327" t="str">
        <f t="shared" si="399"/>
        <v>22:15:03.000</v>
      </c>
      <c r="U1327" t="str">
        <f t="shared" si="385"/>
        <v>A9D71F</v>
      </c>
      <c r="V1327">
        <v>0</v>
      </c>
      <c r="W1327">
        <v>0</v>
      </c>
      <c r="X1327">
        <v>2</v>
      </c>
      <c r="Z1327">
        <v>1</v>
      </c>
      <c r="AA1327">
        <v>8</v>
      </c>
      <c r="AB1327">
        <v>3</v>
      </c>
      <c r="AC1327">
        <v>0</v>
      </c>
      <c r="AD1327">
        <v>9</v>
      </c>
      <c r="AE1327">
        <v>0</v>
      </c>
      <c r="AF1327">
        <v>3</v>
      </c>
      <c r="AG1327">
        <v>1</v>
      </c>
      <c r="AH1327">
        <v>0</v>
      </c>
      <c r="AI1327" t="s">
        <v>714</v>
      </c>
      <c r="AJ1327">
        <v>33.112363999999999</v>
      </c>
      <c r="AK1327" t="s">
        <v>715</v>
      </c>
      <c r="AL1327">
        <v>-97.696630999999996</v>
      </c>
      <c r="AM1327">
        <v>25</v>
      </c>
      <c r="AN1327">
        <v>3500</v>
      </c>
      <c r="AO1327" t="s">
        <v>118</v>
      </c>
      <c r="AP1327">
        <v>51</v>
      </c>
      <c r="AQ1327">
        <v>-93</v>
      </c>
      <c r="AR1327">
        <v>384</v>
      </c>
      <c r="AZ1327">
        <v>1200</v>
      </c>
      <c r="BA1327">
        <v>1</v>
      </c>
      <c r="BB1327" t="str">
        <f t="shared" si="392"/>
        <v xml:space="preserve">N733KP  </v>
      </c>
      <c r="BC1327">
        <v>1</v>
      </c>
      <c r="BE1327">
        <v>0</v>
      </c>
      <c r="BF1327">
        <v>0</v>
      </c>
      <c r="BG1327">
        <v>0</v>
      </c>
      <c r="BH1327">
        <v>3425</v>
      </c>
      <c r="BI1327">
        <v>1</v>
      </c>
      <c r="BJ1327">
        <v>1</v>
      </c>
      <c r="BK1327">
        <v>0</v>
      </c>
      <c r="BL1327">
        <v>0</v>
      </c>
      <c r="BO1327">
        <v>0</v>
      </c>
      <c r="BP1327">
        <v>0</v>
      </c>
      <c r="BW1327" t="str">
        <f>"22:15:03.950"</f>
        <v>22:15:03.950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364</v>
      </c>
      <c r="CR1327">
        <v>0</v>
      </c>
      <c r="CW1327">
        <v>1415453</v>
      </c>
      <c r="CY1327">
        <v>1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"03/24/2022 22:15:04.200"</f>
        <v>03/24/2022 22:15:04.200</v>
      </c>
      <c r="C1328" t="str">
        <f t="shared" si="391"/>
        <v>FFDFD3C0</v>
      </c>
      <c r="D1328" t="s">
        <v>126</v>
      </c>
      <c r="E1328">
        <v>3</v>
      </c>
      <c r="H1328">
        <v>160</v>
      </c>
      <c r="I1328" t="s">
        <v>121</v>
      </c>
      <c r="J1328" t="s">
        <v>127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S1328" t="str">
        <f t="shared" si="399"/>
        <v>22:15:03.000</v>
      </c>
      <c r="T1328" t="str">
        <f t="shared" si="399"/>
        <v>22:15:03.000</v>
      </c>
      <c r="U1328" t="str">
        <f t="shared" si="385"/>
        <v>A9D71F</v>
      </c>
      <c r="V1328">
        <v>0</v>
      </c>
      <c r="W1328">
        <v>0</v>
      </c>
      <c r="X1328">
        <v>2</v>
      </c>
      <c r="Z1328">
        <v>1</v>
      </c>
      <c r="AA1328">
        <v>8</v>
      </c>
      <c r="AB1328">
        <v>3</v>
      </c>
      <c r="AC1328">
        <v>0</v>
      </c>
      <c r="AD1328">
        <v>9</v>
      </c>
      <c r="AE1328">
        <v>0</v>
      </c>
      <c r="AF1328">
        <v>3</v>
      </c>
      <c r="AG1328">
        <v>1</v>
      </c>
      <c r="AH1328">
        <v>0</v>
      </c>
      <c r="AI1328" t="s">
        <v>714</v>
      </c>
      <c r="AJ1328">
        <v>33.112363999999999</v>
      </c>
      <c r="AK1328" t="s">
        <v>715</v>
      </c>
      <c r="AL1328">
        <v>-97.696630999999996</v>
      </c>
      <c r="AM1328">
        <v>25</v>
      </c>
      <c r="AN1328">
        <v>3500</v>
      </c>
      <c r="AO1328" t="s">
        <v>118</v>
      </c>
      <c r="AP1328">
        <v>51</v>
      </c>
      <c r="AQ1328">
        <v>-93</v>
      </c>
      <c r="AR1328">
        <v>384</v>
      </c>
      <c r="AZ1328">
        <v>1200</v>
      </c>
      <c r="BA1328">
        <v>1</v>
      </c>
      <c r="BB1328" t="str">
        <f t="shared" si="392"/>
        <v xml:space="preserve">N733KP  </v>
      </c>
      <c r="BC1328">
        <v>1</v>
      </c>
      <c r="BE1328">
        <v>0</v>
      </c>
      <c r="BF1328">
        <v>0</v>
      </c>
      <c r="BG1328">
        <v>0</v>
      </c>
      <c r="BH1328">
        <v>3425</v>
      </c>
      <c r="BI1328">
        <v>1</v>
      </c>
      <c r="BJ1328">
        <v>1</v>
      </c>
      <c r="BK1328">
        <v>0</v>
      </c>
      <c r="BL1328">
        <v>0</v>
      </c>
      <c r="BO1328">
        <v>0</v>
      </c>
      <c r="BP1328">
        <v>0</v>
      </c>
      <c r="BW1328" t="str">
        <f>"22:15:03.950"</f>
        <v>22:15:03.950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364</v>
      </c>
      <c r="CR1328">
        <v>0</v>
      </c>
      <c r="CW1328">
        <v>1415453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"03/24/2022 22:15:04.231"</f>
        <v>03/24/2022 22:15:04.231</v>
      </c>
      <c r="C1329" t="str">
        <f t="shared" si="391"/>
        <v>FFDFD3C0</v>
      </c>
      <c r="D1329" t="s">
        <v>120</v>
      </c>
      <c r="E1329">
        <v>14</v>
      </c>
      <c r="F1329">
        <v>1014</v>
      </c>
      <c r="G1329" t="s">
        <v>121</v>
      </c>
      <c r="J1329" t="s">
        <v>122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S1329" t="str">
        <f t="shared" si="399"/>
        <v>22:15:03.000</v>
      </c>
      <c r="T1329" t="str">
        <f t="shared" si="399"/>
        <v>22:15:03.000</v>
      </c>
      <c r="U1329" t="str">
        <f t="shared" si="385"/>
        <v>A9D71F</v>
      </c>
      <c r="V1329">
        <v>0</v>
      </c>
      <c r="W1329">
        <v>0</v>
      </c>
      <c r="X1329">
        <v>2</v>
      </c>
      <c r="Z1329">
        <v>1</v>
      </c>
      <c r="AA1329">
        <v>8</v>
      </c>
      <c r="AB1329">
        <v>3</v>
      </c>
      <c r="AC1329">
        <v>0</v>
      </c>
      <c r="AD1329">
        <v>9</v>
      </c>
      <c r="AE1329">
        <v>0</v>
      </c>
      <c r="AF1329">
        <v>3</v>
      </c>
      <c r="AG1329">
        <v>1</v>
      </c>
      <c r="AH1329">
        <v>0</v>
      </c>
      <c r="AI1329" t="s">
        <v>714</v>
      </c>
      <c r="AJ1329">
        <v>33.112363999999999</v>
      </c>
      <c r="AK1329" t="s">
        <v>715</v>
      </c>
      <c r="AL1329">
        <v>-97.696630999999996</v>
      </c>
      <c r="AM1329">
        <v>25</v>
      </c>
      <c r="AN1329">
        <v>3500</v>
      </c>
      <c r="AO1329" t="s">
        <v>118</v>
      </c>
      <c r="AP1329">
        <v>51</v>
      </c>
      <c r="AQ1329">
        <v>-93</v>
      </c>
      <c r="AR1329">
        <v>384</v>
      </c>
      <c r="AZ1329">
        <v>1200</v>
      </c>
      <c r="BA1329">
        <v>1</v>
      </c>
      <c r="BB1329" t="str">
        <f t="shared" si="392"/>
        <v xml:space="preserve">N733KP  </v>
      </c>
      <c r="BC1329">
        <v>1</v>
      </c>
      <c r="BE1329">
        <v>0</v>
      </c>
      <c r="BF1329">
        <v>0</v>
      </c>
      <c r="BG1329">
        <v>0</v>
      </c>
      <c r="BH1329">
        <v>3425</v>
      </c>
      <c r="BI1329">
        <v>1</v>
      </c>
      <c r="BJ1329">
        <v>1</v>
      </c>
      <c r="BK1329">
        <v>0</v>
      </c>
      <c r="BL1329">
        <v>0</v>
      </c>
      <c r="BO1329">
        <v>0</v>
      </c>
      <c r="BP1329">
        <v>0</v>
      </c>
      <c r="BW1329" t="str">
        <f>"22:15:03.950"</f>
        <v>22:15:03.950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364</v>
      </c>
      <c r="CR1329">
        <v>0</v>
      </c>
      <c r="CW1329">
        <v>1415453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"03/24/2022 22:15:04.231"</f>
        <v>03/24/2022 22:15:04.231</v>
      </c>
      <c r="C1330" t="str">
        <f t="shared" si="391"/>
        <v>FFDFD3C0</v>
      </c>
      <c r="D1330" t="s">
        <v>123</v>
      </c>
      <c r="E1330">
        <v>8</v>
      </c>
      <c r="H1330">
        <v>31</v>
      </c>
      <c r="I1330" t="s">
        <v>124</v>
      </c>
      <c r="J1330" t="s">
        <v>125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S1330" t="str">
        <f t="shared" si="399"/>
        <v>22:15:03.000</v>
      </c>
      <c r="T1330" t="str">
        <f t="shared" si="399"/>
        <v>22:15:03.000</v>
      </c>
      <c r="U1330" t="str">
        <f t="shared" si="385"/>
        <v>A9D71F</v>
      </c>
      <c r="V1330">
        <v>0</v>
      </c>
      <c r="W1330">
        <v>0</v>
      </c>
      <c r="X1330">
        <v>2</v>
      </c>
      <c r="Z1330">
        <v>1</v>
      </c>
      <c r="AA1330">
        <v>8</v>
      </c>
      <c r="AB1330">
        <v>3</v>
      </c>
      <c r="AC1330">
        <v>0</v>
      </c>
      <c r="AD1330">
        <v>9</v>
      </c>
      <c r="AE1330">
        <v>0</v>
      </c>
      <c r="AF1330">
        <v>3</v>
      </c>
      <c r="AG1330">
        <v>1</v>
      </c>
      <c r="AH1330">
        <v>0</v>
      </c>
      <c r="AI1330" t="s">
        <v>714</v>
      </c>
      <c r="AJ1330">
        <v>33.112363999999999</v>
      </c>
      <c r="AK1330" t="s">
        <v>715</v>
      </c>
      <c r="AL1330">
        <v>-97.696630999999996</v>
      </c>
      <c r="AM1330">
        <v>25</v>
      </c>
      <c r="AN1330">
        <v>3500</v>
      </c>
      <c r="AO1330" t="s">
        <v>118</v>
      </c>
      <c r="AP1330">
        <v>51</v>
      </c>
      <c r="AQ1330">
        <v>-93</v>
      </c>
      <c r="AR1330">
        <v>384</v>
      </c>
      <c r="AZ1330">
        <v>1200</v>
      </c>
      <c r="BA1330">
        <v>1</v>
      </c>
      <c r="BB1330" t="str">
        <f t="shared" si="392"/>
        <v xml:space="preserve">N733KP  </v>
      </c>
      <c r="BC1330">
        <v>1</v>
      </c>
      <c r="BE1330">
        <v>0</v>
      </c>
      <c r="BF1330">
        <v>0</v>
      </c>
      <c r="BG1330">
        <v>0</v>
      </c>
      <c r="BH1330">
        <v>3425</v>
      </c>
      <c r="BI1330">
        <v>1</v>
      </c>
      <c r="BJ1330">
        <v>1</v>
      </c>
      <c r="BK1330">
        <v>0</v>
      </c>
      <c r="BL1330">
        <v>0</v>
      </c>
      <c r="BO1330">
        <v>0</v>
      </c>
      <c r="BP1330">
        <v>0</v>
      </c>
      <c r="BW1330" t="str">
        <f>"22:15:03.950"</f>
        <v>22:15:03.950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364</v>
      </c>
      <c r="CR1330">
        <v>0</v>
      </c>
      <c r="CW1330">
        <v>1415453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"03/24/2022 22:15:04.887"</f>
        <v>03/24/2022 22:15:04.887</v>
      </c>
      <c r="C1331" t="str">
        <f t="shared" si="391"/>
        <v>FFDFD3C0</v>
      </c>
      <c r="D1331" t="s">
        <v>113</v>
      </c>
      <c r="E1331">
        <v>24</v>
      </c>
      <c r="F1331">
        <v>2024</v>
      </c>
      <c r="G1331" t="s">
        <v>114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S1331" t="str">
        <f t="shared" ref="S1331:T1334" si="400">"22:15:04.000"</f>
        <v>22:15:04.000</v>
      </c>
      <c r="T1331" t="str">
        <f t="shared" si="400"/>
        <v>22:15:04.000</v>
      </c>
      <c r="U1331" t="str">
        <f t="shared" si="385"/>
        <v>A9D71F</v>
      </c>
      <c r="V1331">
        <v>0</v>
      </c>
      <c r="W1331">
        <v>0</v>
      </c>
      <c r="X1331">
        <v>2</v>
      </c>
      <c r="Z1331">
        <v>1</v>
      </c>
      <c r="AA1331">
        <v>8</v>
      </c>
      <c r="AB1331">
        <v>3</v>
      </c>
      <c r="AC1331">
        <v>0</v>
      </c>
      <c r="AD1331">
        <v>9</v>
      </c>
      <c r="AE1331">
        <v>0</v>
      </c>
      <c r="AF1331">
        <v>3</v>
      </c>
      <c r="AG1331">
        <v>1</v>
      </c>
      <c r="AH1331">
        <v>0</v>
      </c>
      <c r="AI1331" t="s">
        <v>716</v>
      </c>
      <c r="AJ1331">
        <v>33.111913000000001</v>
      </c>
      <c r="AK1331" t="s">
        <v>717</v>
      </c>
      <c r="AL1331">
        <v>-97.696308999999999</v>
      </c>
      <c r="AM1331">
        <v>25</v>
      </c>
      <c r="AN1331">
        <v>3500</v>
      </c>
      <c r="AO1331" t="s">
        <v>118</v>
      </c>
      <c r="AP1331">
        <v>51</v>
      </c>
      <c r="AQ1331">
        <v>-93</v>
      </c>
      <c r="AR1331">
        <v>320</v>
      </c>
      <c r="AZ1331">
        <v>1200</v>
      </c>
      <c r="BA1331">
        <v>1</v>
      </c>
      <c r="BB1331" t="str">
        <f t="shared" si="392"/>
        <v xml:space="preserve">N733KP  </v>
      </c>
      <c r="BC1331">
        <v>1</v>
      </c>
      <c r="BE1331">
        <v>0</v>
      </c>
      <c r="BF1331">
        <v>0</v>
      </c>
      <c r="BG1331">
        <v>0</v>
      </c>
      <c r="BH1331">
        <v>3425</v>
      </c>
      <c r="BI1331">
        <v>1</v>
      </c>
      <c r="BJ1331">
        <v>1</v>
      </c>
      <c r="BK1331">
        <v>0</v>
      </c>
      <c r="BL1331">
        <v>0</v>
      </c>
      <c r="BO1331">
        <v>0</v>
      </c>
      <c r="BP1331">
        <v>0</v>
      </c>
      <c r="BW1331" t="str">
        <f>"22:15:04.707"</f>
        <v>22:15:04.707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364</v>
      </c>
      <c r="CR1331">
        <v>0</v>
      </c>
      <c r="CW1331">
        <v>1415567</v>
      </c>
      <c r="CY1331">
        <v>1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"03/24/2022 22:15:04.887"</f>
        <v>03/24/2022 22:15:04.887</v>
      </c>
      <c r="C1332" t="str">
        <f t="shared" si="391"/>
        <v>FFDFD3C0</v>
      </c>
      <c r="D1332" t="s">
        <v>126</v>
      </c>
      <c r="E1332">
        <v>3</v>
      </c>
      <c r="H1332">
        <v>160</v>
      </c>
      <c r="I1332" t="s">
        <v>121</v>
      </c>
      <c r="J1332" t="s">
        <v>127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S1332" t="str">
        <f t="shared" si="400"/>
        <v>22:15:04.000</v>
      </c>
      <c r="T1332" t="str">
        <f t="shared" si="400"/>
        <v>22:15:04.000</v>
      </c>
      <c r="U1332" t="str">
        <f t="shared" si="385"/>
        <v>A9D71F</v>
      </c>
      <c r="V1332">
        <v>0</v>
      </c>
      <c r="W1332">
        <v>0</v>
      </c>
      <c r="X1332">
        <v>2</v>
      </c>
      <c r="Z1332">
        <v>1</v>
      </c>
      <c r="AA1332">
        <v>8</v>
      </c>
      <c r="AB1332">
        <v>3</v>
      </c>
      <c r="AC1332">
        <v>0</v>
      </c>
      <c r="AD1332">
        <v>9</v>
      </c>
      <c r="AE1332">
        <v>0</v>
      </c>
      <c r="AF1332">
        <v>3</v>
      </c>
      <c r="AG1332">
        <v>1</v>
      </c>
      <c r="AH1332">
        <v>0</v>
      </c>
      <c r="AI1332" t="s">
        <v>716</v>
      </c>
      <c r="AJ1332">
        <v>33.111913000000001</v>
      </c>
      <c r="AK1332" t="s">
        <v>717</v>
      </c>
      <c r="AL1332">
        <v>-97.696308999999999</v>
      </c>
      <c r="AM1332">
        <v>25</v>
      </c>
      <c r="AN1332">
        <v>3500</v>
      </c>
      <c r="AO1332" t="s">
        <v>118</v>
      </c>
      <c r="AP1332">
        <v>51</v>
      </c>
      <c r="AQ1332">
        <v>-93</v>
      </c>
      <c r="AR1332">
        <v>320</v>
      </c>
      <c r="AZ1332">
        <v>1200</v>
      </c>
      <c r="BA1332">
        <v>1</v>
      </c>
      <c r="BB1332" t="str">
        <f t="shared" si="392"/>
        <v xml:space="preserve">N733KP  </v>
      </c>
      <c r="BC1332">
        <v>1</v>
      </c>
      <c r="BE1332">
        <v>0</v>
      </c>
      <c r="BF1332">
        <v>0</v>
      </c>
      <c r="BG1332">
        <v>0</v>
      </c>
      <c r="BH1332">
        <v>3425</v>
      </c>
      <c r="BI1332">
        <v>1</v>
      </c>
      <c r="BJ1332">
        <v>1</v>
      </c>
      <c r="BK1332">
        <v>0</v>
      </c>
      <c r="BL1332">
        <v>0</v>
      </c>
      <c r="BO1332">
        <v>0</v>
      </c>
      <c r="BP1332">
        <v>0</v>
      </c>
      <c r="BW1332" t="str">
        <f>"22:15:04.707"</f>
        <v>22:15:04.707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364</v>
      </c>
      <c r="CR1332">
        <v>0</v>
      </c>
      <c r="CW1332">
        <v>1415567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"03/24/2022 22:15:04.887"</f>
        <v>03/24/2022 22:15:04.887</v>
      </c>
      <c r="C1333" t="str">
        <f t="shared" si="391"/>
        <v>FFDFD3C0</v>
      </c>
      <c r="D1333" t="s">
        <v>120</v>
      </c>
      <c r="E1333">
        <v>14</v>
      </c>
      <c r="F1333">
        <v>1014</v>
      </c>
      <c r="G1333" t="s">
        <v>121</v>
      </c>
      <c r="J1333" t="s">
        <v>122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S1333" t="str">
        <f t="shared" si="400"/>
        <v>22:15:04.000</v>
      </c>
      <c r="T1333" t="str">
        <f t="shared" si="400"/>
        <v>22:15:04.000</v>
      </c>
      <c r="U1333" t="str">
        <f t="shared" si="385"/>
        <v>A9D71F</v>
      </c>
      <c r="V1333">
        <v>0</v>
      </c>
      <c r="W1333">
        <v>0</v>
      </c>
      <c r="X1333">
        <v>2</v>
      </c>
      <c r="Z1333">
        <v>1</v>
      </c>
      <c r="AA1333">
        <v>8</v>
      </c>
      <c r="AB1333">
        <v>3</v>
      </c>
      <c r="AC1333">
        <v>0</v>
      </c>
      <c r="AD1333">
        <v>9</v>
      </c>
      <c r="AE1333">
        <v>0</v>
      </c>
      <c r="AF1333">
        <v>3</v>
      </c>
      <c r="AG1333">
        <v>1</v>
      </c>
      <c r="AH1333">
        <v>0</v>
      </c>
      <c r="AI1333" t="s">
        <v>716</v>
      </c>
      <c r="AJ1333">
        <v>33.111913000000001</v>
      </c>
      <c r="AK1333" t="s">
        <v>717</v>
      </c>
      <c r="AL1333">
        <v>-97.696308999999999</v>
      </c>
      <c r="AM1333">
        <v>25</v>
      </c>
      <c r="AN1333">
        <v>3500</v>
      </c>
      <c r="AO1333" t="s">
        <v>118</v>
      </c>
      <c r="AP1333">
        <v>51</v>
      </c>
      <c r="AQ1333">
        <v>-93</v>
      </c>
      <c r="AR1333">
        <v>320</v>
      </c>
      <c r="AZ1333">
        <v>1200</v>
      </c>
      <c r="BA1333">
        <v>1</v>
      </c>
      <c r="BB1333" t="str">
        <f t="shared" si="392"/>
        <v xml:space="preserve">N733KP  </v>
      </c>
      <c r="BC1333">
        <v>1</v>
      </c>
      <c r="BE1333">
        <v>0</v>
      </c>
      <c r="BF1333">
        <v>0</v>
      </c>
      <c r="BG1333">
        <v>0</v>
      </c>
      <c r="BH1333">
        <v>3425</v>
      </c>
      <c r="BI1333">
        <v>1</v>
      </c>
      <c r="BJ1333">
        <v>1</v>
      </c>
      <c r="BK1333">
        <v>0</v>
      </c>
      <c r="BL1333">
        <v>0</v>
      </c>
      <c r="BO1333">
        <v>0</v>
      </c>
      <c r="BP1333">
        <v>0</v>
      </c>
      <c r="BW1333" t="str">
        <f>"22:15:04.707"</f>
        <v>22:15:04.707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364</v>
      </c>
      <c r="CR1333">
        <v>0</v>
      </c>
      <c r="CW1333">
        <v>1415567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"03/24/2022 22:15:04.887"</f>
        <v>03/24/2022 22:15:04.887</v>
      </c>
      <c r="C1334" t="str">
        <f t="shared" si="391"/>
        <v>FFDFD3C0</v>
      </c>
      <c r="D1334" t="s">
        <v>123</v>
      </c>
      <c r="E1334">
        <v>8</v>
      </c>
      <c r="H1334">
        <v>31</v>
      </c>
      <c r="I1334" t="s">
        <v>124</v>
      </c>
      <c r="J1334" t="s">
        <v>125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S1334" t="str">
        <f t="shared" si="400"/>
        <v>22:15:04.000</v>
      </c>
      <c r="T1334" t="str">
        <f t="shared" si="400"/>
        <v>22:15:04.000</v>
      </c>
      <c r="U1334" t="str">
        <f t="shared" si="385"/>
        <v>A9D71F</v>
      </c>
      <c r="V1334">
        <v>0</v>
      </c>
      <c r="W1334">
        <v>0</v>
      </c>
      <c r="X1334">
        <v>2</v>
      </c>
      <c r="Z1334">
        <v>1</v>
      </c>
      <c r="AA1334">
        <v>8</v>
      </c>
      <c r="AB1334">
        <v>3</v>
      </c>
      <c r="AC1334">
        <v>0</v>
      </c>
      <c r="AD1334">
        <v>9</v>
      </c>
      <c r="AE1334">
        <v>0</v>
      </c>
      <c r="AF1334">
        <v>3</v>
      </c>
      <c r="AG1334">
        <v>1</v>
      </c>
      <c r="AH1334">
        <v>0</v>
      </c>
      <c r="AI1334" t="s">
        <v>716</v>
      </c>
      <c r="AJ1334">
        <v>33.111913000000001</v>
      </c>
      <c r="AK1334" t="s">
        <v>717</v>
      </c>
      <c r="AL1334">
        <v>-97.696308999999999</v>
      </c>
      <c r="AM1334">
        <v>25</v>
      </c>
      <c r="AN1334">
        <v>3500</v>
      </c>
      <c r="AO1334" t="s">
        <v>118</v>
      </c>
      <c r="AP1334">
        <v>51</v>
      </c>
      <c r="AQ1334">
        <v>-93</v>
      </c>
      <c r="AR1334">
        <v>320</v>
      </c>
      <c r="AZ1334">
        <v>1200</v>
      </c>
      <c r="BA1334">
        <v>1</v>
      </c>
      <c r="BB1334" t="str">
        <f t="shared" si="392"/>
        <v xml:space="preserve">N733KP  </v>
      </c>
      <c r="BC1334">
        <v>1</v>
      </c>
      <c r="BE1334">
        <v>0</v>
      </c>
      <c r="BF1334">
        <v>0</v>
      </c>
      <c r="BG1334">
        <v>0</v>
      </c>
      <c r="BH1334">
        <v>3425</v>
      </c>
      <c r="BI1334">
        <v>1</v>
      </c>
      <c r="BJ1334">
        <v>1</v>
      </c>
      <c r="BK1334">
        <v>0</v>
      </c>
      <c r="BL1334">
        <v>0</v>
      </c>
      <c r="BO1334">
        <v>0</v>
      </c>
      <c r="BP1334">
        <v>0</v>
      </c>
      <c r="BW1334" t="str">
        <f>"22:15:04.707"</f>
        <v>22:15:04.707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364</v>
      </c>
      <c r="CR1334">
        <v>0</v>
      </c>
      <c r="CW1334">
        <v>1415567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"03/24/2022 22:15:05.716"</f>
        <v>03/24/2022 22:15:05.716</v>
      </c>
      <c r="C1335" t="str">
        <f t="shared" si="391"/>
        <v>FFDFD3C0</v>
      </c>
      <c r="D1335" t="s">
        <v>126</v>
      </c>
      <c r="E1335">
        <v>3</v>
      </c>
      <c r="H1335">
        <v>160</v>
      </c>
      <c r="I1335" t="s">
        <v>121</v>
      </c>
      <c r="J1335" t="s">
        <v>127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S1335" t="str">
        <f t="shared" ref="S1335:T1338" si="401">"22:15:05.000"</f>
        <v>22:15:05.000</v>
      </c>
      <c r="T1335" t="str">
        <f t="shared" si="401"/>
        <v>22:15:05.000</v>
      </c>
      <c r="U1335" t="str">
        <f t="shared" si="385"/>
        <v>A9D71F</v>
      </c>
      <c r="V1335">
        <v>0</v>
      </c>
      <c r="W1335">
        <v>0</v>
      </c>
      <c r="X1335">
        <v>2</v>
      </c>
      <c r="Z1335">
        <v>1</v>
      </c>
      <c r="AA1335">
        <v>8</v>
      </c>
      <c r="AB1335">
        <v>3</v>
      </c>
      <c r="AC1335">
        <v>0</v>
      </c>
      <c r="AD1335">
        <v>9</v>
      </c>
      <c r="AE1335">
        <v>0</v>
      </c>
      <c r="AF1335">
        <v>3</v>
      </c>
      <c r="AG1335">
        <v>1</v>
      </c>
      <c r="AH1335">
        <v>0</v>
      </c>
      <c r="AI1335" t="s">
        <v>718</v>
      </c>
      <c r="AJ1335">
        <v>33.111483999999997</v>
      </c>
      <c r="AK1335" t="s">
        <v>719</v>
      </c>
      <c r="AL1335">
        <v>-97.696009000000004</v>
      </c>
      <c r="AM1335">
        <v>25</v>
      </c>
      <c r="AN1335">
        <v>3500</v>
      </c>
      <c r="AO1335" t="s">
        <v>118</v>
      </c>
      <c r="AP1335">
        <v>52</v>
      </c>
      <c r="AQ1335">
        <v>-93</v>
      </c>
      <c r="AR1335">
        <v>256</v>
      </c>
      <c r="AZ1335">
        <v>1200</v>
      </c>
      <c r="BA1335">
        <v>1</v>
      </c>
      <c r="BB1335" t="str">
        <f t="shared" si="392"/>
        <v xml:space="preserve">N733KP  </v>
      </c>
      <c r="BC1335">
        <v>1</v>
      </c>
      <c r="BE1335">
        <v>0</v>
      </c>
      <c r="BF1335">
        <v>0</v>
      </c>
      <c r="BG1335">
        <v>0</v>
      </c>
      <c r="BH1335">
        <v>3425</v>
      </c>
      <c r="BI1335">
        <v>1</v>
      </c>
      <c r="BJ1335">
        <v>1</v>
      </c>
      <c r="BK1335">
        <v>0</v>
      </c>
      <c r="BL1335">
        <v>0</v>
      </c>
      <c r="BO1335">
        <v>0</v>
      </c>
      <c r="BP1335">
        <v>0</v>
      </c>
      <c r="BW1335" t="str">
        <f>"22:15:05.554"</f>
        <v>22:15:05.554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364</v>
      </c>
      <c r="CR1335">
        <v>0</v>
      </c>
      <c r="CW1335">
        <v>1415707</v>
      </c>
      <c r="CY1335">
        <v>1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"03/24/2022 22:15:05.731"</f>
        <v>03/24/2022 22:15:05.731</v>
      </c>
      <c r="C1336" t="str">
        <f t="shared" si="391"/>
        <v>FFDFD3C0</v>
      </c>
      <c r="D1336" t="s">
        <v>123</v>
      </c>
      <c r="E1336">
        <v>8</v>
      </c>
      <c r="H1336">
        <v>31</v>
      </c>
      <c r="I1336" t="s">
        <v>124</v>
      </c>
      <c r="J1336" t="s">
        <v>125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S1336" t="str">
        <f t="shared" si="401"/>
        <v>22:15:05.000</v>
      </c>
      <c r="T1336" t="str">
        <f t="shared" si="401"/>
        <v>22:15:05.000</v>
      </c>
      <c r="U1336" t="str">
        <f t="shared" si="385"/>
        <v>A9D71F</v>
      </c>
      <c r="V1336">
        <v>0</v>
      </c>
      <c r="W1336">
        <v>0</v>
      </c>
      <c r="X1336">
        <v>2</v>
      </c>
      <c r="Z1336">
        <v>1</v>
      </c>
      <c r="AA1336">
        <v>8</v>
      </c>
      <c r="AB1336">
        <v>3</v>
      </c>
      <c r="AC1336">
        <v>0</v>
      </c>
      <c r="AD1336">
        <v>9</v>
      </c>
      <c r="AE1336">
        <v>0</v>
      </c>
      <c r="AF1336">
        <v>3</v>
      </c>
      <c r="AG1336">
        <v>1</v>
      </c>
      <c r="AH1336">
        <v>0</v>
      </c>
      <c r="AI1336" t="s">
        <v>718</v>
      </c>
      <c r="AJ1336">
        <v>33.111483999999997</v>
      </c>
      <c r="AK1336" t="s">
        <v>719</v>
      </c>
      <c r="AL1336">
        <v>-97.696009000000004</v>
      </c>
      <c r="AM1336">
        <v>25</v>
      </c>
      <c r="AN1336">
        <v>3500</v>
      </c>
      <c r="AO1336" t="s">
        <v>118</v>
      </c>
      <c r="AP1336">
        <v>52</v>
      </c>
      <c r="AQ1336">
        <v>-93</v>
      </c>
      <c r="AR1336">
        <v>256</v>
      </c>
      <c r="AZ1336">
        <v>1200</v>
      </c>
      <c r="BA1336">
        <v>1</v>
      </c>
      <c r="BB1336" t="str">
        <f t="shared" si="392"/>
        <v xml:space="preserve">N733KP  </v>
      </c>
      <c r="BC1336">
        <v>1</v>
      </c>
      <c r="BE1336">
        <v>0</v>
      </c>
      <c r="BF1336">
        <v>0</v>
      </c>
      <c r="BG1336">
        <v>0</v>
      </c>
      <c r="BH1336">
        <v>3425</v>
      </c>
      <c r="BI1336">
        <v>1</v>
      </c>
      <c r="BJ1336">
        <v>1</v>
      </c>
      <c r="BK1336">
        <v>0</v>
      </c>
      <c r="BL1336">
        <v>0</v>
      </c>
      <c r="BO1336">
        <v>0</v>
      </c>
      <c r="BP1336">
        <v>0</v>
      </c>
      <c r="BW1336" t="str">
        <f>"22:15:05.554"</f>
        <v>22:15:05.554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364</v>
      </c>
      <c r="CR1336">
        <v>0</v>
      </c>
      <c r="CW1336">
        <v>1415707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"03/24/2022 22:15:05.731"</f>
        <v>03/24/2022 22:15:05.731</v>
      </c>
      <c r="C1337" t="str">
        <f t="shared" si="391"/>
        <v>FFDFD3C0</v>
      </c>
      <c r="D1337" t="s">
        <v>120</v>
      </c>
      <c r="E1337">
        <v>14</v>
      </c>
      <c r="F1337">
        <v>1014</v>
      </c>
      <c r="G1337" t="s">
        <v>121</v>
      </c>
      <c r="J1337" t="s">
        <v>122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S1337" t="str">
        <f t="shared" si="401"/>
        <v>22:15:05.000</v>
      </c>
      <c r="T1337" t="str">
        <f t="shared" si="401"/>
        <v>22:15:05.000</v>
      </c>
      <c r="U1337" t="str">
        <f t="shared" si="385"/>
        <v>A9D71F</v>
      </c>
      <c r="V1337">
        <v>0</v>
      </c>
      <c r="W1337">
        <v>0</v>
      </c>
      <c r="X1337">
        <v>2</v>
      </c>
      <c r="Z1337">
        <v>1</v>
      </c>
      <c r="AA1337">
        <v>8</v>
      </c>
      <c r="AB1337">
        <v>3</v>
      </c>
      <c r="AC1337">
        <v>0</v>
      </c>
      <c r="AD1337">
        <v>9</v>
      </c>
      <c r="AE1337">
        <v>0</v>
      </c>
      <c r="AF1337">
        <v>3</v>
      </c>
      <c r="AG1337">
        <v>1</v>
      </c>
      <c r="AH1337">
        <v>0</v>
      </c>
      <c r="AI1337" t="s">
        <v>718</v>
      </c>
      <c r="AJ1337">
        <v>33.111483999999997</v>
      </c>
      <c r="AK1337" t="s">
        <v>719</v>
      </c>
      <c r="AL1337">
        <v>-97.696009000000004</v>
      </c>
      <c r="AM1337">
        <v>25</v>
      </c>
      <c r="AN1337">
        <v>3500</v>
      </c>
      <c r="AO1337" t="s">
        <v>118</v>
      </c>
      <c r="AP1337">
        <v>52</v>
      </c>
      <c r="AQ1337">
        <v>-93</v>
      </c>
      <c r="AR1337">
        <v>256</v>
      </c>
      <c r="AZ1337">
        <v>1200</v>
      </c>
      <c r="BA1337">
        <v>1</v>
      </c>
      <c r="BB1337" t="str">
        <f t="shared" si="392"/>
        <v xml:space="preserve">N733KP  </v>
      </c>
      <c r="BC1337">
        <v>1</v>
      </c>
      <c r="BE1337">
        <v>0</v>
      </c>
      <c r="BF1337">
        <v>0</v>
      </c>
      <c r="BG1337">
        <v>0</v>
      </c>
      <c r="BH1337">
        <v>3425</v>
      </c>
      <c r="BI1337">
        <v>1</v>
      </c>
      <c r="BJ1337">
        <v>1</v>
      </c>
      <c r="BK1337">
        <v>0</v>
      </c>
      <c r="BL1337">
        <v>0</v>
      </c>
      <c r="BO1337">
        <v>0</v>
      </c>
      <c r="BP1337">
        <v>0</v>
      </c>
      <c r="BW1337" t="str">
        <f>"22:15:05.554"</f>
        <v>22:15:05.554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364</v>
      </c>
      <c r="CR1337">
        <v>0</v>
      </c>
      <c r="CW1337">
        <v>1415707</v>
      </c>
      <c r="CY1337">
        <v>1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"03/24/2022 22:15:05.778"</f>
        <v>03/24/2022 22:15:05.778</v>
      </c>
      <c r="C1338" t="str">
        <f t="shared" si="391"/>
        <v>FFDFD3C0</v>
      </c>
      <c r="D1338" t="s">
        <v>113</v>
      </c>
      <c r="E1338">
        <v>24</v>
      </c>
      <c r="F1338">
        <v>2024</v>
      </c>
      <c r="G1338" t="s">
        <v>114</v>
      </c>
      <c r="J1338" t="s">
        <v>115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S1338" t="str">
        <f t="shared" si="401"/>
        <v>22:15:05.000</v>
      </c>
      <c r="T1338" t="str">
        <f t="shared" si="401"/>
        <v>22:15:05.000</v>
      </c>
      <c r="U1338" t="str">
        <f t="shared" si="385"/>
        <v>A9D71F</v>
      </c>
      <c r="V1338">
        <v>0</v>
      </c>
      <c r="W1338">
        <v>0</v>
      </c>
      <c r="X1338">
        <v>2</v>
      </c>
      <c r="Z1338">
        <v>1</v>
      </c>
      <c r="AA1338">
        <v>8</v>
      </c>
      <c r="AB1338">
        <v>3</v>
      </c>
      <c r="AC1338">
        <v>0</v>
      </c>
      <c r="AD1338">
        <v>9</v>
      </c>
      <c r="AE1338">
        <v>0</v>
      </c>
      <c r="AF1338">
        <v>3</v>
      </c>
      <c r="AG1338">
        <v>1</v>
      </c>
      <c r="AH1338">
        <v>0</v>
      </c>
      <c r="AI1338" t="s">
        <v>718</v>
      </c>
      <c r="AJ1338">
        <v>33.111483999999997</v>
      </c>
      <c r="AK1338" t="s">
        <v>719</v>
      </c>
      <c r="AL1338">
        <v>-97.696009000000004</v>
      </c>
      <c r="AM1338">
        <v>25</v>
      </c>
      <c r="AN1338">
        <v>3500</v>
      </c>
      <c r="AO1338" t="s">
        <v>118</v>
      </c>
      <c r="AP1338">
        <v>52</v>
      </c>
      <c r="AQ1338">
        <v>-93</v>
      </c>
      <c r="AR1338">
        <v>256</v>
      </c>
      <c r="AZ1338">
        <v>1200</v>
      </c>
      <c r="BA1338">
        <v>1</v>
      </c>
      <c r="BB1338" t="str">
        <f t="shared" si="392"/>
        <v xml:space="preserve">N733KP  </v>
      </c>
      <c r="BC1338">
        <v>1</v>
      </c>
      <c r="BE1338">
        <v>0</v>
      </c>
      <c r="BF1338">
        <v>0</v>
      </c>
      <c r="BG1338">
        <v>0</v>
      </c>
      <c r="BH1338">
        <v>3425</v>
      </c>
      <c r="BI1338">
        <v>1</v>
      </c>
      <c r="BJ1338">
        <v>1</v>
      </c>
      <c r="BK1338">
        <v>0</v>
      </c>
      <c r="BL1338">
        <v>0</v>
      </c>
      <c r="BO1338">
        <v>0</v>
      </c>
      <c r="BP1338">
        <v>0</v>
      </c>
      <c r="BW1338" t="str">
        <f>"22:15:05.554"</f>
        <v>22:15:05.554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364</v>
      </c>
      <c r="CR1338">
        <v>0</v>
      </c>
      <c r="CW1338">
        <v>1415707</v>
      </c>
      <c r="CY1338">
        <v>1</v>
      </c>
      <c r="CZ1338">
        <v>0</v>
      </c>
      <c r="DA1338">
        <v>1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"03/24/2022 22:15:06.669"</f>
        <v>03/24/2022 22:15:06.669</v>
      </c>
      <c r="C1339" t="str">
        <f t="shared" si="391"/>
        <v>FFDFD3C0</v>
      </c>
      <c r="D1339" t="s">
        <v>113</v>
      </c>
      <c r="E1339">
        <v>24</v>
      </c>
      <c r="F1339">
        <v>2024</v>
      </c>
      <c r="G1339" t="s">
        <v>114</v>
      </c>
      <c r="J1339" t="s">
        <v>115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S1339" t="str">
        <f t="shared" ref="S1339:T1342" si="402">"22:15:06.000"</f>
        <v>22:15:06.000</v>
      </c>
      <c r="T1339" t="str">
        <f t="shared" si="402"/>
        <v>22:15:06.000</v>
      </c>
      <c r="U1339" t="str">
        <f t="shared" si="385"/>
        <v>A9D71F</v>
      </c>
      <c r="V1339">
        <v>0</v>
      </c>
      <c r="W1339">
        <v>0</v>
      </c>
      <c r="X1339">
        <v>2</v>
      </c>
      <c r="Z1339">
        <v>1</v>
      </c>
      <c r="AA1339">
        <v>8</v>
      </c>
      <c r="AB1339">
        <v>3</v>
      </c>
      <c r="AC1339">
        <v>0</v>
      </c>
      <c r="AD1339">
        <v>9</v>
      </c>
      <c r="AE1339">
        <v>0</v>
      </c>
      <c r="AF1339">
        <v>3</v>
      </c>
      <c r="AG1339">
        <v>1</v>
      </c>
      <c r="AH1339">
        <v>0</v>
      </c>
      <c r="AI1339" t="s">
        <v>720</v>
      </c>
      <c r="AJ1339">
        <v>33.111032999999999</v>
      </c>
      <c r="AK1339" t="s">
        <v>721</v>
      </c>
      <c r="AL1339">
        <v>-97.695729999999998</v>
      </c>
      <c r="AM1339">
        <v>25</v>
      </c>
      <c r="AN1339">
        <v>3500</v>
      </c>
      <c r="AO1339" t="s">
        <v>118</v>
      </c>
      <c r="AP1339">
        <v>54</v>
      </c>
      <c r="AQ1339">
        <v>-95</v>
      </c>
      <c r="AR1339">
        <v>128</v>
      </c>
      <c r="AZ1339">
        <v>1200</v>
      </c>
      <c r="BA1339">
        <v>1</v>
      </c>
      <c r="BB1339" t="str">
        <f t="shared" si="392"/>
        <v xml:space="preserve">N733KP  </v>
      </c>
      <c r="BC1339">
        <v>1</v>
      </c>
      <c r="BE1339">
        <v>0</v>
      </c>
      <c r="BF1339">
        <v>0</v>
      </c>
      <c r="BG1339">
        <v>0</v>
      </c>
      <c r="BH1339">
        <v>3425</v>
      </c>
      <c r="BI1339">
        <v>1</v>
      </c>
      <c r="BJ1339">
        <v>1</v>
      </c>
      <c r="BK1339">
        <v>0</v>
      </c>
      <c r="BL1339">
        <v>0</v>
      </c>
      <c r="BO1339">
        <v>0</v>
      </c>
      <c r="BP1339">
        <v>0</v>
      </c>
      <c r="BW1339" t="str">
        <f>"22:15:06.502"</f>
        <v>22:15:06.502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364</v>
      </c>
      <c r="CR1339">
        <v>0</v>
      </c>
      <c r="CW1339">
        <v>1415865</v>
      </c>
      <c r="CY1339">
        <v>1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"03/24/2022 22:15:06.700"</f>
        <v>03/24/2022 22:15:06.700</v>
      </c>
      <c r="C1340" t="str">
        <f t="shared" si="391"/>
        <v>FFDFD3C0</v>
      </c>
      <c r="D1340" t="s">
        <v>126</v>
      </c>
      <c r="E1340">
        <v>3</v>
      </c>
      <c r="H1340">
        <v>160</v>
      </c>
      <c r="I1340" t="s">
        <v>121</v>
      </c>
      <c r="J1340" t="s">
        <v>127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S1340" t="str">
        <f t="shared" si="402"/>
        <v>22:15:06.000</v>
      </c>
      <c r="T1340" t="str">
        <f t="shared" si="402"/>
        <v>22:15:06.000</v>
      </c>
      <c r="U1340" t="str">
        <f t="shared" si="385"/>
        <v>A9D71F</v>
      </c>
      <c r="V1340">
        <v>0</v>
      </c>
      <c r="W1340">
        <v>0</v>
      </c>
      <c r="X1340">
        <v>2</v>
      </c>
      <c r="Z1340">
        <v>1</v>
      </c>
      <c r="AA1340">
        <v>8</v>
      </c>
      <c r="AB1340">
        <v>3</v>
      </c>
      <c r="AC1340">
        <v>0</v>
      </c>
      <c r="AD1340">
        <v>9</v>
      </c>
      <c r="AE1340">
        <v>0</v>
      </c>
      <c r="AF1340">
        <v>3</v>
      </c>
      <c r="AG1340">
        <v>1</v>
      </c>
      <c r="AH1340">
        <v>0</v>
      </c>
      <c r="AI1340" t="s">
        <v>720</v>
      </c>
      <c r="AJ1340">
        <v>33.111032999999999</v>
      </c>
      <c r="AK1340" t="s">
        <v>721</v>
      </c>
      <c r="AL1340">
        <v>-97.695729999999998</v>
      </c>
      <c r="AM1340">
        <v>25</v>
      </c>
      <c r="AN1340">
        <v>3500</v>
      </c>
      <c r="AO1340" t="s">
        <v>118</v>
      </c>
      <c r="AP1340">
        <v>54</v>
      </c>
      <c r="AQ1340">
        <v>-95</v>
      </c>
      <c r="AR1340">
        <v>128</v>
      </c>
      <c r="AZ1340">
        <v>1200</v>
      </c>
      <c r="BA1340">
        <v>1</v>
      </c>
      <c r="BB1340" t="str">
        <f t="shared" si="392"/>
        <v xml:space="preserve">N733KP  </v>
      </c>
      <c r="BC1340">
        <v>1</v>
      </c>
      <c r="BE1340">
        <v>0</v>
      </c>
      <c r="BF1340">
        <v>0</v>
      </c>
      <c r="BG1340">
        <v>0</v>
      </c>
      <c r="BH1340">
        <v>3425</v>
      </c>
      <c r="BI1340">
        <v>1</v>
      </c>
      <c r="BJ1340">
        <v>1</v>
      </c>
      <c r="BK1340">
        <v>0</v>
      </c>
      <c r="BL1340">
        <v>0</v>
      </c>
      <c r="BO1340">
        <v>0</v>
      </c>
      <c r="BP1340">
        <v>0</v>
      </c>
      <c r="BW1340" t="str">
        <f>"22:15:06.502"</f>
        <v>22:15:06.502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364</v>
      </c>
      <c r="CR1340">
        <v>0</v>
      </c>
      <c r="CW1340">
        <v>1415865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"03/24/2022 22:15:06.747"</f>
        <v>03/24/2022 22:15:06.747</v>
      </c>
      <c r="C1341" t="str">
        <f t="shared" si="391"/>
        <v>FFDFD3C0</v>
      </c>
      <c r="D1341" t="s">
        <v>123</v>
      </c>
      <c r="E1341">
        <v>8</v>
      </c>
      <c r="H1341">
        <v>31</v>
      </c>
      <c r="I1341" t="s">
        <v>124</v>
      </c>
      <c r="J1341" t="s">
        <v>125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S1341" t="str">
        <f t="shared" si="402"/>
        <v>22:15:06.000</v>
      </c>
      <c r="T1341" t="str">
        <f t="shared" si="402"/>
        <v>22:15:06.000</v>
      </c>
      <c r="U1341" t="str">
        <f t="shared" si="385"/>
        <v>A9D71F</v>
      </c>
      <c r="V1341">
        <v>0</v>
      </c>
      <c r="W1341">
        <v>0</v>
      </c>
      <c r="X1341">
        <v>2</v>
      </c>
      <c r="Z1341">
        <v>1</v>
      </c>
      <c r="AA1341">
        <v>8</v>
      </c>
      <c r="AB1341">
        <v>3</v>
      </c>
      <c r="AC1341">
        <v>0</v>
      </c>
      <c r="AD1341">
        <v>9</v>
      </c>
      <c r="AE1341">
        <v>0</v>
      </c>
      <c r="AF1341">
        <v>3</v>
      </c>
      <c r="AG1341">
        <v>1</v>
      </c>
      <c r="AH1341">
        <v>0</v>
      </c>
      <c r="AI1341" t="s">
        <v>720</v>
      </c>
      <c r="AJ1341">
        <v>33.111032999999999</v>
      </c>
      <c r="AK1341" t="s">
        <v>721</v>
      </c>
      <c r="AL1341">
        <v>-97.695729999999998</v>
      </c>
      <c r="AM1341">
        <v>25</v>
      </c>
      <c r="AN1341">
        <v>3500</v>
      </c>
      <c r="AO1341" t="s">
        <v>118</v>
      </c>
      <c r="AP1341">
        <v>54</v>
      </c>
      <c r="AQ1341">
        <v>-95</v>
      </c>
      <c r="AR1341">
        <v>128</v>
      </c>
      <c r="AZ1341">
        <v>1200</v>
      </c>
      <c r="BA1341">
        <v>1</v>
      </c>
      <c r="BB1341" t="str">
        <f t="shared" si="392"/>
        <v xml:space="preserve">N733KP  </v>
      </c>
      <c r="BC1341">
        <v>1</v>
      </c>
      <c r="BE1341">
        <v>0</v>
      </c>
      <c r="BF1341">
        <v>0</v>
      </c>
      <c r="BG1341">
        <v>0</v>
      </c>
      <c r="BH1341">
        <v>3425</v>
      </c>
      <c r="BI1341">
        <v>1</v>
      </c>
      <c r="BJ1341">
        <v>1</v>
      </c>
      <c r="BK1341">
        <v>0</v>
      </c>
      <c r="BL1341">
        <v>0</v>
      </c>
      <c r="BO1341">
        <v>0</v>
      </c>
      <c r="BP1341">
        <v>0</v>
      </c>
      <c r="BW1341" t="str">
        <f>"22:15:06.502"</f>
        <v>22:15:06.502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119</v>
      </c>
      <c r="CQ1341">
        <v>364</v>
      </c>
      <c r="CR1341">
        <v>0</v>
      </c>
      <c r="CW1341">
        <v>1415865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"03/24/2022 22:15:06.747"</f>
        <v>03/24/2022 22:15:06.747</v>
      </c>
      <c r="C1342" t="str">
        <f t="shared" si="391"/>
        <v>FFDFD3C0</v>
      </c>
      <c r="D1342" t="s">
        <v>120</v>
      </c>
      <c r="E1342">
        <v>14</v>
      </c>
      <c r="F1342">
        <v>1014</v>
      </c>
      <c r="G1342" t="s">
        <v>121</v>
      </c>
      <c r="J1342" t="s">
        <v>122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S1342" t="str">
        <f t="shared" si="402"/>
        <v>22:15:06.000</v>
      </c>
      <c r="T1342" t="str">
        <f t="shared" si="402"/>
        <v>22:15:06.000</v>
      </c>
      <c r="U1342" t="str">
        <f t="shared" si="385"/>
        <v>A9D71F</v>
      </c>
      <c r="V1342">
        <v>0</v>
      </c>
      <c r="W1342">
        <v>0</v>
      </c>
      <c r="X1342">
        <v>2</v>
      </c>
      <c r="Z1342">
        <v>1</v>
      </c>
      <c r="AA1342">
        <v>8</v>
      </c>
      <c r="AB1342">
        <v>3</v>
      </c>
      <c r="AC1342">
        <v>0</v>
      </c>
      <c r="AD1342">
        <v>9</v>
      </c>
      <c r="AE1342">
        <v>0</v>
      </c>
      <c r="AF1342">
        <v>3</v>
      </c>
      <c r="AG1342">
        <v>1</v>
      </c>
      <c r="AH1342">
        <v>0</v>
      </c>
      <c r="AI1342" t="s">
        <v>720</v>
      </c>
      <c r="AJ1342">
        <v>33.111032999999999</v>
      </c>
      <c r="AK1342" t="s">
        <v>721</v>
      </c>
      <c r="AL1342">
        <v>-97.695729999999998</v>
      </c>
      <c r="AM1342">
        <v>25</v>
      </c>
      <c r="AN1342">
        <v>3500</v>
      </c>
      <c r="AO1342" t="s">
        <v>118</v>
      </c>
      <c r="AP1342">
        <v>54</v>
      </c>
      <c r="AQ1342">
        <v>-95</v>
      </c>
      <c r="AR1342">
        <v>128</v>
      </c>
      <c r="AZ1342">
        <v>1200</v>
      </c>
      <c r="BA1342">
        <v>1</v>
      </c>
      <c r="BB1342" t="str">
        <f t="shared" si="392"/>
        <v xml:space="preserve">N733KP  </v>
      </c>
      <c r="BC1342">
        <v>1</v>
      </c>
      <c r="BE1342">
        <v>0</v>
      </c>
      <c r="BF1342">
        <v>0</v>
      </c>
      <c r="BG1342">
        <v>0</v>
      </c>
      <c r="BH1342">
        <v>3425</v>
      </c>
      <c r="BI1342">
        <v>1</v>
      </c>
      <c r="BJ1342">
        <v>1</v>
      </c>
      <c r="BK1342">
        <v>0</v>
      </c>
      <c r="BL1342">
        <v>0</v>
      </c>
      <c r="BO1342">
        <v>0</v>
      </c>
      <c r="BP1342">
        <v>0</v>
      </c>
      <c r="BW1342" t="str">
        <f>"22:15:06.502"</f>
        <v>22:15:06.502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119</v>
      </c>
      <c r="CQ1342">
        <v>364</v>
      </c>
      <c r="CR1342">
        <v>0</v>
      </c>
      <c r="CW1342">
        <v>1415865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"03/24/2022 22:15:07.717"</f>
        <v>03/24/2022 22:15:07.717</v>
      </c>
      <c r="C1343" t="str">
        <f t="shared" si="391"/>
        <v>FFDFD3C0</v>
      </c>
      <c r="D1343" t="s">
        <v>120</v>
      </c>
      <c r="E1343">
        <v>14</v>
      </c>
      <c r="F1343">
        <v>1014</v>
      </c>
      <c r="G1343" t="s">
        <v>121</v>
      </c>
      <c r="J1343" t="s">
        <v>122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S1343" t="str">
        <f t="shared" ref="S1343:T1346" si="403">"22:15:07.000"</f>
        <v>22:15:07.000</v>
      </c>
      <c r="T1343" t="str">
        <f t="shared" si="403"/>
        <v>22:15:07.000</v>
      </c>
      <c r="U1343" t="str">
        <f t="shared" si="385"/>
        <v>A9D71F</v>
      </c>
      <c r="V1343">
        <v>0</v>
      </c>
      <c r="W1343">
        <v>0</v>
      </c>
      <c r="X1343">
        <v>2</v>
      </c>
      <c r="Z1343">
        <v>1</v>
      </c>
      <c r="AA1343">
        <v>8</v>
      </c>
      <c r="AB1343">
        <v>3</v>
      </c>
      <c r="AC1343">
        <v>0</v>
      </c>
      <c r="AD1343">
        <v>9</v>
      </c>
      <c r="AE1343">
        <v>0</v>
      </c>
      <c r="AF1343">
        <v>3</v>
      </c>
      <c r="AG1343">
        <v>1</v>
      </c>
      <c r="AH1343">
        <v>0</v>
      </c>
      <c r="AI1343" t="s">
        <v>722</v>
      </c>
      <c r="AJ1343">
        <v>33.110604000000002</v>
      </c>
      <c r="AK1343" t="s">
        <v>723</v>
      </c>
      <c r="AL1343">
        <v>-97.695429000000004</v>
      </c>
      <c r="AM1343">
        <v>25</v>
      </c>
      <c r="AN1343">
        <v>3500</v>
      </c>
      <c r="AO1343" t="s">
        <v>118</v>
      </c>
      <c r="AP1343">
        <v>53</v>
      </c>
      <c r="AQ1343">
        <v>-94</v>
      </c>
      <c r="AR1343">
        <v>0</v>
      </c>
      <c r="AZ1343">
        <v>1200</v>
      </c>
      <c r="BA1343">
        <v>1</v>
      </c>
      <c r="BB1343" t="str">
        <f t="shared" si="392"/>
        <v xml:space="preserve">N733KP  </v>
      </c>
      <c r="BC1343">
        <v>1</v>
      </c>
      <c r="BE1343">
        <v>0</v>
      </c>
      <c r="BF1343">
        <v>0</v>
      </c>
      <c r="BG1343">
        <v>0</v>
      </c>
      <c r="BH1343">
        <v>3425</v>
      </c>
      <c r="BI1343">
        <v>1</v>
      </c>
      <c r="BJ1343">
        <v>1</v>
      </c>
      <c r="BK1343">
        <v>0</v>
      </c>
      <c r="BL1343">
        <v>0</v>
      </c>
      <c r="BO1343">
        <v>0</v>
      </c>
      <c r="BP1343">
        <v>0</v>
      </c>
      <c r="BW1343" t="str">
        <f>"22:15:07.555"</f>
        <v>22:15:07.555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119</v>
      </c>
      <c r="CQ1343">
        <v>364</v>
      </c>
      <c r="CR1343">
        <v>0</v>
      </c>
      <c r="CW1343">
        <v>1416033</v>
      </c>
      <c r="CY1343">
        <v>1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"03/24/2022 22:15:07.779"</f>
        <v>03/24/2022 22:15:07.779</v>
      </c>
      <c r="C1344" t="str">
        <f t="shared" si="391"/>
        <v>FFDFD3C0</v>
      </c>
      <c r="D1344" t="s">
        <v>113</v>
      </c>
      <c r="E1344">
        <v>24</v>
      </c>
      <c r="F1344">
        <v>2024</v>
      </c>
      <c r="G1344" t="s">
        <v>114</v>
      </c>
      <c r="J1344" t="s">
        <v>115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S1344" t="str">
        <f t="shared" si="403"/>
        <v>22:15:07.000</v>
      </c>
      <c r="T1344" t="str">
        <f t="shared" si="403"/>
        <v>22:15:07.000</v>
      </c>
      <c r="U1344" t="str">
        <f t="shared" si="385"/>
        <v>A9D71F</v>
      </c>
      <c r="V1344">
        <v>0</v>
      </c>
      <c r="W1344">
        <v>0</v>
      </c>
      <c r="X1344">
        <v>2</v>
      </c>
      <c r="Z1344">
        <v>1</v>
      </c>
      <c r="AA1344">
        <v>8</v>
      </c>
      <c r="AB1344">
        <v>3</v>
      </c>
      <c r="AC1344">
        <v>0</v>
      </c>
      <c r="AD1344">
        <v>9</v>
      </c>
      <c r="AE1344">
        <v>0</v>
      </c>
      <c r="AF1344">
        <v>3</v>
      </c>
      <c r="AG1344">
        <v>1</v>
      </c>
      <c r="AH1344">
        <v>0</v>
      </c>
      <c r="AI1344" t="s">
        <v>722</v>
      </c>
      <c r="AJ1344">
        <v>33.110604000000002</v>
      </c>
      <c r="AK1344" t="s">
        <v>723</v>
      </c>
      <c r="AL1344">
        <v>-97.695429000000004</v>
      </c>
      <c r="AM1344">
        <v>25</v>
      </c>
      <c r="AN1344">
        <v>3500</v>
      </c>
      <c r="AO1344" t="s">
        <v>118</v>
      </c>
      <c r="AP1344">
        <v>53</v>
      </c>
      <c r="AQ1344">
        <v>-94</v>
      </c>
      <c r="AR1344">
        <v>0</v>
      </c>
      <c r="AZ1344">
        <v>1200</v>
      </c>
      <c r="BA1344">
        <v>1</v>
      </c>
      <c r="BB1344" t="str">
        <f t="shared" si="392"/>
        <v xml:space="preserve">N733KP  </v>
      </c>
      <c r="BC1344">
        <v>1</v>
      </c>
      <c r="BE1344">
        <v>0</v>
      </c>
      <c r="BF1344">
        <v>0</v>
      </c>
      <c r="BG1344">
        <v>0</v>
      </c>
      <c r="BH1344">
        <v>3425</v>
      </c>
      <c r="BI1344">
        <v>1</v>
      </c>
      <c r="BJ1344">
        <v>1</v>
      </c>
      <c r="BK1344">
        <v>0</v>
      </c>
      <c r="BL1344">
        <v>0</v>
      </c>
      <c r="BO1344">
        <v>0</v>
      </c>
      <c r="BP1344">
        <v>0</v>
      </c>
      <c r="BW1344" t="str">
        <f>"22:15:07.555"</f>
        <v>22:15:07.555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119</v>
      </c>
      <c r="CQ1344">
        <v>364</v>
      </c>
      <c r="CR1344">
        <v>0</v>
      </c>
      <c r="CW1344">
        <v>1416033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"03/24/2022 22:15:07.779"</f>
        <v>03/24/2022 22:15:07.779</v>
      </c>
      <c r="C1345" t="str">
        <f t="shared" si="391"/>
        <v>FFDFD3C0</v>
      </c>
      <c r="D1345" t="s">
        <v>126</v>
      </c>
      <c r="E1345">
        <v>3</v>
      </c>
      <c r="H1345">
        <v>160</v>
      </c>
      <c r="I1345" t="s">
        <v>121</v>
      </c>
      <c r="J1345" t="s">
        <v>127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S1345" t="str">
        <f t="shared" si="403"/>
        <v>22:15:07.000</v>
      </c>
      <c r="T1345" t="str">
        <f t="shared" si="403"/>
        <v>22:15:07.000</v>
      </c>
      <c r="U1345" t="str">
        <f t="shared" si="385"/>
        <v>A9D71F</v>
      </c>
      <c r="V1345">
        <v>0</v>
      </c>
      <c r="W1345">
        <v>0</v>
      </c>
      <c r="X1345">
        <v>2</v>
      </c>
      <c r="Z1345">
        <v>1</v>
      </c>
      <c r="AA1345">
        <v>8</v>
      </c>
      <c r="AB1345">
        <v>3</v>
      </c>
      <c r="AC1345">
        <v>0</v>
      </c>
      <c r="AD1345">
        <v>9</v>
      </c>
      <c r="AE1345">
        <v>0</v>
      </c>
      <c r="AF1345">
        <v>3</v>
      </c>
      <c r="AG1345">
        <v>1</v>
      </c>
      <c r="AH1345">
        <v>0</v>
      </c>
      <c r="AI1345" t="s">
        <v>722</v>
      </c>
      <c r="AJ1345">
        <v>33.110604000000002</v>
      </c>
      <c r="AK1345" t="s">
        <v>723</v>
      </c>
      <c r="AL1345">
        <v>-97.695429000000004</v>
      </c>
      <c r="AM1345">
        <v>25</v>
      </c>
      <c r="AN1345">
        <v>3500</v>
      </c>
      <c r="AO1345" t="s">
        <v>118</v>
      </c>
      <c r="AP1345">
        <v>53</v>
      </c>
      <c r="AQ1345">
        <v>-94</v>
      </c>
      <c r="AR1345">
        <v>0</v>
      </c>
      <c r="AZ1345">
        <v>1200</v>
      </c>
      <c r="BA1345">
        <v>1</v>
      </c>
      <c r="BB1345" t="str">
        <f t="shared" si="392"/>
        <v xml:space="preserve">N733KP  </v>
      </c>
      <c r="BC1345">
        <v>1</v>
      </c>
      <c r="BE1345">
        <v>0</v>
      </c>
      <c r="BF1345">
        <v>0</v>
      </c>
      <c r="BG1345">
        <v>0</v>
      </c>
      <c r="BH1345">
        <v>3425</v>
      </c>
      <c r="BI1345">
        <v>1</v>
      </c>
      <c r="BJ1345">
        <v>1</v>
      </c>
      <c r="BK1345">
        <v>0</v>
      </c>
      <c r="BL1345">
        <v>0</v>
      </c>
      <c r="BO1345">
        <v>0</v>
      </c>
      <c r="BP1345">
        <v>0</v>
      </c>
      <c r="BW1345" t="str">
        <f>"22:15:07.555"</f>
        <v>22:15:07.555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364</v>
      </c>
      <c r="CR1345">
        <v>0</v>
      </c>
      <c r="CW1345">
        <v>1416033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"03/24/2022 22:15:07.779"</f>
        <v>03/24/2022 22:15:07.779</v>
      </c>
      <c r="C1346" t="str">
        <f t="shared" si="391"/>
        <v>FFDFD3C0</v>
      </c>
      <c r="D1346" t="s">
        <v>123</v>
      </c>
      <c r="E1346">
        <v>8</v>
      </c>
      <c r="H1346">
        <v>31</v>
      </c>
      <c r="I1346" t="s">
        <v>124</v>
      </c>
      <c r="J1346" t="s">
        <v>125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S1346" t="str">
        <f t="shared" si="403"/>
        <v>22:15:07.000</v>
      </c>
      <c r="T1346" t="str">
        <f t="shared" si="403"/>
        <v>22:15:07.000</v>
      </c>
      <c r="U1346" t="str">
        <f t="shared" ref="U1346:U1409" si="404">"A9D71F"</f>
        <v>A9D71F</v>
      </c>
      <c r="V1346">
        <v>0</v>
      </c>
      <c r="W1346">
        <v>0</v>
      </c>
      <c r="X1346">
        <v>2</v>
      </c>
      <c r="Z1346">
        <v>1</v>
      </c>
      <c r="AA1346">
        <v>8</v>
      </c>
      <c r="AB1346">
        <v>3</v>
      </c>
      <c r="AC1346">
        <v>0</v>
      </c>
      <c r="AD1346">
        <v>9</v>
      </c>
      <c r="AE1346">
        <v>0</v>
      </c>
      <c r="AF1346">
        <v>3</v>
      </c>
      <c r="AG1346">
        <v>1</v>
      </c>
      <c r="AH1346">
        <v>0</v>
      </c>
      <c r="AI1346" t="s">
        <v>722</v>
      </c>
      <c r="AJ1346">
        <v>33.110604000000002</v>
      </c>
      <c r="AK1346" t="s">
        <v>723</v>
      </c>
      <c r="AL1346">
        <v>-97.695429000000004</v>
      </c>
      <c r="AM1346">
        <v>25</v>
      </c>
      <c r="AN1346">
        <v>3500</v>
      </c>
      <c r="AO1346" t="s">
        <v>118</v>
      </c>
      <c r="AP1346">
        <v>53</v>
      </c>
      <c r="AQ1346">
        <v>-94</v>
      </c>
      <c r="AR1346">
        <v>0</v>
      </c>
      <c r="AZ1346">
        <v>1200</v>
      </c>
      <c r="BA1346">
        <v>1</v>
      </c>
      <c r="BB1346" t="str">
        <f t="shared" si="392"/>
        <v xml:space="preserve">N733KP  </v>
      </c>
      <c r="BC1346">
        <v>1</v>
      </c>
      <c r="BE1346">
        <v>0</v>
      </c>
      <c r="BF1346">
        <v>0</v>
      </c>
      <c r="BG1346">
        <v>0</v>
      </c>
      <c r="BH1346">
        <v>3425</v>
      </c>
      <c r="BI1346">
        <v>1</v>
      </c>
      <c r="BJ1346">
        <v>1</v>
      </c>
      <c r="BK1346">
        <v>0</v>
      </c>
      <c r="BL1346">
        <v>0</v>
      </c>
      <c r="BO1346">
        <v>0</v>
      </c>
      <c r="BP1346">
        <v>0</v>
      </c>
      <c r="BW1346" t="str">
        <f>"22:15:07.555"</f>
        <v>22:15:07.555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7</v>
      </c>
      <c r="CP1346" t="s">
        <v>119</v>
      </c>
      <c r="CQ1346">
        <v>364</v>
      </c>
      <c r="CR1346">
        <v>0</v>
      </c>
      <c r="CW1346">
        <v>1416033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"03/24/2022 22:15:08.860"</f>
        <v>03/24/2022 22:15:08.860</v>
      </c>
      <c r="C1347" t="str">
        <f t="shared" si="391"/>
        <v>FFDFD3C0</v>
      </c>
      <c r="D1347" t="s">
        <v>123</v>
      </c>
      <c r="E1347">
        <v>8</v>
      </c>
      <c r="H1347">
        <v>31</v>
      </c>
      <c r="I1347" t="s">
        <v>124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S1347" t="str">
        <f t="shared" ref="S1347:T1350" si="405">"22:15:08.000"</f>
        <v>22:15:08.000</v>
      </c>
      <c r="T1347" t="str">
        <f t="shared" si="405"/>
        <v>22:15:08.000</v>
      </c>
      <c r="U1347" t="str">
        <f t="shared" si="404"/>
        <v>A9D71F</v>
      </c>
      <c r="V1347">
        <v>0</v>
      </c>
      <c r="W1347">
        <v>0</v>
      </c>
      <c r="X1347">
        <v>2</v>
      </c>
      <c r="Z1347">
        <v>1</v>
      </c>
      <c r="AA1347">
        <v>8</v>
      </c>
      <c r="AB1347">
        <v>3</v>
      </c>
      <c r="AC1347">
        <v>0</v>
      </c>
      <c r="AD1347">
        <v>9</v>
      </c>
      <c r="AE1347">
        <v>0</v>
      </c>
      <c r="AF1347">
        <v>3</v>
      </c>
      <c r="AG1347">
        <v>1</v>
      </c>
      <c r="AH1347">
        <v>0</v>
      </c>
      <c r="AI1347" t="s">
        <v>724</v>
      </c>
      <c r="AJ1347">
        <v>33.110154000000001</v>
      </c>
      <c r="AK1347" t="s">
        <v>725</v>
      </c>
      <c r="AL1347">
        <v>-97.695128999999994</v>
      </c>
      <c r="AM1347">
        <v>25</v>
      </c>
      <c r="AN1347">
        <v>3500</v>
      </c>
      <c r="AO1347" t="s">
        <v>118</v>
      </c>
      <c r="AP1347">
        <v>54</v>
      </c>
      <c r="AQ1347">
        <v>-95</v>
      </c>
      <c r="AR1347">
        <v>-64</v>
      </c>
      <c r="AZ1347">
        <v>1200</v>
      </c>
      <c r="BA1347">
        <v>1</v>
      </c>
      <c r="BB1347" t="str">
        <f t="shared" si="392"/>
        <v xml:space="preserve">N733KP  </v>
      </c>
      <c r="BC1347">
        <v>1</v>
      </c>
      <c r="BE1347">
        <v>0</v>
      </c>
      <c r="BF1347">
        <v>0</v>
      </c>
      <c r="BG1347">
        <v>0</v>
      </c>
      <c r="BH1347">
        <v>3425</v>
      </c>
      <c r="BI1347">
        <v>1</v>
      </c>
      <c r="BJ1347">
        <v>1</v>
      </c>
      <c r="BK1347">
        <v>0</v>
      </c>
      <c r="BL1347">
        <v>0</v>
      </c>
      <c r="BO1347">
        <v>0</v>
      </c>
      <c r="BP1347">
        <v>0</v>
      </c>
      <c r="BW1347" t="str">
        <f>"22:15:08.693"</f>
        <v>22:15:08.693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364</v>
      </c>
      <c r="CR1347">
        <v>0</v>
      </c>
      <c r="CW1347">
        <v>1416226</v>
      </c>
      <c r="CY1347">
        <v>1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"03/24/2022 22:15:08.891"</f>
        <v>03/24/2022 22:15:08.891</v>
      </c>
      <c r="C1348" t="str">
        <f t="shared" si="391"/>
        <v>FFDFD3C0</v>
      </c>
      <c r="D1348" t="s">
        <v>120</v>
      </c>
      <c r="E1348">
        <v>14</v>
      </c>
      <c r="F1348">
        <v>1014</v>
      </c>
      <c r="G1348" t="s">
        <v>121</v>
      </c>
      <c r="J1348" t="s">
        <v>122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S1348" t="str">
        <f t="shared" si="405"/>
        <v>22:15:08.000</v>
      </c>
      <c r="T1348" t="str">
        <f t="shared" si="405"/>
        <v>22:15:08.000</v>
      </c>
      <c r="U1348" t="str">
        <f t="shared" si="404"/>
        <v>A9D71F</v>
      </c>
      <c r="V1348">
        <v>0</v>
      </c>
      <c r="W1348">
        <v>0</v>
      </c>
      <c r="X1348">
        <v>2</v>
      </c>
      <c r="Z1348">
        <v>1</v>
      </c>
      <c r="AA1348">
        <v>8</v>
      </c>
      <c r="AB1348">
        <v>3</v>
      </c>
      <c r="AC1348">
        <v>0</v>
      </c>
      <c r="AD1348">
        <v>9</v>
      </c>
      <c r="AE1348">
        <v>0</v>
      </c>
      <c r="AF1348">
        <v>3</v>
      </c>
      <c r="AG1348">
        <v>1</v>
      </c>
      <c r="AH1348">
        <v>0</v>
      </c>
      <c r="AI1348" t="s">
        <v>724</v>
      </c>
      <c r="AJ1348">
        <v>33.110154000000001</v>
      </c>
      <c r="AK1348" t="s">
        <v>725</v>
      </c>
      <c r="AL1348">
        <v>-97.695128999999994</v>
      </c>
      <c r="AM1348">
        <v>25</v>
      </c>
      <c r="AN1348">
        <v>3500</v>
      </c>
      <c r="AO1348" t="s">
        <v>118</v>
      </c>
      <c r="AP1348">
        <v>54</v>
      </c>
      <c r="AQ1348">
        <v>-95</v>
      </c>
      <c r="AR1348">
        <v>-64</v>
      </c>
      <c r="AZ1348">
        <v>1200</v>
      </c>
      <c r="BA1348">
        <v>1</v>
      </c>
      <c r="BB1348" t="str">
        <f t="shared" si="392"/>
        <v xml:space="preserve">N733KP  </v>
      </c>
      <c r="BC1348">
        <v>1</v>
      </c>
      <c r="BE1348">
        <v>0</v>
      </c>
      <c r="BF1348">
        <v>0</v>
      </c>
      <c r="BG1348">
        <v>0</v>
      </c>
      <c r="BH1348">
        <v>3425</v>
      </c>
      <c r="BI1348">
        <v>1</v>
      </c>
      <c r="BJ1348">
        <v>1</v>
      </c>
      <c r="BK1348">
        <v>0</v>
      </c>
      <c r="BL1348">
        <v>0</v>
      </c>
      <c r="BO1348">
        <v>0</v>
      </c>
      <c r="BP1348">
        <v>0</v>
      </c>
      <c r="BW1348" t="str">
        <f>"22:15:08.693"</f>
        <v>22:15:08.693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364</v>
      </c>
      <c r="CR1348">
        <v>0</v>
      </c>
      <c r="CW1348">
        <v>1416226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"03/24/2022 22:15:09.000"</f>
        <v>03/24/2022 22:15:09.000</v>
      </c>
      <c r="C1349" t="str">
        <f t="shared" si="391"/>
        <v>FFDFD3C0</v>
      </c>
      <c r="D1349" t="s">
        <v>113</v>
      </c>
      <c r="E1349">
        <v>24</v>
      </c>
      <c r="F1349">
        <v>2024</v>
      </c>
      <c r="G1349" t="s">
        <v>114</v>
      </c>
      <c r="J1349" t="s">
        <v>115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S1349" t="str">
        <f t="shared" si="405"/>
        <v>22:15:08.000</v>
      </c>
      <c r="T1349" t="str">
        <f t="shared" si="405"/>
        <v>22:15:08.000</v>
      </c>
      <c r="U1349" t="str">
        <f t="shared" si="404"/>
        <v>A9D71F</v>
      </c>
      <c r="V1349">
        <v>0</v>
      </c>
      <c r="W1349">
        <v>0</v>
      </c>
      <c r="X1349">
        <v>2</v>
      </c>
      <c r="Z1349">
        <v>1</v>
      </c>
      <c r="AA1349">
        <v>8</v>
      </c>
      <c r="AB1349">
        <v>3</v>
      </c>
      <c r="AC1349">
        <v>0</v>
      </c>
      <c r="AD1349">
        <v>9</v>
      </c>
      <c r="AE1349">
        <v>0</v>
      </c>
      <c r="AF1349">
        <v>3</v>
      </c>
      <c r="AG1349">
        <v>1</v>
      </c>
      <c r="AH1349">
        <v>0</v>
      </c>
      <c r="AI1349" t="s">
        <v>724</v>
      </c>
      <c r="AJ1349">
        <v>33.110154000000001</v>
      </c>
      <c r="AK1349" t="s">
        <v>725</v>
      </c>
      <c r="AL1349">
        <v>-97.695128999999994</v>
      </c>
      <c r="AM1349">
        <v>25</v>
      </c>
      <c r="AN1349">
        <v>3500</v>
      </c>
      <c r="AO1349" t="s">
        <v>118</v>
      </c>
      <c r="AP1349">
        <v>54</v>
      </c>
      <c r="AQ1349">
        <v>-95</v>
      </c>
      <c r="AR1349">
        <v>-64</v>
      </c>
      <c r="AZ1349">
        <v>1200</v>
      </c>
      <c r="BA1349">
        <v>1</v>
      </c>
      <c r="BB1349" t="str">
        <f t="shared" si="392"/>
        <v xml:space="preserve">N733KP  </v>
      </c>
      <c r="BC1349">
        <v>1</v>
      </c>
      <c r="BE1349">
        <v>0</v>
      </c>
      <c r="BF1349">
        <v>0</v>
      </c>
      <c r="BG1349">
        <v>0</v>
      </c>
      <c r="BH1349">
        <v>3425</v>
      </c>
      <c r="BI1349">
        <v>1</v>
      </c>
      <c r="BJ1349">
        <v>1</v>
      </c>
      <c r="BK1349">
        <v>0</v>
      </c>
      <c r="BL1349">
        <v>0</v>
      </c>
      <c r="BO1349">
        <v>0</v>
      </c>
      <c r="BP1349">
        <v>0</v>
      </c>
      <c r="BW1349" t="str">
        <f>"22:15:08.693"</f>
        <v>22:15:08.693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364</v>
      </c>
      <c r="CR1349">
        <v>0</v>
      </c>
      <c r="CW1349">
        <v>1416226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"03/24/2022 22:15:09.000"</f>
        <v>03/24/2022 22:15:09.000</v>
      </c>
      <c r="C1350" t="str">
        <f t="shared" si="391"/>
        <v>FFDFD3C0</v>
      </c>
      <c r="D1350" t="s">
        <v>126</v>
      </c>
      <c r="E1350">
        <v>3</v>
      </c>
      <c r="H1350">
        <v>160</v>
      </c>
      <c r="I1350" t="s">
        <v>121</v>
      </c>
      <c r="J1350" t="s">
        <v>127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S1350" t="str">
        <f t="shared" si="405"/>
        <v>22:15:08.000</v>
      </c>
      <c r="T1350" t="str">
        <f t="shared" si="405"/>
        <v>22:15:08.000</v>
      </c>
      <c r="U1350" t="str">
        <f t="shared" si="404"/>
        <v>A9D71F</v>
      </c>
      <c r="V1350">
        <v>0</v>
      </c>
      <c r="W1350">
        <v>0</v>
      </c>
      <c r="X1350">
        <v>2</v>
      </c>
      <c r="Z1350">
        <v>1</v>
      </c>
      <c r="AA1350">
        <v>8</v>
      </c>
      <c r="AB1350">
        <v>3</v>
      </c>
      <c r="AC1350">
        <v>0</v>
      </c>
      <c r="AD1350">
        <v>9</v>
      </c>
      <c r="AE1350">
        <v>0</v>
      </c>
      <c r="AF1350">
        <v>3</v>
      </c>
      <c r="AG1350">
        <v>1</v>
      </c>
      <c r="AH1350">
        <v>0</v>
      </c>
      <c r="AI1350" t="s">
        <v>724</v>
      </c>
      <c r="AJ1350">
        <v>33.110154000000001</v>
      </c>
      <c r="AK1350" t="s">
        <v>725</v>
      </c>
      <c r="AL1350">
        <v>-97.695128999999994</v>
      </c>
      <c r="AM1350">
        <v>25</v>
      </c>
      <c r="AN1350">
        <v>3500</v>
      </c>
      <c r="AO1350" t="s">
        <v>118</v>
      </c>
      <c r="AP1350">
        <v>54</v>
      </c>
      <c r="AQ1350">
        <v>-95</v>
      </c>
      <c r="AR1350">
        <v>-64</v>
      </c>
      <c r="AZ1350">
        <v>1200</v>
      </c>
      <c r="BA1350">
        <v>1</v>
      </c>
      <c r="BB1350" t="str">
        <f t="shared" si="392"/>
        <v xml:space="preserve">N733KP  </v>
      </c>
      <c r="BC1350">
        <v>1</v>
      </c>
      <c r="BE1350">
        <v>0</v>
      </c>
      <c r="BF1350">
        <v>0</v>
      </c>
      <c r="BG1350">
        <v>0</v>
      </c>
      <c r="BH1350">
        <v>3425</v>
      </c>
      <c r="BI1350">
        <v>1</v>
      </c>
      <c r="BJ1350">
        <v>1</v>
      </c>
      <c r="BK1350">
        <v>0</v>
      </c>
      <c r="BL1350">
        <v>0</v>
      </c>
      <c r="BO1350">
        <v>0</v>
      </c>
      <c r="BP1350">
        <v>0</v>
      </c>
      <c r="BW1350" t="str">
        <f>"22:15:08.693"</f>
        <v>22:15:08.693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364</v>
      </c>
      <c r="CR1350">
        <v>0</v>
      </c>
      <c r="CW1350">
        <v>1416226</v>
      </c>
      <c r="CY1350">
        <v>1</v>
      </c>
      <c r="CZ1350">
        <v>0</v>
      </c>
      <c r="DA1350">
        <v>1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"03/24/2022 22:15:09.938"</f>
        <v>03/24/2022 22:15:09.938</v>
      </c>
      <c r="C1351" t="str">
        <f t="shared" si="391"/>
        <v>FFDFD3C0</v>
      </c>
      <c r="D1351" t="s">
        <v>113</v>
      </c>
      <c r="E1351">
        <v>24</v>
      </c>
      <c r="F1351">
        <v>2024</v>
      </c>
      <c r="G1351" t="s">
        <v>114</v>
      </c>
      <c r="J1351" t="s">
        <v>115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S1351" t="str">
        <f t="shared" ref="S1351:T1354" si="406">"22:15:09.000"</f>
        <v>22:15:09.000</v>
      </c>
      <c r="T1351" t="str">
        <f t="shared" si="406"/>
        <v>22:15:09.000</v>
      </c>
      <c r="U1351" t="str">
        <f t="shared" si="404"/>
        <v>A9D71F</v>
      </c>
      <c r="V1351">
        <v>0</v>
      </c>
      <c r="W1351">
        <v>0</v>
      </c>
      <c r="X1351">
        <v>2</v>
      </c>
      <c r="Z1351">
        <v>1</v>
      </c>
      <c r="AA1351">
        <v>8</v>
      </c>
      <c r="AB1351">
        <v>3</v>
      </c>
      <c r="AC1351">
        <v>0</v>
      </c>
      <c r="AD1351">
        <v>9</v>
      </c>
      <c r="AE1351">
        <v>0</v>
      </c>
      <c r="AF1351">
        <v>3</v>
      </c>
      <c r="AG1351">
        <v>1</v>
      </c>
      <c r="AH1351">
        <v>0</v>
      </c>
      <c r="AI1351" t="s">
        <v>726</v>
      </c>
      <c r="AJ1351">
        <v>33.109724999999997</v>
      </c>
      <c r="AK1351" t="s">
        <v>727</v>
      </c>
      <c r="AL1351">
        <v>-97.694828999999999</v>
      </c>
      <c r="AM1351">
        <v>25</v>
      </c>
      <c r="AN1351">
        <v>3500</v>
      </c>
      <c r="AO1351" t="s">
        <v>118</v>
      </c>
      <c r="AP1351">
        <v>53</v>
      </c>
      <c r="AQ1351">
        <v>-95</v>
      </c>
      <c r="AR1351">
        <v>-128</v>
      </c>
      <c r="AZ1351">
        <v>1200</v>
      </c>
      <c r="BA1351">
        <v>1</v>
      </c>
      <c r="BB1351" t="str">
        <f t="shared" si="392"/>
        <v xml:space="preserve">N733KP  </v>
      </c>
      <c r="BC1351">
        <v>1</v>
      </c>
      <c r="BE1351">
        <v>0</v>
      </c>
      <c r="BF1351">
        <v>0</v>
      </c>
      <c r="BG1351">
        <v>0</v>
      </c>
      <c r="BH1351">
        <v>3425</v>
      </c>
      <c r="BI1351">
        <v>1</v>
      </c>
      <c r="BJ1351">
        <v>1</v>
      </c>
      <c r="BK1351">
        <v>0</v>
      </c>
      <c r="BL1351">
        <v>0</v>
      </c>
      <c r="BO1351">
        <v>0</v>
      </c>
      <c r="BP1351">
        <v>0</v>
      </c>
      <c r="BW1351" t="str">
        <f>"22:15:09.754"</f>
        <v>22:15:09.754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4</v>
      </c>
      <c r="CP1351" t="s">
        <v>119</v>
      </c>
      <c r="CQ1351">
        <v>365</v>
      </c>
      <c r="CR1351">
        <v>0</v>
      </c>
      <c r="CW1351">
        <v>11470277</v>
      </c>
      <c r="CY1351">
        <v>1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"03/24/2022 22:15:09.938"</f>
        <v>03/24/2022 22:15:09.938</v>
      </c>
      <c r="C1352" t="str">
        <f t="shared" si="391"/>
        <v>FFDFD3C0</v>
      </c>
      <c r="D1352" t="s">
        <v>126</v>
      </c>
      <c r="E1352">
        <v>3</v>
      </c>
      <c r="H1352">
        <v>160</v>
      </c>
      <c r="I1352" t="s">
        <v>121</v>
      </c>
      <c r="J1352" t="s">
        <v>127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S1352" t="str">
        <f t="shared" si="406"/>
        <v>22:15:09.000</v>
      </c>
      <c r="T1352" t="str">
        <f t="shared" si="406"/>
        <v>22:15:09.000</v>
      </c>
      <c r="U1352" t="str">
        <f t="shared" si="404"/>
        <v>A9D71F</v>
      </c>
      <c r="V1352">
        <v>0</v>
      </c>
      <c r="W1352">
        <v>0</v>
      </c>
      <c r="X1352">
        <v>2</v>
      </c>
      <c r="Z1352">
        <v>1</v>
      </c>
      <c r="AA1352">
        <v>8</v>
      </c>
      <c r="AB1352">
        <v>3</v>
      </c>
      <c r="AC1352">
        <v>0</v>
      </c>
      <c r="AD1352">
        <v>9</v>
      </c>
      <c r="AE1352">
        <v>0</v>
      </c>
      <c r="AF1352">
        <v>3</v>
      </c>
      <c r="AG1352">
        <v>1</v>
      </c>
      <c r="AH1352">
        <v>0</v>
      </c>
      <c r="AI1352" t="s">
        <v>726</v>
      </c>
      <c r="AJ1352">
        <v>33.109724999999997</v>
      </c>
      <c r="AK1352" t="s">
        <v>727</v>
      </c>
      <c r="AL1352">
        <v>-97.694828999999999</v>
      </c>
      <c r="AM1352">
        <v>25</v>
      </c>
      <c r="AN1352">
        <v>3500</v>
      </c>
      <c r="AO1352" t="s">
        <v>118</v>
      </c>
      <c r="AP1352">
        <v>53</v>
      </c>
      <c r="AQ1352">
        <v>-95</v>
      </c>
      <c r="AR1352">
        <v>-128</v>
      </c>
      <c r="AZ1352">
        <v>1200</v>
      </c>
      <c r="BA1352">
        <v>1</v>
      </c>
      <c r="BB1352" t="str">
        <f t="shared" si="392"/>
        <v xml:space="preserve">N733KP  </v>
      </c>
      <c r="BC1352">
        <v>1</v>
      </c>
      <c r="BE1352">
        <v>0</v>
      </c>
      <c r="BF1352">
        <v>0</v>
      </c>
      <c r="BG1352">
        <v>0</v>
      </c>
      <c r="BH1352">
        <v>3425</v>
      </c>
      <c r="BI1352">
        <v>1</v>
      </c>
      <c r="BJ1352">
        <v>1</v>
      </c>
      <c r="BK1352">
        <v>0</v>
      </c>
      <c r="BL1352">
        <v>0</v>
      </c>
      <c r="BO1352">
        <v>0</v>
      </c>
      <c r="BP1352">
        <v>0</v>
      </c>
      <c r="BW1352" t="str">
        <f>"22:15:09.754"</f>
        <v>22:15:09.754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4</v>
      </c>
      <c r="CP1352" t="s">
        <v>119</v>
      </c>
      <c r="CQ1352">
        <v>365</v>
      </c>
      <c r="CR1352">
        <v>0</v>
      </c>
      <c r="CW1352">
        <v>11470277</v>
      </c>
      <c r="CY1352">
        <v>1</v>
      </c>
      <c r="CZ1352">
        <v>0</v>
      </c>
      <c r="DA1352">
        <v>1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"03/24/2022 22:15:09.938"</f>
        <v>03/24/2022 22:15:09.938</v>
      </c>
      <c r="C1353" t="str">
        <f t="shared" si="391"/>
        <v>FFDFD3C0</v>
      </c>
      <c r="D1353" t="s">
        <v>123</v>
      </c>
      <c r="E1353">
        <v>8</v>
      </c>
      <c r="H1353">
        <v>31</v>
      </c>
      <c r="I1353" t="s">
        <v>124</v>
      </c>
      <c r="J1353" t="s">
        <v>125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S1353" t="str">
        <f t="shared" si="406"/>
        <v>22:15:09.000</v>
      </c>
      <c r="T1353" t="str">
        <f t="shared" si="406"/>
        <v>22:15:09.000</v>
      </c>
      <c r="U1353" t="str">
        <f t="shared" si="404"/>
        <v>A9D71F</v>
      </c>
      <c r="V1353">
        <v>0</v>
      </c>
      <c r="W1353">
        <v>0</v>
      </c>
      <c r="X1353">
        <v>2</v>
      </c>
      <c r="Z1353">
        <v>1</v>
      </c>
      <c r="AA1353">
        <v>8</v>
      </c>
      <c r="AB1353">
        <v>3</v>
      </c>
      <c r="AC1353">
        <v>0</v>
      </c>
      <c r="AD1353">
        <v>9</v>
      </c>
      <c r="AE1353">
        <v>0</v>
      </c>
      <c r="AF1353">
        <v>3</v>
      </c>
      <c r="AG1353">
        <v>1</v>
      </c>
      <c r="AH1353">
        <v>0</v>
      </c>
      <c r="AI1353" t="s">
        <v>726</v>
      </c>
      <c r="AJ1353">
        <v>33.109724999999997</v>
      </c>
      <c r="AK1353" t="s">
        <v>727</v>
      </c>
      <c r="AL1353">
        <v>-97.694828999999999</v>
      </c>
      <c r="AM1353">
        <v>25</v>
      </c>
      <c r="AN1353">
        <v>3500</v>
      </c>
      <c r="AO1353" t="s">
        <v>118</v>
      </c>
      <c r="AP1353">
        <v>53</v>
      </c>
      <c r="AQ1353">
        <v>-95</v>
      </c>
      <c r="AR1353">
        <v>-128</v>
      </c>
      <c r="AZ1353">
        <v>1200</v>
      </c>
      <c r="BA1353">
        <v>1</v>
      </c>
      <c r="BB1353" t="str">
        <f t="shared" si="392"/>
        <v xml:space="preserve">N733KP  </v>
      </c>
      <c r="BC1353">
        <v>1</v>
      </c>
      <c r="BE1353">
        <v>0</v>
      </c>
      <c r="BF1353">
        <v>0</v>
      </c>
      <c r="BG1353">
        <v>0</v>
      </c>
      <c r="BH1353">
        <v>3425</v>
      </c>
      <c r="BI1353">
        <v>1</v>
      </c>
      <c r="BJ1353">
        <v>1</v>
      </c>
      <c r="BK1353">
        <v>0</v>
      </c>
      <c r="BL1353">
        <v>0</v>
      </c>
      <c r="BO1353">
        <v>0</v>
      </c>
      <c r="BP1353">
        <v>0</v>
      </c>
      <c r="BW1353" t="str">
        <f>"22:15:09.754"</f>
        <v>22:15:09.754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4</v>
      </c>
      <c r="CP1353" t="s">
        <v>119</v>
      </c>
      <c r="CQ1353">
        <v>365</v>
      </c>
      <c r="CR1353">
        <v>0</v>
      </c>
      <c r="CW1353">
        <v>11470277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"03/24/2022 22:15:09.938"</f>
        <v>03/24/2022 22:15:09.938</v>
      </c>
      <c r="C1354" t="str">
        <f t="shared" si="391"/>
        <v>FFDFD3C0</v>
      </c>
      <c r="D1354" t="s">
        <v>120</v>
      </c>
      <c r="E1354">
        <v>14</v>
      </c>
      <c r="F1354">
        <v>1014</v>
      </c>
      <c r="G1354" t="s">
        <v>121</v>
      </c>
      <c r="J1354" t="s">
        <v>122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S1354" t="str">
        <f t="shared" si="406"/>
        <v>22:15:09.000</v>
      </c>
      <c r="T1354" t="str">
        <f t="shared" si="406"/>
        <v>22:15:09.000</v>
      </c>
      <c r="U1354" t="str">
        <f t="shared" si="404"/>
        <v>A9D71F</v>
      </c>
      <c r="V1354">
        <v>0</v>
      </c>
      <c r="W1354">
        <v>0</v>
      </c>
      <c r="X1354">
        <v>2</v>
      </c>
      <c r="Z1354">
        <v>1</v>
      </c>
      <c r="AA1354">
        <v>8</v>
      </c>
      <c r="AB1354">
        <v>3</v>
      </c>
      <c r="AC1354">
        <v>0</v>
      </c>
      <c r="AD1354">
        <v>9</v>
      </c>
      <c r="AE1354">
        <v>0</v>
      </c>
      <c r="AF1354">
        <v>3</v>
      </c>
      <c r="AG1354">
        <v>1</v>
      </c>
      <c r="AH1354">
        <v>0</v>
      </c>
      <c r="AI1354" t="s">
        <v>726</v>
      </c>
      <c r="AJ1354">
        <v>33.109724999999997</v>
      </c>
      <c r="AK1354" t="s">
        <v>727</v>
      </c>
      <c r="AL1354">
        <v>-97.694828999999999</v>
      </c>
      <c r="AM1354">
        <v>25</v>
      </c>
      <c r="AN1354">
        <v>3500</v>
      </c>
      <c r="AO1354" t="s">
        <v>118</v>
      </c>
      <c r="AP1354">
        <v>53</v>
      </c>
      <c r="AQ1354">
        <v>-95</v>
      </c>
      <c r="AR1354">
        <v>-128</v>
      </c>
      <c r="AZ1354">
        <v>1200</v>
      </c>
      <c r="BA1354">
        <v>1</v>
      </c>
      <c r="BB1354" t="str">
        <f t="shared" si="392"/>
        <v xml:space="preserve">N733KP  </v>
      </c>
      <c r="BC1354">
        <v>1</v>
      </c>
      <c r="BE1354">
        <v>0</v>
      </c>
      <c r="BF1354">
        <v>0</v>
      </c>
      <c r="BG1354">
        <v>0</v>
      </c>
      <c r="BH1354">
        <v>3425</v>
      </c>
      <c r="BI1354">
        <v>1</v>
      </c>
      <c r="BJ1354">
        <v>1</v>
      </c>
      <c r="BK1354">
        <v>0</v>
      </c>
      <c r="BL1354">
        <v>0</v>
      </c>
      <c r="BO1354">
        <v>0</v>
      </c>
      <c r="BP1354">
        <v>0</v>
      </c>
      <c r="BW1354" t="str">
        <f>"22:15:09.754"</f>
        <v>22:15:09.754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4</v>
      </c>
      <c r="CP1354" t="s">
        <v>119</v>
      </c>
      <c r="CQ1354">
        <v>365</v>
      </c>
      <c r="CR1354">
        <v>0</v>
      </c>
      <c r="CW1354">
        <v>11470277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"03/24/2022 22:15:11.094"</f>
        <v>03/24/2022 22:15:11.094</v>
      </c>
      <c r="C1355" t="str">
        <f t="shared" si="391"/>
        <v>FFDFD3C0</v>
      </c>
      <c r="D1355" t="s">
        <v>113</v>
      </c>
      <c r="E1355">
        <v>24</v>
      </c>
      <c r="F1355">
        <v>2024</v>
      </c>
      <c r="G1355" t="s">
        <v>114</v>
      </c>
      <c r="J1355" t="s">
        <v>115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S1355" t="str">
        <f t="shared" ref="S1355:T1358" si="407">"22:15:10.000"</f>
        <v>22:15:10.000</v>
      </c>
      <c r="T1355" t="str">
        <f t="shared" si="407"/>
        <v>22:15:10.000</v>
      </c>
      <c r="U1355" t="str">
        <f t="shared" si="404"/>
        <v>A9D71F</v>
      </c>
      <c r="V1355">
        <v>0</v>
      </c>
      <c r="W1355">
        <v>0</v>
      </c>
      <c r="X1355">
        <v>2</v>
      </c>
      <c r="Z1355">
        <v>1</v>
      </c>
      <c r="AA1355">
        <v>8</v>
      </c>
      <c r="AB1355">
        <v>3</v>
      </c>
      <c r="AC1355">
        <v>0</v>
      </c>
      <c r="AD1355">
        <v>9</v>
      </c>
      <c r="AE1355">
        <v>0</v>
      </c>
      <c r="AF1355">
        <v>3</v>
      </c>
      <c r="AG1355">
        <v>1</v>
      </c>
      <c r="AH1355">
        <v>0</v>
      </c>
      <c r="AI1355" t="s">
        <v>728</v>
      </c>
      <c r="AJ1355">
        <v>33.109273999999999</v>
      </c>
      <c r="AK1355" t="s">
        <v>729</v>
      </c>
      <c r="AL1355">
        <v>-97.694550000000007</v>
      </c>
      <c r="AM1355">
        <v>25</v>
      </c>
      <c r="AN1355">
        <v>3400</v>
      </c>
      <c r="AO1355" t="s">
        <v>118</v>
      </c>
      <c r="AP1355">
        <v>56</v>
      </c>
      <c r="AQ1355">
        <v>-97</v>
      </c>
      <c r="AR1355">
        <v>-256</v>
      </c>
      <c r="AZ1355">
        <v>1200</v>
      </c>
      <c r="BA1355">
        <v>1</v>
      </c>
      <c r="BB1355" t="str">
        <f t="shared" si="392"/>
        <v xml:space="preserve">N733KP  </v>
      </c>
      <c r="BC1355">
        <v>1</v>
      </c>
      <c r="BE1355">
        <v>0</v>
      </c>
      <c r="BF1355">
        <v>0</v>
      </c>
      <c r="BG1355">
        <v>0</v>
      </c>
      <c r="BH1355">
        <v>3400</v>
      </c>
      <c r="BI1355">
        <v>1</v>
      </c>
      <c r="BJ1355">
        <v>1</v>
      </c>
      <c r="BK1355">
        <v>0</v>
      </c>
      <c r="BL1355">
        <v>0</v>
      </c>
      <c r="BO1355">
        <v>0</v>
      </c>
      <c r="BP1355">
        <v>0</v>
      </c>
      <c r="BW1355" t="str">
        <f>"22:15:10.880"</f>
        <v>22:15:10.880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364</v>
      </c>
      <c r="CR1355">
        <v>0</v>
      </c>
      <c r="CW1355">
        <v>1416605</v>
      </c>
      <c r="CY1355">
        <v>1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"03/24/2022 22:15:11.094"</f>
        <v>03/24/2022 22:15:11.094</v>
      </c>
      <c r="C1356" t="str">
        <f t="shared" si="391"/>
        <v>FFDFD3C0</v>
      </c>
      <c r="D1356" t="s">
        <v>126</v>
      </c>
      <c r="E1356">
        <v>3</v>
      </c>
      <c r="H1356">
        <v>160</v>
      </c>
      <c r="I1356" t="s">
        <v>121</v>
      </c>
      <c r="J1356" t="s">
        <v>127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S1356" t="str">
        <f t="shared" si="407"/>
        <v>22:15:10.000</v>
      </c>
      <c r="T1356" t="str">
        <f t="shared" si="407"/>
        <v>22:15:10.000</v>
      </c>
      <c r="U1356" t="str">
        <f t="shared" si="404"/>
        <v>A9D71F</v>
      </c>
      <c r="V1356">
        <v>0</v>
      </c>
      <c r="W1356">
        <v>0</v>
      </c>
      <c r="X1356">
        <v>2</v>
      </c>
      <c r="Z1356">
        <v>1</v>
      </c>
      <c r="AA1356">
        <v>8</v>
      </c>
      <c r="AB1356">
        <v>3</v>
      </c>
      <c r="AC1356">
        <v>0</v>
      </c>
      <c r="AD1356">
        <v>9</v>
      </c>
      <c r="AE1356">
        <v>0</v>
      </c>
      <c r="AF1356">
        <v>3</v>
      </c>
      <c r="AG1356">
        <v>1</v>
      </c>
      <c r="AH1356">
        <v>0</v>
      </c>
      <c r="AI1356" t="s">
        <v>728</v>
      </c>
      <c r="AJ1356">
        <v>33.109273999999999</v>
      </c>
      <c r="AK1356" t="s">
        <v>729</v>
      </c>
      <c r="AL1356">
        <v>-97.694550000000007</v>
      </c>
      <c r="AM1356">
        <v>25</v>
      </c>
      <c r="AN1356">
        <v>3400</v>
      </c>
      <c r="AO1356" t="s">
        <v>118</v>
      </c>
      <c r="AP1356">
        <v>56</v>
      </c>
      <c r="AQ1356">
        <v>-97</v>
      </c>
      <c r="AR1356">
        <v>-256</v>
      </c>
      <c r="AZ1356">
        <v>1200</v>
      </c>
      <c r="BA1356">
        <v>1</v>
      </c>
      <c r="BB1356" t="str">
        <f t="shared" si="392"/>
        <v xml:space="preserve">N733KP  </v>
      </c>
      <c r="BC1356">
        <v>1</v>
      </c>
      <c r="BE1356">
        <v>0</v>
      </c>
      <c r="BF1356">
        <v>0</v>
      </c>
      <c r="BG1356">
        <v>0</v>
      </c>
      <c r="BH1356">
        <v>3400</v>
      </c>
      <c r="BI1356">
        <v>1</v>
      </c>
      <c r="BJ1356">
        <v>1</v>
      </c>
      <c r="BK1356">
        <v>0</v>
      </c>
      <c r="BL1356">
        <v>0</v>
      </c>
      <c r="BO1356">
        <v>0</v>
      </c>
      <c r="BP1356">
        <v>0</v>
      </c>
      <c r="BW1356" t="str">
        <f>"22:15:10.880"</f>
        <v>22:15:10.880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364</v>
      </c>
      <c r="CR1356">
        <v>0</v>
      </c>
      <c r="CW1356">
        <v>1416605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"03/24/2022 22:15:11.094"</f>
        <v>03/24/2022 22:15:11.094</v>
      </c>
      <c r="C1357" t="str">
        <f t="shared" si="391"/>
        <v>FFDFD3C0</v>
      </c>
      <c r="D1357" t="s">
        <v>123</v>
      </c>
      <c r="E1357">
        <v>8</v>
      </c>
      <c r="H1357">
        <v>31</v>
      </c>
      <c r="I1357" t="s">
        <v>124</v>
      </c>
      <c r="J1357" t="s">
        <v>125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S1357" t="str">
        <f t="shared" si="407"/>
        <v>22:15:10.000</v>
      </c>
      <c r="T1357" t="str">
        <f t="shared" si="407"/>
        <v>22:15:10.000</v>
      </c>
      <c r="U1357" t="str">
        <f t="shared" si="404"/>
        <v>A9D71F</v>
      </c>
      <c r="V1357">
        <v>0</v>
      </c>
      <c r="W1357">
        <v>0</v>
      </c>
      <c r="X1357">
        <v>2</v>
      </c>
      <c r="Z1357">
        <v>1</v>
      </c>
      <c r="AA1357">
        <v>8</v>
      </c>
      <c r="AB1357">
        <v>3</v>
      </c>
      <c r="AC1357">
        <v>0</v>
      </c>
      <c r="AD1357">
        <v>9</v>
      </c>
      <c r="AE1357">
        <v>0</v>
      </c>
      <c r="AF1357">
        <v>3</v>
      </c>
      <c r="AG1357">
        <v>1</v>
      </c>
      <c r="AH1357">
        <v>0</v>
      </c>
      <c r="AI1357" t="s">
        <v>728</v>
      </c>
      <c r="AJ1357">
        <v>33.109273999999999</v>
      </c>
      <c r="AK1357" t="s">
        <v>729</v>
      </c>
      <c r="AL1357">
        <v>-97.694550000000007</v>
      </c>
      <c r="AM1357">
        <v>25</v>
      </c>
      <c r="AN1357">
        <v>3400</v>
      </c>
      <c r="AO1357" t="s">
        <v>118</v>
      </c>
      <c r="AP1357">
        <v>56</v>
      </c>
      <c r="AQ1357">
        <v>-97</v>
      </c>
      <c r="AR1357">
        <v>-256</v>
      </c>
      <c r="AZ1357">
        <v>1200</v>
      </c>
      <c r="BA1357">
        <v>1</v>
      </c>
      <c r="BB1357" t="str">
        <f t="shared" si="392"/>
        <v xml:space="preserve">N733KP  </v>
      </c>
      <c r="BC1357">
        <v>1</v>
      </c>
      <c r="BE1357">
        <v>0</v>
      </c>
      <c r="BF1357">
        <v>0</v>
      </c>
      <c r="BG1357">
        <v>0</v>
      </c>
      <c r="BH1357">
        <v>3400</v>
      </c>
      <c r="BI1357">
        <v>1</v>
      </c>
      <c r="BJ1357">
        <v>1</v>
      </c>
      <c r="BK1357">
        <v>0</v>
      </c>
      <c r="BL1357">
        <v>0</v>
      </c>
      <c r="BO1357">
        <v>0</v>
      </c>
      <c r="BP1357">
        <v>0</v>
      </c>
      <c r="BW1357" t="str">
        <f>"22:15:10.880"</f>
        <v>22:15:10.880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364</v>
      </c>
      <c r="CR1357">
        <v>0</v>
      </c>
      <c r="CW1357">
        <v>1416605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"03/24/2022 22:15:11.094"</f>
        <v>03/24/2022 22:15:11.094</v>
      </c>
      <c r="C1358" t="str">
        <f t="shared" si="391"/>
        <v>FFDFD3C0</v>
      </c>
      <c r="D1358" t="s">
        <v>120</v>
      </c>
      <c r="E1358">
        <v>14</v>
      </c>
      <c r="F1358">
        <v>1014</v>
      </c>
      <c r="G1358" t="s">
        <v>121</v>
      </c>
      <c r="J1358" t="s">
        <v>122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S1358" t="str">
        <f t="shared" si="407"/>
        <v>22:15:10.000</v>
      </c>
      <c r="T1358" t="str">
        <f t="shared" si="407"/>
        <v>22:15:10.000</v>
      </c>
      <c r="U1358" t="str">
        <f t="shared" si="404"/>
        <v>A9D71F</v>
      </c>
      <c r="V1358">
        <v>0</v>
      </c>
      <c r="W1358">
        <v>0</v>
      </c>
      <c r="X1358">
        <v>2</v>
      </c>
      <c r="Z1358">
        <v>1</v>
      </c>
      <c r="AA1358">
        <v>8</v>
      </c>
      <c r="AB1358">
        <v>3</v>
      </c>
      <c r="AC1358">
        <v>0</v>
      </c>
      <c r="AD1358">
        <v>9</v>
      </c>
      <c r="AE1358">
        <v>0</v>
      </c>
      <c r="AF1358">
        <v>3</v>
      </c>
      <c r="AG1358">
        <v>1</v>
      </c>
      <c r="AH1358">
        <v>0</v>
      </c>
      <c r="AI1358" t="s">
        <v>728</v>
      </c>
      <c r="AJ1358">
        <v>33.109273999999999</v>
      </c>
      <c r="AK1358" t="s">
        <v>729</v>
      </c>
      <c r="AL1358">
        <v>-97.694550000000007</v>
      </c>
      <c r="AM1358">
        <v>25</v>
      </c>
      <c r="AN1358">
        <v>3400</v>
      </c>
      <c r="AO1358" t="s">
        <v>118</v>
      </c>
      <c r="AP1358">
        <v>56</v>
      </c>
      <c r="AQ1358">
        <v>-97</v>
      </c>
      <c r="AR1358">
        <v>-256</v>
      </c>
      <c r="AZ1358">
        <v>1200</v>
      </c>
      <c r="BA1358">
        <v>1</v>
      </c>
      <c r="BB1358" t="str">
        <f t="shared" si="392"/>
        <v xml:space="preserve">N733KP  </v>
      </c>
      <c r="BC1358">
        <v>1</v>
      </c>
      <c r="BE1358">
        <v>0</v>
      </c>
      <c r="BF1358">
        <v>0</v>
      </c>
      <c r="BG1358">
        <v>0</v>
      </c>
      <c r="BH1358">
        <v>3400</v>
      </c>
      <c r="BI1358">
        <v>1</v>
      </c>
      <c r="BJ1358">
        <v>1</v>
      </c>
      <c r="BK1358">
        <v>0</v>
      </c>
      <c r="BL1358">
        <v>0</v>
      </c>
      <c r="BO1358">
        <v>0</v>
      </c>
      <c r="BP1358">
        <v>0</v>
      </c>
      <c r="BW1358" t="str">
        <f>"22:15:10.880"</f>
        <v>22:15:10.880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364</v>
      </c>
      <c r="CR1358">
        <v>0</v>
      </c>
      <c r="CW1358">
        <v>1416605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"03/24/2022 22:15:11.892"</f>
        <v>03/24/2022 22:15:11.892</v>
      </c>
      <c r="C1359" t="str">
        <f t="shared" si="391"/>
        <v>FFDFD3C0</v>
      </c>
      <c r="D1359" t="s">
        <v>113</v>
      </c>
      <c r="E1359">
        <v>24</v>
      </c>
      <c r="F1359">
        <v>2024</v>
      </c>
      <c r="G1359" t="s">
        <v>114</v>
      </c>
      <c r="J1359" t="s">
        <v>115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S1359" t="str">
        <f t="shared" ref="S1359:T1362" si="408">"22:15:11.000"</f>
        <v>22:15:11.000</v>
      </c>
      <c r="T1359" t="str">
        <f t="shared" si="408"/>
        <v>22:15:11.000</v>
      </c>
      <c r="U1359" t="str">
        <f t="shared" si="404"/>
        <v>A9D71F</v>
      </c>
      <c r="V1359">
        <v>0</v>
      </c>
      <c r="W1359">
        <v>0</v>
      </c>
      <c r="X1359">
        <v>2</v>
      </c>
      <c r="Z1359">
        <v>1</v>
      </c>
      <c r="AA1359">
        <v>8</v>
      </c>
      <c r="AB1359">
        <v>3</v>
      </c>
      <c r="AC1359">
        <v>0</v>
      </c>
      <c r="AD1359">
        <v>9</v>
      </c>
      <c r="AE1359">
        <v>0</v>
      </c>
      <c r="AF1359">
        <v>3</v>
      </c>
      <c r="AG1359">
        <v>1</v>
      </c>
      <c r="AH1359">
        <v>0</v>
      </c>
      <c r="AI1359" t="s">
        <v>730</v>
      </c>
      <c r="AJ1359">
        <v>33.108823000000001</v>
      </c>
      <c r="AK1359" t="s">
        <v>731</v>
      </c>
      <c r="AL1359">
        <v>-97.694248999999999</v>
      </c>
      <c r="AM1359">
        <v>25</v>
      </c>
      <c r="AN1359">
        <v>3400</v>
      </c>
      <c r="AO1359" t="s">
        <v>118</v>
      </c>
      <c r="AP1359">
        <v>56</v>
      </c>
      <c r="AQ1359">
        <v>-97</v>
      </c>
      <c r="AR1359">
        <v>-256</v>
      </c>
      <c r="AZ1359">
        <v>1200</v>
      </c>
      <c r="BA1359">
        <v>1</v>
      </c>
      <c r="BB1359" t="str">
        <f t="shared" si="392"/>
        <v xml:space="preserve">N733KP  </v>
      </c>
      <c r="BC1359">
        <v>1</v>
      </c>
      <c r="BE1359">
        <v>0</v>
      </c>
      <c r="BF1359">
        <v>0</v>
      </c>
      <c r="BG1359">
        <v>0</v>
      </c>
      <c r="BH1359">
        <v>3400</v>
      </c>
      <c r="BI1359">
        <v>1</v>
      </c>
      <c r="BJ1359">
        <v>1</v>
      </c>
      <c r="BK1359">
        <v>0</v>
      </c>
      <c r="BL1359">
        <v>0</v>
      </c>
      <c r="BO1359">
        <v>0</v>
      </c>
      <c r="BP1359">
        <v>0</v>
      </c>
      <c r="BW1359" t="str">
        <f>"22:15:11.748"</f>
        <v>22:15:11.748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364</v>
      </c>
      <c r="CR1359">
        <v>0</v>
      </c>
      <c r="CW1359">
        <v>1416757</v>
      </c>
      <c r="CY1359">
        <v>1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"03/24/2022 22:15:11.892"</f>
        <v>03/24/2022 22:15:11.892</v>
      </c>
      <c r="C1360" t="str">
        <f t="shared" si="391"/>
        <v>FFDFD3C0</v>
      </c>
      <c r="D1360" t="s">
        <v>126</v>
      </c>
      <c r="E1360">
        <v>3</v>
      </c>
      <c r="H1360">
        <v>160</v>
      </c>
      <c r="I1360" t="s">
        <v>121</v>
      </c>
      <c r="J1360" t="s">
        <v>127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S1360" t="str">
        <f t="shared" si="408"/>
        <v>22:15:11.000</v>
      </c>
      <c r="T1360" t="str">
        <f t="shared" si="408"/>
        <v>22:15:11.000</v>
      </c>
      <c r="U1360" t="str">
        <f t="shared" si="404"/>
        <v>A9D71F</v>
      </c>
      <c r="V1360">
        <v>0</v>
      </c>
      <c r="W1360">
        <v>0</v>
      </c>
      <c r="X1360">
        <v>2</v>
      </c>
      <c r="Z1360">
        <v>1</v>
      </c>
      <c r="AA1360">
        <v>8</v>
      </c>
      <c r="AB1360">
        <v>3</v>
      </c>
      <c r="AC1360">
        <v>0</v>
      </c>
      <c r="AD1360">
        <v>9</v>
      </c>
      <c r="AE1360">
        <v>0</v>
      </c>
      <c r="AF1360">
        <v>3</v>
      </c>
      <c r="AG1360">
        <v>1</v>
      </c>
      <c r="AH1360">
        <v>0</v>
      </c>
      <c r="AI1360" t="s">
        <v>730</v>
      </c>
      <c r="AJ1360">
        <v>33.108823000000001</v>
      </c>
      <c r="AK1360" t="s">
        <v>731</v>
      </c>
      <c r="AL1360">
        <v>-97.694248999999999</v>
      </c>
      <c r="AM1360">
        <v>25</v>
      </c>
      <c r="AN1360">
        <v>3400</v>
      </c>
      <c r="AO1360" t="s">
        <v>118</v>
      </c>
      <c r="AP1360">
        <v>56</v>
      </c>
      <c r="AQ1360">
        <v>-97</v>
      </c>
      <c r="AR1360">
        <v>-256</v>
      </c>
      <c r="AZ1360">
        <v>1200</v>
      </c>
      <c r="BA1360">
        <v>1</v>
      </c>
      <c r="BB1360" t="str">
        <f t="shared" si="392"/>
        <v xml:space="preserve">N733KP  </v>
      </c>
      <c r="BC1360">
        <v>1</v>
      </c>
      <c r="BE1360">
        <v>0</v>
      </c>
      <c r="BF1360">
        <v>0</v>
      </c>
      <c r="BG1360">
        <v>0</v>
      </c>
      <c r="BH1360">
        <v>3400</v>
      </c>
      <c r="BI1360">
        <v>1</v>
      </c>
      <c r="BJ1360">
        <v>1</v>
      </c>
      <c r="BK1360">
        <v>0</v>
      </c>
      <c r="BL1360">
        <v>0</v>
      </c>
      <c r="BO1360">
        <v>0</v>
      </c>
      <c r="BP1360">
        <v>0</v>
      </c>
      <c r="BW1360" t="str">
        <f>"22:15:11.748"</f>
        <v>22:15:11.748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364</v>
      </c>
      <c r="CR1360">
        <v>0</v>
      </c>
      <c r="CW1360">
        <v>1416757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"03/24/2022 22:15:11.892"</f>
        <v>03/24/2022 22:15:11.892</v>
      </c>
      <c r="C1361" t="str">
        <f t="shared" si="391"/>
        <v>FFDFD3C0</v>
      </c>
      <c r="D1361" t="s">
        <v>123</v>
      </c>
      <c r="E1361">
        <v>8</v>
      </c>
      <c r="H1361">
        <v>31</v>
      </c>
      <c r="I1361" t="s">
        <v>124</v>
      </c>
      <c r="J1361" t="s">
        <v>125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S1361" t="str">
        <f t="shared" si="408"/>
        <v>22:15:11.000</v>
      </c>
      <c r="T1361" t="str">
        <f t="shared" si="408"/>
        <v>22:15:11.000</v>
      </c>
      <c r="U1361" t="str">
        <f t="shared" si="404"/>
        <v>A9D71F</v>
      </c>
      <c r="V1361">
        <v>0</v>
      </c>
      <c r="W1361">
        <v>0</v>
      </c>
      <c r="X1361">
        <v>2</v>
      </c>
      <c r="Z1361">
        <v>1</v>
      </c>
      <c r="AA1361">
        <v>8</v>
      </c>
      <c r="AB1361">
        <v>3</v>
      </c>
      <c r="AC1361">
        <v>0</v>
      </c>
      <c r="AD1361">
        <v>9</v>
      </c>
      <c r="AE1361">
        <v>0</v>
      </c>
      <c r="AF1361">
        <v>3</v>
      </c>
      <c r="AG1361">
        <v>1</v>
      </c>
      <c r="AH1361">
        <v>0</v>
      </c>
      <c r="AI1361" t="s">
        <v>730</v>
      </c>
      <c r="AJ1361">
        <v>33.108823000000001</v>
      </c>
      <c r="AK1361" t="s">
        <v>731</v>
      </c>
      <c r="AL1361">
        <v>-97.694248999999999</v>
      </c>
      <c r="AM1361">
        <v>25</v>
      </c>
      <c r="AN1361">
        <v>3400</v>
      </c>
      <c r="AO1361" t="s">
        <v>118</v>
      </c>
      <c r="AP1361">
        <v>56</v>
      </c>
      <c r="AQ1361">
        <v>-97</v>
      </c>
      <c r="AR1361">
        <v>-256</v>
      </c>
      <c r="AZ1361">
        <v>1200</v>
      </c>
      <c r="BA1361">
        <v>1</v>
      </c>
      <c r="BB1361" t="str">
        <f t="shared" si="392"/>
        <v xml:space="preserve">N733KP  </v>
      </c>
      <c r="BC1361">
        <v>1</v>
      </c>
      <c r="BE1361">
        <v>0</v>
      </c>
      <c r="BF1361">
        <v>0</v>
      </c>
      <c r="BG1361">
        <v>0</v>
      </c>
      <c r="BH1361">
        <v>3400</v>
      </c>
      <c r="BI1361">
        <v>1</v>
      </c>
      <c r="BJ1361">
        <v>1</v>
      </c>
      <c r="BK1361">
        <v>0</v>
      </c>
      <c r="BL1361">
        <v>0</v>
      </c>
      <c r="BO1361">
        <v>0</v>
      </c>
      <c r="BP1361">
        <v>0</v>
      </c>
      <c r="BW1361" t="str">
        <f>"22:15:11.748"</f>
        <v>22:15:11.748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364</v>
      </c>
      <c r="CR1361">
        <v>0</v>
      </c>
      <c r="CW1361">
        <v>1416757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"03/24/2022 22:15:11.955"</f>
        <v>03/24/2022 22:15:11.955</v>
      </c>
      <c r="C1362" t="str">
        <f t="shared" si="391"/>
        <v>FFDFD3C0</v>
      </c>
      <c r="D1362" t="s">
        <v>120</v>
      </c>
      <c r="E1362">
        <v>14</v>
      </c>
      <c r="F1362">
        <v>1014</v>
      </c>
      <c r="G1362" t="s">
        <v>121</v>
      </c>
      <c r="J1362" t="s">
        <v>122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S1362" t="str">
        <f t="shared" si="408"/>
        <v>22:15:11.000</v>
      </c>
      <c r="T1362" t="str">
        <f t="shared" si="408"/>
        <v>22:15:11.000</v>
      </c>
      <c r="U1362" t="str">
        <f t="shared" si="404"/>
        <v>A9D71F</v>
      </c>
      <c r="V1362">
        <v>0</v>
      </c>
      <c r="W1362">
        <v>0</v>
      </c>
      <c r="X1362">
        <v>2</v>
      </c>
      <c r="Z1362">
        <v>1</v>
      </c>
      <c r="AA1362">
        <v>8</v>
      </c>
      <c r="AB1362">
        <v>3</v>
      </c>
      <c r="AC1362">
        <v>0</v>
      </c>
      <c r="AD1362">
        <v>9</v>
      </c>
      <c r="AE1362">
        <v>0</v>
      </c>
      <c r="AF1362">
        <v>3</v>
      </c>
      <c r="AG1362">
        <v>1</v>
      </c>
      <c r="AH1362">
        <v>0</v>
      </c>
      <c r="AI1362" t="s">
        <v>730</v>
      </c>
      <c r="AJ1362">
        <v>33.108823000000001</v>
      </c>
      <c r="AK1362" t="s">
        <v>731</v>
      </c>
      <c r="AL1362">
        <v>-97.694248999999999</v>
      </c>
      <c r="AM1362">
        <v>25</v>
      </c>
      <c r="AN1362">
        <v>3400</v>
      </c>
      <c r="AO1362" t="s">
        <v>118</v>
      </c>
      <c r="AP1362">
        <v>56</v>
      </c>
      <c r="AQ1362">
        <v>-97</v>
      </c>
      <c r="AR1362">
        <v>-256</v>
      </c>
      <c r="AZ1362">
        <v>1200</v>
      </c>
      <c r="BA1362">
        <v>1</v>
      </c>
      <c r="BB1362" t="str">
        <f t="shared" si="392"/>
        <v xml:space="preserve">N733KP  </v>
      </c>
      <c r="BC1362">
        <v>1</v>
      </c>
      <c r="BE1362">
        <v>0</v>
      </c>
      <c r="BF1362">
        <v>0</v>
      </c>
      <c r="BG1362">
        <v>0</v>
      </c>
      <c r="BH1362">
        <v>3400</v>
      </c>
      <c r="BI1362">
        <v>1</v>
      </c>
      <c r="BJ1362">
        <v>1</v>
      </c>
      <c r="BK1362">
        <v>0</v>
      </c>
      <c r="BL1362">
        <v>0</v>
      </c>
      <c r="BO1362">
        <v>0</v>
      </c>
      <c r="BP1362">
        <v>0</v>
      </c>
      <c r="BW1362" t="str">
        <f>"22:15:11.748"</f>
        <v>22:15:11.748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364</v>
      </c>
      <c r="CR1362">
        <v>0</v>
      </c>
      <c r="CW1362">
        <v>1416757</v>
      </c>
      <c r="CY1362">
        <v>1</v>
      </c>
      <c r="CZ1362">
        <v>0</v>
      </c>
      <c r="DA1362">
        <v>1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"03/24/2022 22:15:12.628"</f>
        <v>03/24/2022 22:15:12.628</v>
      </c>
      <c r="C1363" t="str">
        <f t="shared" si="391"/>
        <v>FFDFD3C0</v>
      </c>
      <c r="D1363" t="s">
        <v>120</v>
      </c>
      <c r="E1363">
        <v>14</v>
      </c>
      <c r="F1363">
        <v>1014</v>
      </c>
      <c r="G1363" t="s">
        <v>121</v>
      </c>
      <c r="J1363" t="s">
        <v>122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S1363" t="str">
        <f t="shared" ref="S1363:T1366" si="409">"22:15:12.000"</f>
        <v>22:15:12.000</v>
      </c>
      <c r="T1363" t="str">
        <f t="shared" si="409"/>
        <v>22:15:12.000</v>
      </c>
      <c r="U1363" t="str">
        <f t="shared" si="404"/>
        <v>A9D71F</v>
      </c>
      <c r="V1363">
        <v>0</v>
      </c>
      <c r="W1363">
        <v>0</v>
      </c>
      <c r="X1363">
        <v>2</v>
      </c>
      <c r="Z1363">
        <v>1</v>
      </c>
      <c r="AA1363">
        <v>8</v>
      </c>
      <c r="AB1363">
        <v>3</v>
      </c>
      <c r="AC1363">
        <v>0</v>
      </c>
      <c r="AD1363">
        <v>9</v>
      </c>
      <c r="AE1363">
        <v>0</v>
      </c>
      <c r="AF1363">
        <v>3</v>
      </c>
      <c r="AG1363">
        <v>1</v>
      </c>
      <c r="AH1363">
        <v>0</v>
      </c>
      <c r="AI1363" t="s">
        <v>732</v>
      </c>
      <c r="AJ1363">
        <v>33.108373</v>
      </c>
      <c r="AK1363" t="s">
        <v>733</v>
      </c>
      <c r="AL1363">
        <v>-97.693949000000003</v>
      </c>
      <c r="AM1363">
        <v>25</v>
      </c>
      <c r="AN1363">
        <v>3400</v>
      </c>
      <c r="AO1363" t="s">
        <v>118</v>
      </c>
      <c r="AP1363">
        <v>52</v>
      </c>
      <c r="AQ1363">
        <v>-97</v>
      </c>
      <c r="AR1363">
        <v>-128</v>
      </c>
      <c r="AZ1363">
        <v>1200</v>
      </c>
      <c r="BA1363">
        <v>1</v>
      </c>
      <c r="BB1363" t="str">
        <f t="shared" si="392"/>
        <v xml:space="preserve">N733KP  </v>
      </c>
      <c r="BC1363">
        <v>1</v>
      </c>
      <c r="BE1363">
        <v>0</v>
      </c>
      <c r="BF1363">
        <v>0</v>
      </c>
      <c r="BG1363">
        <v>0</v>
      </c>
      <c r="BH1363">
        <v>3400</v>
      </c>
      <c r="BI1363">
        <v>1</v>
      </c>
      <c r="BJ1363">
        <v>1</v>
      </c>
      <c r="BK1363">
        <v>0</v>
      </c>
      <c r="BL1363">
        <v>0</v>
      </c>
      <c r="BO1363">
        <v>0</v>
      </c>
      <c r="BP1363">
        <v>0</v>
      </c>
      <c r="BW1363" t="str">
        <f>"22:15:12.464"</f>
        <v>22:15:12.464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364</v>
      </c>
      <c r="CR1363">
        <v>0</v>
      </c>
      <c r="CW1363">
        <v>1416884</v>
      </c>
      <c r="CY1363">
        <v>1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"03/24/2022 22:15:12.706"</f>
        <v>03/24/2022 22:15:12.706</v>
      </c>
      <c r="C1364" t="str">
        <f t="shared" si="391"/>
        <v>FFDFD3C0</v>
      </c>
      <c r="D1364" t="s">
        <v>113</v>
      </c>
      <c r="E1364">
        <v>24</v>
      </c>
      <c r="F1364">
        <v>2024</v>
      </c>
      <c r="G1364" t="s">
        <v>114</v>
      </c>
      <c r="J1364" t="s">
        <v>115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S1364" t="str">
        <f t="shared" si="409"/>
        <v>22:15:12.000</v>
      </c>
      <c r="T1364" t="str">
        <f t="shared" si="409"/>
        <v>22:15:12.000</v>
      </c>
      <c r="U1364" t="str">
        <f t="shared" si="404"/>
        <v>A9D71F</v>
      </c>
      <c r="V1364">
        <v>0</v>
      </c>
      <c r="W1364">
        <v>0</v>
      </c>
      <c r="X1364">
        <v>2</v>
      </c>
      <c r="Z1364">
        <v>1</v>
      </c>
      <c r="AA1364">
        <v>8</v>
      </c>
      <c r="AB1364">
        <v>3</v>
      </c>
      <c r="AC1364">
        <v>0</v>
      </c>
      <c r="AD1364">
        <v>9</v>
      </c>
      <c r="AE1364">
        <v>0</v>
      </c>
      <c r="AF1364">
        <v>3</v>
      </c>
      <c r="AG1364">
        <v>1</v>
      </c>
      <c r="AH1364">
        <v>0</v>
      </c>
      <c r="AI1364" t="s">
        <v>732</v>
      </c>
      <c r="AJ1364">
        <v>33.108373</v>
      </c>
      <c r="AK1364" t="s">
        <v>733</v>
      </c>
      <c r="AL1364">
        <v>-97.693949000000003</v>
      </c>
      <c r="AM1364">
        <v>25</v>
      </c>
      <c r="AN1364">
        <v>3400</v>
      </c>
      <c r="AO1364" t="s">
        <v>118</v>
      </c>
      <c r="AP1364">
        <v>52</v>
      </c>
      <c r="AQ1364">
        <v>-97</v>
      </c>
      <c r="AR1364">
        <v>-128</v>
      </c>
      <c r="AZ1364">
        <v>1200</v>
      </c>
      <c r="BA1364">
        <v>1</v>
      </c>
      <c r="BB1364" t="str">
        <f t="shared" si="392"/>
        <v xml:space="preserve">N733KP  </v>
      </c>
      <c r="BC1364">
        <v>1</v>
      </c>
      <c r="BE1364">
        <v>0</v>
      </c>
      <c r="BF1364">
        <v>0</v>
      </c>
      <c r="BG1364">
        <v>0</v>
      </c>
      <c r="BH1364">
        <v>3400</v>
      </c>
      <c r="BI1364">
        <v>1</v>
      </c>
      <c r="BJ1364">
        <v>1</v>
      </c>
      <c r="BK1364">
        <v>0</v>
      </c>
      <c r="BL1364">
        <v>0</v>
      </c>
      <c r="BO1364">
        <v>0</v>
      </c>
      <c r="BP1364">
        <v>0</v>
      </c>
      <c r="BW1364" t="str">
        <f>"22:15:12.464"</f>
        <v>22:15:12.464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364</v>
      </c>
      <c r="CR1364">
        <v>0</v>
      </c>
      <c r="CW1364">
        <v>1416884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"03/24/2022 22:15:12.706"</f>
        <v>03/24/2022 22:15:12.706</v>
      </c>
      <c r="C1365" t="str">
        <f t="shared" si="391"/>
        <v>FFDFD3C0</v>
      </c>
      <c r="D1365" t="s">
        <v>126</v>
      </c>
      <c r="E1365">
        <v>3</v>
      </c>
      <c r="H1365">
        <v>160</v>
      </c>
      <c r="I1365" t="s">
        <v>121</v>
      </c>
      <c r="J1365" t="s">
        <v>127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S1365" t="str">
        <f t="shared" si="409"/>
        <v>22:15:12.000</v>
      </c>
      <c r="T1365" t="str">
        <f t="shared" si="409"/>
        <v>22:15:12.000</v>
      </c>
      <c r="U1365" t="str">
        <f t="shared" si="404"/>
        <v>A9D71F</v>
      </c>
      <c r="V1365">
        <v>0</v>
      </c>
      <c r="W1365">
        <v>0</v>
      </c>
      <c r="X1365">
        <v>2</v>
      </c>
      <c r="Z1365">
        <v>1</v>
      </c>
      <c r="AA1365">
        <v>8</v>
      </c>
      <c r="AB1365">
        <v>3</v>
      </c>
      <c r="AC1365">
        <v>0</v>
      </c>
      <c r="AD1365">
        <v>9</v>
      </c>
      <c r="AE1365">
        <v>0</v>
      </c>
      <c r="AF1365">
        <v>3</v>
      </c>
      <c r="AG1365">
        <v>1</v>
      </c>
      <c r="AH1365">
        <v>0</v>
      </c>
      <c r="AI1365" t="s">
        <v>732</v>
      </c>
      <c r="AJ1365">
        <v>33.108373</v>
      </c>
      <c r="AK1365" t="s">
        <v>733</v>
      </c>
      <c r="AL1365">
        <v>-97.693949000000003</v>
      </c>
      <c r="AM1365">
        <v>25</v>
      </c>
      <c r="AN1365">
        <v>3400</v>
      </c>
      <c r="AO1365" t="s">
        <v>118</v>
      </c>
      <c r="AP1365">
        <v>52</v>
      </c>
      <c r="AQ1365">
        <v>-97</v>
      </c>
      <c r="AR1365">
        <v>-128</v>
      </c>
      <c r="AZ1365">
        <v>1200</v>
      </c>
      <c r="BA1365">
        <v>1</v>
      </c>
      <c r="BB1365" t="str">
        <f t="shared" si="392"/>
        <v xml:space="preserve">N733KP  </v>
      </c>
      <c r="BC1365">
        <v>1</v>
      </c>
      <c r="BE1365">
        <v>0</v>
      </c>
      <c r="BF1365">
        <v>0</v>
      </c>
      <c r="BG1365">
        <v>0</v>
      </c>
      <c r="BH1365">
        <v>3400</v>
      </c>
      <c r="BI1365">
        <v>1</v>
      </c>
      <c r="BJ1365">
        <v>1</v>
      </c>
      <c r="BK1365">
        <v>0</v>
      </c>
      <c r="BL1365">
        <v>0</v>
      </c>
      <c r="BO1365">
        <v>0</v>
      </c>
      <c r="BP1365">
        <v>0</v>
      </c>
      <c r="BW1365" t="str">
        <f>"22:15:12.464"</f>
        <v>22:15:12.464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364</v>
      </c>
      <c r="CR1365">
        <v>0</v>
      </c>
      <c r="CW1365">
        <v>1416884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"03/24/2022 22:15:12.706"</f>
        <v>03/24/2022 22:15:12.706</v>
      </c>
      <c r="C1366" t="str">
        <f t="shared" ref="C1366:C1429" si="410">"FFDFD3C0"</f>
        <v>FFDFD3C0</v>
      </c>
      <c r="D1366" t="s">
        <v>123</v>
      </c>
      <c r="E1366">
        <v>8</v>
      </c>
      <c r="H1366">
        <v>31</v>
      </c>
      <c r="I1366" t="s">
        <v>124</v>
      </c>
      <c r="J1366" t="s">
        <v>125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S1366" t="str">
        <f t="shared" si="409"/>
        <v>22:15:12.000</v>
      </c>
      <c r="T1366" t="str">
        <f t="shared" si="409"/>
        <v>22:15:12.000</v>
      </c>
      <c r="U1366" t="str">
        <f t="shared" si="404"/>
        <v>A9D71F</v>
      </c>
      <c r="V1366">
        <v>0</v>
      </c>
      <c r="W1366">
        <v>0</v>
      </c>
      <c r="X1366">
        <v>2</v>
      </c>
      <c r="Z1366">
        <v>1</v>
      </c>
      <c r="AA1366">
        <v>8</v>
      </c>
      <c r="AB1366">
        <v>3</v>
      </c>
      <c r="AC1366">
        <v>0</v>
      </c>
      <c r="AD1366">
        <v>9</v>
      </c>
      <c r="AE1366">
        <v>0</v>
      </c>
      <c r="AF1366">
        <v>3</v>
      </c>
      <c r="AG1366">
        <v>1</v>
      </c>
      <c r="AH1366">
        <v>0</v>
      </c>
      <c r="AI1366" t="s">
        <v>732</v>
      </c>
      <c r="AJ1366">
        <v>33.108373</v>
      </c>
      <c r="AK1366" t="s">
        <v>733</v>
      </c>
      <c r="AL1366">
        <v>-97.693949000000003</v>
      </c>
      <c r="AM1366">
        <v>25</v>
      </c>
      <c r="AN1366">
        <v>3400</v>
      </c>
      <c r="AO1366" t="s">
        <v>118</v>
      </c>
      <c r="AP1366">
        <v>52</v>
      </c>
      <c r="AQ1366">
        <v>-97</v>
      </c>
      <c r="AR1366">
        <v>-128</v>
      </c>
      <c r="AZ1366">
        <v>1200</v>
      </c>
      <c r="BA1366">
        <v>1</v>
      </c>
      <c r="BB1366" t="str">
        <f t="shared" ref="BB1366:BB1429" si="411">"N733KP  "</f>
        <v xml:space="preserve">N733KP  </v>
      </c>
      <c r="BC1366">
        <v>1</v>
      </c>
      <c r="BE1366">
        <v>0</v>
      </c>
      <c r="BF1366">
        <v>0</v>
      </c>
      <c r="BG1366">
        <v>0</v>
      </c>
      <c r="BH1366">
        <v>3400</v>
      </c>
      <c r="BI1366">
        <v>1</v>
      </c>
      <c r="BJ1366">
        <v>1</v>
      </c>
      <c r="BK1366">
        <v>0</v>
      </c>
      <c r="BL1366">
        <v>0</v>
      </c>
      <c r="BO1366">
        <v>0</v>
      </c>
      <c r="BP1366">
        <v>0</v>
      </c>
      <c r="BW1366" t="str">
        <f>"22:15:12.464"</f>
        <v>22:15:12.464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364</v>
      </c>
      <c r="CR1366">
        <v>0</v>
      </c>
      <c r="CW1366">
        <v>1416884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"03/24/2022 22:15:13.521"</f>
        <v>03/24/2022 22:15:13.521</v>
      </c>
      <c r="C1367" t="str">
        <f t="shared" si="410"/>
        <v>FFDFD3C0</v>
      </c>
      <c r="D1367" t="s">
        <v>126</v>
      </c>
      <c r="E1367">
        <v>3</v>
      </c>
      <c r="H1367">
        <v>160</v>
      </c>
      <c r="I1367" t="s">
        <v>121</v>
      </c>
      <c r="J1367" t="s">
        <v>127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S1367" t="str">
        <f t="shared" ref="S1367:T1370" si="412">"22:15:13.000"</f>
        <v>22:15:13.000</v>
      </c>
      <c r="T1367" t="str">
        <f t="shared" si="412"/>
        <v>22:15:13.000</v>
      </c>
      <c r="U1367" t="str">
        <f t="shared" si="404"/>
        <v>A9D71F</v>
      </c>
      <c r="V1367">
        <v>0</v>
      </c>
      <c r="W1367">
        <v>0</v>
      </c>
      <c r="X1367">
        <v>2</v>
      </c>
      <c r="Z1367">
        <v>1</v>
      </c>
      <c r="AA1367">
        <v>8</v>
      </c>
      <c r="AB1367">
        <v>3</v>
      </c>
      <c r="AC1367">
        <v>0</v>
      </c>
      <c r="AD1367">
        <v>9</v>
      </c>
      <c r="AE1367">
        <v>0</v>
      </c>
      <c r="AF1367">
        <v>3</v>
      </c>
      <c r="AG1367">
        <v>1</v>
      </c>
      <c r="AH1367">
        <v>0</v>
      </c>
      <c r="AI1367" t="s">
        <v>734</v>
      </c>
      <c r="AJ1367">
        <v>33.107944000000003</v>
      </c>
      <c r="AK1367" t="s">
        <v>735</v>
      </c>
      <c r="AL1367">
        <v>-97.693669999999997</v>
      </c>
      <c r="AM1367">
        <v>25</v>
      </c>
      <c r="AN1367">
        <v>3400</v>
      </c>
      <c r="AO1367" t="s">
        <v>118</v>
      </c>
      <c r="AP1367">
        <v>53</v>
      </c>
      <c r="AQ1367">
        <v>-97</v>
      </c>
      <c r="AR1367">
        <v>-128</v>
      </c>
      <c r="AZ1367">
        <v>1200</v>
      </c>
      <c r="BA1367">
        <v>1</v>
      </c>
      <c r="BB1367" t="str">
        <f t="shared" si="411"/>
        <v xml:space="preserve">N733KP  </v>
      </c>
      <c r="BC1367">
        <v>1</v>
      </c>
      <c r="BE1367">
        <v>0</v>
      </c>
      <c r="BF1367">
        <v>0</v>
      </c>
      <c r="BG1367">
        <v>0</v>
      </c>
      <c r="BH1367">
        <v>3400</v>
      </c>
      <c r="BI1367">
        <v>1</v>
      </c>
      <c r="BJ1367">
        <v>1</v>
      </c>
      <c r="BK1367">
        <v>0</v>
      </c>
      <c r="BL1367">
        <v>0</v>
      </c>
      <c r="BO1367">
        <v>0</v>
      </c>
      <c r="BP1367">
        <v>0</v>
      </c>
      <c r="BW1367" t="str">
        <f>"22:15:13.339"</f>
        <v>22:15:13.339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6</v>
      </c>
      <c r="CP1367" t="s">
        <v>119</v>
      </c>
      <c r="CQ1367">
        <v>364</v>
      </c>
      <c r="CR1367">
        <v>0</v>
      </c>
      <c r="CW1367">
        <v>1417023</v>
      </c>
      <c r="CY1367">
        <v>1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"03/24/2022 22:15:13.521"</f>
        <v>03/24/2022 22:15:13.521</v>
      </c>
      <c r="C1368" t="str">
        <f t="shared" si="410"/>
        <v>FFDFD3C0</v>
      </c>
      <c r="D1368" t="s">
        <v>123</v>
      </c>
      <c r="E1368">
        <v>8</v>
      </c>
      <c r="H1368">
        <v>31</v>
      </c>
      <c r="I1368" t="s">
        <v>124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S1368" t="str">
        <f t="shared" si="412"/>
        <v>22:15:13.000</v>
      </c>
      <c r="T1368" t="str">
        <f t="shared" si="412"/>
        <v>22:15:13.000</v>
      </c>
      <c r="U1368" t="str">
        <f t="shared" si="404"/>
        <v>A9D71F</v>
      </c>
      <c r="V1368">
        <v>0</v>
      </c>
      <c r="W1368">
        <v>0</v>
      </c>
      <c r="X1368">
        <v>2</v>
      </c>
      <c r="Z1368">
        <v>1</v>
      </c>
      <c r="AA1368">
        <v>8</v>
      </c>
      <c r="AB1368">
        <v>3</v>
      </c>
      <c r="AC1368">
        <v>0</v>
      </c>
      <c r="AD1368">
        <v>9</v>
      </c>
      <c r="AE1368">
        <v>0</v>
      </c>
      <c r="AF1368">
        <v>3</v>
      </c>
      <c r="AG1368">
        <v>1</v>
      </c>
      <c r="AH1368">
        <v>0</v>
      </c>
      <c r="AI1368" t="s">
        <v>734</v>
      </c>
      <c r="AJ1368">
        <v>33.107944000000003</v>
      </c>
      <c r="AK1368" t="s">
        <v>735</v>
      </c>
      <c r="AL1368">
        <v>-97.693669999999997</v>
      </c>
      <c r="AM1368">
        <v>25</v>
      </c>
      <c r="AN1368">
        <v>3400</v>
      </c>
      <c r="AO1368" t="s">
        <v>118</v>
      </c>
      <c r="AP1368">
        <v>53</v>
      </c>
      <c r="AQ1368">
        <v>-97</v>
      </c>
      <c r="AR1368">
        <v>-128</v>
      </c>
      <c r="AZ1368">
        <v>1200</v>
      </c>
      <c r="BA1368">
        <v>1</v>
      </c>
      <c r="BB1368" t="str">
        <f t="shared" si="411"/>
        <v xml:space="preserve">N733KP  </v>
      </c>
      <c r="BC1368">
        <v>1</v>
      </c>
      <c r="BE1368">
        <v>0</v>
      </c>
      <c r="BF1368">
        <v>0</v>
      </c>
      <c r="BG1368">
        <v>0</v>
      </c>
      <c r="BH1368">
        <v>3400</v>
      </c>
      <c r="BI1368">
        <v>1</v>
      </c>
      <c r="BJ1368">
        <v>1</v>
      </c>
      <c r="BK1368">
        <v>0</v>
      </c>
      <c r="BL1368">
        <v>0</v>
      </c>
      <c r="BO1368">
        <v>0</v>
      </c>
      <c r="BP1368">
        <v>0</v>
      </c>
      <c r="BW1368" t="str">
        <f>"22:15:13.339"</f>
        <v>22:15:13.339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6</v>
      </c>
      <c r="CP1368" t="s">
        <v>119</v>
      </c>
      <c r="CQ1368">
        <v>364</v>
      </c>
      <c r="CR1368">
        <v>0</v>
      </c>
      <c r="CW1368">
        <v>1417023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"03/24/2022 22:15:13.521"</f>
        <v>03/24/2022 22:15:13.521</v>
      </c>
      <c r="C1369" t="str">
        <f t="shared" si="410"/>
        <v>FFDFD3C0</v>
      </c>
      <c r="D1369" t="s">
        <v>113</v>
      </c>
      <c r="E1369">
        <v>24</v>
      </c>
      <c r="F1369">
        <v>2024</v>
      </c>
      <c r="G1369" t="s">
        <v>114</v>
      </c>
      <c r="J1369" t="s">
        <v>115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S1369" t="str">
        <f t="shared" si="412"/>
        <v>22:15:13.000</v>
      </c>
      <c r="T1369" t="str">
        <f t="shared" si="412"/>
        <v>22:15:13.000</v>
      </c>
      <c r="U1369" t="str">
        <f t="shared" si="404"/>
        <v>A9D71F</v>
      </c>
      <c r="V1369">
        <v>0</v>
      </c>
      <c r="W1369">
        <v>0</v>
      </c>
      <c r="X1369">
        <v>2</v>
      </c>
      <c r="Z1369">
        <v>1</v>
      </c>
      <c r="AA1369">
        <v>8</v>
      </c>
      <c r="AB1369">
        <v>3</v>
      </c>
      <c r="AC1369">
        <v>0</v>
      </c>
      <c r="AD1369">
        <v>9</v>
      </c>
      <c r="AE1369">
        <v>0</v>
      </c>
      <c r="AF1369">
        <v>3</v>
      </c>
      <c r="AG1369">
        <v>1</v>
      </c>
      <c r="AH1369">
        <v>0</v>
      </c>
      <c r="AI1369" t="s">
        <v>734</v>
      </c>
      <c r="AJ1369">
        <v>33.107944000000003</v>
      </c>
      <c r="AK1369" t="s">
        <v>735</v>
      </c>
      <c r="AL1369">
        <v>-97.693669999999997</v>
      </c>
      <c r="AM1369">
        <v>25</v>
      </c>
      <c r="AN1369">
        <v>3400</v>
      </c>
      <c r="AO1369" t="s">
        <v>118</v>
      </c>
      <c r="AP1369">
        <v>53</v>
      </c>
      <c r="AQ1369">
        <v>-97</v>
      </c>
      <c r="AR1369">
        <v>-128</v>
      </c>
      <c r="AZ1369">
        <v>1200</v>
      </c>
      <c r="BA1369">
        <v>1</v>
      </c>
      <c r="BB1369" t="str">
        <f t="shared" si="411"/>
        <v xml:space="preserve">N733KP  </v>
      </c>
      <c r="BC1369">
        <v>1</v>
      </c>
      <c r="BE1369">
        <v>0</v>
      </c>
      <c r="BF1369">
        <v>0</v>
      </c>
      <c r="BG1369">
        <v>0</v>
      </c>
      <c r="BH1369">
        <v>3400</v>
      </c>
      <c r="BI1369">
        <v>1</v>
      </c>
      <c r="BJ1369">
        <v>1</v>
      </c>
      <c r="BK1369">
        <v>0</v>
      </c>
      <c r="BL1369">
        <v>0</v>
      </c>
      <c r="BO1369">
        <v>0</v>
      </c>
      <c r="BP1369">
        <v>0</v>
      </c>
      <c r="BW1369" t="str">
        <f>"22:15:13.339"</f>
        <v>22:15:13.339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6</v>
      </c>
      <c r="CP1369" t="s">
        <v>119</v>
      </c>
      <c r="CQ1369">
        <v>364</v>
      </c>
      <c r="CR1369">
        <v>0</v>
      </c>
      <c r="CW1369">
        <v>1417023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"03/24/2022 22:15:13.536"</f>
        <v>03/24/2022 22:15:13.536</v>
      </c>
      <c r="C1370" t="str">
        <f t="shared" si="410"/>
        <v>FFDFD3C0</v>
      </c>
      <c r="D1370" t="s">
        <v>120</v>
      </c>
      <c r="E1370">
        <v>14</v>
      </c>
      <c r="F1370">
        <v>1014</v>
      </c>
      <c r="G1370" t="s">
        <v>121</v>
      </c>
      <c r="J1370" t="s">
        <v>122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S1370" t="str">
        <f t="shared" si="412"/>
        <v>22:15:13.000</v>
      </c>
      <c r="T1370" t="str">
        <f t="shared" si="412"/>
        <v>22:15:13.000</v>
      </c>
      <c r="U1370" t="str">
        <f t="shared" si="404"/>
        <v>A9D71F</v>
      </c>
      <c r="V1370">
        <v>0</v>
      </c>
      <c r="W1370">
        <v>0</v>
      </c>
      <c r="X1370">
        <v>2</v>
      </c>
      <c r="Z1370">
        <v>1</v>
      </c>
      <c r="AA1370">
        <v>8</v>
      </c>
      <c r="AB1370">
        <v>3</v>
      </c>
      <c r="AC1370">
        <v>0</v>
      </c>
      <c r="AD1370">
        <v>9</v>
      </c>
      <c r="AE1370">
        <v>0</v>
      </c>
      <c r="AF1370">
        <v>3</v>
      </c>
      <c r="AG1370">
        <v>1</v>
      </c>
      <c r="AH1370">
        <v>0</v>
      </c>
      <c r="AI1370" t="s">
        <v>734</v>
      </c>
      <c r="AJ1370">
        <v>33.107944000000003</v>
      </c>
      <c r="AK1370" t="s">
        <v>735</v>
      </c>
      <c r="AL1370">
        <v>-97.693669999999997</v>
      </c>
      <c r="AM1370">
        <v>25</v>
      </c>
      <c r="AN1370">
        <v>3400</v>
      </c>
      <c r="AO1370" t="s">
        <v>118</v>
      </c>
      <c r="AP1370">
        <v>53</v>
      </c>
      <c r="AQ1370">
        <v>-97</v>
      </c>
      <c r="AR1370">
        <v>-128</v>
      </c>
      <c r="AZ1370">
        <v>1200</v>
      </c>
      <c r="BA1370">
        <v>1</v>
      </c>
      <c r="BB1370" t="str">
        <f t="shared" si="411"/>
        <v xml:space="preserve">N733KP  </v>
      </c>
      <c r="BC1370">
        <v>1</v>
      </c>
      <c r="BE1370">
        <v>0</v>
      </c>
      <c r="BF1370">
        <v>0</v>
      </c>
      <c r="BG1370">
        <v>0</v>
      </c>
      <c r="BH1370">
        <v>3400</v>
      </c>
      <c r="BI1370">
        <v>1</v>
      </c>
      <c r="BJ1370">
        <v>1</v>
      </c>
      <c r="BK1370">
        <v>0</v>
      </c>
      <c r="BL1370">
        <v>0</v>
      </c>
      <c r="BO1370">
        <v>0</v>
      </c>
      <c r="BP1370">
        <v>0</v>
      </c>
      <c r="BW1370" t="str">
        <f>"22:15:13.339"</f>
        <v>22:15:13.339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6</v>
      </c>
      <c r="CP1370" t="s">
        <v>119</v>
      </c>
      <c r="CQ1370">
        <v>364</v>
      </c>
      <c r="CR1370">
        <v>0</v>
      </c>
      <c r="CW1370">
        <v>1417023</v>
      </c>
      <c r="CY1370">
        <v>1</v>
      </c>
      <c r="CZ1370">
        <v>0</v>
      </c>
      <c r="DA1370">
        <v>1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"03/24/2022 22:15:14.869"</f>
        <v>03/24/2022 22:15:14.869</v>
      </c>
      <c r="C1371" t="str">
        <f t="shared" si="410"/>
        <v>FFDFD3C0</v>
      </c>
      <c r="D1371" t="s">
        <v>120</v>
      </c>
      <c r="E1371">
        <v>14</v>
      </c>
      <c r="F1371">
        <v>1014</v>
      </c>
      <c r="G1371" t="s">
        <v>121</v>
      </c>
      <c r="J1371" t="s">
        <v>122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S1371" t="str">
        <f t="shared" ref="S1371:T1374" si="413">"22:15:14.000"</f>
        <v>22:15:14.000</v>
      </c>
      <c r="T1371" t="str">
        <f t="shared" si="413"/>
        <v>22:15:14.000</v>
      </c>
      <c r="U1371" t="str">
        <f t="shared" si="404"/>
        <v>A9D71F</v>
      </c>
      <c r="V1371">
        <v>0</v>
      </c>
      <c r="W1371">
        <v>0</v>
      </c>
      <c r="X1371">
        <v>2</v>
      </c>
      <c r="Z1371">
        <v>1</v>
      </c>
      <c r="AA1371">
        <v>8</v>
      </c>
      <c r="AB1371">
        <v>3</v>
      </c>
      <c r="AC1371">
        <v>0</v>
      </c>
      <c r="AD1371">
        <v>9</v>
      </c>
      <c r="AE1371">
        <v>0</v>
      </c>
      <c r="AF1371">
        <v>3</v>
      </c>
      <c r="AG1371">
        <v>1</v>
      </c>
      <c r="AH1371">
        <v>0</v>
      </c>
      <c r="AI1371" t="s">
        <v>736</v>
      </c>
      <c r="AJ1371">
        <v>33.107492999999998</v>
      </c>
      <c r="AK1371" t="s">
        <v>737</v>
      </c>
      <c r="AL1371">
        <v>-97.693348</v>
      </c>
      <c r="AM1371">
        <v>25</v>
      </c>
      <c r="AN1371">
        <v>3400</v>
      </c>
      <c r="AO1371" t="s">
        <v>118</v>
      </c>
      <c r="AP1371">
        <v>53</v>
      </c>
      <c r="AQ1371">
        <v>-98</v>
      </c>
      <c r="AR1371">
        <v>0</v>
      </c>
      <c r="AZ1371">
        <v>1200</v>
      </c>
      <c r="BA1371">
        <v>1</v>
      </c>
      <c r="BB1371" t="str">
        <f t="shared" si="411"/>
        <v xml:space="preserve">N733KP  </v>
      </c>
      <c r="BC1371">
        <v>1</v>
      </c>
      <c r="BE1371">
        <v>0</v>
      </c>
      <c r="BF1371">
        <v>0</v>
      </c>
      <c r="BG1371">
        <v>0</v>
      </c>
      <c r="BH1371">
        <v>3400</v>
      </c>
      <c r="BI1371">
        <v>1</v>
      </c>
      <c r="BJ1371">
        <v>1</v>
      </c>
      <c r="BK1371">
        <v>0</v>
      </c>
      <c r="BL1371">
        <v>0</v>
      </c>
      <c r="BO1371">
        <v>0</v>
      </c>
      <c r="BP1371">
        <v>0</v>
      </c>
      <c r="BW1371" t="str">
        <f>"22:15:14.645"</f>
        <v>22:15:14.645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6</v>
      </c>
      <c r="CP1371" t="s">
        <v>119</v>
      </c>
      <c r="CQ1371">
        <v>364</v>
      </c>
      <c r="CR1371">
        <v>0</v>
      </c>
      <c r="CW1371">
        <v>1417216</v>
      </c>
      <c r="CY1371">
        <v>1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"03/24/2022 22:15:14.869"</f>
        <v>03/24/2022 22:15:14.869</v>
      </c>
      <c r="C1372" t="str">
        <f t="shared" si="410"/>
        <v>FFDFD3C0</v>
      </c>
      <c r="D1372" t="s">
        <v>123</v>
      </c>
      <c r="E1372">
        <v>8</v>
      </c>
      <c r="H1372">
        <v>31</v>
      </c>
      <c r="I1372" t="s">
        <v>124</v>
      </c>
      <c r="J1372" t="s">
        <v>125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S1372" t="str">
        <f t="shared" si="413"/>
        <v>22:15:14.000</v>
      </c>
      <c r="T1372" t="str">
        <f t="shared" si="413"/>
        <v>22:15:14.000</v>
      </c>
      <c r="U1372" t="str">
        <f t="shared" si="404"/>
        <v>A9D71F</v>
      </c>
      <c r="V1372">
        <v>0</v>
      </c>
      <c r="W1372">
        <v>0</v>
      </c>
      <c r="X1372">
        <v>2</v>
      </c>
      <c r="Z1372">
        <v>1</v>
      </c>
      <c r="AA1372">
        <v>8</v>
      </c>
      <c r="AB1372">
        <v>3</v>
      </c>
      <c r="AC1372">
        <v>0</v>
      </c>
      <c r="AD1372">
        <v>9</v>
      </c>
      <c r="AE1372">
        <v>0</v>
      </c>
      <c r="AF1372">
        <v>3</v>
      </c>
      <c r="AG1372">
        <v>1</v>
      </c>
      <c r="AH1372">
        <v>0</v>
      </c>
      <c r="AI1372" t="s">
        <v>736</v>
      </c>
      <c r="AJ1372">
        <v>33.107492999999998</v>
      </c>
      <c r="AK1372" t="s">
        <v>737</v>
      </c>
      <c r="AL1372">
        <v>-97.693348</v>
      </c>
      <c r="AM1372">
        <v>25</v>
      </c>
      <c r="AN1372">
        <v>3400</v>
      </c>
      <c r="AO1372" t="s">
        <v>118</v>
      </c>
      <c r="AP1372">
        <v>53</v>
      </c>
      <c r="AQ1372">
        <v>-98</v>
      </c>
      <c r="AR1372">
        <v>0</v>
      </c>
      <c r="AZ1372">
        <v>1200</v>
      </c>
      <c r="BA1372">
        <v>1</v>
      </c>
      <c r="BB1372" t="str">
        <f t="shared" si="411"/>
        <v xml:space="preserve">N733KP  </v>
      </c>
      <c r="BC1372">
        <v>1</v>
      </c>
      <c r="BE1372">
        <v>0</v>
      </c>
      <c r="BF1372">
        <v>0</v>
      </c>
      <c r="BG1372">
        <v>0</v>
      </c>
      <c r="BH1372">
        <v>3400</v>
      </c>
      <c r="BI1372">
        <v>1</v>
      </c>
      <c r="BJ1372">
        <v>1</v>
      </c>
      <c r="BK1372">
        <v>0</v>
      </c>
      <c r="BL1372">
        <v>0</v>
      </c>
      <c r="BO1372">
        <v>0</v>
      </c>
      <c r="BP1372">
        <v>0</v>
      </c>
      <c r="BW1372" t="str">
        <f>"22:15:14.645"</f>
        <v>22:15:14.645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6</v>
      </c>
      <c r="CP1372" t="s">
        <v>119</v>
      </c>
      <c r="CQ1372">
        <v>364</v>
      </c>
      <c r="CR1372">
        <v>0</v>
      </c>
      <c r="CW1372">
        <v>1417216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"03/24/2022 22:15:14.869"</f>
        <v>03/24/2022 22:15:14.869</v>
      </c>
      <c r="C1373" t="str">
        <f t="shared" si="410"/>
        <v>FFDFD3C0</v>
      </c>
      <c r="D1373" t="s">
        <v>126</v>
      </c>
      <c r="E1373">
        <v>3</v>
      </c>
      <c r="H1373">
        <v>160</v>
      </c>
      <c r="I1373" t="s">
        <v>121</v>
      </c>
      <c r="J1373" t="s">
        <v>127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S1373" t="str">
        <f t="shared" si="413"/>
        <v>22:15:14.000</v>
      </c>
      <c r="T1373" t="str">
        <f t="shared" si="413"/>
        <v>22:15:14.000</v>
      </c>
      <c r="U1373" t="str">
        <f t="shared" si="404"/>
        <v>A9D71F</v>
      </c>
      <c r="V1373">
        <v>0</v>
      </c>
      <c r="W1373">
        <v>0</v>
      </c>
      <c r="X1373">
        <v>2</v>
      </c>
      <c r="Z1373">
        <v>1</v>
      </c>
      <c r="AA1373">
        <v>8</v>
      </c>
      <c r="AB1373">
        <v>3</v>
      </c>
      <c r="AC1373">
        <v>0</v>
      </c>
      <c r="AD1373">
        <v>9</v>
      </c>
      <c r="AE1373">
        <v>0</v>
      </c>
      <c r="AF1373">
        <v>3</v>
      </c>
      <c r="AG1373">
        <v>1</v>
      </c>
      <c r="AH1373">
        <v>0</v>
      </c>
      <c r="AI1373" t="s">
        <v>736</v>
      </c>
      <c r="AJ1373">
        <v>33.107492999999998</v>
      </c>
      <c r="AK1373" t="s">
        <v>737</v>
      </c>
      <c r="AL1373">
        <v>-97.693348</v>
      </c>
      <c r="AM1373">
        <v>25</v>
      </c>
      <c r="AN1373">
        <v>3400</v>
      </c>
      <c r="AO1373" t="s">
        <v>118</v>
      </c>
      <c r="AP1373">
        <v>53</v>
      </c>
      <c r="AQ1373">
        <v>-98</v>
      </c>
      <c r="AR1373">
        <v>0</v>
      </c>
      <c r="AZ1373">
        <v>1200</v>
      </c>
      <c r="BA1373">
        <v>1</v>
      </c>
      <c r="BB1373" t="str">
        <f t="shared" si="411"/>
        <v xml:space="preserve">N733KP  </v>
      </c>
      <c r="BC1373">
        <v>1</v>
      </c>
      <c r="BE1373">
        <v>0</v>
      </c>
      <c r="BF1373">
        <v>0</v>
      </c>
      <c r="BG1373">
        <v>0</v>
      </c>
      <c r="BH1373">
        <v>3400</v>
      </c>
      <c r="BI1373">
        <v>1</v>
      </c>
      <c r="BJ1373">
        <v>1</v>
      </c>
      <c r="BK1373">
        <v>0</v>
      </c>
      <c r="BL1373">
        <v>0</v>
      </c>
      <c r="BO1373">
        <v>0</v>
      </c>
      <c r="BP1373">
        <v>0</v>
      </c>
      <c r="BW1373" t="str">
        <f>"22:15:14.645"</f>
        <v>22:15:14.645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6</v>
      </c>
      <c r="CP1373" t="s">
        <v>119</v>
      </c>
      <c r="CQ1373">
        <v>364</v>
      </c>
      <c r="CR1373">
        <v>0</v>
      </c>
      <c r="CW1373">
        <v>1417216</v>
      </c>
      <c r="CY1373">
        <v>1</v>
      </c>
      <c r="CZ1373">
        <v>0</v>
      </c>
      <c r="DA1373">
        <v>1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"03/24/2022 22:15:14.869"</f>
        <v>03/24/2022 22:15:14.869</v>
      </c>
      <c r="C1374" t="str">
        <f t="shared" si="410"/>
        <v>FFDFD3C0</v>
      </c>
      <c r="D1374" t="s">
        <v>113</v>
      </c>
      <c r="E1374">
        <v>24</v>
      </c>
      <c r="F1374">
        <v>2024</v>
      </c>
      <c r="G1374" t="s">
        <v>114</v>
      </c>
      <c r="J1374" t="s">
        <v>115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S1374" t="str">
        <f t="shared" si="413"/>
        <v>22:15:14.000</v>
      </c>
      <c r="T1374" t="str">
        <f t="shared" si="413"/>
        <v>22:15:14.000</v>
      </c>
      <c r="U1374" t="str">
        <f t="shared" si="404"/>
        <v>A9D71F</v>
      </c>
      <c r="V1374">
        <v>0</v>
      </c>
      <c r="W1374">
        <v>0</v>
      </c>
      <c r="X1374">
        <v>2</v>
      </c>
      <c r="Z1374">
        <v>1</v>
      </c>
      <c r="AA1374">
        <v>8</v>
      </c>
      <c r="AB1374">
        <v>3</v>
      </c>
      <c r="AC1374">
        <v>0</v>
      </c>
      <c r="AD1374">
        <v>9</v>
      </c>
      <c r="AE1374">
        <v>0</v>
      </c>
      <c r="AF1374">
        <v>3</v>
      </c>
      <c r="AG1374">
        <v>1</v>
      </c>
      <c r="AH1374">
        <v>0</v>
      </c>
      <c r="AI1374" t="s">
        <v>736</v>
      </c>
      <c r="AJ1374">
        <v>33.107492999999998</v>
      </c>
      <c r="AK1374" t="s">
        <v>737</v>
      </c>
      <c r="AL1374">
        <v>-97.693348</v>
      </c>
      <c r="AM1374">
        <v>25</v>
      </c>
      <c r="AN1374">
        <v>3400</v>
      </c>
      <c r="AO1374" t="s">
        <v>118</v>
      </c>
      <c r="AP1374">
        <v>53</v>
      </c>
      <c r="AQ1374">
        <v>-98</v>
      </c>
      <c r="AR1374">
        <v>0</v>
      </c>
      <c r="AZ1374">
        <v>1200</v>
      </c>
      <c r="BA1374">
        <v>1</v>
      </c>
      <c r="BB1374" t="str">
        <f t="shared" si="411"/>
        <v xml:space="preserve">N733KP  </v>
      </c>
      <c r="BC1374">
        <v>1</v>
      </c>
      <c r="BE1374">
        <v>0</v>
      </c>
      <c r="BF1374">
        <v>0</v>
      </c>
      <c r="BG1374">
        <v>0</v>
      </c>
      <c r="BH1374">
        <v>3400</v>
      </c>
      <c r="BI1374">
        <v>1</v>
      </c>
      <c r="BJ1374">
        <v>1</v>
      </c>
      <c r="BK1374">
        <v>0</v>
      </c>
      <c r="BL1374">
        <v>0</v>
      </c>
      <c r="BO1374">
        <v>0</v>
      </c>
      <c r="BP1374">
        <v>0</v>
      </c>
      <c r="BW1374" t="str">
        <f>"22:15:14.645"</f>
        <v>22:15:14.645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6</v>
      </c>
      <c r="CP1374" t="s">
        <v>119</v>
      </c>
      <c r="CQ1374">
        <v>364</v>
      </c>
      <c r="CR1374">
        <v>0</v>
      </c>
      <c r="CW1374">
        <v>1417216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"03/24/2022 22:15:16.088"</f>
        <v>03/24/2022 22:15:16.088</v>
      </c>
      <c r="C1375" t="str">
        <f t="shared" si="410"/>
        <v>FFDFD3C0</v>
      </c>
      <c r="D1375" t="s">
        <v>123</v>
      </c>
      <c r="E1375">
        <v>8</v>
      </c>
      <c r="H1375">
        <v>31</v>
      </c>
      <c r="I1375" t="s">
        <v>124</v>
      </c>
      <c r="J1375" t="s">
        <v>125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S1375" t="str">
        <f t="shared" ref="S1375:T1378" si="414">"22:15:15.000"</f>
        <v>22:15:15.000</v>
      </c>
      <c r="T1375" t="str">
        <f t="shared" si="414"/>
        <v>22:15:15.000</v>
      </c>
      <c r="U1375" t="str">
        <f t="shared" si="404"/>
        <v>A9D71F</v>
      </c>
      <c r="V1375">
        <v>0</v>
      </c>
      <c r="W1375">
        <v>0</v>
      </c>
      <c r="X1375">
        <v>2</v>
      </c>
      <c r="Z1375">
        <v>1</v>
      </c>
      <c r="AA1375">
        <v>8</v>
      </c>
      <c r="AB1375">
        <v>3</v>
      </c>
      <c r="AC1375">
        <v>0</v>
      </c>
      <c r="AD1375">
        <v>9</v>
      </c>
      <c r="AE1375">
        <v>0</v>
      </c>
      <c r="AF1375">
        <v>3</v>
      </c>
      <c r="AG1375">
        <v>1</v>
      </c>
      <c r="AH1375">
        <v>0</v>
      </c>
      <c r="AI1375" t="s">
        <v>738</v>
      </c>
      <c r="AJ1375">
        <v>33.107021000000003</v>
      </c>
      <c r="AK1375" t="s">
        <v>739</v>
      </c>
      <c r="AL1375">
        <v>-97.693048000000005</v>
      </c>
      <c r="AM1375">
        <v>25</v>
      </c>
      <c r="AN1375">
        <v>3400</v>
      </c>
      <c r="AO1375" t="s">
        <v>118</v>
      </c>
      <c r="AP1375">
        <v>54</v>
      </c>
      <c r="AQ1375">
        <v>-97</v>
      </c>
      <c r="AR1375">
        <v>0</v>
      </c>
      <c r="AZ1375">
        <v>1200</v>
      </c>
      <c r="BA1375">
        <v>1</v>
      </c>
      <c r="BB1375" t="str">
        <f t="shared" si="411"/>
        <v xml:space="preserve">N733KP  </v>
      </c>
      <c r="BC1375">
        <v>1</v>
      </c>
      <c r="BE1375">
        <v>0</v>
      </c>
      <c r="BF1375">
        <v>0</v>
      </c>
      <c r="BG1375">
        <v>0</v>
      </c>
      <c r="BH1375">
        <v>3400</v>
      </c>
      <c r="BI1375">
        <v>1</v>
      </c>
      <c r="BJ1375">
        <v>1</v>
      </c>
      <c r="BK1375">
        <v>0</v>
      </c>
      <c r="BL1375">
        <v>0</v>
      </c>
      <c r="BO1375">
        <v>0</v>
      </c>
      <c r="BP1375">
        <v>0</v>
      </c>
      <c r="BW1375" t="str">
        <f>"22:15:15.926"</f>
        <v>22:15:15.926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364</v>
      </c>
      <c r="CR1375">
        <v>0</v>
      </c>
      <c r="CW1375">
        <v>1417425</v>
      </c>
      <c r="CY1375">
        <v>1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"03/24/2022 22:15:16.103"</f>
        <v>03/24/2022 22:15:16.103</v>
      </c>
      <c r="C1376" t="str">
        <f t="shared" si="410"/>
        <v>FFDFD3C0</v>
      </c>
      <c r="D1376" t="s">
        <v>126</v>
      </c>
      <c r="E1376">
        <v>3</v>
      </c>
      <c r="H1376">
        <v>160</v>
      </c>
      <c r="I1376" t="s">
        <v>121</v>
      </c>
      <c r="J1376" t="s">
        <v>127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S1376" t="str">
        <f t="shared" si="414"/>
        <v>22:15:15.000</v>
      </c>
      <c r="T1376" t="str">
        <f t="shared" si="414"/>
        <v>22:15:15.000</v>
      </c>
      <c r="U1376" t="str">
        <f t="shared" si="404"/>
        <v>A9D71F</v>
      </c>
      <c r="V1376">
        <v>0</v>
      </c>
      <c r="W1376">
        <v>0</v>
      </c>
      <c r="X1376">
        <v>2</v>
      </c>
      <c r="Z1376">
        <v>1</v>
      </c>
      <c r="AA1376">
        <v>8</v>
      </c>
      <c r="AB1376">
        <v>3</v>
      </c>
      <c r="AC1376">
        <v>0</v>
      </c>
      <c r="AD1376">
        <v>9</v>
      </c>
      <c r="AE1376">
        <v>0</v>
      </c>
      <c r="AF1376">
        <v>3</v>
      </c>
      <c r="AG1376">
        <v>1</v>
      </c>
      <c r="AH1376">
        <v>0</v>
      </c>
      <c r="AI1376" t="s">
        <v>738</v>
      </c>
      <c r="AJ1376">
        <v>33.107021000000003</v>
      </c>
      <c r="AK1376" t="s">
        <v>739</v>
      </c>
      <c r="AL1376">
        <v>-97.693048000000005</v>
      </c>
      <c r="AM1376">
        <v>25</v>
      </c>
      <c r="AN1376">
        <v>3400</v>
      </c>
      <c r="AO1376" t="s">
        <v>118</v>
      </c>
      <c r="AP1376">
        <v>54</v>
      </c>
      <c r="AQ1376">
        <v>-97</v>
      </c>
      <c r="AR1376">
        <v>0</v>
      </c>
      <c r="AZ1376">
        <v>1200</v>
      </c>
      <c r="BA1376">
        <v>1</v>
      </c>
      <c r="BB1376" t="str">
        <f t="shared" si="411"/>
        <v xml:space="preserve">N733KP  </v>
      </c>
      <c r="BC1376">
        <v>1</v>
      </c>
      <c r="BE1376">
        <v>0</v>
      </c>
      <c r="BF1376">
        <v>0</v>
      </c>
      <c r="BG1376">
        <v>0</v>
      </c>
      <c r="BH1376">
        <v>3400</v>
      </c>
      <c r="BI1376">
        <v>1</v>
      </c>
      <c r="BJ1376">
        <v>1</v>
      </c>
      <c r="BK1376">
        <v>0</v>
      </c>
      <c r="BL1376">
        <v>0</v>
      </c>
      <c r="BO1376">
        <v>0</v>
      </c>
      <c r="BP1376">
        <v>0</v>
      </c>
      <c r="BW1376" t="str">
        <f>"22:15:15.926"</f>
        <v>22:15:15.926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364</v>
      </c>
      <c r="CR1376">
        <v>0</v>
      </c>
      <c r="CW1376">
        <v>1417425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"03/24/2022 22:15:16.119"</f>
        <v>03/24/2022 22:15:16.119</v>
      </c>
      <c r="C1377" t="str">
        <f t="shared" si="410"/>
        <v>FFDFD3C0</v>
      </c>
      <c r="D1377" t="s">
        <v>113</v>
      </c>
      <c r="E1377">
        <v>24</v>
      </c>
      <c r="F1377">
        <v>2024</v>
      </c>
      <c r="G1377" t="s">
        <v>114</v>
      </c>
      <c r="J1377" t="s">
        <v>115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S1377" t="str">
        <f t="shared" si="414"/>
        <v>22:15:15.000</v>
      </c>
      <c r="T1377" t="str">
        <f t="shared" si="414"/>
        <v>22:15:15.000</v>
      </c>
      <c r="U1377" t="str">
        <f t="shared" si="404"/>
        <v>A9D71F</v>
      </c>
      <c r="V1377">
        <v>0</v>
      </c>
      <c r="W1377">
        <v>0</v>
      </c>
      <c r="X1377">
        <v>2</v>
      </c>
      <c r="Z1377">
        <v>1</v>
      </c>
      <c r="AA1377">
        <v>8</v>
      </c>
      <c r="AB1377">
        <v>3</v>
      </c>
      <c r="AC1377">
        <v>0</v>
      </c>
      <c r="AD1377">
        <v>9</v>
      </c>
      <c r="AE1377">
        <v>0</v>
      </c>
      <c r="AF1377">
        <v>3</v>
      </c>
      <c r="AG1377">
        <v>1</v>
      </c>
      <c r="AH1377">
        <v>0</v>
      </c>
      <c r="AI1377" t="s">
        <v>738</v>
      </c>
      <c r="AJ1377">
        <v>33.107021000000003</v>
      </c>
      <c r="AK1377" t="s">
        <v>739</v>
      </c>
      <c r="AL1377">
        <v>-97.693048000000005</v>
      </c>
      <c r="AM1377">
        <v>25</v>
      </c>
      <c r="AN1377">
        <v>3400</v>
      </c>
      <c r="AO1377" t="s">
        <v>118</v>
      </c>
      <c r="AP1377">
        <v>54</v>
      </c>
      <c r="AQ1377">
        <v>-97</v>
      </c>
      <c r="AR1377">
        <v>0</v>
      </c>
      <c r="AZ1377">
        <v>1200</v>
      </c>
      <c r="BA1377">
        <v>1</v>
      </c>
      <c r="BB1377" t="str">
        <f t="shared" si="411"/>
        <v xml:space="preserve">N733KP  </v>
      </c>
      <c r="BC1377">
        <v>1</v>
      </c>
      <c r="BE1377">
        <v>0</v>
      </c>
      <c r="BF1377">
        <v>0</v>
      </c>
      <c r="BG1377">
        <v>0</v>
      </c>
      <c r="BH1377">
        <v>3400</v>
      </c>
      <c r="BI1377">
        <v>1</v>
      </c>
      <c r="BJ1377">
        <v>1</v>
      </c>
      <c r="BK1377">
        <v>0</v>
      </c>
      <c r="BL1377">
        <v>0</v>
      </c>
      <c r="BO1377">
        <v>0</v>
      </c>
      <c r="BP1377">
        <v>0</v>
      </c>
      <c r="BW1377" t="str">
        <f>"22:15:15.926"</f>
        <v>22:15:15.926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364</v>
      </c>
      <c r="CR1377">
        <v>0</v>
      </c>
      <c r="CW1377">
        <v>1417425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"03/24/2022 22:15:16.119"</f>
        <v>03/24/2022 22:15:16.119</v>
      </c>
      <c r="C1378" t="str">
        <f t="shared" si="410"/>
        <v>FFDFD3C0</v>
      </c>
      <c r="D1378" t="s">
        <v>120</v>
      </c>
      <c r="E1378">
        <v>14</v>
      </c>
      <c r="F1378">
        <v>1014</v>
      </c>
      <c r="G1378" t="s">
        <v>121</v>
      </c>
      <c r="J1378" t="s">
        <v>122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S1378" t="str">
        <f t="shared" si="414"/>
        <v>22:15:15.000</v>
      </c>
      <c r="T1378" t="str">
        <f t="shared" si="414"/>
        <v>22:15:15.000</v>
      </c>
      <c r="U1378" t="str">
        <f t="shared" si="404"/>
        <v>A9D71F</v>
      </c>
      <c r="V1378">
        <v>0</v>
      </c>
      <c r="W1378">
        <v>0</v>
      </c>
      <c r="X1378">
        <v>2</v>
      </c>
      <c r="Z1378">
        <v>1</v>
      </c>
      <c r="AA1378">
        <v>8</v>
      </c>
      <c r="AB1378">
        <v>3</v>
      </c>
      <c r="AC1378">
        <v>0</v>
      </c>
      <c r="AD1378">
        <v>9</v>
      </c>
      <c r="AE1378">
        <v>0</v>
      </c>
      <c r="AF1378">
        <v>3</v>
      </c>
      <c r="AG1378">
        <v>1</v>
      </c>
      <c r="AH1378">
        <v>0</v>
      </c>
      <c r="AI1378" t="s">
        <v>738</v>
      </c>
      <c r="AJ1378">
        <v>33.107021000000003</v>
      </c>
      <c r="AK1378" t="s">
        <v>739</v>
      </c>
      <c r="AL1378">
        <v>-97.693048000000005</v>
      </c>
      <c r="AM1378">
        <v>25</v>
      </c>
      <c r="AN1378">
        <v>3400</v>
      </c>
      <c r="AO1378" t="s">
        <v>118</v>
      </c>
      <c r="AP1378">
        <v>54</v>
      </c>
      <c r="AQ1378">
        <v>-97</v>
      </c>
      <c r="AR1378">
        <v>0</v>
      </c>
      <c r="AZ1378">
        <v>1200</v>
      </c>
      <c r="BA1378">
        <v>1</v>
      </c>
      <c r="BB1378" t="str">
        <f t="shared" si="411"/>
        <v xml:space="preserve">N733KP  </v>
      </c>
      <c r="BC1378">
        <v>1</v>
      </c>
      <c r="BE1378">
        <v>0</v>
      </c>
      <c r="BF1378">
        <v>0</v>
      </c>
      <c r="BG1378">
        <v>0</v>
      </c>
      <c r="BH1378">
        <v>3400</v>
      </c>
      <c r="BI1378">
        <v>1</v>
      </c>
      <c r="BJ1378">
        <v>1</v>
      </c>
      <c r="BK1378">
        <v>0</v>
      </c>
      <c r="BL1378">
        <v>0</v>
      </c>
      <c r="BO1378">
        <v>0</v>
      </c>
      <c r="BP1378">
        <v>0</v>
      </c>
      <c r="BW1378" t="str">
        <f>"22:15:15.926"</f>
        <v>22:15:15.926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364</v>
      </c>
      <c r="CR1378">
        <v>0</v>
      </c>
      <c r="CW1378">
        <v>1417425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"03/24/2022 22:15:16.447"</f>
        <v>03/24/2022 22:15:16.447</v>
      </c>
      <c r="C1379" t="str">
        <f t="shared" si="410"/>
        <v>FFDFD3C0</v>
      </c>
      <c r="D1379" t="s">
        <v>113</v>
      </c>
      <c r="E1379">
        <v>24</v>
      </c>
      <c r="F1379">
        <v>2024</v>
      </c>
      <c r="G1379" t="s">
        <v>114</v>
      </c>
      <c r="J1379" t="s">
        <v>115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S1379" t="str">
        <f t="shared" ref="S1379:T1382" si="415">"22:15:16.000"</f>
        <v>22:15:16.000</v>
      </c>
      <c r="T1379" t="str">
        <f t="shared" si="415"/>
        <v>22:15:16.000</v>
      </c>
      <c r="U1379" t="str">
        <f t="shared" si="404"/>
        <v>A9D71F</v>
      </c>
      <c r="V1379">
        <v>0</v>
      </c>
      <c r="W1379">
        <v>0</v>
      </c>
      <c r="X1379">
        <v>2</v>
      </c>
      <c r="Z1379">
        <v>1</v>
      </c>
      <c r="AA1379">
        <v>8</v>
      </c>
      <c r="AB1379">
        <v>3</v>
      </c>
      <c r="AC1379">
        <v>0</v>
      </c>
      <c r="AD1379">
        <v>9</v>
      </c>
      <c r="AE1379">
        <v>0</v>
      </c>
      <c r="AF1379">
        <v>3</v>
      </c>
      <c r="AG1379">
        <v>1</v>
      </c>
      <c r="AH1379">
        <v>0</v>
      </c>
      <c r="AI1379" t="s">
        <v>740</v>
      </c>
      <c r="AJ1379">
        <v>33.106569999999998</v>
      </c>
      <c r="AK1379" t="s">
        <v>741</v>
      </c>
      <c r="AL1379">
        <v>-97.692768999999998</v>
      </c>
      <c r="AM1379">
        <v>25</v>
      </c>
      <c r="AN1379">
        <v>3400</v>
      </c>
      <c r="AO1379" t="s">
        <v>118</v>
      </c>
      <c r="AP1379">
        <v>54</v>
      </c>
      <c r="AQ1379">
        <v>-97</v>
      </c>
      <c r="AR1379">
        <v>0</v>
      </c>
      <c r="AZ1379">
        <v>1200</v>
      </c>
      <c r="BA1379">
        <v>1</v>
      </c>
      <c r="BB1379" t="str">
        <f t="shared" si="411"/>
        <v xml:space="preserve">N733KP  </v>
      </c>
      <c r="BC1379">
        <v>1</v>
      </c>
      <c r="BE1379">
        <v>0</v>
      </c>
      <c r="BF1379">
        <v>0</v>
      </c>
      <c r="BG1379">
        <v>0</v>
      </c>
      <c r="BH1379">
        <v>3400</v>
      </c>
      <c r="BI1379">
        <v>1</v>
      </c>
      <c r="BJ1379">
        <v>1</v>
      </c>
      <c r="BK1379">
        <v>0</v>
      </c>
      <c r="BL1379">
        <v>0</v>
      </c>
      <c r="BO1379">
        <v>0</v>
      </c>
      <c r="BP1379">
        <v>0</v>
      </c>
      <c r="BW1379" t="str">
        <f>"22:15:16.222"</f>
        <v>22:15:16.222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364</v>
      </c>
      <c r="CR1379">
        <v>0</v>
      </c>
      <c r="CW1379">
        <v>1417462</v>
      </c>
      <c r="CY1379">
        <v>1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"03/24/2022 22:15:16.447"</f>
        <v>03/24/2022 22:15:16.447</v>
      </c>
      <c r="C1380" t="str">
        <f t="shared" si="410"/>
        <v>FFDFD3C0</v>
      </c>
      <c r="D1380" t="s">
        <v>120</v>
      </c>
      <c r="E1380">
        <v>14</v>
      </c>
      <c r="F1380">
        <v>1014</v>
      </c>
      <c r="G1380" t="s">
        <v>121</v>
      </c>
      <c r="J1380" t="s">
        <v>122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S1380" t="str">
        <f t="shared" si="415"/>
        <v>22:15:16.000</v>
      </c>
      <c r="T1380" t="str">
        <f t="shared" si="415"/>
        <v>22:15:16.000</v>
      </c>
      <c r="U1380" t="str">
        <f t="shared" si="404"/>
        <v>A9D71F</v>
      </c>
      <c r="V1380">
        <v>0</v>
      </c>
      <c r="W1380">
        <v>0</v>
      </c>
      <c r="X1380">
        <v>2</v>
      </c>
      <c r="Z1380">
        <v>1</v>
      </c>
      <c r="AA1380">
        <v>8</v>
      </c>
      <c r="AB1380">
        <v>3</v>
      </c>
      <c r="AC1380">
        <v>0</v>
      </c>
      <c r="AD1380">
        <v>9</v>
      </c>
      <c r="AE1380">
        <v>0</v>
      </c>
      <c r="AF1380">
        <v>3</v>
      </c>
      <c r="AG1380">
        <v>1</v>
      </c>
      <c r="AH1380">
        <v>0</v>
      </c>
      <c r="AI1380" t="s">
        <v>740</v>
      </c>
      <c r="AJ1380">
        <v>33.106569999999998</v>
      </c>
      <c r="AK1380" t="s">
        <v>741</v>
      </c>
      <c r="AL1380">
        <v>-97.692768999999998</v>
      </c>
      <c r="AM1380">
        <v>25</v>
      </c>
      <c r="AN1380">
        <v>3400</v>
      </c>
      <c r="AO1380" t="s">
        <v>118</v>
      </c>
      <c r="AP1380">
        <v>54</v>
      </c>
      <c r="AQ1380">
        <v>-97</v>
      </c>
      <c r="AR1380">
        <v>0</v>
      </c>
      <c r="AZ1380">
        <v>1200</v>
      </c>
      <c r="BA1380">
        <v>1</v>
      </c>
      <c r="BB1380" t="str">
        <f t="shared" si="411"/>
        <v xml:space="preserve">N733KP  </v>
      </c>
      <c r="BC1380">
        <v>1</v>
      </c>
      <c r="BE1380">
        <v>0</v>
      </c>
      <c r="BF1380">
        <v>0</v>
      </c>
      <c r="BG1380">
        <v>0</v>
      </c>
      <c r="BH1380">
        <v>3400</v>
      </c>
      <c r="BI1380">
        <v>1</v>
      </c>
      <c r="BJ1380">
        <v>1</v>
      </c>
      <c r="BK1380">
        <v>0</v>
      </c>
      <c r="BL1380">
        <v>0</v>
      </c>
      <c r="BO1380">
        <v>0</v>
      </c>
      <c r="BP1380">
        <v>0</v>
      </c>
      <c r="BW1380" t="str">
        <f>"22:15:16.222"</f>
        <v>22:15:16.222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364</v>
      </c>
      <c r="CR1380">
        <v>0</v>
      </c>
      <c r="CW1380">
        <v>1417462</v>
      </c>
      <c r="CY1380">
        <v>1</v>
      </c>
      <c r="CZ1380">
        <v>0</v>
      </c>
      <c r="DA1380">
        <v>1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"03/24/2022 22:15:16.447"</f>
        <v>03/24/2022 22:15:16.447</v>
      </c>
      <c r="C1381" t="str">
        <f t="shared" si="410"/>
        <v>FFDFD3C0</v>
      </c>
      <c r="D1381" t="s">
        <v>123</v>
      </c>
      <c r="E1381">
        <v>8</v>
      </c>
      <c r="H1381">
        <v>31</v>
      </c>
      <c r="I1381" t="s">
        <v>124</v>
      </c>
      <c r="J1381" t="s">
        <v>125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S1381" t="str">
        <f t="shared" si="415"/>
        <v>22:15:16.000</v>
      </c>
      <c r="T1381" t="str">
        <f t="shared" si="415"/>
        <v>22:15:16.000</v>
      </c>
      <c r="U1381" t="str">
        <f t="shared" si="404"/>
        <v>A9D71F</v>
      </c>
      <c r="V1381">
        <v>0</v>
      </c>
      <c r="W1381">
        <v>0</v>
      </c>
      <c r="X1381">
        <v>2</v>
      </c>
      <c r="Z1381">
        <v>1</v>
      </c>
      <c r="AA1381">
        <v>8</v>
      </c>
      <c r="AB1381">
        <v>3</v>
      </c>
      <c r="AC1381">
        <v>0</v>
      </c>
      <c r="AD1381">
        <v>9</v>
      </c>
      <c r="AE1381">
        <v>0</v>
      </c>
      <c r="AF1381">
        <v>3</v>
      </c>
      <c r="AG1381">
        <v>1</v>
      </c>
      <c r="AH1381">
        <v>0</v>
      </c>
      <c r="AI1381" t="s">
        <v>740</v>
      </c>
      <c r="AJ1381">
        <v>33.106569999999998</v>
      </c>
      <c r="AK1381" t="s">
        <v>741</v>
      </c>
      <c r="AL1381">
        <v>-97.692768999999998</v>
      </c>
      <c r="AM1381">
        <v>25</v>
      </c>
      <c r="AN1381">
        <v>3400</v>
      </c>
      <c r="AO1381" t="s">
        <v>118</v>
      </c>
      <c r="AP1381">
        <v>54</v>
      </c>
      <c r="AQ1381">
        <v>-97</v>
      </c>
      <c r="AR1381">
        <v>0</v>
      </c>
      <c r="AZ1381">
        <v>1200</v>
      </c>
      <c r="BA1381">
        <v>1</v>
      </c>
      <c r="BB1381" t="str">
        <f t="shared" si="411"/>
        <v xml:space="preserve">N733KP  </v>
      </c>
      <c r="BC1381">
        <v>1</v>
      </c>
      <c r="BE1381">
        <v>0</v>
      </c>
      <c r="BF1381">
        <v>0</v>
      </c>
      <c r="BG1381">
        <v>0</v>
      </c>
      <c r="BH1381">
        <v>3400</v>
      </c>
      <c r="BI1381">
        <v>1</v>
      </c>
      <c r="BJ1381">
        <v>1</v>
      </c>
      <c r="BK1381">
        <v>0</v>
      </c>
      <c r="BL1381">
        <v>0</v>
      </c>
      <c r="BO1381">
        <v>0</v>
      </c>
      <c r="BP1381">
        <v>0</v>
      </c>
      <c r="BW1381" t="str">
        <f>"22:15:16.222"</f>
        <v>22:15:16.222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364</v>
      </c>
      <c r="CR1381">
        <v>0</v>
      </c>
      <c r="CW1381">
        <v>1417462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"03/24/2022 22:15:16.447"</f>
        <v>03/24/2022 22:15:16.447</v>
      </c>
      <c r="C1382" t="str">
        <f t="shared" si="410"/>
        <v>FFDFD3C0</v>
      </c>
      <c r="D1382" t="s">
        <v>126</v>
      </c>
      <c r="E1382">
        <v>3</v>
      </c>
      <c r="H1382">
        <v>160</v>
      </c>
      <c r="I1382" t="s">
        <v>121</v>
      </c>
      <c r="J1382" t="s">
        <v>127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S1382" t="str">
        <f t="shared" si="415"/>
        <v>22:15:16.000</v>
      </c>
      <c r="T1382" t="str">
        <f t="shared" si="415"/>
        <v>22:15:16.000</v>
      </c>
      <c r="U1382" t="str">
        <f t="shared" si="404"/>
        <v>A9D71F</v>
      </c>
      <c r="V1382">
        <v>0</v>
      </c>
      <c r="W1382">
        <v>0</v>
      </c>
      <c r="X1382">
        <v>2</v>
      </c>
      <c r="Z1382">
        <v>1</v>
      </c>
      <c r="AA1382">
        <v>8</v>
      </c>
      <c r="AB1382">
        <v>3</v>
      </c>
      <c r="AC1382">
        <v>0</v>
      </c>
      <c r="AD1382">
        <v>9</v>
      </c>
      <c r="AE1382">
        <v>0</v>
      </c>
      <c r="AF1382">
        <v>3</v>
      </c>
      <c r="AG1382">
        <v>1</v>
      </c>
      <c r="AH1382">
        <v>0</v>
      </c>
      <c r="AI1382" t="s">
        <v>740</v>
      </c>
      <c r="AJ1382">
        <v>33.106569999999998</v>
      </c>
      <c r="AK1382" t="s">
        <v>741</v>
      </c>
      <c r="AL1382">
        <v>-97.692768999999998</v>
      </c>
      <c r="AM1382">
        <v>25</v>
      </c>
      <c r="AN1382">
        <v>3400</v>
      </c>
      <c r="AO1382" t="s">
        <v>118</v>
      </c>
      <c r="AP1382">
        <v>54</v>
      </c>
      <c r="AQ1382">
        <v>-97</v>
      </c>
      <c r="AR1382">
        <v>0</v>
      </c>
      <c r="AZ1382">
        <v>1200</v>
      </c>
      <c r="BA1382">
        <v>1</v>
      </c>
      <c r="BB1382" t="str">
        <f t="shared" si="411"/>
        <v xml:space="preserve">N733KP  </v>
      </c>
      <c r="BC1382">
        <v>1</v>
      </c>
      <c r="BE1382">
        <v>0</v>
      </c>
      <c r="BF1382">
        <v>0</v>
      </c>
      <c r="BG1382">
        <v>0</v>
      </c>
      <c r="BH1382">
        <v>3400</v>
      </c>
      <c r="BI1382">
        <v>1</v>
      </c>
      <c r="BJ1382">
        <v>1</v>
      </c>
      <c r="BK1382">
        <v>0</v>
      </c>
      <c r="BL1382">
        <v>0</v>
      </c>
      <c r="BO1382">
        <v>0</v>
      </c>
      <c r="BP1382">
        <v>0</v>
      </c>
      <c r="BW1382" t="str">
        <f>"22:15:16.222"</f>
        <v>22:15:16.222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364</v>
      </c>
      <c r="CR1382">
        <v>0</v>
      </c>
      <c r="CW1382">
        <v>1417462</v>
      </c>
      <c r="CY1382">
        <v>1</v>
      </c>
      <c r="CZ1382">
        <v>0</v>
      </c>
      <c r="DA1382">
        <v>1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"03/24/2022 22:15:17.667"</f>
        <v>03/24/2022 22:15:17.667</v>
      </c>
      <c r="C1383" t="str">
        <f t="shared" si="410"/>
        <v>FFDFD3C0</v>
      </c>
      <c r="D1383" t="s">
        <v>126</v>
      </c>
      <c r="E1383">
        <v>3</v>
      </c>
      <c r="H1383">
        <v>160</v>
      </c>
      <c r="I1383" t="s">
        <v>121</v>
      </c>
      <c r="J1383" t="s">
        <v>127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S1383" t="str">
        <f t="shared" ref="S1383:T1386" si="416">"22:15:17.000"</f>
        <v>22:15:17.000</v>
      </c>
      <c r="T1383" t="str">
        <f t="shared" si="416"/>
        <v>22:15:17.000</v>
      </c>
      <c r="U1383" t="str">
        <f t="shared" si="404"/>
        <v>A9D71F</v>
      </c>
      <c r="V1383">
        <v>0</v>
      </c>
      <c r="W1383">
        <v>0</v>
      </c>
      <c r="X1383">
        <v>2</v>
      </c>
      <c r="Z1383">
        <v>1</v>
      </c>
      <c r="AA1383">
        <v>8</v>
      </c>
      <c r="AB1383">
        <v>3</v>
      </c>
      <c r="AC1383">
        <v>0</v>
      </c>
      <c r="AD1383">
        <v>9</v>
      </c>
      <c r="AE1383">
        <v>0</v>
      </c>
      <c r="AF1383">
        <v>3</v>
      </c>
      <c r="AG1383">
        <v>1</v>
      </c>
      <c r="AH1383">
        <v>0</v>
      </c>
      <c r="AI1383" t="s">
        <v>742</v>
      </c>
      <c r="AJ1383">
        <v>33.106098000000003</v>
      </c>
      <c r="AK1383" t="s">
        <v>743</v>
      </c>
      <c r="AL1383">
        <v>-97.692447000000001</v>
      </c>
      <c r="AM1383">
        <v>25</v>
      </c>
      <c r="AN1383">
        <v>3400</v>
      </c>
      <c r="AO1383" t="s">
        <v>118</v>
      </c>
      <c r="AP1383">
        <v>54</v>
      </c>
      <c r="AQ1383">
        <v>-97</v>
      </c>
      <c r="AR1383">
        <v>0</v>
      </c>
      <c r="AZ1383">
        <v>1200</v>
      </c>
      <c r="BA1383">
        <v>1</v>
      </c>
      <c r="BB1383" t="str">
        <f t="shared" si="411"/>
        <v xml:space="preserve">N733KP  </v>
      </c>
      <c r="BC1383">
        <v>1</v>
      </c>
      <c r="BE1383">
        <v>0</v>
      </c>
      <c r="BF1383">
        <v>0</v>
      </c>
      <c r="BG1383">
        <v>0</v>
      </c>
      <c r="BH1383">
        <v>3400</v>
      </c>
      <c r="BI1383">
        <v>1</v>
      </c>
      <c r="BJ1383">
        <v>1</v>
      </c>
      <c r="BK1383">
        <v>0</v>
      </c>
      <c r="BL1383">
        <v>0</v>
      </c>
      <c r="BO1383">
        <v>0</v>
      </c>
      <c r="BP1383">
        <v>0</v>
      </c>
      <c r="BW1383" t="str">
        <f>"22:15:17.510"</f>
        <v>22:15:17.510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364</v>
      </c>
      <c r="CR1383">
        <v>0</v>
      </c>
      <c r="CW1383">
        <v>1417691</v>
      </c>
      <c r="CY1383">
        <v>1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"03/24/2022 22:15:17.667"</f>
        <v>03/24/2022 22:15:17.667</v>
      </c>
      <c r="C1384" t="str">
        <f t="shared" si="410"/>
        <v>FFDFD3C0</v>
      </c>
      <c r="D1384" t="s">
        <v>123</v>
      </c>
      <c r="E1384">
        <v>8</v>
      </c>
      <c r="H1384">
        <v>31</v>
      </c>
      <c r="I1384" t="s">
        <v>124</v>
      </c>
      <c r="J1384" t="s">
        <v>125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S1384" t="str">
        <f t="shared" si="416"/>
        <v>22:15:17.000</v>
      </c>
      <c r="T1384" t="str">
        <f t="shared" si="416"/>
        <v>22:15:17.000</v>
      </c>
      <c r="U1384" t="str">
        <f t="shared" si="404"/>
        <v>A9D71F</v>
      </c>
      <c r="V1384">
        <v>0</v>
      </c>
      <c r="W1384">
        <v>0</v>
      </c>
      <c r="X1384">
        <v>2</v>
      </c>
      <c r="Z1384">
        <v>1</v>
      </c>
      <c r="AA1384">
        <v>8</v>
      </c>
      <c r="AB1384">
        <v>3</v>
      </c>
      <c r="AC1384">
        <v>0</v>
      </c>
      <c r="AD1384">
        <v>9</v>
      </c>
      <c r="AE1384">
        <v>0</v>
      </c>
      <c r="AF1384">
        <v>3</v>
      </c>
      <c r="AG1384">
        <v>1</v>
      </c>
      <c r="AH1384">
        <v>0</v>
      </c>
      <c r="AI1384" t="s">
        <v>742</v>
      </c>
      <c r="AJ1384">
        <v>33.106098000000003</v>
      </c>
      <c r="AK1384" t="s">
        <v>743</v>
      </c>
      <c r="AL1384">
        <v>-97.692447000000001</v>
      </c>
      <c r="AM1384">
        <v>25</v>
      </c>
      <c r="AN1384">
        <v>3400</v>
      </c>
      <c r="AO1384" t="s">
        <v>118</v>
      </c>
      <c r="AP1384">
        <v>54</v>
      </c>
      <c r="AQ1384">
        <v>-97</v>
      </c>
      <c r="AR1384">
        <v>0</v>
      </c>
      <c r="AZ1384">
        <v>1200</v>
      </c>
      <c r="BA1384">
        <v>1</v>
      </c>
      <c r="BB1384" t="str">
        <f t="shared" si="411"/>
        <v xml:space="preserve">N733KP  </v>
      </c>
      <c r="BC1384">
        <v>1</v>
      </c>
      <c r="BE1384">
        <v>0</v>
      </c>
      <c r="BF1384">
        <v>0</v>
      </c>
      <c r="BG1384">
        <v>0</v>
      </c>
      <c r="BH1384">
        <v>3400</v>
      </c>
      <c r="BI1384">
        <v>1</v>
      </c>
      <c r="BJ1384">
        <v>1</v>
      </c>
      <c r="BK1384">
        <v>0</v>
      </c>
      <c r="BL1384">
        <v>0</v>
      </c>
      <c r="BO1384">
        <v>0</v>
      </c>
      <c r="BP1384">
        <v>0</v>
      </c>
      <c r="BW1384" t="str">
        <f>"22:15:17.510"</f>
        <v>22:15:17.510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364</v>
      </c>
      <c r="CR1384">
        <v>0</v>
      </c>
      <c r="CW1384">
        <v>1417691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"03/24/2022 22:15:17.667"</f>
        <v>03/24/2022 22:15:17.667</v>
      </c>
      <c r="C1385" t="str">
        <f t="shared" si="410"/>
        <v>FFDFD3C0</v>
      </c>
      <c r="D1385" t="s">
        <v>113</v>
      </c>
      <c r="E1385">
        <v>24</v>
      </c>
      <c r="F1385">
        <v>2024</v>
      </c>
      <c r="G1385" t="s">
        <v>114</v>
      </c>
      <c r="J1385" t="s">
        <v>115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S1385" t="str">
        <f t="shared" si="416"/>
        <v>22:15:17.000</v>
      </c>
      <c r="T1385" t="str">
        <f t="shared" si="416"/>
        <v>22:15:17.000</v>
      </c>
      <c r="U1385" t="str">
        <f t="shared" si="404"/>
        <v>A9D71F</v>
      </c>
      <c r="V1385">
        <v>0</v>
      </c>
      <c r="W1385">
        <v>0</v>
      </c>
      <c r="X1385">
        <v>2</v>
      </c>
      <c r="Z1385">
        <v>1</v>
      </c>
      <c r="AA1385">
        <v>8</v>
      </c>
      <c r="AB1385">
        <v>3</v>
      </c>
      <c r="AC1385">
        <v>0</v>
      </c>
      <c r="AD1385">
        <v>9</v>
      </c>
      <c r="AE1385">
        <v>0</v>
      </c>
      <c r="AF1385">
        <v>3</v>
      </c>
      <c r="AG1385">
        <v>1</v>
      </c>
      <c r="AH1385">
        <v>0</v>
      </c>
      <c r="AI1385" t="s">
        <v>742</v>
      </c>
      <c r="AJ1385">
        <v>33.106098000000003</v>
      </c>
      <c r="AK1385" t="s">
        <v>743</v>
      </c>
      <c r="AL1385">
        <v>-97.692447000000001</v>
      </c>
      <c r="AM1385">
        <v>25</v>
      </c>
      <c r="AN1385">
        <v>3400</v>
      </c>
      <c r="AO1385" t="s">
        <v>118</v>
      </c>
      <c r="AP1385">
        <v>54</v>
      </c>
      <c r="AQ1385">
        <v>-97</v>
      </c>
      <c r="AR1385">
        <v>0</v>
      </c>
      <c r="AZ1385">
        <v>1200</v>
      </c>
      <c r="BA1385">
        <v>1</v>
      </c>
      <c r="BB1385" t="str">
        <f t="shared" si="411"/>
        <v xml:space="preserve">N733KP  </v>
      </c>
      <c r="BC1385">
        <v>1</v>
      </c>
      <c r="BE1385">
        <v>0</v>
      </c>
      <c r="BF1385">
        <v>0</v>
      </c>
      <c r="BG1385">
        <v>0</v>
      </c>
      <c r="BH1385">
        <v>3400</v>
      </c>
      <c r="BI1385">
        <v>1</v>
      </c>
      <c r="BJ1385">
        <v>1</v>
      </c>
      <c r="BK1385">
        <v>0</v>
      </c>
      <c r="BL1385">
        <v>0</v>
      </c>
      <c r="BO1385">
        <v>0</v>
      </c>
      <c r="BP1385">
        <v>0</v>
      </c>
      <c r="BW1385" t="str">
        <f>"22:15:17.510"</f>
        <v>22:15:17.510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364</v>
      </c>
      <c r="CR1385">
        <v>0</v>
      </c>
      <c r="CW1385">
        <v>1417691</v>
      </c>
      <c r="CY1385">
        <v>1</v>
      </c>
      <c r="CZ1385">
        <v>0</v>
      </c>
      <c r="DA1385">
        <v>1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"03/24/2022 22:15:17.698"</f>
        <v>03/24/2022 22:15:17.698</v>
      </c>
      <c r="C1386" t="str">
        <f t="shared" si="410"/>
        <v>FFDFD3C0</v>
      </c>
      <c r="D1386" t="s">
        <v>120</v>
      </c>
      <c r="E1386">
        <v>14</v>
      </c>
      <c r="F1386">
        <v>1014</v>
      </c>
      <c r="G1386" t="s">
        <v>121</v>
      </c>
      <c r="J1386" t="s">
        <v>122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S1386" t="str">
        <f t="shared" si="416"/>
        <v>22:15:17.000</v>
      </c>
      <c r="T1386" t="str">
        <f t="shared" si="416"/>
        <v>22:15:17.000</v>
      </c>
      <c r="U1386" t="str">
        <f t="shared" si="404"/>
        <v>A9D71F</v>
      </c>
      <c r="V1386">
        <v>0</v>
      </c>
      <c r="W1386">
        <v>0</v>
      </c>
      <c r="X1386">
        <v>2</v>
      </c>
      <c r="Z1386">
        <v>1</v>
      </c>
      <c r="AA1386">
        <v>8</v>
      </c>
      <c r="AB1386">
        <v>3</v>
      </c>
      <c r="AC1386">
        <v>0</v>
      </c>
      <c r="AD1386">
        <v>9</v>
      </c>
      <c r="AE1386">
        <v>0</v>
      </c>
      <c r="AF1386">
        <v>3</v>
      </c>
      <c r="AG1386">
        <v>1</v>
      </c>
      <c r="AH1386">
        <v>0</v>
      </c>
      <c r="AI1386" t="s">
        <v>742</v>
      </c>
      <c r="AJ1386">
        <v>33.106098000000003</v>
      </c>
      <c r="AK1386" t="s">
        <v>743</v>
      </c>
      <c r="AL1386">
        <v>-97.692447000000001</v>
      </c>
      <c r="AM1386">
        <v>25</v>
      </c>
      <c r="AN1386">
        <v>3400</v>
      </c>
      <c r="AO1386" t="s">
        <v>118</v>
      </c>
      <c r="AP1386">
        <v>54</v>
      </c>
      <c r="AQ1386">
        <v>-97</v>
      </c>
      <c r="AR1386">
        <v>0</v>
      </c>
      <c r="AZ1386">
        <v>1200</v>
      </c>
      <c r="BA1386">
        <v>1</v>
      </c>
      <c r="BB1386" t="str">
        <f t="shared" si="411"/>
        <v xml:space="preserve">N733KP  </v>
      </c>
      <c r="BC1386">
        <v>1</v>
      </c>
      <c r="BE1386">
        <v>0</v>
      </c>
      <c r="BF1386">
        <v>0</v>
      </c>
      <c r="BG1386">
        <v>0</v>
      </c>
      <c r="BH1386">
        <v>3400</v>
      </c>
      <c r="BI1386">
        <v>1</v>
      </c>
      <c r="BJ1386">
        <v>1</v>
      </c>
      <c r="BK1386">
        <v>0</v>
      </c>
      <c r="BL1386">
        <v>0</v>
      </c>
      <c r="BO1386">
        <v>0</v>
      </c>
      <c r="BP1386">
        <v>0</v>
      </c>
      <c r="BW1386" t="str">
        <f>"22:15:17.510"</f>
        <v>22:15:17.510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364</v>
      </c>
      <c r="CR1386">
        <v>0</v>
      </c>
      <c r="CW1386">
        <v>1417691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"03/24/2022 22:15:18.841"</f>
        <v>03/24/2022 22:15:18.841</v>
      </c>
      <c r="C1387" t="str">
        <f t="shared" si="410"/>
        <v>FFDFD3C0</v>
      </c>
      <c r="D1387" t="s">
        <v>123</v>
      </c>
      <c r="E1387">
        <v>8</v>
      </c>
      <c r="H1387">
        <v>31</v>
      </c>
      <c r="I1387" t="s">
        <v>124</v>
      </c>
      <c r="J1387" t="s">
        <v>125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S1387" t="str">
        <f t="shared" ref="S1387:T1390" si="417">"22:15:18.000"</f>
        <v>22:15:18.000</v>
      </c>
      <c r="T1387" t="str">
        <f t="shared" si="417"/>
        <v>22:15:18.000</v>
      </c>
      <c r="U1387" t="str">
        <f t="shared" si="404"/>
        <v>A9D71F</v>
      </c>
      <c r="V1387">
        <v>0</v>
      </c>
      <c r="W1387">
        <v>0</v>
      </c>
      <c r="X1387">
        <v>2</v>
      </c>
      <c r="Z1387">
        <v>1</v>
      </c>
      <c r="AA1387">
        <v>8</v>
      </c>
      <c r="AB1387">
        <v>3</v>
      </c>
      <c r="AC1387">
        <v>0</v>
      </c>
      <c r="AD1387">
        <v>9</v>
      </c>
      <c r="AE1387">
        <v>0</v>
      </c>
      <c r="AF1387">
        <v>3</v>
      </c>
      <c r="AG1387">
        <v>1</v>
      </c>
      <c r="AH1387">
        <v>0</v>
      </c>
      <c r="AI1387" t="s">
        <v>744</v>
      </c>
      <c r="AJ1387">
        <v>33.105648000000002</v>
      </c>
      <c r="AK1387" t="s">
        <v>745</v>
      </c>
      <c r="AL1387">
        <v>-97.692145999999994</v>
      </c>
      <c r="AM1387">
        <v>25</v>
      </c>
      <c r="AN1387">
        <v>3400</v>
      </c>
      <c r="AO1387" t="s">
        <v>118</v>
      </c>
      <c r="AP1387">
        <v>54</v>
      </c>
      <c r="AQ1387">
        <v>-97</v>
      </c>
      <c r="AR1387">
        <v>-64</v>
      </c>
      <c r="AZ1387">
        <v>1200</v>
      </c>
      <c r="BA1387">
        <v>1</v>
      </c>
      <c r="BB1387" t="str">
        <f t="shared" si="411"/>
        <v xml:space="preserve">N733KP  </v>
      </c>
      <c r="BC1387">
        <v>1</v>
      </c>
      <c r="BE1387">
        <v>0</v>
      </c>
      <c r="BF1387">
        <v>0</v>
      </c>
      <c r="BG1387">
        <v>0</v>
      </c>
      <c r="BH1387">
        <v>3400</v>
      </c>
      <c r="BI1387">
        <v>1</v>
      </c>
      <c r="BJ1387">
        <v>1</v>
      </c>
      <c r="BK1387">
        <v>0</v>
      </c>
      <c r="BL1387">
        <v>0</v>
      </c>
      <c r="BO1387">
        <v>0</v>
      </c>
      <c r="BP1387">
        <v>0</v>
      </c>
      <c r="BW1387" t="str">
        <f>"22:15:18.595"</f>
        <v>22:15:18.595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6</v>
      </c>
      <c r="CP1387" t="s">
        <v>119</v>
      </c>
      <c r="CQ1387">
        <v>364</v>
      </c>
      <c r="CR1387">
        <v>0</v>
      </c>
      <c r="CW1387">
        <v>1417856</v>
      </c>
      <c r="CY1387">
        <v>1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"03/24/2022 22:15:18.841"</f>
        <v>03/24/2022 22:15:18.841</v>
      </c>
      <c r="C1388" t="str">
        <f t="shared" si="410"/>
        <v>FFDFD3C0</v>
      </c>
      <c r="D1388" t="s">
        <v>120</v>
      </c>
      <c r="E1388">
        <v>14</v>
      </c>
      <c r="F1388">
        <v>1014</v>
      </c>
      <c r="G1388" t="s">
        <v>121</v>
      </c>
      <c r="J1388" t="s">
        <v>122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S1388" t="str">
        <f t="shared" si="417"/>
        <v>22:15:18.000</v>
      </c>
      <c r="T1388" t="str">
        <f t="shared" si="417"/>
        <v>22:15:18.000</v>
      </c>
      <c r="U1388" t="str">
        <f t="shared" si="404"/>
        <v>A9D71F</v>
      </c>
      <c r="V1388">
        <v>0</v>
      </c>
      <c r="W1388">
        <v>0</v>
      </c>
      <c r="X1388">
        <v>2</v>
      </c>
      <c r="Z1388">
        <v>1</v>
      </c>
      <c r="AA1388">
        <v>8</v>
      </c>
      <c r="AB1388">
        <v>3</v>
      </c>
      <c r="AC1388">
        <v>0</v>
      </c>
      <c r="AD1388">
        <v>9</v>
      </c>
      <c r="AE1388">
        <v>0</v>
      </c>
      <c r="AF1388">
        <v>3</v>
      </c>
      <c r="AG1388">
        <v>1</v>
      </c>
      <c r="AH1388">
        <v>0</v>
      </c>
      <c r="AI1388" t="s">
        <v>744</v>
      </c>
      <c r="AJ1388">
        <v>33.105648000000002</v>
      </c>
      <c r="AK1388" t="s">
        <v>745</v>
      </c>
      <c r="AL1388">
        <v>-97.692145999999994</v>
      </c>
      <c r="AM1388">
        <v>25</v>
      </c>
      <c r="AN1388">
        <v>3400</v>
      </c>
      <c r="AO1388" t="s">
        <v>118</v>
      </c>
      <c r="AP1388">
        <v>54</v>
      </c>
      <c r="AQ1388">
        <v>-97</v>
      </c>
      <c r="AR1388">
        <v>-64</v>
      </c>
      <c r="AZ1388">
        <v>1200</v>
      </c>
      <c r="BA1388">
        <v>1</v>
      </c>
      <c r="BB1388" t="str">
        <f t="shared" si="411"/>
        <v xml:space="preserve">N733KP  </v>
      </c>
      <c r="BC1388">
        <v>1</v>
      </c>
      <c r="BE1388">
        <v>0</v>
      </c>
      <c r="BF1388">
        <v>0</v>
      </c>
      <c r="BG1388">
        <v>0</v>
      </c>
      <c r="BH1388">
        <v>3400</v>
      </c>
      <c r="BI1388">
        <v>1</v>
      </c>
      <c r="BJ1388">
        <v>1</v>
      </c>
      <c r="BK1388">
        <v>0</v>
      </c>
      <c r="BL1388">
        <v>0</v>
      </c>
      <c r="BO1388">
        <v>0</v>
      </c>
      <c r="BP1388">
        <v>0</v>
      </c>
      <c r="BW1388" t="str">
        <f>"22:15:18.595"</f>
        <v>22:15:18.595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6</v>
      </c>
      <c r="CP1388" t="s">
        <v>119</v>
      </c>
      <c r="CQ1388">
        <v>364</v>
      </c>
      <c r="CR1388">
        <v>0</v>
      </c>
      <c r="CW1388">
        <v>1417856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"03/24/2022 22:15:18.841"</f>
        <v>03/24/2022 22:15:18.841</v>
      </c>
      <c r="C1389" t="str">
        <f t="shared" si="410"/>
        <v>FFDFD3C0</v>
      </c>
      <c r="D1389" t="s">
        <v>113</v>
      </c>
      <c r="E1389">
        <v>24</v>
      </c>
      <c r="F1389">
        <v>2024</v>
      </c>
      <c r="G1389" t="s">
        <v>114</v>
      </c>
      <c r="J1389" t="s">
        <v>115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S1389" t="str">
        <f t="shared" si="417"/>
        <v>22:15:18.000</v>
      </c>
      <c r="T1389" t="str">
        <f t="shared" si="417"/>
        <v>22:15:18.000</v>
      </c>
      <c r="U1389" t="str">
        <f t="shared" si="404"/>
        <v>A9D71F</v>
      </c>
      <c r="V1389">
        <v>0</v>
      </c>
      <c r="W1389">
        <v>0</v>
      </c>
      <c r="X1389">
        <v>2</v>
      </c>
      <c r="Z1389">
        <v>1</v>
      </c>
      <c r="AA1389">
        <v>8</v>
      </c>
      <c r="AB1389">
        <v>3</v>
      </c>
      <c r="AC1389">
        <v>0</v>
      </c>
      <c r="AD1389">
        <v>9</v>
      </c>
      <c r="AE1389">
        <v>0</v>
      </c>
      <c r="AF1389">
        <v>3</v>
      </c>
      <c r="AG1389">
        <v>1</v>
      </c>
      <c r="AH1389">
        <v>0</v>
      </c>
      <c r="AI1389" t="s">
        <v>744</v>
      </c>
      <c r="AJ1389">
        <v>33.105648000000002</v>
      </c>
      <c r="AK1389" t="s">
        <v>745</v>
      </c>
      <c r="AL1389">
        <v>-97.692145999999994</v>
      </c>
      <c r="AM1389">
        <v>25</v>
      </c>
      <c r="AN1389">
        <v>3400</v>
      </c>
      <c r="AO1389" t="s">
        <v>118</v>
      </c>
      <c r="AP1389">
        <v>54</v>
      </c>
      <c r="AQ1389">
        <v>-97</v>
      </c>
      <c r="AR1389">
        <v>-64</v>
      </c>
      <c r="AZ1389">
        <v>1200</v>
      </c>
      <c r="BA1389">
        <v>1</v>
      </c>
      <c r="BB1389" t="str">
        <f t="shared" si="411"/>
        <v xml:space="preserve">N733KP  </v>
      </c>
      <c r="BC1389">
        <v>1</v>
      </c>
      <c r="BE1389">
        <v>0</v>
      </c>
      <c r="BF1389">
        <v>0</v>
      </c>
      <c r="BG1389">
        <v>0</v>
      </c>
      <c r="BH1389">
        <v>3400</v>
      </c>
      <c r="BI1389">
        <v>1</v>
      </c>
      <c r="BJ1389">
        <v>1</v>
      </c>
      <c r="BK1389">
        <v>0</v>
      </c>
      <c r="BL1389">
        <v>0</v>
      </c>
      <c r="BO1389">
        <v>0</v>
      </c>
      <c r="BP1389">
        <v>0</v>
      </c>
      <c r="BW1389" t="str">
        <f>"22:15:18.595"</f>
        <v>22:15:18.595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6</v>
      </c>
      <c r="CP1389" t="s">
        <v>119</v>
      </c>
      <c r="CQ1389">
        <v>364</v>
      </c>
      <c r="CR1389">
        <v>0</v>
      </c>
      <c r="CW1389">
        <v>1417856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"03/24/2022 22:15:18.841"</f>
        <v>03/24/2022 22:15:18.841</v>
      </c>
      <c r="C1390" t="str">
        <f t="shared" si="410"/>
        <v>FFDFD3C0</v>
      </c>
      <c r="D1390" t="s">
        <v>126</v>
      </c>
      <c r="E1390">
        <v>3</v>
      </c>
      <c r="H1390">
        <v>160</v>
      </c>
      <c r="I1390" t="s">
        <v>121</v>
      </c>
      <c r="J1390" t="s">
        <v>127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S1390" t="str">
        <f t="shared" si="417"/>
        <v>22:15:18.000</v>
      </c>
      <c r="T1390" t="str">
        <f t="shared" si="417"/>
        <v>22:15:18.000</v>
      </c>
      <c r="U1390" t="str">
        <f t="shared" si="404"/>
        <v>A9D71F</v>
      </c>
      <c r="V1390">
        <v>0</v>
      </c>
      <c r="W1390">
        <v>0</v>
      </c>
      <c r="X1390">
        <v>2</v>
      </c>
      <c r="Z1390">
        <v>1</v>
      </c>
      <c r="AA1390">
        <v>8</v>
      </c>
      <c r="AB1390">
        <v>3</v>
      </c>
      <c r="AC1390">
        <v>0</v>
      </c>
      <c r="AD1390">
        <v>9</v>
      </c>
      <c r="AE1390">
        <v>0</v>
      </c>
      <c r="AF1390">
        <v>3</v>
      </c>
      <c r="AG1390">
        <v>1</v>
      </c>
      <c r="AH1390">
        <v>0</v>
      </c>
      <c r="AI1390" t="s">
        <v>744</v>
      </c>
      <c r="AJ1390">
        <v>33.105648000000002</v>
      </c>
      <c r="AK1390" t="s">
        <v>745</v>
      </c>
      <c r="AL1390">
        <v>-97.692145999999994</v>
      </c>
      <c r="AM1390">
        <v>25</v>
      </c>
      <c r="AN1390">
        <v>3400</v>
      </c>
      <c r="AO1390" t="s">
        <v>118</v>
      </c>
      <c r="AP1390">
        <v>54</v>
      </c>
      <c r="AQ1390">
        <v>-97</v>
      </c>
      <c r="AR1390">
        <v>-64</v>
      </c>
      <c r="AZ1390">
        <v>1200</v>
      </c>
      <c r="BA1390">
        <v>1</v>
      </c>
      <c r="BB1390" t="str">
        <f t="shared" si="411"/>
        <v xml:space="preserve">N733KP  </v>
      </c>
      <c r="BC1390">
        <v>1</v>
      </c>
      <c r="BE1390">
        <v>0</v>
      </c>
      <c r="BF1390">
        <v>0</v>
      </c>
      <c r="BG1390">
        <v>0</v>
      </c>
      <c r="BH1390">
        <v>3400</v>
      </c>
      <c r="BI1390">
        <v>1</v>
      </c>
      <c r="BJ1390">
        <v>1</v>
      </c>
      <c r="BK1390">
        <v>0</v>
      </c>
      <c r="BL1390">
        <v>0</v>
      </c>
      <c r="BO1390">
        <v>0</v>
      </c>
      <c r="BP1390">
        <v>0</v>
      </c>
      <c r="BW1390" t="str">
        <f>"22:15:18.595"</f>
        <v>22:15:18.595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6</v>
      </c>
      <c r="CP1390" t="s">
        <v>119</v>
      </c>
      <c r="CQ1390">
        <v>364</v>
      </c>
      <c r="CR1390">
        <v>0</v>
      </c>
      <c r="CW1390">
        <v>1417856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"03/24/2022 22:15:19.435"</f>
        <v>03/24/2022 22:15:19.435</v>
      </c>
      <c r="C1391" t="str">
        <f t="shared" si="410"/>
        <v>FFDFD3C0</v>
      </c>
      <c r="D1391" t="s">
        <v>113</v>
      </c>
      <c r="E1391">
        <v>24</v>
      </c>
      <c r="F1391">
        <v>2024</v>
      </c>
      <c r="G1391" t="s">
        <v>114</v>
      </c>
      <c r="J1391" t="s">
        <v>115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S1391" t="str">
        <f t="shared" ref="S1391:T1394" si="418">"22:15:19.000"</f>
        <v>22:15:19.000</v>
      </c>
      <c r="T1391" t="str">
        <f t="shared" si="418"/>
        <v>22:15:19.000</v>
      </c>
      <c r="U1391" t="str">
        <f t="shared" si="404"/>
        <v>A9D71F</v>
      </c>
      <c r="V1391">
        <v>0</v>
      </c>
      <c r="W1391">
        <v>0</v>
      </c>
      <c r="X1391">
        <v>2</v>
      </c>
      <c r="Z1391">
        <v>1</v>
      </c>
      <c r="AA1391">
        <v>8</v>
      </c>
      <c r="AB1391">
        <v>3</v>
      </c>
      <c r="AC1391">
        <v>0</v>
      </c>
      <c r="AD1391">
        <v>9</v>
      </c>
      <c r="AE1391">
        <v>0</v>
      </c>
      <c r="AF1391">
        <v>3</v>
      </c>
      <c r="AG1391">
        <v>1</v>
      </c>
      <c r="AH1391">
        <v>0</v>
      </c>
      <c r="AI1391" t="s">
        <v>746</v>
      </c>
      <c r="AJ1391">
        <v>33.105196999999997</v>
      </c>
      <c r="AK1391" t="s">
        <v>747</v>
      </c>
      <c r="AL1391">
        <v>-97.691845999999998</v>
      </c>
      <c r="AM1391">
        <v>25</v>
      </c>
      <c r="AN1391">
        <v>3400</v>
      </c>
      <c r="AO1391" t="s">
        <v>118</v>
      </c>
      <c r="AP1391">
        <v>54</v>
      </c>
      <c r="AQ1391">
        <v>-98</v>
      </c>
      <c r="AR1391">
        <v>-128</v>
      </c>
      <c r="AZ1391">
        <v>1200</v>
      </c>
      <c r="BA1391">
        <v>1</v>
      </c>
      <c r="BB1391" t="str">
        <f t="shared" si="411"/>
        <v xml:space="preserve">N733KP  </v>
      </c>
      <c r="BC1391">
        <v>1</v>
      </c>
      <c r="BE1391">
        <v>0</v>
      </c>
      <c r="BF1391">
        <v>0</v>
      </c>
      <c r="BG1391">
        <v>0</v>
      </c>
      <c r="BH1391">
        <v>3400</v>
      </c>
      <c r="BI1391">
        <v>1</v>
      </c>
      <c r="BJ1391">
        <v>1</v>
      </c>
      <c r="BK1391">
        <v>0</v>
      </c>
      <c r="BL1391">
        <v>0</v>
      </c>
      <c r="BO1391">
        <v>0</v>
      </c>
      <c r="BP1391">
        <v>0</v>
      </c>
      <c r="BW1391" t="str">
        <f>"22:15:19.291"</f>
        <v>22:15:19.291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6</v>
      </c>
      <c r="CP1391" t="s">
        <v>119</v>
      </c>
      <c r="CQ1391">
        <v>364</v>
      </c>
      <c r="CR1391">
        <v>0</v>
      </c>
      <c r="CW1391">
        <v>1417984</v>
      </c>
      <c r="CY1391">
        <v>1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"03/24/2022 22:15:19.528"</f>
        <v>03/24/2022 22:15:19.528</v>
      </c>
      <c r="C1392" t="str">
        <f t="shared" si="410"/>
        <v>FFDFD3C0</v>
      </c>
      <c r="D1392" t="s">
        <v>120</v>
      </c>
      <c r="E1392">
        <v>14</v>
      </c>
      <c r="F1392">
        <v>1014</v>
      </c>
      <c r="G1392" t="s">
        <v>121</v>
      </c>
      <c r="J1392" t="s">
        <v>122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S1392" t="str">
        <f t="shared" si="418"/>
        <v>22:15:19.000</v>
      </c>
      <c r="T1392" t="str">
        <f t="shared" si="418"/>
        <v>22:15:19.000</v>
      </c>
      <c r="U1392" t="str">
        <f t="shared" si="404"/>
        <v>A9D71F</v>
      </c>
      <c r="V1392">
        <v>0</v>
      </c>
      <c r="W1392">
        <v>0</v>
      </c>
      <c r="X1392">
        <v>2</v>
      </c>
      <c r="Z1392">
        <v>1</v>
      </c>
      <c r="AA1392">
        <v>8</v>
      </c>
      <c r="AB1392">
        <v>3</v>
      </c>
      <c r="AC1392">
        <v>0</v>
      </c>
      <c r="AD1392">
        <v>9</v>
      </c>
      <c r="AE1392">
        <v>0</v>
      </c>
      <c r="AF1392">
        <v>3</v>
      </c>
      <c r="AG1392">
        <v>1</v>
      </c>
      <c r="AH1392">
        <v>0</v>
      </c>
      <c r="AI1392" t="s">
        <v>746</v>
      </c>
      <c r="AJ1392">
        <v>33.105196999999997</v>
      </c>
      <c r="AK1392" t="s">
        <v>747</v>
      </c>
      <c r="AL1392">
        <v>-97.691845999999998</v>
      </c>
      <c r="AM1392">
        <v>25</v>
      </c>
      <c r="AN1392">
        <v>3400</v>
      </c>
      <c r="AO1392" t="s">
        <v>118</v>
      </c>
      <c r="AP1392">
        <v>54</v>
      </c>
      <c r="AQ1392">
        <v>-98</v>
      </c>
      <c r="AR1392">
        <v>-128</v>
      </c>
      <c r="AZ1392">
        <v>1200</v>
      </c>
      <c r="BA1392">
        <v>1</v>
      </c>
      <c r="BB1392" t="str">
        <f t="shared" si="411"/>
        <v xml:space="preserve">N733KP  </v>
      </c>
      <c r="BC1392">
        <v>1</v>
      </c>
      <c r="BE1392">
        <v>0</v>
      </c>
      <c r="BF1392">
        <v>0</v>
      </c>
      <c r="BG1392">
        <v>0</v>
      </c>
      <c r="BH1392">
        <v>3400</v>
      </c>
      <c r="BI1392">
        <v>1</v>
      </c>
      <c r="BJ1392">
        <v>1</v>
      </c>
      <c r="BK1392">
        <v>0</v>
      </c>
      <c r="BL1392">
        <v>0</v>
      </c>
      <c r="BO1392">
        <v>0</v>
      </c>
      <c r="BP1392">
        <v>0</v>
      </c>
      <c r="BW1392" t="str">
        <f>"22:15:19.291"</f>
        <v>22:15:19.291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6</v>
      </c>
      <c r="CP1392" t="s">
        <v>119</v>
      </c>
      <c r="CQ1392">
        <v>364</v>
      </c>
      <c r="CR1392">
        <v>0</v>
      </c>
      <c r="CW1392">
        <v>1417984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"03/24/2022 22:15:19.528"</f>
        <v>03/24/2022 22:15:19.528</v>
      </c>
      <c r="C1393" t="str">
        <f t="shared" si="410"/>
        <v>FFDFD3C0</v>
      </c>
      <c r="D1393" t="s">
        <v>126</v>
      </c>
      <c r="E1393">
        <v>3</v>
      </c>
      <c r="H1393">
        <v>160</v>
      </c>
      <c r="I1393" t="s">
        <v>121</v>
      </c>
      <c r="J1393" t="s">
        <v>127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S1393" t="str">
        <f t="shared" si="418"/>
        <v>22:15:19.000</v>
      </c>
      <c r="T1393" t="str">
        <f t="shared" si="418"/>
        <v>22:15:19.000</v>
      </c>
      <c r="U1393" t="str">
        <f t="shared" si="404"/>
        <v>A9D71F</v>
      </c>
      <c r="V1393">
        <v>0</v>
      </c>
      <c r="W1393">
        <v>0</v>
      </c>
      <c r="X1393">
        <v>2</v>
      </c>
      <c r="Z1393">
        <v>1</v>
      </c>
      <c r="AA1393">
        <v>8</v>
      </c>
      <c r="AB1393">
        <v>3</v>
      </c>
      <c r="AC1393">
        <v>0</v>
      </c>
      <c r="AD1393">
        <v>9</v>
      </c>
      <c r="AE1393">
        <v>0</v>
      </c>
      <c r="AF1393">
        <v>3</v>
      </c>
      <c r="AG1393">
        <v>1</v>
      </c>
      <c r="AH1393">
        <v>0</v>
      </c>
      <c r="AI1393" t="s">
        <v>746</v>
      </c>
      <c r="AJ1393">
        <v>33.105196999999997</v>
      </c>
      <c r="AK1393" t="s">
        <v>747</v>
      </c>
      <c r="AL1393">
        <v>-97.691845999999998</v>
      </c>
      <c r="AM1393">
        <v>25</v>
      </c>
      <c r="AN1393">
        <v>3400</v>
      </c>
      <c r="AO1393" t="s">
        <v>118</v>
      </c>
      <c r="AP1393">
        <v>54</v>
      </c>
      <c r="AQ1393">
        <v>-98</v>
      </c>
      <c r="AR1393">
        <v>-128</v>
      </c>
      <c r="AZ1393">
        <v>1200</v>
      </c>
      <c r="BA1393">
        <v>1</v>
      </c>
      <c r="BB1393" t="str">
        <f t="shared" si="411"/>
        <v xml:space="preserve">N733KP  </v>
      </c>
      <c r="BC1393">
        <v>1</v>
      </c>
      <c r="BE1393">
        <v>0</v>
      </c>
      <c r="BF1393">
        <v>0</v>
      </c>
      <c r="BG1393">
        <v>0</v>
      </c>
      <c r="BH1393">
        <v>3400</v>
      </c>
      <c r="BI1393">
        <v>1</v>
      </c>
      <c r="BJ1393">
        <v>1</v>
      </c>
      <c r="BK1393">
        <v>0</v>
      </c>
      <c r="BL1393">
        <v>0</v>
      </c>
      <c r="BO1393">
        <v>0</v>
      </c>
      <c r="BP1393">
        <v>0</v>
      </c>
      <c r="BW1393" t="str">
        <f>"22:15:19.291"</f>
        <v>22:15:19.291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6</v>
      </c>
      <c r="CP1393" t="s">
        <v>119</v>
      </c>
      <c r="CQ1393">
        <v>364</v>
      </c>
      <c r="CR1393">
        <v>0</v>
      </c>
      <c r="CW1393">
        <v>1417984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"03/24/2022 22:15:19.528"</f>
        <v>03/24/2022 22:15:19.528</v>
      </c>
      <c r="C1394" t="str">
        <f t="shared" si="410"/>
        <v>FFDFD3C0</v>
      </c>
      <c r="D1394" t="s">
        <v>123</v>
      </c>
      <c r="E1394">
        <v>8</v>
      </c>
      <c r="H1394">
        <v>31</v>
      </c>
      <c r="I1394" t="s">
        <v>124</v>
      </c>
      <c r="J1394" t="s">
        <v>125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S1394" t="str">
        <f t="shared" si="418"/>
        <v>22:15:19.000</v>
      </c>
      <c r="T1394" t="str">
        <f t="shared" si="418"/>
        <v>22:15:19.000</v>
      </c>
      <c r="U1394" t="str">
        <f t="shared" si="404"/>
        <v>A9D71F</v>
      </c>
      <c r="V1394">
        <v>0</v>
      </c>
      <c r="W1394">
        <v>0</v>
      </c>
      <c r="X1394">
        <v>2</v>
      </c>
      <c r="Z1394">
        <v>1</v>
      </c>
      <c r="AA1394">
        <v>8</v>
      </c>
      <c r="AB1394">
        <v>3</v>
      </c>
      <c r="AC1394">
        <v>0</v>
      </c>
      <c r="AD1394">
        <v>9</v>
      </c>
      <c r="AE1394">
        <v>0</v>
      </c>
      <c r="AF1394">
        <v>3</v>
      </c>
      <c r="AG1394">
        <v>1</v>
      </c>
      <c r="AH1394">
        <v>0</v>
      </c>
      <c r="AI1394" t="s">
        <v>746</v>
      </c>
      <c r="AJ1394">
        <v>33.105196999999997</v>
      </c>
      <c r="AK1394" t="s">
        <v>747</v>
      </c>
      <c r="AL1394">
        <v>-97.691845999999998</v>
      </c>
      <c r="AM1394">
        <v>25</v>
      </c>
      <c r="AN1394">
        <v>3400</v>
      </c>
      <c r="AO1394" t="s">
        <v>118</v>
      </c>
      <c r="AP1394">
        <v>54</v>
      </c>
      <c r="AQ1394">
        <v>-98</v>
      </c>
      <c r="AR1394">
        <v>-128</v>
      </c>
      <c r="AZ1394">
        <v>1200</v>
      </c>
      <c r="BA1394">
        <v>1</v>
      </c>
      <c r="BB1394" t="str">
        <f t="shared" si="411"/>
        <v xml:space="preserve">N733KP  </v>
      </c>
      <c r="BC1394">
        <v>1</v>
      </c>
      <c r="BE1394">
        <v>0</v>
      </c>
      <c r="BF1394">
        <v>0</v>
      </c>
      <c r="BG1394">
        <v>0</v>
      </c>
      <c r="BH1394">
        <v>3400</v>
      </c>
      <c r="BI1394">
        <v>1</v>
      </c>
      <c r="BJ1394">
        <v>1</v>
      </c>
      <c r="BK1394">
        <v>0</v>
      </c>
      <c r="BL1394">
        <v>0</v>
      </c>
      <c r="BO1394">
        <v>0</v>
      </c>
      <c r="BP1394">
        <v>0</v>
      </c>
      <c r="BW1394" t="str">
        <f>"22:15:19.291"</f>
        <v>22:15:19.291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6</v>
      </c>
      <c r="CP1394" t="s">
        <v>119</v>
      </c>
      <c r="CQ1394">
        <v>364</v>
      </c>
      <c r="CR1394">
        <v>0</v>
      </c>
      <c r="CW1394">
        <v>1417984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"03/24/2022 22:15:20.732"</f>
        <v>03/24/2022 22:15:20.732</v>
      </c>
      <c r="C1395" t="str">
        <f t="shared" si="410"/>
        <v>FFDFD3C0</v>
      </c>
      <c r="D1395" t="s">
        <v>120</v>
      </c>
      <c r="E1395">
        <v>14</v>
      </c>
      <c r="F1395">
        <v>1014</v>
      </c>
      <c r="G1395" t="s">
        <v>121</v>
      </c>
      <c r="J1395" t="s">
        <v>122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S1395" t="str">
        <f t="shared" ref="S1395:T1398" si="419">"22:15:20.000"</f>
        <v>22:15:20.000</v>
      </c>
      <c r="T1395" t="str">
        <f t="shared" si="419"/>
        <v>22:15:20.000</v>
      </c>
      <c r="U1395" t="str">
        <f t="shared" si="404"/>
        <v>A9D71F</v>
      </c>
      <c r="V1395">
        <v>0</v>
      </c>
      <c r="W1395">
        <v>0</v>
      </c>
      <c r="X1395">
        <v>2</v>
      </c>
      <c r="Z1395">
        <v>1</v>
      </c>
      <c r="AA1395">
        <v>8</v>
      </c>
      <c r="AB1395">
        <v>3</v>
      </c>
      <c r="AC1395">
        <v>0</v>
      </c>
      <c r="AD1395">
        <v>9</v>
      </c>
      <c r="AE1395">
        <v>0</v>
      </c>
      <c r="AF1395">
        <v>3</v>
      </c>
      <c r="AG1395">
        <v>1</v>
      </c>
      <c r="AH1395">
        <v>0</v>
      </c>
      <c r="AI1395" t="s">
        <v>748</v>
      </c>
      <c r="AJ1395">
        <v>33.104745999999999</v>
      </c>
      <c r="AK1395" t="s">
        <v>749</v>
      </c>
      <c r="AL1395">
        <v>-97.691545000000005</v>
      </c>
      <c r="AM1395">
        <v>25</v>
      </c>
      <c r="AN1395">
        <v>3400</v>
      </c>
      <c r="AO1395" t="s">
        <v>118</v>
      </c>
      <c r="AP1395">
        <v>53</v>
      </c>
      <c r="AQ1395">
        <v>-98</v>
      </c>
      <c r="AR1395">
        <v>-128</v>
      </c>
      <c r="AZ1395">
        <v>1200</v>
      </c>
      <c r="BA1395">
        <v>1</v>
      </c>
      <c r="BB1395" t="str">
        <f t="shared" si="411"/>
        <v xml:space="preserve">N733KP  </v>
      </c>
      <c r="BC1395">
        <v>1</v>
      </c>
      <c r="BE1395">
        <v>0</v>
      </c>
      <c r="BF1395">
        <v>0</v>
      </c>
      <c r="BG1395">
        <v>0</v>
      </c>
      <c r="BH1395">
        <v>3400</v>
      </c>
      <c r="BI1395">
        <v>1</v>
      </c>
      <c r="BJ1395">
        <v>1</v>
      </c>
      <c r="BK1395">
        <v>0</v>
      </c>
      <c r="BL1395">
        <v>0</v>
      </c>
      <c r="BO1395">
        <v>0</v>
      </c>
      <c r="BP1395">
        <v>0</v>
      </c>
      <c r="BW1395" t="str">
        <f>"22:15:20.565"</f>
        <v>22:15:20.565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6</v>
      </c>
      <c r="CP1395" t="s">
        <v>119</v>
      </c>
      <c r="CQ1395">
        <v>364</v>
      </c>
      <c r="CR1395">
        <v>0</v>
      </c>
      <c r="CW1395">
        <v>1418191</v>
      </c>
      <c r="CY1395">
        <v>1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"03/24/2022 22:15:20.732"</f>
        <v>03/24/2022 22:15:20.732</v>
      </c>
      <c r="C1396" t="str">
        <f t="shared" si="410"/>
        <v>FFDFD3C0</v>
      </c>
      <c r="D1396" t="s">
        <v>126</v>
      </c>
      <c r="E1396">
        <v>3</v>
      </c>
      <c r="H1396">
        <v>160</v>
      </c>
      <c r="I1396" t="s">
        <v>121</v>
      </c>
      <c r="J1396" t="s">
        <v>127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S1396" t="str">
        <f t="shared" si="419"/>
        <v>22:15:20.000</v>
      </c>
      <c r="T1396" t="str">
        <f t="shared" si="419"/>
        <v>22:15:20.000</v>
      </c>
      <c r="U1396" t="str">
        <f t="shared" si="404"/>
        <v>A9D71F</v>
      </c>
      <c r="V1396">
        <v>0</v>
      </c>
      <c r="W1396">
        <v>0</v>
      </c>
      <c r="X1396">
        <v>2</v>
      </c>
      <c r="Z1396">
        <v>1</v>
      </c>
      <c r="AA1396">
        <v>8</v>
      </c>
      <c r="AB1396">
        <v>3</v>
      </c>
      <c r="AC1396">
        <v>0</v>
      </c>
      <c r="AD1396">
        <v>9</v>
      </c>
      <c r="AE1396">
        <v>0</v>
      </c>
      <c r="AF1396">
        <v>3</v>
      </c>
      <c r="AG1396">
        <v>1</v>
      </c>
      <c r="AH1396">
        <v>0</v>
      </c>
      <c r="AI1396" t="s">
        <v>748</v>
      </c>
      <c r="AJ1396">
        <v>33.104745999999999</v>
      </c>
      <c r="AK1396" t="s">
        <v>749</v>
      </c>
      <c r="AL1396">
        <v>-97.691545000000005</v>
      </c>
      <c r="AM1396">
        <v>25</v>
      </c>
      <c r="AN1396">
        <v>3400</v>
      </c>
      <c r="AO1396" t="s">
        <v>118</v>
      </c>
      <c r="AP1396">
        <v>53</v>
      </c>
      <c r="AQ1396">
        <v>-98</v>
      </c>
      <c r="AR1396">
        <v>-128</v>
      </c>
      <c r="AZ1396">
        <v>1200</v>
      </c>
      <c r="BA1396">
        <v>1</v>
      </c>
      <c r="BB1396" t="str">
        <f t="shared" si="411"/>
        <v xml:space="preserve">N733KP  </v>
      </c>
      <c r="BC1396">
        <v>1</v>
      </c>
      <c r="BE1396">
        <v>0</v>
      </c>
      <c r="BF1396">
        <v>0</v>
      </c>
      <c r="BG1396">
        <v>0</v>
      </c>
      <c r="BH1396">
        <v>3400</v>
      </c>
      <c r="BI1396">
        <v>1</v>
      </c>
      <c r="BJ1396">
        <v>1</v>
      </c>
      <c r="BK1396">
        <v>0</v>
      </c>
      <c r="BL1396">
        <v>0</v>
      </c>
      <c r="BO1396">
        <v>0</v>
      </c>
      <c r="BP1396">
        <v>0</v>
      </c>
      <c r="BW1396" t="str">
        <f>"22:15:20.565"</f>
        <v>22:15:20.565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6</v>
      </c>
      <c r="CP1396" t="s">
        <v>119</v>
      </c>
      <c r="CQ1396">
        <v>364</v>
      </c>
      <c r="CR1396">
        <v>0</v>
      </c>
      <c r="CW1396">
        <v>1418191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"03/24/2022 22:15:20.732"</f>
        <v>03/24/2022 22:15:20.732</v>
      </c>
      <c r="C1397" t="str">
        <f t="shared" si="410"/>
        <v>FFDFD3C0</v>
      </c>
      <c r="D1397" t="s">
        <v>123</v>
      </c>
      <c r="E1397">
        <v>8</v>
      </c>
      <c r="H1397">
        <v>31</v>
      </c>
      <c r="I1397" t="s">
        <v>124</v>
      </c>
      <c r="J1397" t="s">
        <v>125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S1397" t="str">
        <f t="shared" si="419"/>
        <v>22:15:20.000</v>
      </c>
      <c r="T1397" t="str">
        <f t="shared" si="419"/>
        <v>22:15:20.000</v>
      </c>
      <c r="U1397" t="str">
        <f t="shared" si="404"/>
        <v>A9D71F</v>
      </c>
      <c r="V1397">
        <v>0</v>
      </c>
      <c r="W1397">
        <v>0</v>
      </c>
      <c r="X1397">
        <v>2</v>
      </c>
      <c r="Z1397">
        <v>1</v>
      </c>
      <c r="AA1397">
        <v>8</v>
      </c>
      <c r="AB1397">
        <v>3</v>
      </c>
      <c r="AC1397">
        <v>0</v>
      </c>
      <c r="AD1397">
        <v>9</v>
      </c>
      <c r="AE1397">
        <v>0</v>
      </c>
      <c r="AF1397">
        <v>3</v>
      </c>
      <c r="AG1397">
        <v>1</v>
      </c>
      <c r="AH1397">
        <v>0</v>
      </c>
      <c r="AI1397" t="s">
        <v>748</v>
      </c>
      <c r="AJ1397">
        <v>33.104745999999999</v>
      </c>
      <c r="AK1397" t="s">
        <v>749</v>
      </c>
      <c r="AL1397">
        <v>-97.691545000000005</v>
      </c>
      <c r="AM1397">
        <v>25</v>
      </c>
      <c r="AN1397">
        <v>3400</v>
      </c>
      <c r="AO1397" t="s">
        <v>118</v>
      </c>
      <c r="AP1397">
        <v>53</v>
      </c>
      <c r="AQ1397">
        <v>-98</v>
      </c>
      <c r="AR1397">
        <v>-128</v>
      </c>
      <c r="AZ1397">
        <v>1200</v>
      </c>
      <c r="BA1397">
        <v>1</v>
      </c>
      <c r="BB1397" t="str">
        <f t="shared" si="411"/>
        <v xml:space="preserve">N733KP  </v>
      </c>
      <c r="BC1397">
        <v>1</v>
      </c>
      <c r="BE1397">
        <v>0</v>
      </c>
      <c r="BF1397">
        <v>0</v>
      </c>
      <c r="BG1397">
        <v>0</v>
      </c>
      <c r="BH1397">
        <v>3400</v>
      </c>
      <c r="BI1397">
        <v>1</v>
      </c>
      <c r="BJ1397">
        <v>1</v>
      </c>
      <c r="BK1397">
        <v>0</v>
      </c>
      <c r="BL1397">
        <v>0</v>
      </c>
      <c r="BO1397">
        <v>0</v>
      </c>
      <c r="BP1397">
        <v>0</v>
      </c>
      <c r="BW1397" t="str">
        <f>"22:15:20.565"</f>
        <v>22:15:20.565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6</v>
      </c>
      <c r="CP1397" t="s">
        <v>119</v>
      </c>
      <c r="CQ1397">
        <v>364</v>
      </c>
      <c r="CR1397">
        <v>0</v>
      </c>
      <c r="CW1397">
        <v>1418191</v>
      </c>
      <c r="CY1397">
        <v>1</v>
      </c>
      <c r="CZ1397">
        <v>0</v>
      </c>
      <c r="DA1397">
        <v>1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"03/24/2022 22:15:20.810"</f>
        <v>03/24/2022 22:15:20.810</v>
      </c>
      <c r="C1398" t="str">
        <f t="shared" si="410"/>
        <v>FFDFD3C0</v>
      </c>
      <c r="D1398" t="s">
        <v>113</v>
      </c>
      <c r="E1398">
        <v>24</v>
      </c>
      <c r="F1398">
        <v>2024</v>
      </c>
      <c r="G1398" t="s">
        <v>114</v>
      </c>
      <c r="J1398" t="s">
        <v>115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S1398" t="str">
        <f t="shared" si="419"/>
        <v>22:15:20.000</v>
      </c>
      <c r="T1398" t="str">
        <f t="shared" si="419"/>
        <v>22:15:20.000</v>
      </c>
      <c r="U1398" t="str">
        <f t="shared" si="404"/>
        <v>A9D71F</v>
      </c>
      <c r="V1398">
        <v>0</v>
      </c>
      <c r="W1398">
        <v>0</v>
      </c>
      <c r="X1398">
        <v>2</v>
      </c>
      <c r="Z1398">
        <v>1</v>
      </c>
      <c r="AA1398">
        <v>8</v>
      </c>
      <c r="AB1398">
        <v>3</v>
      </c>
      <c r="AC1398">
        <v>0</v>
      </c>
      <c r="AD1398">
        <v>9</v>
      </c>
      <c r="AE1398">
        <v>0</v>
      </c>
      <c r="AF1398">
        <v>3</v>
      </c>
      <c r="AG1398">
        <v>1</v>
      </c>
      <c r="AH1398">
        <v>0</v>
      </c>
      <c r="AI1398" t="s">
        <v>748</v>
      </c>
      <c r="AJ1398">
        <v>33.104745999999999</v>
      </c>
      <c r="AK1398" t="s">
        <v>749</v>
      </c>
      <c r="AL1398">
        <v>-97.691545000000005</v>
      </c>
      <c r="AM1398">
        <v>25</v>
      </c>
      <c r="AN1398">
        <v>3400</v>
      </c>
      <c r="AO1398" t="s">
        <v>118</v>
      </c>
      <c r="AP1398">
        <v>53</v>
      </c>
      <c r="AQ1398">
        <v>-98</v>
      </c>
      <c r="AR1398">
        <v>-128</v>
      </c>
      <c r="AZ1398">
        <v>1200</v>
      </c>
      <c r="BA1398">
        <v>1</v>
      </c>
      <c r="BB1398" t="str">
        <f t="shared" si="411"/>
        <v xml:space="preserve">N733KP  </v>
      </c>
      <c r="BC1398">
        <v>1</v>
      </c>
      <c r="BE1398">
        <v>0</v>
      </c>
      <c r="BF1398">
        <v>0</v>
      </c>
      <c r="BG1398">
        <v>0</v>
      </c>
      <c r="BH1398">
        <v>3400</v>
      </c>
      <c r="BI1398">
        <v>1</v>
      </c>
      <c r="BJ1398">
        <v>1</v>
      </c>
      <c r="BK1398">
        <v>0</v>
      </c>
      <c r="BL1398">
        <v>0</v>
      </c>
      <c r="BO1398">
        <v>0</v>
      </c>
      <c r="BP1398">
        <v>0</v>
      </c>
      <c r="BW1398" t="str">
        <f>"22:15:20.565"</f>
        <v>22:15:20.565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6</v>
      </c>
      <c r="CP1398" t="s">
        <v>119</v>
      </c>
      <c r="CQ1398">
        <v>364</v>
      </c>
      <c r="CR1398">
        <v>0</v>
      </c>
      <c r="CW1398">
        <v>1418191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"03/24/2022 22:15:21.920"</f>
        <v>03/24/2022 22:15:21.920</v>
      </c>
      <c r="C1399" t="str">
        <f t="shared" si="410"/>
        <v>FFDFD3C0</v>
      </c>
      <c r="D1399" t="s">
        <v>113</v>
      </c>
      <c r="E1399">
        <v>24</v>
      </c>
      <c r="F1399">
        <v>2024</v>
      </c>
      <c r="G1399" t="s">
        <v>114</v>
      </c>
      <c r="J1399" t="s">
        <v>115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S1399" t="str">
        <f t="shared" ref="S1399:T1402" si="420">"22:15:21.000"</f>
        <v>22:15:21.000</v>
      </c>
      <c r="T1399" t="str">
        <f t="shared" si="420"/>
        <v>22:15:21.000</v>
      </c>
      <c r="U1399" t="str">
        <f t="shared" si="404"/>
        <v>A9D71F</v>
      </c>
      <c r="V1399">
        <v>0</v>
      </c>
      <c r="W1399">
        <v>0</v>
      </c>
      <c r="X1399">
        <v>2</v>
      </c>
      <c r="Z1399">
        <v>1</v>
      </c>
      <c r="AA1399">
        <v>8</v>
      </c>
      <c r="AB1399">
        <v>3</v>
      </c>
      <c r="AC1399">
        <v>0</v>
      </c>
      <c r="AD1399">
        <v>9</v>
      </c>
      <c r="AE1399">
        <v>0</v>
      </c>
      <c r="AF1399">
        <v>3</v>
      </c>
      <c r="AG1399">
        <v>1</v>
      </c>
      <c r="AH1399">
        <v>0</v>
      </c>
      <c r="AI1399" t="s">
        <v>750</v>
      </c>
      <c r="AJ1399">
        <v>33.104295999999998</v>
      </c>
      <c r="AK1399" t="s">
        <v>751</v>
      </c>
      <c r="AL1399">
        <v>-97.691244999999995</v>
      </c>
      <c r="AM1399">
        <v>25</v>
      </c>
      <c r="AN1399">
        <v>3400</v>
      </c>
      <c r="AO1399" t="s">
        <v>118</v>
      </c>
      <c r="AP1399">
        <v>54</v>
      </c>
      <c r="AQ1399">
        <v>-98</v>
      </c>
      <c r="AR1399">
        <v>-64</v>
      </c>
      <c r="AZ1399">
        <v>1200</v>
      </c>
      <c r="BA1399">
        <v>1</v>
      </c>
      <c r="BB1399" t="str">
        <f t="shared" si="411"/>
        <v xml:space="preserve">N733KP  </v>
      </c>
      <c r="BC1399">
        <v>1</v>
      </c>
      <c r="BE1399">
        <v>0</v>
      </c>
      <c r="BF1399">
        <v>0</v>
      </c>
      <c r="BG1399">
        <v>0</v>
      </c>
      <c r="BH1399">
        <v>3375</v>
      </c>
      <c r="BI1399">
        <v>1</v>
      </c>
      <c r="BJ1399">
        <v>1</v>
      </c>
      <c r="BK1399">
        <v>0</v>
      </c>
      <c r="BL1399">
        <v>0</v>
      </c>
      <c r="BO1399">
        <v>0</v>
      </c>
      <c r="BP1399">
        <v>0</v>
      </c>
      <c r="BW1399" t="str">
        <f>"22:15:21.667"</f>
        <v>22:15:21.667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364</v>
      </c>
      <c r="CR1399">
        <v>0</v>
      </c>
      <c r="CW1399">
        <v>1418371</v>
      </c>
      <c r="CY1399">
        <v>1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"03/24/2022 22:15:21.920"</f>
        <v>03/24/2022 22:15:21.920</v>
      </c>
      <c r="C1400" t="str">
        <f t="shared" si="410"/>
        <v>FFDFD3C0</v>
      </c>
      <c r="D1400" t="s">
        <v>120</v>
      </c>
      <c r="E1400">
        <v>14</v>
      </c>
      <c r="F1400">
        <v>1014</v>
      </c>
      <c r="G1400" t="s">
        <v>121</v>
      </c>
      <c r="J1400" t="s">
        <v>122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S1400" t="str">
        <f t="shared" si="420"/>
        <v>22:15:21.000</v>
      </c>
      <c r="T1400" t="str">
        <f t="shared" si="420"/>
        <v>22:15:21.000</v>
      </c>
      <c r="U1400" t="str">
        <f t="shared" si="404"/>
        <v>A9D71F</v>
      </c>
      <c r="V1400">
        <v>0</v>
      </c>
      <c r="W1400">
        <v>0</v>
      </c>
      <c r="X1400">
        <v>2</v>
      </c>
      <c r="Z1400">
        <v>1</v>
      </c>
      <c r="AA1400">
        <v>8</v>
      </c>
      <c r="AB1400">
        <v>3</v>
      </c>
      <c r="AC1400">
        <v>0</v>
      </c>
      <c r="AD1400">
        <v>9</v>
      </c>
      <c r="AE1400">
        <v>0</v>
      </c>
      <c r="AF1400">
        <v>3</v>
      </c>
      <c r="AG1400">
        <v>1</v>
      </c>
      <c r="AH1400">
        <v>0</v>
      </c>
      <c r="AI1400" t="s">
        <v>750</v>
      </c>
      <c r="AJ1400">
        <v>33.104295999999998</v>
      </c>
      <c r="AK1400" t="s">
        <v>751</v>
      </c>
      <c r="AL1400">
        <v>-97.691244999999995</v>
      </c>
      <c r="AM1400">
        <v>25</v>
      </c>
      <c r="AN1400">
        <v>3400</v>
      </c>
      <c r="AO1400" t="s">
        <v>118</v>
      </c>
      <c r="AP1400">
        <v>54</v>
      </c>
      <c r="AQ1400">
        <v>-98</v>
      </c>
      <c r="AR1400">
        <v>-64</v>
      </c>
      <c r="AZ1400">
        <v>1200</v>
      </c>
      <c r="BA1400">
        <v>1</v>
      </c>
      <c r="BB1400" t="str">
        <f t="shared" si="411"/>
        <v xml:space="preserve">N733KP  </v>
      </c>
      <c r="BC1400">
        <v>1</v>
      </c>
      <c r="BE1400">
        <v>0</v>
      </c>
      <c r="BF1400">
        <v>0</v>
      </c>
      <c r="BG1400">
        <v>0</v>
      </c>
      <c r="BH1400">
        <v>3375</v>
      </c>
      <c r="BI1400">
        <v>1</v>
      </c>
      <c r="BJ1400">
        <v>1</v>
      </c>
      <c r="BK1400">
        <v>0</v>
      </c>
      <c r="BL1400">
        <v>0</v>
      </c>
      <c r="BO1400">
        <v>0</v>
      </c>
      <c r="BP1400">
        <v>0</v>
      </c>
      <c r="BW1400" t="str">
        <f>"22:15:21.667"</f>
        <v>22:15:21.667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119</v>
      </c>
      <c r="CQ1400">
        <v>364</v>
      </c>
      <c r="CR1400">
        <v>0</v>
      </c>
      <c r="CW1400">
        <v>1418371</v>
      </c>
      <c r="CY1400">
        <v>1</v>
      </c>
      <c r="CZ1400">
        <v>0</v>
      </c>
      <c r="DA1400">
        <v>1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"03/24/2022 22:15:21.920"</f>
        <v>03/24/2022 22:15:21.920</v>
      </c>
      <c r="C1401" t="str">
        <f t="shared" si="410"/>
        <v>FFDFD3C0</v>
      </c>
      <c r="D1401" t="s">
        <v>126</v>
      </c>
      <c r="E1401">
        <v>3</v>
      </c>
      <c r="H1401">
        <v>160</v>
      </c>
      <c r="I1401" t="s">
        <v>121</v>
      </c>
      <c r="J1401" t="s">
        <v>127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S1401" t="str">
        <f t="shared" si="420"/>
        <v>22:15:21.000</v>
      </c>
      <c r="T1401" t="str">
        <f t="shared" si="420"/>
        <v>22:15:21.000</v>
      </c>
      <c r="U1401" t="str">
        <f t="shared" si="404"/>
        <v>A9D71F</v>
      </c>
      <c r="V1401">
        <v>0</v>
      </c>
      <c r="W1401">
        <v>0</v>
      </c>
      <c r="X1401">
        <v>2</v>
      </c>
      <c r="Z1401">
        <v>1</v>
      </c>
      <c r="AA1401">
        <v>8</v>
      </c>
      <c r="AB1401">
        <v>3</v>
      </c>
      <c r="AC1401">
        <v>0</v>
      </c>
      <c r="AD1401">
        <v>9</v>
      </c>
      <c r="AE1401">
        <v>0</v>
      </c>
      <c r="AF1401">
        <v>3</v>
      </c>
      <c r="AG1401">
        <v>1</v>
      </c>
      <c r="AH1401">
        <v>0</v>
      </c>
      <c r="AI1401" t="s">
        <v>750</v>
      </c>
      <c r="AJ1401">
        <v>33.104295999999998</v>
      </c>
      <c r="AK1401" t="s">
        <v>751</v>
      </c>
      <c r="AL1401">
        <v>-97.691244999999995</v>
      </c>
      <c r="AM1401">
        <v>25</v>
      </c>
      <c r="AN1401">
        <v>3400</v>
      </c>
      <c r="AO1401" t="s">
        <v>118</v>
      </c>
      <c r="AP1401">
        <v>54</v>
      </c>
      <c r="AQ1401">
        <v>-98</v>
      </c>
      <c r="AR1401">
        <v>-64</v>
      </c>
      <c r="AZ1401">
        <v>1200</v>
      </c>
      <c r="BA1401">
        <v>1</v>
      </c>
      <c r="BB1401" t="str">
        <f t="shared" si="411"/>
        <v xml:space="preserve">N733KP  </v>
      </c>
      <c r="BC1401">
        <v>1</v>
      </c>
      <c r="BE1401">
        <v>0</v>
      </c>
      <c r="BF1401">
        <v>0</v>
      </c>
      <c r="BG1401">
        <v>0</v>
      </c>
      <c r="BH1401">
        <v>3375</v>
      </c>
      <c r="BI1401">
        <v>1</v>
      </c>
      <c r="BJ1401">
        <v>1</v>
      </c>
      <c r="BK1401">
        <v>0</v>
      </c>
      <c r="BL1401">
        <v>0</v>
      </c>
      <c r="BO1401">
        <v>0</v>
      </c>
      <c r="BP1401">
        <v>0</v>
      </c>
      <c r="BW1401" t="str">
        <f>"22:15:21.667"</f>
        <v>22:15:21.667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364</v>
      </c>
      <c r="CR1401">
        <v>0</v>
      </c>
      <c r="CW1401">
        <v>1418371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"03/24/2022 22:15:21.920"</f>
        <v>03/24/2022 22:15:21.920</v>
      </c>
      <c r="C1402" t="str">
        <f t="shared" si="410"/>
        <v>FFDFD3C0</v>
      </c>
      <c r="D1402" t="s">
        <v>123</v>
      </c>
      <c r="E1402">
        <v>8</v>
      </c>
      <c r="H1402">
        <v>31</v>
      </c>
      <c r="I1402" t="s">
        <v>124</v>
      </c>
      <c r="J1402" t="s">
        <v>125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S1402" t="str">
        <f t="shared" si="420"/>
        <v>22:15:21.000</v>
      </c>
      <c r="T1402" t="str">
        <f t="shared" si="420"/>
        <v>22:15:21.000</v>
      </c>
      <c r="U1402" t="str">
        <f t="shared" si="404"/>
        <v>A9D71F</v>
      </c>
      <c r="V1402">
        <v>0</v>
      </c>
      <c r="W1402">
        <v>0</v>
      </c>
      <c r="X1402">
        <v>2</v>
      </c>
      <c r="Z1402">
        <v>1</v>
      </c>
      <c r="AA1402">
        <v>8</v>
      </c>
      <c r="AB1402">
        <v>3</v>
      </c>
      <c r="AC1402">
        <v>0</v>
      </c>
      <c r="AD1402">
        <v>9</v>
      </c>
      <c r="AE1402">
        <v>0</v>
      </c>
      <c r="AF1402">
        <v>3</v>
      </c>
      <c r="AG1402">
        <v>1</v>
      </c>
      <c r="AH1402">
        <v>0</v>
      </c>
      <c r="AI1402" t="s">
        <v>750</v>
      </c>
      <c r="AJ1402">
        <v>33.104295999999998</v>
      </c>
      <c r="AK1402" t="s">
        <v>751</v>
      </c>
      <c r="AL1402">
        <v>-97.691244999999995</v>
      </c>
      <c r="AM1402">
        <v>25</v>
      </c>
      <c r="AN1402">
        <v>3400</v>
      </c>
      <c r="AO1402" t="s">
        <v>118</v>
      </c>
      <c r="AP1402">
        <v>54</v>
      </c>
      <c r="AQ1402">
        <v>-98</v>
      </c>
      <c r="AR1402">
        <v>-64</v>
      </c>
      <c r="AZ1402">
        <v>1200</v>
      </c>
      <c r="BA1402">
        <v>1</v>
      </c>
      <c r="BB1402" t="str">
        <f t="shared" si="411"/>
        <v xml:space="preserve">N733KP  </v>
      </c>
      <c r="BC1402">
        <v>1</v>
      </c>
      <c r="BE1402">
        <v>0</v>
      </c>
      <c r="BF1402">
        <v>0</v>
      </c>
      <c r="BG1402">
        <v>0</v>
      </c>
      <c r="BH1402">
        <v>3375</v>
      </c>
      <c r="BI1402">
        <v>1</v>
      </c>
      <c r="BJ1402">
        <v>1</v>
      </c>
      <c r="BK1402">
        <v>0</v>
      </c>
      <c r="BL1402">
        <v>0</v>
      </c>
      <c r="BO1402">
        <v>0</v>
      </c>
      <c r="BP1402">
        <v>0</v>
      </c>
      <c r="BW1402" t="str">
        <f>"22:15:21.667"</f>
        <v>22:15:21.667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364</v>
      </c>
      <c r="CR1402">
        <v>0</v>
      </c>
      <c r="CW1402">
        <v>1418371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"03/24/2022 22:15:22.717"</f>
        <v>03/24/2022 22:15:22.717</v>
      </c>
      <c r="C1403" t="str">
        <f t="shared" si="410"/>
        <v>FFDFD3C0</v>
      </c>
      <c r="D1403" t="s">
        <v>113</v>
      </c>
      <c r="E1403">
        <v>24</v>
      </c>
      <c r="F1403">
        <v>2024</v>
      </c>
      <c r="G1403" t="s">
        <v>114</v>
      </c>
      <c r="J1403" t="s">
        <v>115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S1403" t="str">
        <f t="shared" ref="S1403:T1406" si="421">"22:15:22.000"</f>
        <v>22:15:22.000</v>
      </c>
      <c r="T1403" t="str">
        <f t="shared" si="421"/>
        <v>22:15:22.000</v>
      </c>
      <c r="U1403" t="str">
        <f t="shared" si="404"/>
        <v>A9D71F</v>
      </c>
      <c r="V1403">
        <v>0</v>
      </c>
      <c r="W1403">
        <v>0</v>
      </c>
      <c r="X1403">
        <v>2</v>
      </c>
      <c r="Z1403">
        <v>1</v>
      </c>
      <c r="AA1403">
        <v>8</v>
      </c>
      <c r="AB1403">
        <v>3</v>
      </c>
      <c r="AC1403">
        <v>0</v>
      </c>
      <c r="AD1403">
        <v>9</v>
      </c>
      <c r="AE1403">
        <v>0</v>
      </c>
      <c r="AF1403">
        <v>3</v>
      </c>
      <c r="AG1403">
        <v>1</v>
      </c>
      <c r="AH1403">
        <v>0</v>
      </c>
      <c r="AI1403" t="s">
        <v>752</v>
      </c>
      <c r="AJ1403">
        <v>33.103845</v>
      </c>
      <c r="AK1403" t="s">
        <v>753</v>
      </c>
      <c r="AL1403">
        <v>-97.690944999999999</v>
      </c>
      <c r="AM1403">
        <v>25</v>
      </c>
      <c r="AN1403">
        <v>3400</v>
      </c>
      <c r="AO1403" t="s">
        <v>118</v>
      </c>
      <c r="AP1403">
        <v>51</v>
      </c>
      <c r="AQ1403">
        <v>-97</v>
      </c>
      <c r="AR1403">
        <v>0</v>
      </c>
      <c r="AZ1403">
        <v>1200</v>
      </c>
      <c r="BA1403">
        <v>1</v>
      </c>
      <c r="BB1403" t="str">
        <f t="shared" si="411"/>
        <v xml:space="preserve">N733KP  </v>
      </c>
      <c r="BC1403">
        <v>1</v>
      </c>
      <c r="BE1403">
        <v>0</v>
      </c>
      <c r="BF1403">
        <v>0</v>
      </c>
      <c r="BG1403">
        <v>0</v>
      </c>
      <c r="BH1403">
        <v>3375</v>
      </c>
      <c r="BI1403">
        <v>1</v>
      </c>
      <c r="BJ1403">
        <v>1</v>
      </c>
      <c r="BK1403">
        <v>0</v>
      </c>
      <c r="BL1403">
        <v>0</v>
      </c>
      <c r="BO1403">
        <v>0</v>
      </c>
      <c r="BP1403">
        <v>0</v>
      </c>
      <c r="BW1403" t="str">
        <f>"22:15:22.531"</f>
        <v>22:15:22.531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364</v>
      </c>
      <c r="CR1403">
        <v>0</v>
      </c>
      <c r="CW1403">
        <v>1418523</v>
      </c>
      <c r="CY1403">
        <v>1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"03/24/2022 22:15:22.717"</f>
        <v>03/24/2022 22:15:22.717</v>
      </c>
      <c r="C1404" t="str">
        <f t="shared" si="410"/>
        <v>FFDFD3C0</v>
      </c>
      <c r="D1404" t="s">
        <v>120</v>
      </c>
      <c r="E1404">
        <v>14</v>
      </c>
      <c r="F1404">
        <v>1014</v>
      </c>
      <c r="G1404" t="s">
        <v>121</v>
      </c>
      <c r="J1404" t="s">
        <v>122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S1404" t="str">
        <f t="shared" si="421"/>
        <v>22:15:22.000</v>
      </c>
      <c r="T1404" t="str">
        <f t="shared" si="421"/>
        <v>22:15:22.000</v>
      </c>
      <c r="U1404" t="str">
        <f t="shared" si="404"/>
        <v>A9D71F</v>
      </c>
      <c r="V1404">
        <v>0</v>
      </c>
      <c r="W1404">
        <v>0</v>
      </c>
      <c r="X1404">
        <v>2</v>
      </c>
      <c r="Z1404">
        <v>1</v>
      </c>
      <c r="AA1404">
        <v>8</v>
      </c>
      <c r="AB1404">
        <v>3</v>
      </c>
      <c r="AC1404">
        <v>0</v>
      </c>
      <c r="AD1404">
        <v>9</v>
      </c>
      <c r="AE1404">
        <v>0</v>
      </c>
      <c r="AF1404">
        <v>3</v>
      </c>
      <c r="AG1404">
        <v>1</v>
      </c>
      <c r="AH1404">
        <v>0</v>
      </c>
      <c r="AI1404" t="s">
        <v>752</v>
      </c>
      <c r="AJ1404">
        <v>33.103845</v>
      </c>
      <c r="AK1404" t="s">
        <v>753</v>
      </c>
      <c r="AL1404">
        <v>-97.690944999999999</v>
      </c>
      <c r="AM1404">
        <v>25</v>
      </c>
      <c r="AN1404">
        <v>3400</v>
      </c>
      <c r="AO1404" t="s">
        <v>118</v>
      </c>
      <c r="AP1404">
        <v>51</v>
      </c>
      <c r="AQ1404">
        <v>-97</v>
      </c>
      <c r="AR1404">
        <v>0</v>
      </c>
      <c r="AZ1404">
        <v>1200</v>
      </c>
      <c r="BA1404">
        <v>1</v>
      </c>
      <c r="BB1404" t="str">
        <f t="shared" si="411"/>
        <v xml:space="preserve">N733KP  </v>
      </c>
      <c r="BC1404">
        <v>1</v>
      </c>
      <c r="BE1404">
        <v>0</v>
      </c>
      <c r="BF1404">
        <v>0</v>
      </c>
      <c r="BG1404">
        <v>0</v>
      </c>
      <c r="BH1404">
        <v>3375</v>
      </c>
      <c r="BI1404">
        <v>1</v>
      </c>
      <c r="BJ1404">
        <v>1</v>
      </c>
      <c r="BK1404">
        <v>0</v>
      </c>
      <c r="BL1404">
        <v>0</v>
      </c>
      <c r="BO1404">
        <v>0</v>
      </c>
      <c r="BP1404">
        <v>0</v>
      </c>
      <c r="BW1404" t="str">
        <f>"22:15:22.531"</f>
        <v>22:15:22.531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364</v>
      </c>
      <c r="CR1404">
        <v>0</v>
      </c>
      <c r="CW1404">
        <v>1418523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"03/24/2022 22:15:22.717"</f>
        <v>03/24/2022 22:15:22.717</v>
      </c>
      <c r="C1405" t="str">
        <f t="shared" si="410"/>
        <v>FFDFD3C0</v>
      </c>
      <c r="D1405" t="s">
        <v>123</v>
      </c>
      <c r="E1405">
        <v>8</v>
      </c>
      <c r="H1405">
        <v>31</v>
      </c>
      <c r="I1405" t="s">
        <v>124</v>
      </c>
      <c r="J1405" t="s">
        <v>125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S1405" t="str">
        <f t="shared" si="421"/>
        <v>22:15:22.000</v>
      </c>
      <c r="T1405" t="str">
        <f t="shared" si="421"/>
        <v>22:15:22.000</v>
      </c>
      <c r="U1405" t="str">
        <f t="shared" si="404"/>
        <v>A9D71F</v>
      </c>
      <c r="V1405">
        <v>0</v>
      </c>
      <c r="W1405">
        <v>0</v>
      </c>
      <c r="X1405">
        <v>2</v>
      </c>
      <c r="Z1405">
        <v>1</v>
      </c>
      <c r="AA1405">
        <v>8</v>
      </c>
      <c r="AB1405">
        <v>3</v>
      </c>
      <c r="AC1405">
        <v>0</v>
      </c>
      <c r="AD1405">
        <v>9</v>
      </c>
      <c r="AE1405">
        <v>0</v>
      </c>
      <c r="AF1405">
        <v>3</v>
      </c>
      <c r="AG1405">
        <v>1</v>
      </c>
      <c r="AH1405">
        <v>0</v>
      </c>
      <c r="AI1405" t="s">
        <v>752</v>
      </c>
      <c r="AJ1405">
        <v>33.103845</v>
      </c>
      <c r="AK1405" t="s">
        <v>753</v>
      </c>
      <c r="AL1405">
        <v>-97.690944999999999</v>
      </c>
      <c r="AM1405">
        <v>25</v>
      </c>
      <c r="AN1405">
        <v>3400</v>
      </c>
      <c r="AO1405" t="s">
        <v>118</v>
      </c>
      <c r="AP1405">
        <v>51</v>
      </c>
      <c r="AQ1405">
        <v>-97</v>
      </c>
      <c r="AR1405">
        <v>0</v>
      </c>
      <c r="AZ1405">
        <v>1200</v>
      </c>
      <c r="BA1405">
        <v>1</v>
      </c>
      <c r="BB1405" t="str">
        <f t="shared" si="411"/>
        <v xml:space="preserve">N733KP  </v>
      </c>
      <c r="BC1405">
        <v>1</v>
      </c>
      <c r="BE1405">
        <v>0</v>
      </c>
      <c r="BF1405">
        <v>0</v>
      </c>
      <c r="BG1405">
        <v>0</v>
      </c>
      <c r="BH1405">
        <v>3375</v>
      </c>
      <c r="BI1405">
        <v>1</v>
      </c>
      <c r="BJ1405">
        <v>1</v>
      </c>
      <c r="BK1405">
        <v>0</v>
      </c>
      <c r="BL1405">
        <v>0</v>
      </c>
      <c r="BO1405">
        <v>0</v>
      </c>
      <c r="BP1405">
        <v>0</v>
      </c>
      <c r="BW1405" t="str">
        <f>"22:15:22.531"</f>
        <v>22:15:22.531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364</v>
      </c>
      <c r="CR1405">
        <v>0</v>
      </c>
      <c r="CW1405">
        <v>1418523</v>
      </c>
      <c r="CY1405">
        <v>1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"03/24/2022 22:15:22.717"</f>
        <v>03/24/2022 22:15:22.717</v>
      </c>
      <c r="C1406" t="str">
        <f t="shared" si="410"/>
        <v>FFDFD3C0</v>
      </c>
      <c r="D1406" t="s">
        <v>126</v>
      </c>
      <c r="E1406">
        <v>3</v>
      </c>
      <c r="H1406">
        <v>160</v>
      </c>
      <c r="I1406" t="s">
        <v>121</v>
      </c>
      <c r="J1406" t="s">
        <v>127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S1406" t="str">
        <f t="shared" si="421"/>
        <v>22:15:22.000</v>
      </c>
      <c r="T1406" t="str">
        <f t="shared" si="421"/>
        <v>22:15:22.000</v>
      </c>
      <c r="U1406" t="str">
        <f t="shared" si="404"/>
        <v>A9D71F</v>
      </c>
      <c r="V1406">
        <v>0</v>
      </c>
      <c r="W1406">
        <v>0</v>
      </c>
      <c r="X1406">
        <v>2</v>
      </c>
      <c r="Z1406">
        <v>1</v>
      </c>
      <c r="AA1406">
        <v>8</v>
      </c>
      <c r="AB1406">
        <v>3</v>
      </c>
      <c r="AC1406">
        <v>0</v>
      </c>
      <c r="AD1406">
        <v>9</v>
      </c>
      <c r="AE1406">
        <v>0</v>
      </c>
      <c r="AF1406">
        <v>3</v>
      </c>
      <c r="AG1406">
        <v>1</v>
      </c>
      <c r="AH1406">
        <v>0</v>
      </c>
      <c r="AI1406" t="s">
        <v>752</v>
      </c>
      <c r="AJ1406">
        <v>33.103845</v>
      </c>
      <c r="AK1406" t="s">
        <v>753</v>
      </c>
      <c r="AL1406">
        <v>-97.690944999999999</v>
      </c>
      <c r="AM1406">
        <v>25</v>
      </c>
      <c r="AN1406">
        <v>3400</v>
      </c>
      <c r="AO1406" t="s">
        <v>118</v>
      </c>
      <c r="AP1406">
        <v>51</v>
      </c>
      <c r="AQ1406">
        <v>-97</v>
      </c>
      <c r="AR1406">
        <v>0</v>
      </c>
      <c r="AZ1406">
        <v>1200</v>
      </c>
      <c r="BA1406">
        <v>1</v>
      </c>
      <c r="BB1406" t="str">
        <f t="shared" si="411"/>
        <v xml:space="preserve">N733KP  </v>
      </c>
      <c r="BC1406">
        <v>1</v>
      </c>
      <c r="BE1406">
        <v>0</v>
      </c>
      <c r="BF1406">
        <v>0</v>
      </c>
      <c r="BG1406">
        <v>0</v>
      </c>
      <c r="BH1406">
        <v>3375</v>
      </c>
      <c r="BI1406">
        <v>1</v>
      </c>
      <c r="BJ1406">
        <v>1</v>
      </c>
      <c r="BK1406">
        <v>0</v>
      </c>
      <c r="BL1406">
        <v>0</v>
      </c>
      <c r="BO1406">
        <v>0</v>
      </c>
      <c r="BP1406">
        <v>0</v>
      </c>
      <c r="BW1406" t="str">
        <f>"22:15:22.531"</f>
        <v>22:15:22.531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364</v>
      </c>
      <c r="CR1406">
        <v>0</v>
      </c>
      <c r="CW1406">
        <v>1418523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"03/24/2022 22:15:24.001"</f>
        <v>03/24/2022 22:15:24.001</v>
      </c>
      <c r="C1407" t="str">
        <f t="shared" si="410"/>
        <v>FFDFD3C0</v>
      </c>
      <c r="D1407" t="s">
        <v>113</v>
      </c>
      <c r="E1407">
        <v>24</v>
      </c>
      <c r="F1407">
        <v>2024</v>
      </c>
      <c r="G1407" t="s">
        <v>114</v>
      </c>
      <c r="J1407" t="s">
        <v>115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S1407" t="str">
        <f t="shared" ref="S1407:T1410" si="422">"22:15:23.000"</f>
        <v>22:15:23.000</v>
      </c>
      <c r="T1407" t="str">
        <f t="shared" si="422"/>
        <v>22:15:23.000</v>
      </c>
      <c r="U1407" t="str">
        <f t="shared" si="404"/>
        <v>A9D71F</v>
      </c>
      <c r="V1407">
        <v>0</v>
      </c>
      <c r="W1407">
        <v>0</v>
      </c>
      <c r="X1407">
        <v>2</v>
      </c>
      <c r="Z1407">
        <v>1</v>
      </c>
      <c r="AA1407">
        <v>8</v>
      </c>
      <c r="AB1407">
        <v>3</v>
      </c>
      <c r="AC1407">
        <v>0</v>
      </c>
      <c r="AD1407">
        <v>9</v>
      </c>
      <c r="AE1407">
        <v>0</v>
      </c>
      <c r="AF1407">
        <v>3</v>
      </c>
      <c r="AG1407">
        <v>1</v>
      </c>
      <c r="AH1407">
        <v>0</v>
      </c>
      <c r="AI1407" t="s">
        <v>754</v>
      </c>
      <c r="AJ1407">
        <v>33.103372999999998</v>
      </c>
      <c r="AK1407" t="s">
        <v>755</v>
      </c>
      <c r="AL1407">
        <v>-97.690623000000002</v>
      </c>
      <c r="AM1407">
        <v>25</v>
      </c>
      <c r="AN1407">
        <v>3400</v>
      </c>
      <c r="AO1407" t="s">
        <v>118</v>
      </c>
      <c r="AP1407">
        <v>53</v>
      </c>
      <c r="AQ1407">
        <v>-99</v>
      </c>
      <c r="AR1407">
        <v>-64</v>
      </c>
      <c r="AZ1407">
        <v>1200</v>
      </c>
      <c r="BA1407">
        <v>1</v>
      </c>
      <c r="BB1407" t="str">
        <f t="shared" si="411"/>
        <v xml:space="preserve">N733KP  </v>
      </c>
      <c r="BC1407">
        <v>1</v>
      </c>
      <c r="BE1407">
        <v>0</v>
      </c>
      <c r="BF1407">
        <v>0</v>
      </c>
      <c r="BG1407">
        <v>0</v>
      </c>
      <c r="BH1407">
        <v>3375</v>
      </c>
      <c r="BI1407">
        <v>1</v>
      </c>
      <c r="BJ1407">
        <v>1</v>
      </c>
      <c r="BK1407">
        <v>0</v>
      </c>
      <c r="BL1407">
        <v>0</v>
      </c>
      <c r="BO1407">
        <v>0</v>
      </c>
      <c r="BP1407">
        <v>0</v>
      </c>
      <c r="BW1407" t="str">
        <f>"22:15:23.840"</f>
        <v>22:15:23.840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364</v>
      </c>
      <c r="CR1407">
        <v>0</v>
      </c>
      <c r="CW1407">
        <v>1418743</v>
      </c>
      <c r="CY1407">
        <v>1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"03/24/2022 22:15:24.063"</f>
        <v>03/24/2022 22:15:24.063</v>
      </c>
      <c r="C1408" t="str">
        <f t="shared" si="410"/>
        <v>FFDFD3C0</v>
      </c>
      <c r="D1408" t="s">
        <v>120</v>
      </c>
      <c r="E1408">
        <v>14</v>
      </c>
      <c r="F1408">
        <v>1014</v>
      </c>
      <c r="G1408" t="s">
        <v>121</v>
      </c>
      <c r="J1408" t="s">
        <v>122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S1408" t="str">
        <f t="shared" si="422"/>
        <v>22:15:23.000</v>
      </c>
      <c r="T1408" t="str">
        <f t="shared" si="422"/>
        <v>22:15:23.000</v>
      </c>
      <c r="U1408" t="str">
        <f t="shared" si="404"/>
        <v>A9D71F</v>
      </c>
      <c r="V1408">
        <v>0</v>
      </c>
      <c r="W1408">
        <v>0</v>
      </c>
      <c r="X1408">
        <v>2</v>
      </c>
      <c r="Z1408">
        <v>1</v>
      </c>
      <c r="AA1408">
        <v>8</v>
      </c>
      <c r="AB1408">
        <v>3</v>
      </c>
      <c r="AC1408">
        <v>0</v>
      </c>
      <c r="AD1408">
        <v>9</v>
      </c>
      <c r="AE1408">
        <v>0</v>
      </c>
      <c r="AF1408">
        <v>3</v>
      </c>
      <c r="AG1408">
        <v>1</v>
      </c>
      <c r="AH1408">
        <v>0</v>
      </c>
      <c r="AI1408" t="s">
        <v>754</v>
      </c>
      <c r="AJ1408">
        <v>33.103372999999998</v>
      </c>
      <c r="AK1408" t="s">
        <v>755</v>
      </c>
      <c r="AL1408">
        <v>-97.690623000000002</v>
      </c>
      <c r="AM1408">
        <v>25</v>
      </c>
      <c r="AN1408">
        <v>3400</v>
      </c>
      <c r="AO1408" t="s">
        <v>118</v>
      </c>
      <c r="AP1408">
        <v>53</v>
      </c>
      <c r="AQ1408">
        <v>-99</v>
      </c>
      <c r="AR1408">
        <v>-64</v>
      </c>
      <c r="AZ1408">
        <v>1200</v>
      </c>
      <c r="BA1408">
        <v>1</v>
      </c>
      <c r="BB1408" t="str">
        <f t="shared" si="411"/>
        <v xml:space="preserve">N733KP  </v>
      </c>
      <c r="BC1408">
        <v>1</v>
      </c>
      <c r="BE1408">
        <v>0</v>
      </c>
      <c r="BF1408">
        <v>0</v>
      </c>
      <c r="BG1408">
        <v>0</v>
      </c>
      <c r="BH1408">
        <v>3375</v>
      </c>
      <c r="BI1408">
        <v>1</v>
      </c>
      <c r="BJ1408">
        <v>1</v>
      </c>
      <c r="BK1408">
        <v>0</v>
      </c>
      <c r="BL1408">
        <v>0</v>
      </c>
      <c r="BO1408">
        <v>0</v>
      </c>
      <c r="BP1408">
        <v>0</v>
      </c>
      <c r="BW1408" t="str">
        <f>"22:15:23.840"</f>
        <v>22:15:23.840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364</v>
      </c>
      <c r="CR1408">
        <v>0</v>
      </c>
      <c r="CW1408">
        <v>1418743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"03/24/2022 22:15:24.063"</f>
        <v>03/24/2022 22:15:24.063</v>
      </c>
      <c r="C1409" t="str">
        <f t="shared" si="410"/>
        <v>FFDFD3C0</v>
      </c>
      <c r="D1409" t="s">
        <v>123</v>
      </c>
      <c r="E1409">
        <v>8</v>
      </c>
      <c r="H1409">
        <v>31</v>
      </c>
      <c r="I1409" t="s">
        <v>124</v>
      </c>
      <c r="J1409" t="s">
        <v>125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S1409" t="str">
        <f t="shared" si="422"/>
        <v>22:15:23.000</v>
      </c>
      <c r="T1409" t="str">
        <f t="shared" si="422"/>
        <v>22:15:23.000</v>
      </c>
      <c r="U1409" t="str">
        <f t="shared" si="404"/>
        <v>A9D71F</v>
      </c>
      <c r="V1409">
        <v>0</v>
      </c>
      <c r="W1409">
        <v>0</v>
      </c>
      <c r="X1409">
        <v>2</v>
      </c>
      <c r="Z1409">
        <v>1</v>
      </c>
      <c r="AA1409">
        <v>8</v>
      </c>
      <c r="AB1409">
        <v>3</v>
      </c>
      <c r="AC1409">
        <v>0</v>
      </c>
      <c r="AD1409">
        <v>9</v>
      </c>
      <c r="AE1409">
        <v>0</v>
      </c>
      <c r="AF1409">
        <v>3</v>
      </c>
      <c r="AG1409">
        <v>1</v>
      </c>
      <c r="AH1409">
        <v>0</v>
      </c>
      <c r="AI1409" t="s">
        <v>754</v>
      </c>
      <c r="AJ1409">
        <v>33.103372999999998</v>
      </c>
      <c r="AK1409" t="s">
        <v>755</v>
      </c>
      <c r="AL1409">
        <v>-97.690623000000002</v>
      </c>
      <c r="AM1409">
        <v>25</v>
      </c>
      <c r="AN1409">
        <v>3400</v>
      </c>
      <c r="AO1409" t="s">
        <v>118</v>
      </c>
      <c r="AP1409">
        <v>53</v>
      </c>
      <c r="AQ1409">
        <v>-99</v>
      </c>
      <c r="AR1409">
        <v>-64</v>
      </c>
      <c r="AZ1409">
        <v>1200</v>
      </c>
      <c r="BA1409">
        <v>1</v>
      </c>
      <c r="BB1409" t="str">
        <f t="shared" si="411"/>
        <v xml:space="preserve">N733KP  </v>
      </c>
      <c r="BC1409">
        <v>1</v>
      </c>
      <c r="BE1409">
        <v>0</v>
      </c>
      <c r="BF1409">
        <v>0</v>
      </c>
      <c r="BG1409">
        <v>0</v>
      </c>
      <c r="BH1409">
        <v>3375</v>
      </c>
      <c r="BI1409">
        <v>1</v>
      </c>
      <c r="BJ1409">
        <v>1</v>
      </c>
      <c r="BK1409">
        <v>0</v>
      </c>
      <c r="BL1409">
        <v>0</v>
      </c>
      <c r="BO1409">
        <v>0</v>
      </c>
      <c r="BP1409">
        <v>0</v>
      </c>
      <c r="BW1409" t="str">
        <f>"22:15:23.840"</f>
        <v>22:15:23.840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364</v>
      </c>
      <c r="CR1409">
        <v>0</v>
      </c>
      <c r="CW1409">
        <v>1418743</v>
      </c>
      <c r="CY1409">
        <v>1</v>
      </c>
      <c r="CZ1409">
        <v>0</v>
      </c>
      <c r="DA1409">
        <v>1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"03/24/2022 22:15:24.079"</f>
        <v>03/24/2022 22:15:24.079</v>
      </c>
      <c r="C1410" t="str">
        <f t="shared" si="410"/>
        <v>FFDFD3C0</v>
      </c>
      <c r="D1410" t="s">
        <v>126</v>
      </c>
      <c r="E1410">
        <v>3</v>
      </c>
      <c r="H1410">
        <v>160</v>
      </c>
      <c r="I1410" t="s">
        <v>121</v>
      </c>
      <c r="J1410" t="s">
        <v>127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S1410" t="str">
        <f t="shared" si="422"/>
        <v>22:15:23.000</v>
      </c>
      <c r="T1410" t="str">
        <f t="shared" si="422"/>
        <v>22:15:23.000</v>
      </c>
      <c r="U1410" t="str">
        <f t="shared" ref="U1410:U1473" si="423">"A9D71F"</f>
        <v>A9D71F</v>
      </c>
      <c r="V1410">
        <v>0</v>
      </c>
      <c r="W1410">
        <v>0</v>
      </c>
      <c r="X1410">
        <v>2</v>
      </c>
      <c r="Z1410">
        <v>1</v>
      </c>
      <c r="AA1410">
        <v>8</v>
      </c>
      <c r="AB1410">
        <v>3</v>
      </c>
      <c r="AC1410">
        <v>0</v>
      </c>
      <c r="AD1410">
        <v>9</v>
      </c>
      <c r="AE1410">
        <v>0</v>
      </c>
      <c r="AF1410">
        <v>3</v>
      </c>
      <c r="AG1410">
        <v>1</v>
      </c>
      <c r="AH1410">
        <v>0</v>
      </c>
      <c r="AI1410" t="s">
        <v>754</v>
      </c>
      <c r="AJ1410">
        <v>33.103372999999998</v>
      </c>
      <c r="AK1410" t="s">
        <v>755</v>
      </c>
      <c r="AL1410">
        <v>-97.690623000000002</v>
      </c>
      <c r="AM1410">
        <v>25</v>
      </c>
      <c r="AN1410">
        <v>3400</v>
      </c>
      <c r="AO1410" t="s">
        <v>118</v>
      </c>
      <c r="AP1410">
        <v>53</v>
      </c>
      <c r="AQ1410">
        <v>-99</v>
      </c>
      <c r="AR1410">
        <v>-64</v>
      </c>
      <c r="AZ1410">
        <v>1200</v>
      </c>
      <c r="BA1410">
        <v>1</v>
      </c>
      <c r="BB1410" t="str">
        <f t="shared" si="411"/>
        <v xml:space="preserve">N733KP  </v>
      </c>
      <c r="BC1410">
        <v>1</v>
      </c>
      <c r="BE1410">
        <v>0</v>
      </c>
      <c r="BF1410">
        <v>0</v>
      </c>
      <c r="BG1410">
        <v>0</v>
      </c>
      <c r="BH1410">
        <v>3375</v>
      </c>
      <c r="BI1410">
        <v>1</v>
      </c>
      <c r="BJ1410">
        <v>1</v>
      </c>
      <c r="BK1410">
        <v>0</v>
      </c>
      <c r="BL1410">
        <v>0</v>
      </c>
      <c r="BO1410">
        <v>0</v>
      </c>
      <c r="BP1410">
        <v>0</v>
      </c>
      <c r="BW1410" t="str">
        <f>"22:15:23.840"</f>
        <v>22:15:23.840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364</v>
      </c>
      <c r="CR1410">
        <v>0</v>
      </c>
      <c r="CW1410">
        <v>1418743</v>
      </c>
      <c r="CY1410">
        <v>1</v>
      </c>
      <c r="CZ1410">
        <v>0</v>
      </c>
      <c r="DA1410">
        <v>1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"03/24/2022 22:15:25.032"</f>
        <v>03/24/2022 22:15:25.032</v>
      </c>
      <c r="C1411" t="str">
        <f t="shared" si="410"/>
        <v>FFDFD3C0</v>
      </c>
      <c r="D1411" t="s">
        <v>123</v>
      </c>
      <c r="E1411">
        <v>8</v>
      </c>
      <c r="H1411">
        <v>31</v>
      </c>
      <c r="I1411" t="s">
        <v>124</v>
      </c>
      <c r="J1411" t="s">
        <v>125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S1411" t="str">
        <f t="shared" ref="S1411:T1414" si="424">"22:15:24.000"</f>
        <v>22:15:24.000</v>
      </c>
      <c r="T1411" t="str">
        <f t="shared" si="424"/>
        <v>22:15:24.000</v>
      </c>
      <c r="U1411" t="str">
        <f t="shared" si="423"/>
        <v>A9D71F</v>
      </c>
      <c r="V1411">
        <v>0</v>
      </c>
      <c r="W1411">
        <v>0</v>
      </c>
      <c r="X1411">
        <v>2</v>
      </c>
      <c r="Z1411">
        <v>1</v>
      </c>
      <c r="AA1411">
        <v>8</v>
      </c>
      <c r="AB1411">
        <v>3</v>
      </c>
      <c r="AC1411">
        <v>0</v>
      </c>
      <c r="AD1411">
        <v>9</v>
      </c>
      <c r="AE1411">
        <v>0</v>
      </c>
      <c r="AF1411">
        <v>3</v>
      </c>
      <c r="AG1411">
        <v>1</v>
      </c>
      <c r="AH1411">
        <v>0</v>
      </c>
      <c r="AI1411" t="s">
        <v>756</v>
      </c>
      <c r="AJ1411">
        <v>33.102922</v>
      </c>
      <c r="AK1411" t="s">
        <v>757</v>
      </c>
      <c r="AL1411">
        <v>-97.690343999999996</v>
      </c>
      <c r="AM1411">
        <v>25</v>
      </c>
      <c r="AN1411">
        <v>3400</v>
      </c>
      <c r="AO1411" t="s">
        <v>118</v>
      </c>
      <c r="AP1411">
        <v>53</v>
      </c>
      <c r="AQ1411">
        <v>-100</v>
      </c>
      <c r="AR1411">
        <v>-256</v>
      </c>
      <c r="AZ1411">
        <v>1200</v>
      </c>
      <c r="BA1411">
        <v>1</v>
      </c>
      <c r="BB1411" t="str">
        <f t="shared" si="411"/>
        <v xml:space="preserve">N733KP  </v>
      </c>
      <c r="BC1411">
        <v>1</v>
      </c>
      <c r="BE1411">
        <v>0</v>
      </c>
      <c r="BF1411">
        <v>0</v>
      </c>
      <c r="BG1411">
        <v>0</v>
      </c>
      <c r="BH1411">
        <v>3375</v>
      </c>
      <c r="BI1411">
        <v>1</v>
      </c>
      <c r="BJ1411">
        <v>1</v>
      </c>
      <c r="BK1411">
        <v>0</v>
      </c>
      <c r="BL1411">
        <v>0</v>
      </c>
      <c r="BO1411">
        <v>0</v>
      </c>
      <c r="BP1411">
        <v>0</v>
      </c>
      <c r="BW1411" t="str">
        <f>"22:15:24.893"</f>
        <v>22:15:24.893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6</v>
      </c>
      <c r="CP1411" t="s">
        <v>119</v>
      </c>
      <c r="CQ1411">
        <v>364</v>
      </c>
      <c r="CR1411">
        <v>0</v>
      </c>
      <c r="CW1411">
        <v>1418929</v>
      </c>
      <c r="CY1411">
        <v>1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"03/24/2022 22:15:25.079"</f>
        <v>03/24/2022 22:15:25.079</v>
      </c>
      <c r="C1412" t="str">
        <f t="shared" si="410"/>
        <v>FFDFD3C0</v>
      </c>
      <c r="D1412" t="s">
        <v>120</v>
      </c>
      <c r="E1412">
        <v>14</v>
      </c>
      <c r="F1412">
        <v>1014</v>
      </c>
      <c r="G1412" t="s">
        <v>121</v>
      </c>
      <c r="J1412" t="s">
        <v>122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S1412" t="str">
        <f t="shared" si="424"/>
        <v>22:15:24.000</v>
      </c>
      <c r="T1412" t="str">
        <f t="shared" si="424"/>
        <v>22:15:24.000</v>
      </c>
      <c r="U1412" t="str">
        <f t="shared" si="423"/>
        <v>A9D71F</v>
      </c>
      <c r="V1412">
        <v>0</v>
      </c>
      <c r="W1412">
        <v>0</v>
      </c>
      <c r="X1412">
        <v>2</v>
      </c>
      <c r="Z1412">
        <v>1</v>
      </c>
      <c r="AA1412">
        <v>8</v>
      </c>
      <c r="AB1412">
        <v>3</v>
      </c>
      <c r="AC1412">
        <v>0</v>
      </c>
      <c r="AD1412">
        <v>9</v>
      </c>
      <c r="AE1412">
        <v>0</v>
      </c>
      <c r="AF1412">
        <v>3</v>
      </c>
      <c r="AG1412">
        <v>1</v>
      </c>
      <c r="AH1412">
        <v>0</v>
      </c>
      <c r="AI1412" t="s">
        <v>756</v>
      </c>
      <c r="AJ1412">
        <v>33.102922</v>
      </c>
      <c r="AK1412" t="s">
        <v>757</v>
      </c>
      <c r="AL1412">
        <v>-97.690343999999996</v>
      </c>
      <c r="AM1412">
        <v>25</v>
      </c>
      <c r="AN1412">
        <v>3400</v>
      </c>
      <c r="AO1412" t="s">
        <v>118</v>
      </c>
      <c r="AP1412">
        <v>53</v>
      </c>
      <c r="AQ1412">
        <v>-100</v>
      </c>
      <c r="AR1412">
        <v>-256</v>
      </c>
      <c r="AZ1412">
        <v>1200</v>
      </c>
      <c r="BA1412">
        <v>1</v>
      </c>
      <c r="BB1412" t="str">
        <f t="shared" si="411"/>
        <v xml:space="preserve">N733KP  </v>
      </c>
      <c r="BC1412">
        <v>1</v>
      </c>
      <c r="BE1412">
        <v>0</v>
      </c>
      <c r="BF1412">
        <v>0</v>
      </c>
      <c r="BG1412">
        <v>0</v>
      </c>
      <c r="BH1412">
        <v>3375</v>
      </c>
      <c r="BI1412">
        <v>1</v>
      </c>
      <c r="BJ1412">
        <v>1</v>
      </c>
      <c r="BK1412">
        <v>0</v>
      </c>
      <c r="BL1412">
        <v>0</v>
      </c>
      <c r="BO1412">
        <v>0</v>
      </c>
      <c r="BP1412">
        <v>0</v>
      </c>
      <c r="BW1412" t="str">
        <f>"22:15:24.893"</f>
        <v>22:15:24.893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6</v>
      </c>
      <c r="CP1412" t="s">
        <v>119</v>
      </c>
      <c r="CQ1412">
        <v>364</v>
      </c>
      <c r="CR1412">
        <v>0</v>
      </c>
      <c r="CW1412">
        <v>1418929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"03/24/2022 22:15:25.079"</f>
        <v>03/24/2022 22:15:25.079</v>
      </c>
      <c r="C1413" t="str">
        <f t="shared" si="410"/>
        <v>FFDFD3C0</v>
      </c>
      <c r="D1413" t="s">
        <v>126</v>
      </c>
      <c r="E1413">
        <v>3</v>
      </c>
      <c r="H1413">
        <v>160</v>
      </c>
      <c r="I1413" t="s">
        <v>121</v>
      </c>
      <c r="J1413" t="s">
        <v>127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S1413" t="str">
        <f t="shared" si="424"/>
        <v>22:15:24.000</v>
      </c>
      <c r="T1413" t="str">
        <f t="shared" si="424"/>
        <v>22:15:24.000</v>
      </c>
      <c r="U1413" t="str">
        <f t="shared" si="423"/>
        <v>A9D71F</v>
      </c>
      <c r="V1413">
        <v>0</v>
      </c>
      <c r="W1413">
        <v>0</v>
      </c>
      <c r="X1413">
        <v>2</v>
      </c>
      <c r="Z1413">
        <v>1</v>
      </c>
      <c r="AA1413">
        <v>8</v>
      </c>
      <c r="AB1413">
        <v>3</v>
      </c>
      <c r="AC1413">
        <v>0</v>
      </c>
      <c r="AD1413">
        <v>9</v>
      </c>
      <c r="AE1413">
        <v>0</v>
      </c>
      <c r="AF1413">
        <v>3</v>
      </c>
      <c r="AG1413">
        <v>1</v>
      </c>
      <c r="AH1413">
        <v>0</v>
      </c>
      <c r="AI1413" t="s">
        <v>756</v>
      </c>
      <c r="AJ1413">
        <v>33.102922</v>
      </c>
      <c r="AK1413" t="s">
        <v>757</v>
      </c>
      <c r="AL1413">
        <v>-97.690343999999996</v>
      </c>
      <c r="AM1413">
        <v>25</v>
      </c>
      <c r="AN1413">
        <v>3400</v>
      </c>
      <c r="AO1413" t="s">
        <v>118</v>
      </c>
      <c r="AP1413">
        <v>53</v>
      </c>
      <c r="AQ1413">
        <v>-100</v>
      </c>
      <c r="AR1413">
        <v>-256</v>
      </c>
      <c r="AZ1413">
        <v>1200</v>
      </c>
      <c r="BA1413">
        <v>1</v>
      </c>
      <c r="BB1413" t="str">
        <f t="shared" si="411"/>
        <v xml:space="preserve">N733KP  </v>
      </c>
      <c r="BC1413">
        <v>1</v>
      </c>
      <c r="BE1413">
        <v>0</v>
      </c>
      <c r="BF1413">
        <v>0</v>
      </c>
      <c r="BG1413">
        <v>0</v>
      </c>
      <c r="BH1413">
        <v>3375</v>
      </c>
      <c r="BI1413">
        <v>1</v>
      </c>
      <c r="BJ1413">
        <v>1</v>
      </c>
      <c r="BK1413">
        <v>0</v>
      </c>
      <c r="BL1413">
        <v>0</v>
      </c>
      <c r="BO1413">
        <v>0</v>
      </c>
      <c r="BP1413">
        <v>0</v>
      </c>
      <c r="BW1413" t="str">
        <f>"22:15:24.893"</f>
        <v>22:15:24.893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6</v>
      </c>
      <c r="CP1413" t="s">
        <v>119</v>
      </c>
      <c r="CQ1413">
        <v>364</v>
      </c>
      <c r="CR1413">
        <v>0</v>
      </c>
      <c r="CW1413">
        <v>1418929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"03/24/2022 22:15:25.079"</f>
        <v>03/24/2022 22:15:25.079</v>
      </c>
      <c r="C1414" t="str">
        <f t="shared" si="410"/>
        <v>FFDFD3C0</v>
      </c>
      <c r="D1414" t="s">
        <v>113</v>
      </c>
      <c r="E1414">
        <v>24</v>
      </c>
      <c r="F1414">
        <v>2024</v>
      </c>
      <c r="G1414" t="s">
        <v>114</v>
      </c>
      <c r="J1414" t="s">
        <v>115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S1414" t="str">
        <f t="shared" si="424"/>
        <v>22:15:24.000</v>
      </c>
      <c r="T1414" t="str">
        <f t="shared" si="424"/>
        <v>22:15:24.000</v>
      </c>
      <c r="U1414" t="str">
        <f t="shared" si="423"/>
        <v>A9D71F</v>
      </c>
      <c r="V1414">
        <v>0</v>
      </c>
      <c r="W1414">
        <v>0</v>
      </c>
      <c r="X1414">
        <v>2</v>
      </c>
      <c r="Z1414">
        <v>1</v>
      </c>
      <c r="AA1414">
        <v>8</v>
      </c>
      <c r="AB1414">
        <v>3</v>
      </c>
      <c r="AC1414">
        <v>0</v>
      </c>
      <c r="AD1414">
        <v>9</v>
      </c>
      <c r="AE1414">
        <v>0</v>
      </c>
      <c r="AF1414">
        <v>3</v>
      </c>
      <c r="AG1414">
        <v>1</v>
      </c>
      <c r="AH1414">
        <v>0</v>
      </c>
      <c r="AI1414" t="s">
        <v>756</v>
      </c>
      <c r="AJ1414">
        <v>33.102922</v>
      </c>
      <c r="AK1414" t="s">
        <v>757</v>
      </c>
      <c r="AL1414">
        <v>-97.690343999999996</v>
      </c>
      <c r="AM1414">
        <v>25</v>
      </c>
      <c r="AN1414">
        <v>3400</v>
      </c>
      <c r="AO1414" t="s">
        <v>118</v>
      </c>
      <c r="AP1414">
        <v>53</v>
      </c>
      <c r="AQ1414">
        <v>-100</v>
      </c>
      <c r="AR1414">
        <v>-256</v>
      </c>
      <c r="AZ1414">
        <v>1200</v>
      </c>
      <c r="BA1414">
        <v>1</v>
      </c>
      <c r="BB1414" t="str">
        <f t="shared" si="411"/>
        <v xml:space="preserve">N733KP  </v>
      </c>
      <c r="BC1414">
        <v>1</v>
      </c>
      <c r="BE1414">
        <v>0</v>
      </c>
      <c r="BF1414">
        <v>0</v>
      </c>
      <c r="BG1414">
        <v>0</v>
      </c>
      <c r="BH1414">
        <v>3375</v>
      </c>
      <c r="BI1414">
        <v>1</v>
      </c>
      <c r="BJ1414">
        <v>1</v>
      </c>
      <c r="BK1414">
        <v>0</v>
      </c>
      <c r="BL1414">
        <v>0</v>
      </c>
      <c r="BO1414">
        <v>0</v>
      </c>
      <c r="BP1414">
        <v>0</v>
      </c>
      <c r="BW1414" t="str">
        <f>"22:15:24.893"</f>
        <v>22:15:24.893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6</v>
      </c>
      <c r="CP1414" t="s">
        <v>119</v>
      </c>
      <c r="CQ1414">
        <v>364</v>
      </c>
      <c r="CR1414">
        <v>0</v>
      </c>
      <c r="CW1414">
        <v>1418929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"03/24/2022 22:15:26.001"</f>
        <v>03/24/2022 22:15:26.001</v>
      </c>
      <c r="C1415" t="str">
        <f t="shared" si="410"/>
        <v>FFDFD3C0</v>
      </c>
      <c r="D1415" t="s">
        <v>126</v>
      </c>
      <c r="E1415">
        <v>3</v>
      </c>
      <c r="H1415">
        <v>160</v>
      </c>
      <c r="I1415" t="s">
        <v>121</v>
      </c>
      <c r="J1415" t="s">
        <v>127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S1415" t="str">
        <f t="shared" ref="S1415:T1418" si="425">"22:15:25.000"</f>
        <v>22:15:25.000</v>
      </c>
      <c r="T1415" t="str">
        <f t="shared" si="425"/>
        <v>22:15:25.000</v>
      </c>
      <c r="U1415" t="str">
        <f t="shared" si="423"/>
        <v>A9D71F</v>
      </c>
      <c r="V1415">
        <v>0</v>
      </c>
      <c r="W1415">
        <v>0</v>
      </c>
      <c r="X1415">
        <v>2</v>
      </c>
      <c r="Z1415">
        <v>1</v>
      </c>
      <c r="AA1415">
        <v>8</v>
      </c>
      <c r="AB1415">
        <v>3</v>
      </c>
      <c r="AC1415">
        <v>0</v>
      </c>
      <c r="AD1415">
        <v>9</v>
      </c>
      <c r="AE1415">
        <v>0</v>
      </c>
      <c r="AF1415">
        <v>3</v>
      </c>
      <c r="AG1415">
        <v>1</v>
      </c>
      <c r="AH1415">
        <v>0</v>
      </c>
      <c r="AI1415" t="s">
        <v>758</v>
      </c>
      <c r="AJ1415">
        <v>33.102449999999997</v>
      </c>
      <c r="AK1415" t="s">
        <v>759</v>
      </c>
      <c r="AL1415">
        <v>-97.690043000000003</v>
      </c>
      <c r="AM1415">
        <v>25</v>
      </c>
      <c r="AN1415">
        <v>3400</v>
      </c>
      <c r="AO1415" t="s">
        <v>118</v>
      </c>
      <c r="AP1415">
        <v>51</v>
      </c>
      <c r="AQ1415">
        <v>-100</v>
      </c>
      <c r="AR1415">
        <v>-128</v>
      </c>
      <c r="AZ1415">
        <v>1200</v>
      </c>
      <c r="BA1415">
        <v>1</v>
      </c>
      <c r="BB1415" t="str">
        <f t="shared" si="411"/>
        <v xml:space="preserve">N733KP  </v>
      </c>
      <c r="BC1415">
        <v>1</v>
      </c>
      <c r="BE1415">
        <v>0</v>
      </c>
      <c r="BF1415">
        <v>0</v>
      </c>
      <c r="BG1415">
        <v>0</v>
      </c>
      <c r="BH1415">
        <v>3375</v>
      </c>
      <c r="BI1415">
        <v>1</v>
      </c>
      <c r="BJ1415">
        <v>1</v>
      </c>
      <c r="BK1415">
        <v>0</v>
      </c>
      <c r="BL1415">
        <v>0</v>
      </c>
      <c r="BO1415">
        <v>0</v>
      </c>
      <c r="BP1415">
        <v>0</v>
      </c>
      <c r="BW1415" t="str">
        <f>"22:15:25.810"</f>
        <v>22:15:25.810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6</v>
      </c>
      <c r="CP1415" t="s">
        <v>119</v>
      </c>
      <c r="CQ1415">
        <v>364</v>
      </c>
      <c r="CR1415">
        <v>0</v>
      </c>
      <c r="CW1415">
        <v>1419088</v>
      </c>
      <c r="CY1415">
        <v>1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"03/24/2022 22:15:26.001"</f>
        <v>03/24/2022 22:15:26.001</v>
      </c>
      <c r="C1416" t="str">
        <f t="shared" si="410"/>
        <v>FFDFD3C0</v>
      </c>
      <c r="D1416" t="s">
        <v>120</v>
      </c>
      <c r="E1416">
        <v>14</v>
      </c>
      <c r="F1416">
        <v>1014</v>
      </c>
      <c r="G1416" t="s">
        <v>121</v>
      </c>
      <c r="J1416" t="s">
        <v>122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S1416" t="str">
        <f t="shared" si="425"/>
        <v>22:15:25.000</v>
      </c>
      <c r="T1416" t="str">
        <f t="shared" si="425"/>
        <v>22:15:25.000</v>
      </c>
      <c r="U1416" t="str">
        <f t="shared" si="423"/>
        <v>A9D71F</v>
      </c>
      <c r="V1416">
        <v>0</v>
      </c>
      <c r="W1416">
        <v>0</v>
      </c>
      <c r="X1416">
        <v>2</v>
      </c>
      <c r="Z1416">
        <v>1</v>
      </c>
      <c r="AA1416">
        <v>8</v>
      </c>
      <c r="AB1416">
        <v>3</v>
      </c>
      <c r="AC1416">
        <v>0</v>
      </c>
      <c r="AD1416">
        <v>9</v>
      </c>
      <c r="AE1416">
        <v>0</v>
      </c>
      <c r="AF1416">
        <v>3</v>
      </c>
      <c r="AG1416">
        <v>1</v>
      </c>
      <c r="AH1416">
        <v>0</v>
      </c>
      <c r="AI1416" t="s">
        <v>758</v>
      </c>
      <c r="AJ1416">
        <v>33.102449999999997</v>
      </c>
      <c r="AK1416" t="s">
        <v>759</v>
      </c>
      <c r="AL1416">
        <v>-97.690043000000003</v>
      </c>
      <c r="AM1416">
        <v>25</v>
      </c>
      <c r="AN1416">
        <v>3400</v>
      </c>
      <c r="AO1416" t="s">
        <v>118</v>
      </c>
      <c r="AP1416">
        <v>51</v>
      </c>
      <c r="AQ1416">
        <v>-100</v>
      </c>
      <c r="AR1416">
        <v>-128</v>
      </c>
      <c r="AZ1416">
        <v>1200</v>
      </c>
      <c r="BA1416">
        <v>1</v>
      </c>
      <c r="BB1416" t="str">
        <f t="shared" si="411"/>
        <v xml:space="preserve">N733KP  </v>
      </c>
      <c r="BC1416">
        <v>1</v>
      </c>
      <c r="BE1416">
        <v>0</v>
      </c>
      <c r="BF1416">
        <v>0</v>
      </c>
      <c r="BG1416">
        <v>0</v>
      </c>
      <c r="BH1416">
        <v>3375</v>
      </c>
      <c r="BI1416">
        <v>1</v>
      </c>
      <c r="BJ1416">
        <v>1</v>
      </c>
      <c r="BK1416">
        <v>0</v>
      </c>
      <c r="BL1416">
        <v>0</v>
      </c>
      <c r="BO1416">
        <v>0</v>
      </c>
      <c r="BP1416">
        <v>0</v>
      </c>
      <c r="BW1416" t="str">
        <f>"22:15:25.810"</f>
        <v>22:15:25.810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6</v>
      </c>
      <c r="CP1416" t="s">
        <v>119</v>
      </c>
      <c r="CQ1416">
        <v>364</v>
      </c>
      <c r="CR1416">
        <v>0</v>
      </c>
      <c r="CW1416">
        <v>1419088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"03/24/2022 22:15:26.001"</f>
        <v>03/24/2022 22:15:26.001</v>
      </c>
      <c r="C1417" t="str">
        <f t="shared" si="410"/>
        <v>FFDFD3C0</v>
      </c>
      <c r="D1417" t="s">
        <v>113</v>
      </c>
      <c r="E1417">
        <v>24</v>
      </c>
      <c r="F1417">
        <v>2024</v>
      </c>
      <c r="G1417" t="s">
        <v>114</v>
      </c>
      <c r="J1417" t="s">
        <v>115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S1417" t="str">
        <f t="shared" si="425"/>
        <v>22:15:25.000</v>
      </c>
      <c r="T1417" t="str">
        <f t="shared" si="425"/>
        <v>22:15:25.000</v>
      </c>
      <c r="U1417" t="str">
        <f t="shared" si="423"/>
        <v>A9D71F</v>
      </c>
      <c r="V1417">
        <v>0</v>
      </c>
      <c r="W1417">
        <v>0</v>
      </c>
      <c r="X1417">
        <v>2</v>
      </c>
      <c r="Z1417">
        <v>1</v>
      </c>
      <c r="AA1417">
        <v>8</v>
      </c>
      <c r="AB1417">
        <v>3</v>
      </c>
      <c r="AC1417">
        <v>0</v>
      </c>
      <c r="AD1417">
        <v>9</v>
      </c>
      <c r="AE1417">
        <v>0</v>
      </c>
      <c r="AF1417">
        <v>3</v>
      </c>
      <c r="AG1417">
        <v>1</v>
      </c>
      <c r="AH1417">
        <v>0</v>
      </c>
      <c r="AI1417" t="s">
        <v>758</v>
      </c>
      <c r="AJ1417">
        <v>33.102449999999997</v>
      </c>
      <c r="AK1417" t="s">
        <v>759</v>
      </c>
      <c r="AL1417">
        <v>-97.690043000000003</v>
      </c>
      <c r="AM1417">
        <v>25</v>
      </c>
      <c r="AN1417">
        <v>3400</v>
      </c>
      <c r="AO1417" t="s">
        <v>118</v>
      </c>
      <c r="AP1417">
        <v>51</v>
      </c>
      <c r="AQ1417">
        <v>-100</v>
      </c>
      <c r="AR1417">
        <v>-128</v>
      </c>
      <c r="AZ1417">
        <v>1200</v>
      </c>
      <c r="BA1417">
        <v>1</v>
      </c>
      <c r="BB1417" t="str">
        <f t="shared" si="411"/>
        <v xml:space="preserve">N733KP  </v>
      </c>
      <c r="BC1417">
        <v>1</v>
      </c>
      <c r="BE1417">
        <v>0</v>
      </c>
      <c r="BF1417">
        <v>0</v>
      </c>
      <c r="BG1417">
        <v>0</v>
      </c>
      <c r="BH1417">
        <v>3375</v>
      </c>
      <c r="BI1417">
        <v>1</v>
      </c>
      <c r="BJ1417">
        <v>1</v>
      </c>
      <c r="BK1417">
        <v>0</v>
      </c>
      <c r="BL1417">
        <v>0</v>
      </c>
      <c r="BO1417">
        <v>0</v>
      </c>
      <c r="BP1417">
        <v>0</v>
      </c>
      <c r="BW1417" t="str">
        <f>"22:15:25.810"</f>
        <v>22:15:25.810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6</v>
      </c>
      <c r="CP1417" t="s">
        <v>119</v>
      </c>
      <c r="CQ1417">
        <v>364</v>
      </c>
      <c r="CR1417">
        <v>0</v>
      </c>
      <c r="CW1417">
        <v>1419088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"03/24/2022 22:15:26.001"</f>
        <v>03/24/2022 22:15:26.001</v>
      </c>
      <c r="C1418" t="str">
        <f t="shared" si="410"/>
        <v>FFDFD3C0</v>
      </c>
      <c r="D1418" t="s">
        <v>123</v>
      </c>
      <c r="E1418">
        <v>8</v>
      </c>
      <c r="H1418">
        <v>31</v>
      </c>
      <c r="I1418" t="s">
        <v>124</v>
      </c>
      <c r="J1418" t="s">
        <v>125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S1418" t="str">
        <f t="shared" si="425"/>
        <v>22:15:25.000</v>
      </c>
      <c r="T1418" t="str">
        <f t="shared" si="425"/>
        <v>22:15:25.000</v>
      </c>
      <c r="U1418" t="str">
        <f t="shared" si="423"/>
        <v>A9D71F</v>
      </c>
      <c r="V1418">
        <v>0</v>
      </c>
      <c r="W1418">
        <v>0</v>
      </c>
      <c r="X1418">
        <v>2</v>
      </c>
      <c r="Z1418">
        <v>1</v>
      </c>
      <c r="AA1418">
        <v>8</v>
      </c>
      <c r="AB1418">
        <v>3</v>
      </c>
      <c r="AC1418">
        <v>0</v>
      </c>
      <c r="AD1418">
        <v>9</v>
      </c>
      <c r="AE1418">
        <v>0</v>
      </c>
      <c r="AF1418">
        <v>3</v>
      </c>
      <c r="AG1418">
        <v>1</v>
      </c>
      <c r="AH1418">
        <v>0</v>
      </c>
      <c r="AI1418" t="s">
        <v>758</v>
      </c>
      <c r="AJ1418">
        <v>33.102449999999997</v>
      </c>
      <c r="AK1418" t="s">
        <v>759</v>
      </c>
      <c r="AL1418">
        <v>-97.690043000000003</v>
      </c>
      <c r="AM1418">
        <v>25</v>
      </c>
      <c r="AN1418">
        <v>3400</v>
      </c>
      <c r="AO1418" t="s">
        <v>118</v>
      </c>
      <c r="AP1418">
        <v>51</v>
      </c>
      <c r="AQ1418">
        <v>-100</v>
      </c>
      <c r="AR1418">
        <v>-128</v>
      </c>
      <c r="AZ1418">
        <v>1200</v>
      </c>
      <c r="BA1418">
        <v>1</v>
      </c>
      <c r="BB1418" t="str">
        <f t="shared" si="411"/>
        <v xml:space="preserve">N733KP  </v>
      </c>
      <c r="BC1418">
        <v>1</v>
      </c>
      <c r="BE1418">
        <v>0</v>
      </c>
      <c r="BF1418">
        <v>0</v>
      </c>
      <c r="BG1418">
        <v>0</v>
      </c>
      <c r="BH1418">
        <v>3375</v>
      </c>
      <c r="BI1418">
        <v>1</v>
      </c>
      <c r="BJ1418">
        <v>1</v>
      </c>
      <c r="BK1418">
        <v>0</v>
      </c>
      <c r="BL1418">
        <v>0</v>
      </c>
      <c r="BO1418">
        <v>0</v>
      </c>
      <c r="BP1418">
        <v>0</v>
      </c>
      <c r="BW1418" t="str">
        <f>"22:15:25.810"</f>
        <v>22:15:25.810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6</v>
      </c>
      <c r="CP1418" t="s">
        <v>119</v>
      </c>
      <c r="CQ1418">
        <v>364</v>
      </c>
      <c r="CR1418">
        <v>0</v>
      </c>
      <c r="CW1418">
        <v>1419088</v>
      </c>
      <c r="CY1418">
        <v>1</v>
      </c>
      <c r="CZ1418">
        <v>0</v>
      </c>
      <c r="DA1418">
        <v>1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"03/24/2022 22:15:26.626"</f>
        <v>03/24/2022 22:15:26.626</v>
      </c>
      <c r="C1419" t="str">
        <f t="shared" si="410"/>
        <v>FFDFD3C0</v>
      </c>
      <c r="D1419" t="s">
        <v>123</v>
      </c>
      <c r="E1419">
        <v>8</v>
      </c>
      <c r="H1419">
        <v>31</v>
      </c>
      <c r="I1419" t="s">
        <v>124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S1419" t="str">
        <f t="shared" ref="S1419:T1422" si="426">"22:15:26.000"</f>
        <v>22:15:26.000</v>
      </c>
      <c r="T1419" t="str">
        <f t="shared" si="426"/>
        <v>22:15:26.000</v>
      </c>
      <c r="U1419" t="str">
        <f t="shared" si="423"/>
        <v>A9D71F</v>
      </c>
      <c r="V1419">
        <v>0</v>
      </c>
      <c r="W1419">
        <v>0</v>
      </c>
      <c r="X1419">
        <v>2</v>
      </c>
      <c r="Z1419">
        <v>1</v>
      </c>
      <c r="AA1419">
        <v>8</v>
      </c>
      <c r="AB1419">
        <v>3</v>
      </c>
      <c r="AC1419">
        <v>0</v>
      </c>
      <c r="AD1419">
        <v>9</v>
      </c>
      <c r="AE1419">
        <v>0</v>
      </c>
      <c r="AF1419">
        <v>3</v>
      </c>
      <c r="AG1419">
        <v>1</v>
      </c>
      <c r="AH1419">
        <v>0</v>
      </c>
      <c r="AI1419" t="s">
        <v>760</v>
      </c>
      <c r="AJ1419">
        <v>33.101999999999997</v>
      </c>
      <c r="AK1419" t="s">
        <v>761</v>
      </c>
      <c r="AL1419">
        <v>-97.689763999999997</v>
      </c>
      <c r="AM1419">
        <v>25</v>
      </c>
      <c r="AN1419">
        <v>3400</v>
      </c>
      <c r="AO1419" t="s">
        <v>118</v>
      </c>
      <c r="AP1419">
        <v>51</v>
      </c>
      <c r="AQ1419">
        <v>-100</v>
      </c>
      <c r="AR1419">
        <v>-128</v>
      </c>
      <c r="AZ1419">
        <v>1200</v>
      </c>
      <c r="BA1419">
        <v>1</v>
      </c>
      <c r="BB1419" t="str">
        <f t="shared" si="411"/>
        <v xml:space="preserve">N733KP  </v>
      </c>
      <c r="BC1419">
        <v>1</v>
      </c>
      <c r="BE1419">
        <v>0</v>
      </c>
      <c r="BF1419">
        <v>0</v>
      </c>
      <c r="BG1419">
        <v>0</v>
      </c>
      <c r="BH1419">
        <v>3375</v>
      </c>
      <c r="BI1419">
        <v>1</v>
      </c>
      <c r="BJ1419">
        <v>1</v>
      </c>
      <c r="BK1419">
        <v>0</v>
      </c>
      <c r="BL1419">
        <v>0</v>
      </c>
      <c r="BO1419">
        <v>0</v>
      </c>
      <c r="BP1419">
        <v>0</v>
      </c>
      <c r="BW1419" t="str">
        <f>"22:15:26.452"</f>
        <v>22:15:26.452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364</v>
      </c>
      <c r="CR1419">
        <v>0</v>
      </c>
      <c r="CW1419">
        <v>1419194</v>
      </c>
      <c r="CY1419">
        <v>1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"03/24/2022 22:15:26.642"</f>
        <v>03/24/2022 22:15:26.642</v>
      </c>
      <c r="C1420" t="str">
        <f t="shared" si="410"/>
        <v>FFDFD3C0</v>
      </c>
      <c r="D1420" t="s">
        <v>126</v>
      </c>
      <c r="E1420">
        <v>3</v>
      </c>
      <c r="H1420">
        <v>160</v>
      </c>
      <c r="I1420" t="s">
        <v>121</v>
      </c>
      <c r="J1420" t="s">
        <v>127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S1420" t="str">
        <f t="shared" si="426"/>
        <v>22:15:26.000</v>
      </c>
      <c r="T1420" t="str">
        <f t="shared" si="426"/>
        <v>22:15:26.000</v>
      </c>
      <c r="U1420" t="str">
        <f t="shared" si="423"/>
        <v>A9D71F</v>
      </c>
      <c r="V1420">
        <v>0</v>
      </c>
      <c r="W1420">
        <v>0</v>
      </c>
      <c r="X1420">
        <v>2</v>
      </c>
      <c r="Z1420">
        <v>1</v>
      </c>
      <c r="AA1420">
        <v>8</v>
      </c>
      <c r="AB1420">
        <v>3</v>
      </c>
      <c r="AC1420">
        <v>0</v>
      </c>
      <c r="AD1420">
        <v>9</v>
      </c>
      <c r="AE1420">
        <v>0</v>
      </c>
      <c r="AF1420">
        <v>3</v>
      </c>
      <c r="AG1420">
        <v>1</v>
      </c>
      <c r="AH1420">
        <v>0</v>
      </c>
      <c r="AI1420" t="s">
        <v>760</v>
      </c>
      <c r="AJ1420">
        <v>33.101999999999997</v>
      </c>
      <c r="AK1420" t="s">
        <v>761</v>
      </c>
      <c r="AL1420">
        <v>-97.689763999999997</v>
      </c>
      <c r="AM1420">
        <v>25</v>
      </c>
      <c r="AN1420">
        <v>3400</v>
      </c>
      <c r="AO1420" t="s">
        <v>118</v>
      </c>
      <c r="AP1420">
        <v>51</v>
      </c>
      <c r="AQ1420">
        <v>-100</v>
      </c>
      <c r="AR1420">
        <v>-128</v>
      </c>
      <c r="AZ1420">
        <v>1200</v>
      </c>
      <c r="BA1420">
        <v>1</v>
      </c>
      <c r="BB1420" t="str">
        <f t="shared" si="411"/>
        <v xml:space="preserve">N733KP  </v>
      </c>
      <c r="BC1420">
        <v>1</v>
      </c>
      <c r="BE1420">
        <v>0</v>
      </c>
      <c r="BF1420">
        <v>0</v>
      </c>
      <c r="BG1420">
        <v>0</v>
      </c>
      <c r="BH1420">
        <v>3375</v>
      </c>
      <c r="BI1420">
        <v>1</v>
      </c>
      <c r="BJ1420">
        <v>1</v>
      </c>
      <c r="BK1420">
        <v>0</v>
      </c>
      <c r="BL1420">
        <v>0</v>
      </c>
      <c r="BO1420">
        <v>0</v>
      </c>
      <c r="BP1420">
        <v>0</v>
      </c>
      <c r="BW1420" t="str">
        <f>"22:15:26.452"</f>
        <v>22:15:26.452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7</v>
      </c>
      <c r="CP1420" t="s">
        <v>119</v>
      </c>
      <c r="CQ1420">
        <v>364</v>
      </c>
      <c r="CR1420">
        <v>0</v>
      </c>
      <c r="CW1420">
        <v>1419194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"03/24/2022 22:15:26.642"</f>
        <v>03/24/2022 22:15:26.642</v>
      </c>
      <c r="C1421" t="str">
        <f t="shared" si="410"/>
        <v>FFDFD3C0</v>
      </c>
      <c r="D1421" t="s">
        <v>120</v>
      </c>
      <c r="E1421">
        <v>14</v>
      </c>
      <c r="F1421">
        <v>1014</v>
      </c>
      <c r="G1421" t="s">
        <v>121</v>
      </c>
      <c r="J1421" t="s">
        <v>122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S1421" t="str">
        <f t="shared" si="426"/>
        <v>22:15:26.000</v>
      </c>
      <c r="T1421" t="str">
        <f t="shared" si="426"/>
        <v>22:15:26.000</v>
      </c>
      <c r="U1421" t="str">
        <f t="shared" si="423"/>
        <v>A9D71F</v>
      </c>
      <c r="V1421">
        <v>0</v>
      </c>
      <c r="W1421">
        <v>0</v>
      </c>
      <c r="X1421">
        <v>2</v>
      </c>
      <c r="Z1421">
        <v>1</v>
      </c>
      <c r="AA1421">
        <v>8</v>
      </c>
      <c r="AB1421">
        <v>3</v>
      </c>
      <c r="AC1421">
        <v>0</v>
      </c>
      <c r="AD1421">
        <v>9</v>
      </c>
      <c r="AE1421">
        <v>0</v>
      </c>
      <c r="AF1421">
        <v>3</v>
      </c>
      <c r="AG1421">
        <v>1</v>
      </c>
      <c r="AH1421">
        <v>0</v>
      </c>
      <c r="AI1421" t="s">
        <v>760</v>
      </c>
      <c r="AJ1421">
        <v>33.101999999999997</v>
      </c>
      <c r="AK1421" t="s">
        <v>761</v>
      </c>
      <c r="AL1421">
        <v>-97.689763999999997</v>
      </c>
      <c r="AM1421">
        <v>25</v>
      </c>
      <c r="AN1421">
        <v>3400</v>
      </c>
      <c r="AO1421" t="s">
        <v>118</v>
      </c>
      <c r="AP1421">
        <v>51</v>
      </c>
      <c r="AQ1421">
        <v>-100</v>
      </c>
      <c r="AR1421">
        <v>-128</v>
      </c>
      <c r="AZ1421">
        <v>1200</v>
      </c>
      <c r="BA1421">
        <v>1</v>
      </c>
      <c r="BB1421" t="str">
        <f t="shared" si="411"/>
        <v xml:space="preserve">N733KP  </v>
      </c>
      <c r="BC1421">
        <v>1</v>
      </c>
      <c r="BE1421">
        <v>0</v>
      </c>
      <c r="BF1421">
        <v>0</v>
      </c>
      <c r="BG1421">
        <v>0</v>
      </c>
      <c r="BH1421">
        <v>3375</v>
      </c>
      <c r="BI1421">
        <v>1</v>
      </c>
      <c r="BJ1421">
        <v>1</v>
      </c>
      <c r="BK1421">
        <v>0</v>
      </c>
      <c r="BL1421">
        <v>0</v>
      </c>
      <c r="BO1421">
        <v>0</v>
      </c>
      <c r="BP1421">
        <v>0</v>
      </c>
      <c r="BW1421" t="str">
        <f>"22:15:26.452"</f>
        <v>22:15:26.452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364</v>
      </c>
      <c r="CR1421">
        <v>0</v>
      </c>
      <c r="CW1421">
        <v>1419194</v>
      </c>
      <c r="CY1421">
        <v>1</v>
      </c>
      <c r="CZ1421">
        <v>0</v>
      </c>
      <c r="DA1421">
        <v>1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"03/24/2022 22:15:26.642"</f>
        <v>03/24/2022 22:15:26.642</v>
      </c>
      <c r="C1422" t="str">
        <f t="shared" si="410"/>
        <v>FFDFD3C0</v>
      </c>
      <c r="D1422" t="s">
        <v>113</v>
      </c>
      <c r="E1422">
        <v>24</v>
      </c>
      <c r="F1422">
        <v>2024</v>
      </c>
      <c r="G1422" t="s">
        <v>114</v>
      </c>
      <c r="J1422" t="s">
        <v>115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S1422" t="str">
        <f t="shared" si="426"/>
        <v>22:15:26.000</v>
      </c>
      <c r="T1422" t="str">
        <f t="shared" si="426"/>
        <v>22:15:26.000</v>
      </c>
      <c r="U1422" t="str">
        <f t="shared" si="423"/>
        <v>A9D71F</v>
      </c>
      <c r="V1422">
        <v>0</v>
      </c>
      <c r="W1422">
        <v>0</v>
      </c>
      <c r="X1422">
        <v>2</v>
      </c>
      <c r="Z1422">
        <v>1</v>
      </c>
      <c r="AA1422">
        <v>8</v>
      </c>
      <c r="AB1422">
        <v>3</v>
      </c>
      <c r="AC1422">
        <v>0</v>
      </c>
      <c r="AD1422">
        <v>9</v>
      </c>
      <c r="AE1422">
        <v>0</v>
      </c>
      <c r="AF1422">
        <v>3</v>
      </c>
      <c r="AG1422">
        <v>1</v>
      </c>
      <c r="AH1422">
        <v>0</v>
      </c>
      <c r="AI1422" t="s">
        <v>760</v>
      </c>
      <c r="AJ1422">
        <v>33.101999999999997</v>
      </c>
      <c r="AK1422" t="s">
        <v>761</v>
      </c>
      <c r="AL1422">
        <v>-97.689763999999997</v>
      </c>
      <c r="AM1422">
        <v>25</v>
      </c>
      <c r="AN1422">
        <v>3400</v>
      </c>
      <c r="AO1422" t="s">
        <v>118</v>
      </c>
      <c r="AP1422">
        <v>51</v>
      </c>
      <c r="AQ1422">
        <v>-100</v>
      </c>
      <c r="AR1422">
        <v>-128</v>
      </c>
      <c r="AZ1422">
        <v>1200</v>
      </c>
      <c r="BA1422">
        <v>1</v>
      </c>
      <c r="BB1422" t="str">
        <f t="shared" si="411"/>
        <v xml:space="preserve">N733KP  </v>
      </c>
      <c r="BC1422">
        <v>1</v>
      </c>
      <c r="BE1422">
        <v>0</v>
      </c>
      <c r="BF1422">
        <v>0</v>
      </c>
      <c r="BG1422">
        <v>0</v>
      </c>
      <c r="BH1422">
        <v>3375</v>
      </c>
      <c r="BI1422">
        <v>1</v>
      </c>
      <c r="BJ1422">
        <v>1</v>
      </c>
      <c r="BK1422">
        <v>0</v>
      </c>
      <c r="BL1422">
        <v>0</v>
      </c>
      <c r="BO1422">
        <v>0</v>
      </c>
      <c r="BP1422">
        <v>0</v>
      </c>
      <c r="BW1422" t="str">
        <f>"22:15:26.452"</f>
        <v>22:15:26.452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364</v>
      </c>
      <c r="CR1422">
        <v>0</v>
      </c>
      <c r="CW1422">
        <v>1419194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"03/24/2022 22:15:28.127"</f>
        <v>03/24/2022 22:15:28.127</v>
      </c>
      <c r="C1423" t="str">
        <f t="shared" si="410"/>
        <v>FFDFD3C0</v>
      </c>
      <c r="D1423" t="s">
        <v>126</v>
      </c>
      <c r="E1423">
        <v>3</v>
      </c>
      <c r="H1423">
        <v>160</v>
      </c>
      <c r="I1423" t="s">
        <v>121</v>
      </c>
      <c r="J1423" t="s">
        <v>127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S1423" t="str">
        <f t="shared" ref="S1423:T1426" si="427">"22:15:27.000"</f>
        <v>22:15:27.000</v>
      </c>
      <c r="T1423" t="str">
        <f t="shared" si="427"/>
        <v>22:15:27.000</v>
      </c>
      <c r="U1423" t="str">
        <f t="shared" si="423"/>
        <v>A9D71F</v>
      </c>
      <c r="V1423">
        <v>0</v>
      </c>
      <c r="W1423">
        <v>0</v>
      </c>
      <c r="X1423">
        <v>2</v>
      </c>
      <c r="Z1423">
        <v>1</v>
      </c>
      <c r="AA1423">
        <v>8</v>
      </c>
      <c r="AB1423">
        <v>3</v>
      </c>
      <c r="AC1423">
        <v>0</v>
      </c>
      <c r="AD1423">
        <v>9</v>
      </c>
      <c r="AE1423">
        <v>0</v>
      </c>
      <c r="AF1423">
        <v>3</v>
      </c>
      <c r="AG1423">
        <v>1</v>
      </c>
      <c r="AH1423">
        <v>0</v>
      </c>
      <c r="AI1423" t="s">
        <v>762</v>
      </c>
      <c r="AJ1423">
        <v>33.101528000000002</v>
      </c>
      <c r="AK1423" t="s">
        <v>763</v>
      </c>
      <c r="AL1423">
        <v>-97.689486000000002</v>
      </c>
      <c r="AM1423">
        <v>25</v>
      </c>
      <c r="AN1423">
        <v>3400</v>
      </c>
      <c r="AO1423" t="s">
        <v>118</v>
      </c>
      <c r="AP1423">
        <v>49</v>
      </c>
      <c r="AQ1423">
        <v>-101</v>
      </c>
      <c r="AR1423">
        <v>-192</v>
      </c>
      <c r="AZ1423">
        <v>1200</v>
      </c>
      <c r="BA1423">
        <v>1</v>
      </c>
      <c r="BB1423" t="str">
        <f t="shared" si="411"/>
        <v xml:space="preserve">N733KP  </v>
      </c>
      <c r="BC1423">
        <v>1</v>
      </c>
      <c r="BE1423">
        <v>0</v>
      </c>
      <c r="BF1423">
        <v>0</v>
      </c>
      <c r="BG1423">
        <v>0</v>
      </c>
      <c r="BH1423">
        <v>3350</v>
      </c>
      <c r="BI1423">
        <v>1</v>
      </c>
      <c r="BJ1423">
        <v>1</v>
      </c>
      <c r="BK1423">
        <v>0</v>
      </c>
      <c r="BL1423">
        <v>0</v>
      </c>
      <c r="BO1423">
        <v>0</v>
      </c>
      <c r="BP1423">
        <v>0</v>
      </c>
      <c r="BW1423" t="str">
        <f>"22:15:27.975"</f>
        <v>22:15:27.975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364</v>
      </c>
      <c r="CR1423">
        <v>0</v>
      </c>
      <c r="CW1423">
        <v>1419437</v>
      </c>
      <c r="CY1423">
        <v>1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"03/24/2022 22:15:28.143"</f>
        <v>03/24/2022 22:15:28.143</v>
      </c>
      <c r="C1424" t="str">
        <f t="shared" si="410"/>
        <v>FFDFD3C0</v>
      </c>
      <c r="D1424" t="s">
        <v>120</v>
      </c>
      <c r="E1424">
        <v>14</v>
      </c>
      <c r="F1424">
        <v>1014</v>
      </c>
      <c r="G1424" t="s">
        <v>121</v>
      </c>
      <c r="J1424" t="s">
        <v>122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S1424" t="str">
        <f t="shared" si="427"/>
        <v>22:15:27.000</v>
      </c>
      <c r="T1424" t="str">
        <f t="shared" si="427"/>
        <v>22:15:27.000</v>
      </c>
      <c r="U1424" t="str">
        <f t="shared" si="423"/>
        <v>A9D71F</v>
      </c>
      <c r="V1424">
        <v>0</v>
      </c>
      <c r="W1424">
        <v>0</v>
      </c>
      <c r="X1424">
        <v>2</v>
      </c>
      <c r="Z1424">
        <v>1</v>
      </c>
      <c r="AA1424">
        <v>8</v>
      </c>
      <c r="AB1424">
        <v>3</v>
      </c>
      <c r="AC1424">
        <v>0</v>
      </c>
      <c r="AD1424">
        <v>9</v>
      </c>
      <c r="AE1424">
        <v>0</v>
      </c>
      <c r="AF1424">
        <v>3</v>
      </c>
      <c r="AG1424">
        <v>1</v>
      </c>
      <c r="AH1424">
        <v>0</v>
      </c>
      <c r="AI1424" t="s">
        <v>762</v>
      </c>
      <c r="AJ1424">
        <v>33.101528000000002</v>
      </c>
      <c r="AK1424" t="s">
        <v>763</v>
      </c>
      <c r="AL1424">
        <v>-97.689486000000002</v>
      </c>
      <c r="AM1424">
        <v>25</v>
      </c>
      <c r="AN1424">
        <v>3400</v>
      </c>
      <c r="AO1424" t="s">
        <v>118</v>
      </c>
      <c r="AP1424">
        <v>49</v>
      </c>
      <c r="AQ1424">
        <v>-101</v>
      </c>
      <c r="AR1424">
        <v>-192</v>
      </c>
      <c r="AZ1424">
        <v>1200</v>
      </c>
      <c r="BA1424">
        <v>1</v>
      </c>
      <c r="BB1424" t="str">
        <f t="shared" si="411"/>
        <v xml:space="preserve">N733KP  </v>
      </c>
      <c r="BC1424">
        <v>1</v>
      </c>
      <c r="BE1424">
        <v>0</v>
      </c>
      <c r="BF1424">
        <v>0</v>
      </c>
      <c r="BG1424">
        <v>0</v>
      </c>
      <c r="BH1424">
        <v>3350</v>
      </c>
      <c r="BI1424">
        <v>1</v>
      </c>
      <c r="BJ1424">
        <v>1</v>
      </c>
      <c r="BK1424">
        <v>0</v>
      </c>
      <c r="BL1424">
        <v>0</v>
      </c>
      <c r="BO1424">
        <v>0</v>
      </c>
      <c r="BP1424">
        <v>0</v>
      </c>
      <c r="BW1424" t="str">
        <f>"22:15:27.975"</f>
        <v>22:15:27.975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364</v>
      </c>
      <c r="CR1424">
        <v>0</v>
      </c>
      <c r="CW1424">
        <v>1419437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"03/24/2022 22:15:28.158"</f>
        <v>03/24/2022 22:15:28.158</v>
      </c>
      <c r="C1425" t="str">
        <f t="shared" si="410"/>
        <v>FFDFD3C0</v>
      </c>
      <c r="D1425" t="s">
        <v>113</v>
      </c>
      <c r="E1425">
        <v>24</v>
      </c>
      <c r="F1425">
        <v>2024</v>
      </c>
      <c r="G1425" t="s">
        <v>114</v>
      </c>
      <c r="J1425" t="s">
        <v>115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S1425" t="str">
        <f t="shared" si="427"/>
        <v>22:15:27.000</v>
      </c>
      <c r="T1425" t="str">
        <f t="shared" si="427"/>
        <v>22:15:27.000</v>
      </c>
      <c r="U1425" t="str">
        <f t="shared" si="423"/>
        <v>A9D71F</v>
      </c>
      <c r="V1425">
        <v>0</v>
      </c>
      <c r="W1425">
        <v>0</v>
      </c>
      <c r="X1425">
        <v>2</v>
      </c>
      <c r="Z1425">
        <v>1</v>
      </c>
      <c r="AA1425">
        <v>8</v>
      </c>
      <c r="AB1425">
        <v>3</v>
      </c>
      <c r="AC1425">
        <v>0</v>
      </c>
      <c r="AD1425">
        <v>9</v>
      </c>
      <c r="AE1425">
        <v>0</v>
      </c>
      <c r="AF1425">
        <v>3</v>
      </c>
      <c r="AG1425">
        <v>1</v>
      </c>
      <c r="AH1425">
        <v>0</v>
      </c>
      <c r="AI1425" t="s">
        <v>762</v>
      </c>
      <c r="AJ1425">
        <v>33.101528000000002</v>
      </c>
      <c r="AK1425" t="s">
        <v>763</v>
      </c>
      <c r="AL1425">
        <v>-97.689486000000002</v>
      </c>
      <c r="AM1425">
        <v>25</v>
      </c>
      <c r="AN1425">
        <v>3400</v>
      </c>
      <c r="AO1425" t="s">
        <v>118</v>
      </c>
      <c r="AP1425">
        <v>49</v>
      </c>
      <c r="AQ1425">
        <v>-101</v>
      </c>
      <c r="AR1425">
        <v>-192</v>
      </c>
      <c r="AZ1425">
        <v>1200</v>
      </c>
      <c r="BA1425">
        <v>1</v>
      </c>
      <c r="BB1425" t="str">
        <f t="shared" si="411"/>
        <v xml:space="preserve">N733KP  </v>
      </c>
      <c r="BC1425">
        <v>1</v>
      </c>
      <c r="BE1425">
        <v>0</v>
      </c>
      <c r="BF1425">
        <v>0</v>
      </c>
      <c r="BG1425">
        <v>0</v>
      </c>
      <c r="BH1425">
        <v>3350</v>
      </c>
      <c r="BI1425">
        <v>1</v>
      </c>
      <c r="BJ1425">
        <v>1</v>
      </c>
      <c r="BK1425">
        <v>0</v>
      </c>
      <c r="BL1425">
        <v>0</v>
      </c>
      <c r="BO1425">
        <v>0</v>
      </c>
      <c r="BP1425">
        <v>0</v>
      </c>
      <c r="BW1425" t="str">
        <f>"22:15:27.975"</f>
        <v>22:15:27.975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364</v>
      </c>
      <c r="CR1425">
        <v>0</v>
      </c>
      <c r="CW1425">
        <v>1419437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"03/24/2022 22:15:28.205"</f>
        <v>03/24/2022 22:15:28.205</v>
      </c>
      <c r="C1426" t="str">
        <f t="shared" si="410"/>
        <v>FFDFD3C0</v>
      </c>
      <c r="D1426" t="s">
        <v>123</v>
      </c>
      <c r="E1426">
        <v>8</v>
      </c>
      <c r="H1426">
        <v>31</v>
      </c>
      <c r="I1426" t="s">
        <v>124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S1426" t="str">
        <f t="shared" si="427"/>
        <v>22:15:27.000</v>
      </c>
      <c r="T1426" t="str">
        <f t="shared" si="427"/>
        <v>22:15:27.000</v>
      </c>
      <c r="U1426" t="str">
        <f t="shared" si="423"/>
        <v>A9D71F</v>
      </c>
      <c r="V1426">
        <v>0</v>
      </c>
      <c r="W1426">
        <v>0</v>
      </c>
      <c r="X1426">
        <v>2</v>
      </c>
      <c r="Z1426">
        <v>1</v>
      </c>
      <c r="AA1426">
        <v>8</v>
      </c>
      <c r="AB1426">
        <v>3</v>
      </c>
      <c r="AC1426">
        <v>0</v>
      </c>
      <c r="AD1426">
        <v>9</v>
      </c>
      <c r="AE1426">
        <v>0</v>
      </c>
      <c r="AF1426">
        <v>3</v>
      </c>
      <c r="AG1426">
        <v>1</v>
      </c>
      <c r="AH1426">
        <v>0</v>
      </c>
      <c r="AI1426" t="s">
        <v>762</v>
      </c>
      <c r="AJ1426">
        <v>33.101528000000002</v>
      </c>
      <c r="AK1426" t="s">
        <v>763</v>
      </c>
      <c r="AL1426">
        <v>-97.689486000000002</v>
      </c>
      <c r="AM1426">
        <v>25</v>
      </c>
      <c r="AN1426">
        <v>3400</v>
      </c>
      <c r="AO1426" t="s">
        <v>118</v>
      </c>
      <c r="AP1426">
        <v>49</v>
      </c>
      <c r="AQ1426">
        <v>-101</v>
      </c>
      <c r="AR1426">
        <v>-192</v>
      </c>
      <c r="AZ1426">
        <v>1200</v>
      </c>
      <c r="BA1426">
        <v>1</v>
      </c>
      <c r="BB1426" t="str">
        <f t="shared" si="411"/>
        <v xml:space="preserve">N733KP  </v>
      </c>
      <c r="BC1426">
        <v>1</v>
      </c>
      <c r="BE1426">
        <v>0</v>
      </c>
      <c r="BF1426">
        <v>0</v>
      </c>
      <c r="BG1426">
        <v>0</v>
      </c>
      <c r="BH1426">
        <v>3350</v>
      </c>
      <c r="BI1426">
        <v>1</v>
      </c>
      <c r="BJ1426">
        <v>1</v>
      </c>
      <c r="BK1426">
        <v>0</v>
      </c>
      <c r="BL1426">
        <v>0</v>
      </c>
      <c r="BO1426">
        <v>0</v>
      </c>
      <c r="BP1426">
        <v>0</v>
      </c>
      <c r="BW1426" t="str">
        <f>"22:15:27.975"</f>
        <v>22:15:27.975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364</v>
      </c>
      <c r="CR1426">
        <v>0</v>
      </c>
      <c r="CW1426">
        <v>1419437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"03/24/2022 22:15:29.020"</f>
        <v>03/24/2022 22:15:29.020</v>
      </c>
      <c r="C1427" t="str">
        <f t="shared" si="410"/>
        <v>FFDFD3C0</v>
      </c>
      <c r="D1427" t="s">
        <v>113</v>
      </c>
      <c r="E1427">
        <v>24</v>
      </c>
      <c r="F1427">
        <v>2024</v>
      </c>
      <c r="G1427" t="s">
        <v>114</v>
      </c>
      <c r="J1427" t="s">
        <v>115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S1427" t="str">
        <f t="shared" ref="S1427:T1430" si="428">"22:15:28.000"</f>
        <v>22:15:28.000</v>
      </c>
      <c r="T1427" t="str">
        <f t="shared" si="428"/>
        <v>22:15:28.000</v>
      </c>
      <c r="U1427" t="str">
        <f t="shared" si="423"/>
        <v>A9D71F</v>
      </c>
      <c r="V1427">
        <v>0</v>
      </c>
      <c r="W1427">
        <v>0</v>
      </c>
      <c r="X1427">
        <v>2</v>
      </c>
      <c r="Z1427">
        <v>1</v>
      </c>
      <c r="AA1427">
        <v>8</v>
      </c>
      <c r="AB1427">
        <v>3</v>
      </c>
      <c r="AC1427">
        <v>0</v>
      </c>
      <c r="AD1427">
        <v>9</v>
      </c>
      <c r="AE1427">
        <v>0</v>
      </c>
      <c r="AF1427">
        <v>3</v>
      </c>
      <c r="AG1427">
        <v>1</v>
      </c>
      <c r="AH1427">
        <v>0</v>
      </c>
      <c r="AI1427" t="s">
        <v>764</v>
      </c>
      <c r="AJ1427">
        <v>33.101056</v>
      </c>
      <c r="AK1427" t="s">
        <v>765</v>
      </c>
      <c r="AL1427">
        <v>-97.689206999999996</v>
      </c>
      <c r="AM1427">
        <v>25</v>
      </c>
      <c r="AN1427">
        <v>3400</v>
      </c>
      <c r="AO1427" t="s">
        <v>118</v>
      </c>
      <c r="AP1427">
        <v>50</v>
      </c>
      <c r="AQ1427">
        <v>-101</v>
      </c>
      <c r="AR1427">
        <v>-128</v>
      </c>
      <c r="AZ1427">
        <v>1200</v>
      </c>
      <c r="BA1427">
        <v>1</v>
      </c>
      <c r="BB1427" t="str">
        <f t="shared" si="411"/>
        <v xml:space="preserve">N733KP  </v>
      </c>
      <c r="BC1427">
        <v>1</v>
      </c>
      <c r="BE1427">
        <v>0</v>
      </c>
      <c r="BF1427">
        <v>0</v>
      </c>
      <c r="BG1427">
        <v>0</v>
      </c>
      <c r="BH1427">
        <v>3350</v>
      </c>
      <c r="BI1427">
        <v>1</v>
      </c>
      <c r="BJ1427">
        <v>1</v>
      </c>
      <c r="BK1427">
        <v>0</v>
      </c>
      <c r="BL1427">
        <v>0</v>
      </c>
      <c r="BO1427">
        <v>0</v>
      </c>
      <c r="BP1427">
        <v>0</v>
      </c>
      <c r="BW1427" t="str">
        <f>"22:15:28.806"</f>
        <v>22:15:28.806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6</v>
      </c>
      <c r="CP1427" t="s">
        <v>119</v>
      </c>
      <c r="CQ1427">
        <v>364</v>
      </c>
      <c r="CR1427">
        <v>0</v>
      </c>
      <c r="CW1427">
        <v>1419565</v>
      </c>
      <c r="CY1427">
        <v>1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"03/24/2022 22:15:29.020"</f>
        <v>03/24/2022 22:15:29.020</v>
      </c>
      <c r="C1428" t="str">
        <f t="shared" si="410"/>
        <v>FFDFD3C0</v>
      </c>
      <c r="D1428" t="s">
        <v>123</v>
      </c>
      <c r="E1428">
        <v>8</v>
      </c>
      <c r="H1428">
        <v>31</v>
      </c>
      <c r="I1428" t="s">
        <v>124</v>
      </c>
      <c r="J1428" t="s">
        <v>125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S1428" t="str">
        <f t="shared" si="428"/>
        <v>22:15:28.000</v>
      </c>
      <c r="T1428" t="str">
        <f t="shared" si="428"/>
        <v>22:15:28.000</v>
      </c>
      <c r="U1428" t="str">
        <f t="shared" si="423"/>
        <v>A9D71F</v>
      </c>
      <c r="V1428">
        <v>0</v>
      </c>
      <c r="W1428">
        <v>0</v>
      </c>
      <c r="X1428">
        <v>2</v>
      </c>
      <c r="Z1428">
        <v>1</v>
      </c>
      <c r="AA1428">
        <v>8</v>
      </c>
      <c r="AB1428">
        <v>3</v>
      </c>
      <c r="AC1428">
        <v>0</v>
      </c>
      <c r="AD1428">
        <v>9</v>
      </c>
      <c r="AE1428">
        <v>0</v>
      </c>
      <c r="AF1428">
        <v>3</v>
      </c>
      <c r="AG1428">
        <v>1</v>
      </c>
      <c r="AH1428">
        <v>0</v>
      </c>
      <c r="AI1428" t="s">
        <v>764</v>
      </c>
      <c r="AJ1428">
        <v>33.101056</v>
      </c>
      <c r="AK1428" t="s">
        <v>765</v>
      </c>
      <c r="AL1428">
        <v>-97.689206999999996</v>
      </c>
      <c r="AM1428">
        <v>25</v>
      </c>
      <c r="AN1428">
        <v>3400</v>
      </c>
      <c r="AO1428" t="s">
        <v>118</v>
      </c>
      <c r="AP1428">
        <v>50</v>
      </c>
      <c r="AQ1428">
        <v>-101</v>
      </c>
      <c r="AR1428">
        <v>-128</v>
      </c>
      <c r="AZ1428">
        <v>1200</v>
      </c>
      <c r="BA1428">
        <v>1</v>
      </c>
      <c r="BB1428" t="str">
        <f t="shared" si="411"/>
        <v xml:space="preserve">N733KP  </v>
      </c>
      <c r="BC1428">
        <v>1</v>
      </c>
      <c r="BE1428">
        <v>0</v>
      </c>
      <c r="BF1428">
        <v>0</v>
      </c>
      <c r="BG1428">
        <v>0</v>
      </c>
      <c r="BH1428">
        <v>3350</v>
      </c>
      <c r="BI1428">
        <v>1</v>
      </c>
      <c r="BJ1428">
        <v>1</v>
      </c>
      <c r="BK1428">
        <v>0</v>
      </c>
      <c r="BL1428">
        <v>0</v>
      </c>
      <c r="BO1428">
        <v>0</v>
      </c>
      <c r="BP1428">
        <v>0</v>
      </c>
      <c r="BW1428" t="str">
        <f>"22:15:28.806"</f>
        <v>22:15:28.806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6</v>
      </c>
      <c r="CP1428" t="s">
        <v>119</v>
      </c>
      <c r="CQ1428">
        <v>364</v>
      </c>
      <c r="CR1428">
        <v>0</v>
      </c>
      <c r="CW1428">
        <v>1419565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"03/24/2022 22:15:29.051"</f>
        <v>03/24/2022 22:15:29.051</v>
      </c>
      <c r="C1429" t="str">
        <f t="shared" si="410"/>
        <v>FFDFD3C0</v>
      </c>
      <c r="D1429" t="s">
        <v>126</v>
      </c>
      <c r="E1429">
        <v>3</v>
      </c>
      <c r="H1429">
        <v>160</v>
      </c>
      <c r="I1429" t="s">
        <v>121</v>
      </c>
      <c r="J1429" t="s">
        <v>127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S1429" t="str">
        <f t="shared" si="428"/>
        <v>22:15:28.000</v>
      </c>
      <c r="T1429" t="str">
        <f t="shared" si="428"/>
        <v>22:15:28.000</v>
      </c>
      <c r="U1429" t="str">
        <f t="shared" si="423"/>
        <v>A9D71F</v>
      </c>
      <c r="V1429">
        <v>0</v>
      </c>
      <c r="W1429">
        <v>0</v>
      </c>
      <c r="X1429">
        <v>2</v>
      </c>
      <c r="Z1429">
        <v>1</v>
      </c>
      <c r="AA1429">
        <v>8</v>
      </c>
      <c r="AB1429">
        <v>3</v>
      </c>
      <c r="AC1429">
        <v>0</v>
      </c>
      <c r="AD1429">
        <v>9</v>
      </c>
      <c r="AE1429">
        <v>0</v>
      </c>
      <c r="AF1429">
        <v>3</v>
      </c>
      <c r="AG1429">
        <v>1</v>
      </c>
      <c r="AH1429">
        <v>0</v>
      </c>
      <c r="AI1429" t="s">
        <v>764</v>
      </c>
      <c r="AJ1429">
        <v>33.101056</v>
      </c>
      <c r="AK1429" t="s">
        <v>765</v>
      </c>
      <c r="AL1429">
        <v>-97.689206999999996</v>
      </c>
      <c r="AM1429">
        <v>25</v>
      </c>
      <c r="AN1429">
        <v>3400</v>
      </c>
      <c r="AO1429" t="s">
        <v>118</v>
      </c>
      <c r="AP1429">
        <v>50</v>
      </c>
      <c r="AQ1429">
        <v>-101</v>
      </c>
      <c r="AR1429">
        <v>-128</v>
      </c>
      <c r="AZ1429">
        <v>1200</v>
      </c>
      <c r="BA1429">
        <v>1</v>
      </c>
      <c r="BB1429" t="str">
        <f t="shared" si="411"/>
        <v xml:space="preserve">N733KP  </v>
      </c>
      <c r="BC1429">
        <v>1</v>
      </c>
      <c r="BE1429">
        <v>0</v>
      </c>
      <c r="BF1429">
        <v>0</v>
      </c>
      <c r="BG1429">
        <v>0</v>
      </c>
      <c r="BH1429">
        <v>3350</v>
      </c>
      <c r="BI1429">
        <v>1</v>
      </c>
      <c r="BJ1429">
        <v>1</v>
      </c>
      <c r="BK1429">
        <v>0</v>
      </c>
      <c r="BL1429">
        <v>0</v>
      </c>
      <c r="BO1429">
        <v>0</v>
      </c>
      <c r="BP1429">
        <v>0</v>
      </c>
      <c r="BW1429" t="str">
        <f>"22:15:28.806"</f>
        <v>22:15:28.806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6</v>
      </c>
      <c r="CP1429" t="s">
        <v>119</v>
      </c>
      <c r="CQ1429">
        <v>364</v>
      </c>
      <c r="CR1429">
        <v>0</v>
      </c>
      <c r="CW1429">
        <v>1419565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"03/24/2022 22:15:29.051"</f>
        <v>03/24/2022 22:15:29.051</v>
      </c>
      <c r="C1430" t="str">
        <f t="shared" ref="C1430:C1493" si="429">"FFDFD3C0"</f>
        <v>FFDFD3C0</v>
      </c>
      <c r="D1430" t="s">
        <v>120</v>
      </c>
      <c r="E1430">
        <v>14</v>
      </c>
      <c r="F1430">
        <v>1014</v>
      </c>
      <c r="G1430" t="s">
        <v>121</v>
      </c>
      <c r="J1430" t="s">
        <v>122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S1430" t="str">
        <f t="shared" si="428"/>
        <v>22:15:28.000</v>
      </c>
      <c r="T1430" t="str">
        <f t="shared" si="428"/>
        <v>22:15:28.000</v>
      </c>
      <c r="U1430" t="str">
        <f t="shared" si="423"/>
        <v>A9D71F</v>
      </c>
      <c r="V1430">
        <v>0</v>
      </c>
      <c r="W1430">
        <v>0</v>
      </c>
      <c r="X1430">
        <v>2</v>
      </c>
      <c r="Z1430">
        <v>1</v>
      </c>
      <c r="AA1430">
        <v>8</v>
      </c>
      <c r="AB1430">
        <v>3</v>
      </c>
      <c r="AC1430">
        <v>0</v>
      </c>
      <c r="AD1430">
        <v>9</v>
      </c>
      <c r="AE1430">
        <v>0</v>
      </c>
      <c r="AF1430">
        <v>3</v>
      </c>
      <c r="AG1430">
        <v>1</v>
      </c>
      <c r="AH1430">
        <v>0</v>
      </c>
      <c r="AI1430" t="s">
        <v>764</v>
      </c>
      <c r="AJ1430">
        <v>33.101056</v>
      </c>
      <c r="AK1430" t="s">
        <v>765</v>
      </c>
      <c r="AL1430">
        <v>-97.689206999999996</v>
      </c>
      <c r="AM1430">
        <v>25</v>
      </c>
      <c r="AN1430">
        <v>3400</v>
      </c>
      <c r="AO1430" t="s">
        <v>118</v>
      </c>
      <c r="AP1430">
        <v>50</v>
      </c>
      <c r="AQ1430">
        <v>-101</v>
      </c>
      <c r="AR1430">
        <v>-128</v>
      </c>
      <c r="AZ1430">
        <v>1200</v>
      </c>
      <c r="BA1430">
        <v>1</v>
      </c>
      <c r="BB1430" t="str">
        <f t="shared" ref="BB1430:BB1493" si="430">"N733KP  "</f>
        <v xml:space="preserve">N733KP  </v>
      </c>
      <c r="BC1430">
        <v>1</v>
      </c>
      <c r="BE1430">
        <v>0</v>
      </c>
      <c r="BF1430">
        <v>0</v>
      </c>
      <c r="BG1430">
        <v>0</v>
      </c>
      <c r="BH1430">
        <v>3350</v>
      </c>
      <c r="BI1430">
        <v>1</v>
      </c>
      <c r="BJ1430">
        <v>1</v>
      </c>
      <c r="BK1430">
        <v>0</v>
      </c>
      <c r="BL1430">
        <v>0</v>
      </c>
      <c r="BO1430">
        <v>0</v>
      </c>
      <c r="BP1430">
        <v>0</v>
      </c>
      <c r="BW1430" t="str">
        <f>"22:15:28.806"</f>
        <v>22:15:28.806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6</v>
      </c>
      <c r="CP1430" t="s">
        <v>119</v>
      </c>
      <c r="CQ1430">
        <v>364</v>
      </c>
      <c r="CR1430">
        <v>0</v>
      </c>
      <c r="CW1430">
        <v>1419565</v>
      </c>
      <c r="CY1430">
        <v>1</v>
      </c>
      <c r="CZ1430">
        <v>0</v>
      </c>
      <c r="DA1430">
        <v>1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"03/24/2022 22:15:29.880"</f>
        <v>03/24/2022 22:15:29.880</v>
      </c>
      <c r="C1431" t="str">
        <f t="shared" si="429"/>
        <v>FFDFD3C0</v>
      </c>
      <c r="D1431" t="s">
        <v>113</v>
      </c>
      <c r="E1431">
        <v>24</v>
      </c>
      <c r="F1431">
        <v>2024</v>
      </c>
      <c r="G1431" t="s">
        <v>114</v>
      </c>
      <c r="J1431" t="s">
        <v>115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S1431" t="str">
        <f t="shared" ref="S1431:T1434" si="431">"22:15:29.000"</f>
        <v>22:15:29.000</v>
      </c>
      <c r="T1431" t="str">
        <f t="shared" si="431"/>
        <v>22:15:29.000</v>
      </c>
      <c r="U1431" t="str">
        <f t="shared" si="423"/>
        <v>A9D71F</v>
      </c>
      <c r="V1431">
        <v>0</v>
      </c>
      <c r="W1431">
        <v>0</v>
      </c>
      <c r="X1431">
        <v>2</v>
      </c>
      <c r="Z1431">
        <v>1</v>
      </c>
      <c r="AA1431">
        <v>8</v>
      </c>
      <c r="AB1431">
        <v>3</v>
      </c>
      <c r="AC1431">
        <v>0</v>
      </c>
      <c r="AD1431">
        <v>9</v>
      </c>
      <c r="AE1431">
        <v>0</v>
      </c>
      <c r="AF1431">
        <v>3</v>
      </c>
      <c r="AG1431">
        <v>1</v>
      </c>
      <c r="AH1431">
        <v>0</v>
      </c>
      <c r="AI1431" t="s">
        <v>766</v>
      </c>
      <c r="AJ1431">
        <v>33.100583999999998</v>
      </c>
      <c r="AK1431" t="s">
        <v>767</v>
      </c>
      <c r="AL1431">
        <v>-97.688906000000003</v>
      </c>
      <c r="AM1431">
        <v>25</v>
      </c>
      <c r="AN1431">
        <v>3400</v>
      </c>
      <c r="AO1431" t="s">
        <v>118</v>
      </c>
      <c r="AP1431">
        <v>52</v>
      </c>
      <c r="AQ1431">
        <v>-102</v>
      </c>
      <c r="AR1431">
        <v>-128</v>
      </c>
      <c r="AZ1431">
        <v>1200</v>
      </c>
      <c r="BA1431">
        <v>1</v>
      </c>
      <c r="BB1431" t="str">
        <f t="shared" si="430"/>
        <v xml:space="preserve">N733KP  </v>
      </c>
      <c r="BC1431">
        <v>1</v>
      </c>
      <c r="BE1431">
        <v>0</v>
      </c>
      <c r="BF1431">
        <v>0</v>
      </c>
      <c r="BG1431">
        <v>0</v>
      </c>
      <c r="BH1431">
        <v>3350</v>
      </c>
      <c r="BI1431">
        <v>1</v>
      </c>
      <c r="BJ1431">
        <v>1</v>
      </c>
      <c r="BK1431">
        <v>0</v>
      </c>
      <c r="BL1431">
        <v>0</v>
      </c>
      <c r="BO1431">
        <v>0</v>
      </c>
      <c r="BP1431">
        <v>0</v>
      </c>
      <c r="BW1431" t="str">
        <f>"22:15:29.736"</f>
        <v>22:15:29.736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119</v>
      </c>
      <c r="CQ1431">
        <v>364</v>
      </c>
      <c r="CR1431">
        <v>0</v>
      </c>
      <c r="CW1431">
        <v>1419716</v>
      </c>
      <c r="CY1431">
        <v>1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"03/24/2022 22:15:29.895"</f>
        <v>03/24/2022 22:15:29.895</v>
      </c>
      <c r="C1432" t="str">
        <f t="shared" si="429"/>
        <v>FFDFD3C0</v>
      </c>
      <c r="D1432" t="s">
        <v>123</v>
      </c>
      <c r="E1432">
        <v>8</v>
      </c>
      <c r="H1432">
        <v>31</v>
      </c>
      <c r="I1432" t="s">
        <v>124</v>
      </c>
      <c r="J1432" t="s">
        <v>125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S1432" t="str">
        <f t="shared" si="431"/>
        <v>22:15:29.000</v>
      </c>
      <c r="T1432" t="str">
        <f t="shared" si="431"/>
        <v>22:15:29.000</v>
      </c>
      <c r="U1432" t="str">
        <f t="shared" si="423"/>
        <v>A9D71F</v>
      </c>
      <c r="V1432">
        <v>0</v>
      </c>
      <c r="W1432">
        <v>0</v>
      </c>
      <c r="X1432">
        <v>2</v>
      </c>
      <c r="Z1432">
        <v>1</v>
      </c>
      <c r="AA1432">
        <v>8</v>
      </c>
      <c r="AB1432">
        <v>3</v>
      </c>
      <c r="AC1432">
        <v>0</v>
      </c>
      <c r="AD1432">
        <v>9</v>
      </c>
      <c r="AE1432">
        <v>0</v>
      </c>
      <c r="AF1432">
        <v>3</v>
      </c>
      <c r="AG1432">
        <v>1</v>
      </c>
      <c r="AH1432">
        <v>0</v>
      </c>
      <c r="AI1432" t="s">
        <v>766</v>
      </c>
      <c r="AJ1432">
        <v>33.100583999999998</v>
      </c>
      <c r="AK1432" t="s">
        <v>767</v>
      </c>
      <c r="AL1432">
        <v>-97.688906000000003</v>
      </c>
      <c r="AM1432">
        <v>25</v>
      </c>
      <c r="AN1432">
        <v>3400</v>
      </c>
      <c r="AO1432" t="s">
        <v>118</v>
      </c>
      <c r="AP1432">
        <v>52</v>
      </c>
      <c r="AQ1432">
        <v>-102</v>
      </c>
      <c r="AR1432">
        <v>-128</v>
      </c>
      <c r="AZ1432">
        <v>1200</v>
      </c>
      <c r="BA1432">
        <v>1</v>
      </c>
      <c r="BB1432" t="str">
        <f t="shared" si="430"/>
        <v xml:space="preserve">N733KP  </v>
      </c>
      <c r="BC1432">
        <v>1</v>
      </c>
      <c r="BE1432">
        <v>0</v>
      </c>
      <c r="BF1432">
        <v>0</v>
      </c>
      <c r="BG1432">
        <v>0</v>
      </c>
      <c r="BH1432">
        <v>3350</v>
      </c>
      <c r="BI1432">
        <v>1</v>
      </c>
      <c r="BJ1432">
        <v>1</v>
      </c>
      <c r="BK1432">
        <v>0</v>
      </c>
      <c r="BL1432">
        <v>0</v>
      </c>
      <c r="BO1432">
        <v>0</v>
      </c>
      <c r="BP1432">
        <v>0</v>
      </c>
      <c r="BW1432" t="str">
        <f>"22:15:29.736"</f>
        <v>22:15:29.736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364</v>
      </c>
      <c r="CR1432">
        <v>0</v>
      </c>
      <c r="CW1432">
        <v>1419716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"03/24/2022 22:15:29.911"</f>
        <v>03/24/2022 22:15:29.911</v>
      </c>
      <c r="C1433" t="str">
        <f t="shared" si="429"/>
        <v>FFDFD3C0</v>
      </c>
      <c r="D1433" t="s">
        <v>126</v>
      </c>
      <c r="E1433">
        <v>3</v>
      </c>
      <c r="H1433">
        <v>160</v>
      </c>
      <c r="I1433" t="s">
        <v>121</v>
      </c>
      <c r="J1433" t="s">
        <v>127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S1433" t="str">
        <f t="shared" si="431"/>
        <v>22:15:29.000</v>
      </c>
      <c r="T1433" t="str">
        <f t="shared" si="431"/>
        <v>22:15:29.000</v>
      </c>
      <c r="U1433" t="str">
        <f t="shared" si="423"/>
        <v>A9D71F</v>
      </c>
      <c r="V1433">
        <v>0</v>
      </c>
      <c r="W1433">
        <v>0</v>
      </c>
      <c r="X1433">
        <v>2</v>
      </c>
      <c r="Z1433">
        <v>1</v>
      </c>
      <c r="AA1433">
        <v>8</v>
      </c>
      <c r="AB1433">
        <v>3</v>
      </c>
      <c r="AC1433">
        <v>0</v>
      </c>
      <c r="AD1433">
        <v>9</v>
      </c>
      <c r="AE1433">
        <v>0</v>
      </c>
      <c r="AF1433">
        <v>3</v>
      </c>
      <c r="AG1433">
        <v>1</v>
      </c>
      <c r="AH1433">
        <v>0</v>
      </c>
      <c r="AI1433" t="s">
        <v>766</v>
      </c>
      <c r="AJ1433">
        <v>33.100583999999998</v>
      </c>
      <c r="AK1433" t="s">
        <v>767</v>
      </c>
      <c r="AL1433">
        <v>-97.688906000000003</v>
      </c>
      <c r="AM1433">
        <v>25</v>
      </c>
      <c r="AN1433">
        <v>3400</v>
      </c>
      <c r="AO1433" t="s">
        <v>118</v>
      </c>
      <c r="AP1433">
        <v>52</v>
      </c>
      <c r="AQ1433">
        <v>-102</v>
      </c>
      <c r="AR1433">
        <v>-128</v>
      </c>
      <c r="AZ1433">
        <v>1200</v>
      </c>
      <c r="BA1433">
        <v>1</v>
      </c>
      <c r="BB1433" t="str">
        <f t="shared" si="430"/>
        <v xml:space="preserve">N733KP  </v>
      </c>
      <c r="BC1433">
        <v>1</v>
      </c>
      <c r="BE1433">
        <v>0</v>
      </c>
      <c r="BF1433">
        <v>0</v>
      </c>
      <c r="BG1433">
        <v>0</v>
      </c>
      <c r="BH1433">
        <v>3350</v>
      </c>
      <c r="BI1433">
        <v>1</v>
      </c>
      <c r="BJ1433">
        <v>1</v>
      </c>
      <c r="BK1433">
        <v>0</v>
      </c>
      <c r="BL1433">
        <v>0</v>
      </c>
      <c r="BO1433">
        <v>0</v>
      </c>
      <c r="BP1433">
        <v>0</v>
      </c>
      <c r="BW1433" t="str">
        <f>"22:15:29.736"</f>
        <v>22:15:29.736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364</v>
      </c>
      <c r="CR1433">
        <v>0</v>
      </c>
      <c r="CW1433">
        <v>1419716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"03/24/2022 22:15:29.911"</f>
        <v>03/24/2022 22:15:29.911</v>
      </c>
      <c r="C1434" t="str">
        <f t="shared" si="429"/>
        <v>FFDFD3C0</v>
      </c>
      <c r="D1434" t="s">
        <v>120</v>
      </c>
      <c r="E1434">
        <v>14</v>
      </c>
      <c r="F1434">
        <v>1014</v>
      </c>
      <c r="G1434" t="s">
        <v>121</v>
      </c>
      <c r="J1434" t="s">
        <v>122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S1434" t="str">
        <f t="shared" si="431"/>
        <v>22:15:29.000</v>
      </c>
      <c r="T1434" t="str">
        <f t="shared" si="431"/>
        <v>22:15:29.000</v>
      </c>
      <c r="U1434" t="str">
        <f t="shared" si="423"/>
        <v>A9D71F</v>
      </c>
      <c r="V1434">
        <v>0</v>
      </c>
      <c r="W1434">
        <v>0</v>
      </c>
      <c r="X1434">
        <v>2</v>
      </c>
      <c r="Z1434">
        <v>1</v>
      </c>
      <c r="AA1434">
        <v>8</v>
      </c>
      <c r="AB1434">
        <v>3</v>
      </c>
      <c r="AC1434">
        <v>0</v>
      </c>
      <c r="AD1434">
        <v>9</v>
      </c>
      <c r="AE1434">
        <v>0</v>
      </c>
      <c r="AF1434">
        <v>3</v>
      </c>
      <c r="AG1434">
        <v>1</v>
      </c>
      <c r="AH1434">
        <v>0</v>
      </c>
      <c r="AI1434" t="s">
        <v>766</v>
      </c>
      <c r="AJ1434">
        <v>33.100583999999998</v>
      </c>
      <c r="AK1434" t="s">
        <v>767</v>
      </c>
      <c r="AL1434">
        <v>-97.688906000000003</v>
      </c>
      <c r="AM1434">
        <v>25</v>
      </c>
      <c r="AN1434">
        <v>3400</v>
      </c>
      <c r="AO1434" t="s">
        <v>118</v>
      </c>
      <c r="AP1434">
        <v>52</v>
      </c>
      <c r="AQ1434">
        <v>-102</v>
      </c>
      <c r="AR1434">
        <v>-128</v>
      </c>
      <c r="AZ1434">
        <v>1200</v>
      </c>
      <c r="BA1434">
        <v>1</v>
      </c>
      <c r="BB1434" t="str">
        <f t="shared" si="430"/>
        <v xml:space="preserve">N733KP  </v>
      </c>
      <c r="BC1434">
        <v>1</v>
      </c>
      <c r="BE1434">
        <v>0</v>
      </c>
      <c r="BF1434">
        <v>0</v>
      </c>
      <c r="BG1434">
        <v>0</v>
      </c>
      <c r="BH1434">
        <v>3350</v>
      </c>
      <c r="BI1434">
        <v>1</v>
      </c>
      <c r="BJ1434">
        <v>1</v>
      </c>
      <c r="BK1434">
        <v>0</v>
      </c>
      <c r="BL1434">
        <v>0</v>
      </c>
      <c r="BO1434">
        <v>0</v>
      </c>
      <c r="BP1434">
        <v>0</v>
      </c>
      <c r="BW1434" t="str">
        <f>"22:15:29.736"</f>
        <v>22:15:29.736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364</v>
      </c>
      <c r="CR1434">
        <v>0</v>
      </c>
      <c r="CW1434">
        <v>1419716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"03/24/2022 22:15:30.520"</f>
        <v>03/24/2022 22:15:30.520</v>
      </c>
      <c r="C1435" t="str">
        <f t="shared" si="429"/>
        <v>FFDFD3C0</v>
      </c>
      <c r="D1435" t="s">
        <v>126</v>
      </c>
      <c r="E1435">
        <v>3</v>
      </c>
      <c r="H1435">
        <v>160</v>
      </c>
      <c r="I1435" t="s">
        <v>121</v>
      </c>
      <c r="J1435" t="s">
        <v>127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S1435" t="str">
        <f t="shared" ref="S1435:T1438" si="432">"22:15:30.000"</f>
        <v>22:15:30.000</v>
      </c>
      <c r="T1435" t="str">
        <f t="shared" si="432"/>
        <v>22:15:30.000</v>
      </c>
      <c r="U1435" t="str">
        <f t="shared" si="423"/>
        <v>A9D71F</v>
      </c>
      <c r="V1435">
        <v>0</v>
      </c>
      <c r="W1435">
        <v>0</v>
      </c>
      <c r="X1435">
        <v>2</v>
      </c>
      <c r="Z1435">
        <v>1</v>
      </c>
      <c r="AA1435">
        <v>8</v>
      </c>
      <c r="AB1435">
        <v>3</v>
      </c>
      <c r="AC1435">
        <v>0</v>
      </c>
      <c r="AD1435">
        <v>9</v>
      </c>
      <c r="AE1435">
        <v>0</v>
      </c>
      <c r="AF1435">
        <v>3</v>
      </c>
      <c r="AG1435">
        <v>1</v>
      </c>
      <c r="AH1435">
        <v>0</v>
      </c>
      <c r="AI1435" t="s">
        <v>768</v>
      </c>
      <c r="AJ1435">
        <v>33.100090000000002</v>
      </c>
      <c r="AK1435" t="s">
        <v>769</v>
      </c>
      <c r="AL1435">
        <v>-97.688605999999993</v>
      </c>
      <c r="AM1435">
        <v>25</v>
      </c>
      <c r="AN1435">
        <v>3400</v>
      </c>
      <c r="AO1435" t="s">
        <v>118</v>
      </c>
      <c r="AP1435">
        <v>53</v>
      </c>
      <c r="AQ1435">
        <v>-102</v>
      </c>
      <c r="AR1435">
        <v>-64</v>
      </c>
      <c r="AZ1435">
        <v>1200</v>
      </c>
      <c r="BA1435">
        <v>1</v>
      </c>
      <c r="BB1435" t="str">
        <f t="shared" si="430"/>
        <v xml:space="preserve">N733KP  </v>
      </c>
      <c r="BC1435">
        <v>1</v>
      </c>
      <c r="BE1435">
        <v>0</v>
      </c>
      <c r="BF1435">
        <v>0</v>
      </c>
      <c r="BG1435">
        <v>0</v>
      </c>
      <c r="BH1435">
        <v>3350</v>
      </c>
      <c r="BI1435">
        <v>1</v>
      </c>
      <c r="BJ1435">
        <v>1</v>
      </c>
      <c r="BK1435">
        <v>0</v>
      </c>
      <c r="BL1435">
        <v>0</v>
      </c>
      <c r="BO1435">
        <v>0</v>
      </c>
      <c r="BP1435">
        <v>0</v>
      </c>
      <c r="BW1435" t="str">
        <f>"22:15:30.356"</f>
        <v>22:15:30.356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364</v>
      </c>
      <c r="CR1435">
        <v>0</v>
      </c>
      <c r="CW1435">
        <v>1419829</v>
      </c>
      <c r="CY1435">
        <v>1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"03/24/2022 22:15:30.520"</f>
        <v>03/24/2022 22:15:30.520</v>
      </c>
      <c r="C1436" t="str">
        <f t="shared" si="429"/>
        <v>FFDFD3C0</v>
      </c>
      <c r="D1436" t="s">
        <v>120</v>
      </c>
      <c r="E1436">
        <v>14</v>
      </c>
      <c r="F1436">
        <v>1014</v>
      </c>
      <c r="G1436" t="s">
        <v>121</v>
      </c>
      <c r="J1436" t="s">
        <v>122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S1436" t="str">
        <f t="shared" si="432"/>
        <v>22:15:30.000</v>
      </c>
      <c r="T1436" t="str">
        <f t="shared" si="432"/>
        <v>22:15:30.000</v>
      </c>
      <c r="U1436" t="str">
        <f t="shared" si="423"/>
        <v>A9D71F</v>
      </c>
      <c r="V1436">
        <v>0</v>
      </c>
      <c r="W1436">
        <v>0</v>
      </c>
      <c r="X1436">
        <v>2</v>
      </c>
      <c r="Z1436">
        <v>1</v>
      </c>
      <c r="AA1436">
        <v>8</v>
      </c>
      <c r="AB1436">
        <v>3</v>
      </c>
      <c r="AC1436">
        <v>0</v>
      </c>
      <c r="AD1436">
        <v>9</v>
      </c>
      <c r="AE1436">
        <v>0</v>
      </c>
      <c r="AF1436">
        <v>3</v>
      </c>
      <c r="AG1436">
        <v>1</v>
      </c>
      <c r="AH1436">
        <v>0</v>
      </c>
      <c r="AI1436" t="s">
        <v>768</v>
      </c>
      <c r="AJ1436">
        <v>33.100090000000002</v>
      </c>
      <c r="AK1436" t="s">
        <v>769</v>
      </c>
      <c r="AL1436">
        <v>-97.688605999999993</v>
      </c>
      <c r="AM1436">
        <v>25</v>
      </c>
      <c r="AN1436">
        <v>3400</v>
      </c>
      <c r="AO1436" t="s">
        <v>118</v>
      </c>
      <c r="AP1436">
        <v>53</v>
      </c>
      <c r="AQ1436">
        <v>-102</v>
      </c>
      <c r="AR1436">
        <v>-64</v>
      </c>
      <c r="AZ1436">
        <v>1200</v>
      </c>
      <c r="BA1436">
        <v>1</v>
      </c>
      <c r="BB1436" t="str">
        <f t="shared" si="430"/>
        <v xml:space="preserve">N733KP  </v>
      </c>
      <c r="BC1436">
        <v>1</v>
      </c>
      <c r="BE1436">
        <v>0</v>
      </c>
      <c r="BF1436">
        <v>0</v>
      </c>
      <c r="BG1436">
        <v>0</v>
      </c>
      <c r="BH1436">
        <v>3350</v>
      </c>
      <c r="BI1436">
        <v>1</v>
      </c>
      <c r="BJ1436">
        <v>1</v>
      </c>
      <c r="BK1436">
        <v>0</v>
      </c>
      <c r="BL1436">
        <v>0</v>
      </c>
      <c r="BO1436">
        <v>0</v>
      </c>
      <c r="BP1436">
        <v>0</v>
      </c>
      <c r="BW1436" t="str">
        <f>"22:15:30.356"</f>
        <v>22:15:30.356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364</v>
      </c>
      <c r="CR1436">
        <v>0</v>
      </c>
      <c r="CW1436">
        <v>1419829</v>
      </c>
      <c r="CY1436">
        <v>1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"03/24/2022 22:15:30.551"</f>
        <v>03/24/2022 22:15:30.551</v>
      </c>
      <c r="C1437" t="str">
        <f t="shared" si="429"/>
        <v>FFDFD3C0</v>
      </c>
      <c r="D1437" t="s">
        <v>113</v>
      </c>
      <c r="E1437">
        <v>24</v>
      </c>
      <c r="F1437">
        <v>2024</v>
      </c>
      <c r="G1437" t="s">
        <v>114</v>
      </c>
      <c r="J1437" t="s">
        <v>115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S1437" t="str">
        <f t="shared" si="432"/>
        <v>22:15:30.000</v>
      </c>
      <c r="T1437" t="str">
        <f t="shared" si="432"/>
        <v>22:15:30.000</v>
      </c>
      <c r="U1437" t="str">
        <f t="shared" si="423"/>
        <v>A9D71F</v>
      </c>
      <c r="V1437">
        <v>0</v>
      </c>
      <c r="W1437">
        <v>0</v>
      </c>
      <c r="X1437">
        <v>2</v>
      </c>
      <c r="Z1437">
        <v>1</v>
      </c>
      <c r="AA1437">
        <v>8</v>
      </c>
      <c r="AB1437">
        <v>3</v>
      </c>
      <c r="AC1437">
        <v>0</v>
      </c>
      <c r="AD1437">
        <v>9</v>
      </c>
      <c r="AE1437">
        <v>0</v>
      </c>
      <c r="AF1437">
        <v>3</v>
      </c>
      <c r="AG1437">
        <v>1</v>
      </c>
      <c r="AH1437">
        <v>0</v>
      </c>
      <c r="AI1437" t="s">
        <v>768</v>
      </c>
      <c r="AJ1437">
        <v>33.100090000000002</v>
      </c>
      <c r="AK1437" t="s">
        <v>769</v>
      </c>
      <c r="AL1437">
        <v>-97.688605999999993</v>
      </c>
      <c r="AM1437">
        <v>25</v>
      </c>
      <c r="AN1437">
        <v>3400</v>
      </c>
      <c r="AO1437" t="s">
        <v>118</v>
      </c>
      <c r="AP1437">
        <v>53</v>
      </c>
      <c r="AQ1437">
        <v>-102</v>
      </c>
      <c r="AR1437">
        <v>-64</v>
      </c>
      <c r="AZ1437">
        <v>1200</v>
      </c>
      <c r="BA1437">
        <v>1</v>
      </c>
      <c r="BB1437" t="str">
        <f t="shared" si="430"/>
        <v xml:space="preserve">N733KP  </v>
      </c>
      <c r="BC1437">
        <v>1</v>
      </c>
      <c r="BE1437">
        <v>0</v>
      </c>
      <c r="BF1437">
        <v>0</v>
      </c>
      <c r="BG1437">
        <v>0</v>
      </c>
      <c r="BH1437">
        <v>3350</v>
      </c>
      <c r="BI1437">
        <v>1</v>
      </c>
      <c r="BJ1437">
        <v>1</v>
      </c>
      <c r="BK1437">
        <v>0</v>
      </c>
      <c r="BL1437">
        <v>0</v>
      </c>
      <c r="BO1437">
        <v>0</v>
      </c>
      <c r="BP1437">
        <v>0</v>
      </c>
      <c r="BW1437" t="str">
        <f>"22:15:30.356"</f>
        <v>22:15:30.356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364</v>
      </c>
      <c r="CR1437">
        <v>0</v>
      </c>
      <c r="CW1437">
        <v>1419829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"03/24/2022 22:15:30.551"</f>
        <v>03/24/2022 22:15:30.551</v>
      </c>
      <c r="C1438" t="str">
        <f t="shared" si="429"/>
        <v>FFDFD3C0</v>
      </c>
      <c r="D1438" t="s">
        <v>123</v>
      </c>
      <c r="E1438">
        <v>8</v>
      </c>
      <c r="H1438">
        <v>31</v>
      </c>
      <c r="I1438" t="s">
        <v>124</v>
      </c>
      <c r="J1438" t="s">
        <v>125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S1438" t="str">
        <f t="shared" si="432"/>
        <v>22:15:30.000</v>
      </c>
      <c r="T1438" t="str">
        <f t="shared" si="432"/>
        <v>22:15:30.000</v>
      </c>
      <c r="U1438" t="str">
        <f t="shared" si="423"/>
        <v>A9D71F</v>
      </c>
      <c r="V1438">
        <v>0</v>
      </c>
      <c r="W1438">
        <v>0</v>
      </c>
      <c r="X1438">
        <v>2</v>
      </c>
      <c r="Z1438">
        <v>1</v>
      </c>
      <c r="AA1438">
        <v>8</v>
      </c>
      <c r="AB1438">
        <v>3</v>
      </c>
      <c r="AC1438">
        <v>0</v>
      </c>
      <c r="AD1438">
        <v>9</v>
      </c>
      <c r="AE1438">
        <v>0</v>
      </c>
      <c r="AF1438">
        <v>3</v>
      </c>
      <c r="AG1438">
        <v>1</v>
      </c>
      <c r="AH1438">
        <v>0</v>
      </c>
      <c r="AI1438" t="s">
        <v>768</v>
      </c>
      <c r="AJ1438">
        <v>33.100090000000002</v>
      </c>
      <c r="AK1438" t="s">
        <v>769</v>
      </c>
      <c r="AL1438">
        <v>-97.688605999999993</v>
      </c>
      <c r="AM1438">
        <v>25</v>
      </c>
      <c r="AN1438">
        <v>3400</v>
      </c>
      <c r="AO1438" t="s">
        <v>118</v>
      </c>
      <c r="AP1438">
        <v>53</v>
      </c>
      <c r="AQ1438">
        <v>-102</v>
      </c>
      <c r="AR1438">
        <v>-64</v>
      </c>
      <c r="AZ1438">
        <v>1200</v>
      </c>
      <c r="BA1438">
        <v>1</v>
      </c>
      <c r="BB1438" t="str">
        <f t="shared" si="430"/>
        <v xml:space="preserve">N733KP  </v>
      </c>
      <c r="BC1438">
        <v>1</v>
      </c>
      <c r="BE1438">
        <v>0</v>
      </c>
      <c r="BF1438">
        <v>0</v>
      </c>
      <c r="BG1438">
        <v>0</v>
      </c>
      <c r="BH1438">
        <v>3350</v>
      </c>
      <c r="BI1438">
        <v>1</v>
      </c>
      <c r="BJ1438">
        <v>1</v>
      </c>
      <c r="BK1438">
        <v>0</v>
      </c>
      <c r="BL1438">
        <v>0</v>
      </c>
      <c r="BO1438">
        <v>0</v>
      </c>
      <c r="BP1438">
        <v>0</v>
      </c>
      <c r="BW1438" t="str">
        <f>"22:15:30.356"</f>
        <v>22:15:30.356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364</v>
      </c>
      <c r="CR1438">
        <v>0</v>
      </c>
      <c r="CW1438">
        <v>1419829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"03/24/2022 22:15:31.928"</f>
        <v>03/24/2022 22:15:31.928</v>
      </c>
      <c r="C1439" t="str">
        <f t="shared" si="429"/>
        <v>FFDFD3C0</v>
      </c>
      <c r="D1439" t="s">
        <v>113</v>
      </c>
      <c r="E1439">
        <v>24</v>
      </c>
      <c r="F1439">
        <v>2024</v>
      </c>
      <c r="G1439" t="s">
        <v>114</v>
      </c>
      <c r="J1439" t="s">
        <v>115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S1439" t="str">
        <f t="shared" ref="S1439:T1442" si="433">"22:15:31.000"</f>
        <v>22:15:31.000</v>
      </c>
      <c r="T1439" t="str">
        <f t="shared" si="433"/>
        <v>22:15:31.000</v>
      </c>
      <c r="U1439" t="str">
        <f t="shared" si="423"/>
        <v>A9D71F</v>
      </c>
      <c r="V1439">
        <v>0</v>
      </c>
      <c r="W1439">
        <v>0</v>
      </c>
      <c r="X1439">
        <v>2</v>
      </c>
      <c r="Z1439">
        <v>1</v>
      </c>
      <c r="AA1439">
        <v>8</v>
      </c>
      <c r="AB1439">
        <v>3</v>
      </c>
      <c r="AC1439">
        <v>0</v>
      </c>
      <c r="AD1439">
        <v>9</v>
      </c>
      <c r="AE1439">
        <v>0</v>
      </c>
      <c r="AF1439">
        <v>3</v>
      </c>
      <c r="AG1439">
        <v>1</v>
      </c>
      <c r="AH1439">
        <v>0</v>
      </c>
      <c r="AI1439" t="s">
        <v>770</v>
      </c>
      <c r="AJ1439">
        <v>33.099618</v>
      </c>
      <c r="AK1439" t="s">
        <v>771</v>
      </c>
      <c r="AL1439">
        <v>-97.688348000000005</v>
      </c>
      <c r="AM1439">
        <v>25</v>
      </c>
      <c r="AN1439">
        <v>3400</v>
      </c>
      <c r="AO1439" t="s">
        <v>118</v>
      </c>
      <c r="AP1439">
        <v>48</v>
      </c>
      <c r="AQ1439">
        <v>-101</v>
      </c>
      <c r="AR1439">
        <v>0</v>
      </c>
      <c r="AZ1439">
        <v>1200</v>
      </c>
      <c r="BA1439">
        <v>1</v>
      </c>
      <c r="BB1439" t="str">
        <f t="shared" si="430"/>
        <v xml:space="preserve">N733KP  </v>
      </c>
      <c r="BC1439">
        <v>1</v>
      </c>
      <c r="BE1439">
        <v>0</v>
      </c>
      <c r="BF1439">
        <v>0</v>
      </c>
      <c r="BG1439">
        <v>0</v>
      </c>
      <c r="BH1439">
        <v>3350</v>
      </c>
      <c r="BI1439">
        <v>1</v>
      </c>
      <c r="BJ1439">
        <v>1</v>
      </c>
      <c r="BK1439">
        <v>0</v>
      </c>
      <c r="BL1439">
        <v>0</v>
      </c>
      <c r="BO1439">
        <v>0</v>
      </c>
      <c r="BP1439">
        <v>0</v>
      </c>
      <c r="BW1439" t="str">
        <f>"22:15:31.692"</f>
        <v>22:15:31.692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364</v>
      </c>
      <c r="CR1439">
        <v>0</v>
      </c>
      <c r="CW1439">
        <v>1420046</v>
      </c>
      <c r="CY1439">
        <v>1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"03/24/2022 22:15:31.928"</f>
        <v>03/24/2022 22:15:31.928</v>
      </c>
      <c r="C1440" t="str">
        <f t="shared" si="429"/>
        <v>FFDFD3C0</v>
      </c>
      <c r="D1440" t="s">
        <v>123</v>
      </c>
      <c r="E1440">
        <v>8</v>
      </c>
      <c r="H1440">
        <v>31</v>
      </c>
      <c r="I1440" t="s">
        <v>124</v>
      </c>
      <c r="J1440" t="s">
        <v>125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S1440" t="str">
        <f t="shared" si="433"/>
        <v>22:15:31.000</v>
      </c>
      <c r="T1440" t="str">
        <f t="shared" si="433"/>
        <v>22:15:31.000</v>
      </c>
      <c r="U1440" t="str">
        <f t="shared" si="423"/>
        <v>A9D71F</v>
      </c>
      <c r="V1440">
        <v>0</v>
      </c>
      <c r="W1440">
        <v>0</v>
      </c>
      <c r="X1440">
        <v>2</v>
      </c>
      <c r="Z1440">
        <v>1</v>
      </c>
      <c r="AA1440">
        <v>8</v>
      </c>
      <c r="AB1440">
        <v>3</v>
      </c>
      <c r="AC1440">
        <v>0</v>
      </c>
      <c r="AD1440">
        <v>9</v>
      </c>
      <c r="AE1440">
        <v>0</v>
      </c>
      <c r="AF1440">
        <v>3</v>
      </c>
      <c r="AG1440">
        <v>1</v>
      </c>
      <c r="AH1440">
        <v>0</v>
      </c>
      <c r="AI1440" t="s">
        <v>770</v>
      </c>
      <c r="AJ1440">
        <v>33.099618</v>
      </c>
      <c r="AK1440" t="s">
        <v>771</v>
      </c>
      <c r="AL1440">
        <v>-97.688348000000005</v>
      </c>
      <c r="AM1440">
        <v>25</v>
      </c>
      <c r="AN1440">
        <v>3400</v>
      </c>
      <c r="AO1440" t="s">
        <v>118</v>
      </c>
      <c r="AP1440">
        <v>48</v>
      </c>
      <c r="AQ1440">
        <v>-101</v>
      </c>
      <c r="AR1440">
        <v>0</v>
      </c>
      <c r="AZ1440">
        <v>1200</v>
      </c>
      <c r="BA1440">
        <v>1</v>
      </c>
      <c r="BB1440" t="str">
        <f t="shared" si="430"/>
        <v xml:space="preserve">N733KP  </v>
      </c>
      <c r="BC1440">
        <v>1</v>
      </c>
      <c r="BE1440">
        <v>0</v>
      </c>
      <c r="BF1440">
        <v>0</v>
      </c>
      <c r="BG1440">
        <v>0</v>
      </c>
      <c r="BH1440">
        <v>3350</v>
      </c>
      <c r="BI1440">
        <v>1</v>
      </c>
      <c r="BJ1440">
        <v>1</v>
      </c>
      <c r="BK1440">
        <v>0</v>
      </c>
      <c r="BL1440">
        <v>0</v>
      </c>
      <c r="BO1440">
        <v>0</v>
      </c>
      <c r="BP1440">
        <v>0</v>
      </c>
      <c r="BW1440" t="str">
        <f>"22:15:31.692"</f>
        <v>22:15:31.692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364</v>
      </c>
      <c r="CR1440">
        <v>0</v>
      </c>
      <c r="CW1440">
        <v>1420046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"03/24/2022 22:15:31.928"</f>
        <v>03/24/2022 22:15:31.928</v>
      </c>
      <c r="C1441" t="str">
        <f t="shared" si="429"/>
        <v>FFDFD3C0</v>
      </c>
      <c r="D1441" t="s">
        <v>126</v>
      </c>
      <c r="E1441">
        <v>3</v>
      </c>
      <c r="H1441">
        <v>160</v>
      </c>
      <c r="I1441" t="s">
        <v>121</v>
      </c>
      <c r="J1441" t="s">
        <v>127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S1441" t="str">
        <f t="shared" si="433"/>
        <v>22:15:31.000</v>
      </c>
      <c r="T1441" t="str">
        <f t="shared" si="433"/>
        <v>22:15:31.000</v>
      </c>
      <c r="U1441" t="str">
        <f t="shared" si="423"/>
        <v>A9D71F</v>
      </c>
      <c r="V1441">
        <v>0</v>
      </c>
      <c r="W1441">
        <v>0</v>
      </c>
      <c r="X1441">
        <v>2</v>
      </c>
      <c r="Z1441">
        <v>1</v>
      </c>
      <c r="AA1441">
        <v>8</v>
      </c>
      <c r="AB1441">
        <v>3</v>
      </c>
      <c r="AC1441">
        <v>0</v>
      </c>
      <c r="AD1441">
        <v>9</v>
      </c>
      <c r="AE1441">
        <v>0</v>
      </c>
      <c r="AF1441">
        <v>3</v>
      </c>
      <c r="AG1441">
        <v>1</v>
      </c>
      <c r="AH1441">
        <v>0</v>
      </c>
      <c r="AI1441" t="s">
        <v>770</v>
      </c>
      <c r="AJ1441">
        <v>33.099618</v>
      </c>
      <c r="AK1441" t="s">
        <v>771</v>
      </c>
      <c r="AL1441">
        <v>-97.688348000000005</v>
      </c>
      <c r="AM1441">
        <v>25</v>
      </c>
      <c r="AN1441">
        <v>3400</v>
      </c>
      <c r="AO1441" t="s">
        <v>118</v>
      </c>
      <c r="AP1441">
        <v>48</v>
      </c>
      <c r="AQ1441">
        <v>-101</v>
      </c>
      <c r="AR1441">
        <v>0</v>
      </c>
      <c r="AZ1441">
        <v>1200</v>
      </c>
      <c r="BA1441">
        <v>1</v>
      </c>
      <c r="BB1441" t="str">
        <f t="shared" si="430"/>
        <v xml:space="preserve">N733KP  </v>
      </c>
      <c r="BC1441">
        <v>1</v>
      </c>
      <c r="BE1441">
        <v>0</v>
      </c>
      <c r="BF1441">
        <v>0</v>
      </c>
      <c r="BG1441">
        <v>0</v>
      </c>
      <c r="BH1441">
        <v>3350</v>
      </c>
      <c r="BI1441">
        <v>1</v>
      </c>
      <c r="BJ1441">
        <v>1</v>
      </c>
      <c r="BK1441">
        <v>0</v>
      </c>
      <c r="BL1441">
        <v>0</v>
      </c>
      <c r="BO1441">
        <v>0</v>
      </c>
      <c r="BP1441">
        <v>0</v>
      </c>
      <c r="BW1441" t="str">
        <f>"22:15:31.692"</f>
        <v>22:15:31.692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364</v>
      </c>
      <c r="CR1441">
        <v>0</v>
      </c>
      <c r="CW1441">
        <v>1420046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"03/24/2022 22:15:31.928"</f>
        <v>03/24/2022 22:15:31.928</v>
      </c>
      <c r="C1442" t="str">
        <f t="shared" si="429"/>
        <v>FFDFD3C0</v>
      </c>
      <c r="D1442" t="s">
        <v>120</v>
      </c>
      <c r="E1442">
        <v>14</v>
      </c>
      <c r="F1442">
        <v>1014</v>
      </c>
      <c r="G1442" t="s">
        <v>121</v>
      </c>
      <c r="J1442" t="s">
        <v>122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S1442" t="str">
        <f t="shared" si="433"/>
        <v>22:15:31.000</v>
      </c>
      <c r="T1442" t="str">
        <f t="shared" si="433"/>
        <v>22:15:31.000</v>
      </c>
      <c r="U1442" t="str">
        <f t="shared" si="423"/>
        <v>A9D71F</v>
      </c>
      <c r="V1442">
        <v>0</v>
      </c>
      <c r="W1442">
        <v>0</v>
      </c>
      <c r="X1442">
        <v>2</v>
      </c>
      <c r="Z1442">
        <v>1</v>
      </c>
      <c r="AA1442">
        <v>8</v>
      </c>
      <c r="AB1442">
        <v>3</v>
      </c>
      <c r="AC1442">
        <v>0</v>
      </c>
      <c r="AD1442">
        <v>9</v>
      </c>
      <c r="AE1442">
        <v>0</v>
      </c>
      <c r="AF1442">
        <v>3</v>
      </c>
      <c r="AG1442">
        <v>1</v>
      </c>
      <c r="AH1442">
        <v>0</v>
      </c>
      <c r="AI1442" t="s">
        <v>770</v>
      </c>
      <c r="AJ1442">
        <v>33.099618</v>
      </c>
      <c r="AK1442" t="s">
        <v>771</v>
      </c>
      <c r="AL1442">
        <v>-97.688348000000005</v>
      </c>
      <c r="AM1442">
        <v>25</v>
      </c>
      <c r="AN1442">
        <v>3400</v>
      </c>
      <c r="AO1442" t="s">
        <v>118</v>
      </c>
      <c r="AP1442">
        <v>48</v>
      </c>
      <c r="AQ1442">
        <v>-101</v>
      </c>
      <c r="AR1442">
        <v>0</v>
      </c>
      <c r="AZ1442">
        <v>1200</v>
      </c>
      <c r="BA1442">
        <v>1</v>
      </c>
      <c r="BB1442" t="str">
        <f t="shared" si="430"/>
        <v xml:space="preserve">N733KP  </v>
      </c>
      <c r="BC1442">
        <v>1</v>
      </c>
      <c r="BE1442">
        <v>0</v>
      </c>
      <c r="BF1442">
        <v>0</v>
      </c>
      <c r="BG1442">
        <v>0</v>
      </c>
      <c r="BH1442">
        <v>3350</v>
      </c>
      <c r="BI1442">
        <v>1</v>
      </c>
      <c r="BJ1442">
        <v>1</v>
      </c>
      <c r="BK1442">
        <v>0</v>
      </c>
      <c r="BL1442">
        <v>0</v>
      </c>
      <c r="BO1442">
        <v>0</v>
      </c>
      <c r="BP1442">
        <v>0</v>
      </c>
      <c r="BW1442" t="str">
        <f>"22:15:31.692"</f>
        <v>22:15:31.692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119</v>
      </c>
      <c r="CQ1442">
        <v>364</v>
      </c>
      <c r="CR1442">
        <v>0</v>
      </c>
      <c r="CW1442">
        <v>1420046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"03/24/2022 22:15:32.709"</f>
        <v>03/24/2022 22:15:32.709</v>
      </c>
      <c r="C1443" t="str">
        <f t="shared" si="429"/>
        <v>FFDFD3C0</v>
      </c>
      <c r="D1443" t="s">
        <v>126</v>
      </c>
      <c r="E1443">
        <v>3</v>
      </c>
      <c r="H1443">
        <v>160</v>
      </c>
      <c r="I1443" t="s">
        <v>121</v>
      </c>
      <c r="J1443" t="s">
        <v>127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S1443" t="str">
        <f t="shared" ref="S1443:T1446" si="434">"22:15:32.000"</f>
        <v>22:15:32.000</v>
      </c>
      <c r="T1443" t="str">
        <f t="shared" si="434"/>
        <v>22:15:32.000</v>
      </c>
      <c r="U1443" t="str">
        <f t="shared" si="423"/>
        <v>A9D71F</v>
      </c>
      <c r="V1443">
        <v>0</v>
      </c>
      <c r="W1443">
        <v>0</v>
      </c>
      <c r="X1443">
        <v>2</v>
      </c>
      <c r="Z1443">
        <v>1</v>
      </c>
      <c r="AA1443">
        <v>8</v>
      </c>
      <c r="AB1443">
        <v>3</v>
      </c>
      <c r="AC1443">
        <v>0</v>
      </c>
      <c r="AD1443">
        <v>9</v>
      </c>
      <c r="AE1443">
        <v>0</v>
      </c>
      <c r="AF1443">
        <v>3</v>
      </c>
      <c r="AG1443">
        <v>1</v>
      </c>
      <c r="AH1443">
        <v>0</v>
      </c>
      <c r="AI1443" t="s">
        <v>772</v>
      </c>
      <c r="AJ1443">
        <v>33.099145999999998</v>
      </c>
      <c r="AK1443" t="s">
        <v>773</v>
      </c>
      <c r="AL1443">
        <v>-97.688047999999995</v>
      </c>
      <c r="AM1443">
        <v>25</v>
      </c>
      <c r="AN1443">
        <v>3400</v>
      </c>
      <c r="AO1443" t="s">
        <v>118</v>
      </c>
      <c r="AP1443">
        <v>52</v>
      </c>
      <c r="AQ1443">
        <v>-102</v>
      </c>
      <c r="AR1443">
        <v>-64</v>
      </c>
      <c r="AZ1443">
        <v>1200</v>
      </c>
      <c r="BA1443">
        <v>1</v>
      </c>
      <c r="BB1443" t="str">
        <f t="shared" si="430"/>
        <v xml:space="preserve">N733KP  </v>
      </c>
      <c r="BC1443">
        <v>1</v>
      </c>
      <c r="BE1443">
        <v>0</v>
      </c>
      <c r="BF1443">
        <v>0</v>
      </c>
      <c r="BG1443">
        <v>0</v>
      </c>
      <c r="BH1443">
        <v>3350</v>
      </c>
      <c r="BI1443">
        <v>1</v>
      </c>
      <c r="BJ1443">
        <v>1</v>
      </c>
      <c r="BK1443">
        <v>0</v>
      </c>
      <c r="BL1443">
        <v>0</v>
      </c>
      <c r="BO1443">
        <v>0</v>
      </c>
      <c r="BP1443">
        <v>0</v>
      </c>
      <c r="BW1443" t="str">
        <f>"22:15:32.501"</f>
        <v>22:15:32.501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364</v>
      </c>
      <c r="CR1443">
        <v>0</v>
      </c>
      <c r="CW1443">
        <v>1420186</v>
      </c>
      <c r="CY1443">
        <v>1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"03/24/2022 22:15:32.725"</f>
        <v>03/24/2022 22:15:32.725</v>
      </c>
      <c r="C1444" t="str">
        <f t="shared" si="429"/>
        <v>FFDFD3C0</v>
      </c>
      <c r="D1444" t="s">
        <v>120</v>
      </c>
      <c r="E1444">
        <v>14</v>
      </c>
      <c r="F1444">
        <v>1014</v>
      </c>
      <c r="G1444" t="s">
        <v>121</v>
      </c>
      <c r="J1444" t="s">
        <v>122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S1444" t="str">
        <f t="shared" si="434"/>
        <v>22:15:32.000</v>
      </c>
      <c r="T1444" t="str">
        <f t="shared" si="434"/>
        <v>22:15:32.000</v>
      </c>
      <c r="U1444" t="str">
        <f t="shared" si="423"/>
        <v>A9D71F</v>
      </c>
      <c r="V1444">
        <v>0</v>
      </c>
      <c r="W1444">
        <v>0</v>
      </c>
      <c r="X1444">
        <v>2</v>
      </c>
      <c r="Z1444">
        <v>1</v>
      </c>
      <c r="AA1444">
        <v>8</v>
      </c>
      <c r="AB1444">
        <v>3</v>
      </c>
      <c r="AC1444">
        <v>0</v>
      </c>
      <c r="AD1444">
        <v>9</v>
      </c>
      <c r="AE1444">
        <v>0</v>
      </c>
      <c r="AF1444">
        <v>3</v>
      </c>
      <c r="AG1444">
        <v>1</v>
      </c>
      <c r="AH1444">
        <v>0</v>
      </c>
      <c r="AI1444" t="s">
        <v>772</v>
      </c>
      <c r="AJ1444">
        <v>33.099145999999998</v>
      </c>
      <c r="AK1444" t="s">
        <v>773</v>
      </c>
      <c r="AL1444">
        <v>-97.688047999999995</v>
      </c>
      <c r="AM1444">
        <v>25</v>
      </c>
      <c r="AN1444">
        <v>3400</v>
      </c>
      <c r="AO1444" t="s">
        <v>118</v>
      </c>
      <c r="AP1444">
        <v>52</v>
      </c>
      <c r="AQ1444">
        <v>-102</v>
      </c>
      <c r="AR1444">
        <v>-64</v>
      </c>
      <c r="AZ1444">
        <v>1200</v>
      </c>
      <c r="BA1444">
        <v>1</v>
      </c>
      <c r="BB1444" t="str">
        <f t="shared" si="430"/>
        <v xml:space="preserve">N733KP  </v>
      </c>
      <c r="BC1444">
        <v>1</v>
      </c>
      <c r="BE1444">
        <v>0</v>
      </c>
      <c r="BF1444">
        <v>0</v>
      </c>
      <c r="BG1444">
        <v>0</v>
      </c>
      <c r="BH1444">
        <v>3350</v>
      </c>
      <c r="BI1444">
        <v>1</v>
      </c>
      <c r="BJ1444">
        <v>1</v>
      </c>
      <c r="BK1444">
        <v>0</v>
      </c>
      <c r="BL1444">
        <v>0</v>
      </c>
      <c r="BO1444">
        <v>0</v>
      </c>
      <c r="BP1444">
        <v>0</v>
      </c>
      <c r="BW1444" t="str">
        <f>"22:15:32.501"</f>
        <v>22:15:32.501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364</v>
      </c>
      <c r="CR1444">
        <v>0</v>
      </c>
      <c r="CW1444">
        <v>1420186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"03/24/2022 22:15:32.725"</f>
        <v>03/24/2022 22:15:32.725</v>
      </c>
      <c r="C1445" t="str">
        <f t="shared" si="429"/>
        <v>FFDFD3C0</v>
      </c>
      <c r="D1445" t="s">
        <v>113</v>
      </c>
      <c r="E1445">
        <v>24</v>
      </c>
      <c r="F1445">
        <v>2024</v>
      </c>
      <c r="G1445" t="s">
        <v>114</v>
      </c>
      <c r="J1445" t="s">
        <v>115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S1445" t="str">
        <f t="shared" si="434"/>
        <v>22:15:32.000</v>
      </c>
      <c r="T1445" t="str">
        <f t="shared" si="434"/>
        <v>22:15:32.000</v>
      </c>
      <c r="U1445" t="str">
        <f t="shared" si="423"/>
        <v>A9D71F</v>
      </c>
      <c r="V1445">
        <v>0</v>
      </c>
      <c r="W1445">
        <v>0</v>
      </c>
      <c r="X1445">
        <v>2</v>
      </c>
      <c r="Z1445">
        <v>1</v>
      </c>
      <c r="AA1445">
        <v>8</v>
      </c>
      <c r="AB1445">
        <v>3</v>
      </c>
      <c r="AC1445">
        <v>0</v>
      </c>
      <c r="AD1445">
        <v>9</v>
      </c>
      <c r="AE1445">
        <v>0</v>
      </c>
      <c r="AF1445">
        <v>3</v>
      </c>
      <c r="AG1445">
        <v>1</v>
      </c>
      <c r="AH1445">
        <v>0</v>
      </c>
      <c r="AI1445" t="s">
        <v>772</v>
      </c>
      <c r="AJ1445">
        <v>33.099145999999998</v>
      </c>
      <c r="AK1445" t="s">
        <v>773</v>
      </c>
      <c r="AL1445">
        <v>-97.688047999999995</v>
      </c>
      <c r="AM1445">
        <v>25</v>
      </c>
      <c r="AN1445">
        <v>3400</v>
      </c>
      <c r="AO1445" t="s">
        <v>118</v>
      </c>
      <c r="AP1445">
        <v>52</v>
      </c>
      <c r="AQ1445">
        <v>-102</v>
      </c>
      <c r="AR1445">
        <v>-64</v>
      </c>
      <c r="AZ1445">
        <v>1200</v>
      </c>
      <c r="BA1445">
        <v>1</v>
      </c>
      <c r="BB1445" t="str">
        <f t="shared" si="430"/>
        <v xml:space="preserve">N733KP  </v>
      </c>
      <c r="BC1445">
        <v>1</v>
      </c>
      <c r="BE1445">
        <v>0</v>
      </c>
      <c r="BF1445">
        <v>0</v>
      </c>
      <c r="BG1445">
        <v>0</v>
      </c>
      <c r="BH1445">
        <v>3350</v>
      </c>
      <c r="BI1445">
        <v>1</v>
      </c>
      <c r="BJ1445">
        <v>1</v>
      </c>
      <c r="BK1445">
        <v>0</v>
      </c>
      <c r="BL1445">
        <v>0</v>
      </c>
      <c r="BO1445">
        <v>0</v>
      </c>
      <c r="BP1445">
        <v>0</v>
      </c>
      <c r="BW1445" t="str">
        <f>"22:15:32.501"</f>
        <v>22:15:32.501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364</v>
      </c>
      <c r="CR1445">
        <v>0</v>
      </c>
      <c r="CW1445">
        <v>1420186</v>
      </c>
      <c r="CY1445">
        <v>1</v>
      </c>
      <c r="CZ1445">
        <v>0</v>
      </c>
      <c r="DA1445">
        <v>1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"03/24/2022 22:15:32.725"</f>
        <v>03/24/2022 22:15:32.725</v>
      </c>
      <c r="C1446" t="str">
        <f t="shared" si="429"/>
        <v>FFDFD3C0</v>
      </c>
      <c r="D1446" t="s">
        <v>123</v>
      </c>
      <c r="E1446">
        <v>8</v>
      </c>
      <c r="H1446">
        <v>31</v>
      </c>
      <c r="I1446" t="s">
        <v>124</v>
      </c>
      <c r="J1446" t="s">
        <v>125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S1446" t="str">
        <f t="shared" si="434"/>
        <v>22:15:32.000</v>
      </c>
      <c r="T1446" t="str">
        <f t="shared" si="434"/>
        <v>22:15:32.000</v>
      </c>
      <c r="U1446" t="str">
        <f t="shared" si="423"/>
        <v>A9D71F</v>
      </c>
      <c r="V1446">
        <v>0</v>
      </c>
      <c r="W1446">
        <v>0</v>
      </c>
      <c r="X1446">
        <v>2</v>
      </c>
      <c r="Z1446">
        <v>1</v>
      </c>
      <c r="AA1446">
        <v>8</v>
      </c>
      <c r="AB1446">
        <v>3</v>
      </c>
      <c r="AC1446">
        <v>0</v>
      </c>
      <c r="AD1446">
        <v>9</v>
      </c>
      <c r="AE1446">
        <v>0</v>
      </c>
      <c r="AF1446">
        <v>3</v>
      </c>
      <c r="AG1446">
        <v>1</v>
      </c>
      <c r="AH1446">
        <v>0</v>
      </c>
      <c r="AI1446" t="s">
        <v>772</v>
      </c>
      <c r="AJ1446">
        <v>33.099145999999998</v>
      </c>
      <c r="AK1446" t="s">
        <v>773</v>
      </c>
      <c r="AL1446">
        <v>-97.688047999999995</v>
      </c>
      <c r="AM1446">
        <v>25</v>
      </c>
      <c r="AN1446">
        <v>3400</v>
      </c>
      <c r="AO1446" t="s">
        <v>118</v>
      </c>
      <c r="AP1446">
        <v>52</v>
      </c>
      <c r="AQ1446">
        <v>-102</v>
      </c>
      <c r="AR1446">
        <v>-64</v>
      </c>
      <c r="AZ1446">
        <v>1200</v>
      </c>
      <c r="BA1446">
        <v>1</v>
      </c>
      <c r="BB1446" t="str">
        <f t="shared" si="430"/>
        <v xml:space="preserve">N733KP  </v>
      </c>
      <c r="BC1446">
        <v>1</v>
      </c>
      <c r="BE1446">
        <v>0</v>
      </c>
      <c r="BF1446">
        <v>0</v>
      </c>
      <c r="BG1446">
        <v>0</v>
      </c>
      <c r="BH1446">
        <v>3350</v>
      </c>
      <c r="BI1446">
        <v>1</v>
      </c>
      <c r="BJ1446">
        <v>1</v>
      </c>
      <c r="BK1446">
        <v>0</v>
      </c>
      <c r="BL1446">
        <v>0</v>
      </c>
      <c r="BO1446">
        <v>0</v>
      </c>
      <c r="BP1446">
        <v>0</v>
      </c>
      <c r="BW1446" t="str">
        <f>"22:15:32.501"</f>
        <v>22:15:32.501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364</v>
      </c>
      <c r="CR1446">
        <v>0</v>
      </c>
      <c r="CW1446">
        <v>1420186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"03/24/2022 22:15:33.430"</f>
        <v>03/24/2022 22:15:33.430</v>
      </c>
      <c r="C1447" t="str">
        <f t="shared" si="429"/>
        <v>FFDFD3C0</v>
      </c>
      <c r="D1447" t="s">
        <v>120</v>
      </c>
      <c r="E1447">
        <v>14</v>
      </c>
      <c r="F1447">
        <v>1014</v>
      </c>
      <c r="G1447" t="s">
        <v>121</v>
      </c>
      <c r="J1447" t="s">
        <v>122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S1447" t="str">
        <f t="shared" ref="S1447:T1450" si="435">"22:15:33.000"</f>
        <v>22:15:33.000</v>
      </c>
      <c r="T1447" t="str">
        <f t="shared" si="435"/>
        <v>22:15:33.000</v>
      </c>
      <c r="U1447" t="str">
        <f t="shared" si="423"/>
        <v>A9D71F</v>
      </c>
      <c r="V1447">
        <v>0</v>
      </c>
      <c r="W1447">
        <v>0</v>
      </c>
      <c r="X1447">
        <v>2</v>
      </c>
      <c r="Z1447">
        <v>1</v>
      </c>
      <c r="AA1447">
        <v>8</v>
      </c>
      <c r="AB1447">
        <v>3</v>
      </c>
      <c r="AC1447">
        <v>0</v>
      </c>
      <c r="AD1447">
        <v>9</v>
      </c>
      <c r="AE1447">
        <v>0</v>
      </c>
      <c r="AF1447">
        <v>3</v>
      </c>
      <c r="AG1447">
        <v>1</v>
      </c>
      <c r="AH1447">
        <v>0</v>
      </c>
      <c r="AI1447" t="s">
        <v>774</v>
      </c>
      <c r="AJ1447">
        <v>33.098674000000003</v>
      </c>
      <c r="AK1447" t="s">
        <v>775</v>
      </c>
      <c r="AL1447">
        <v>-97.687790000000007</v>
      </c>
      <c r="AM1447">
        <v>25</v>
      </c>
      <c r="AN1447">
        <v>3400</v>
      </c>
      <c r="AO1447" t="s">
        <v>118</v>
      </c>
      <c r="AP1447">
        <v>48</v>
      </c>
      <c r="AQ1447">
        <v>-102</v>
      </c>
      <c r="AR1447">
        <v>0</v>
      </c>
      <c r="AZ1447">
        <v>1200</v>
      </c>
      <c r="BA1447">
        <v>1</v>
      </c>
      <c r="BB1447" t="str">
        <f t="shared" si="430"/>
        <v xml:space="preserve">N733KP  </v>
      </c>
      <c r="BC1447">
        <v>1</v>
      </c>
      <c r="BE1447">
        <v>0</v>
      </c>
      <c r="BF1447">
        <v>0</v>
      </c>
      <c r="BG1447">
        <v>0</v>
      </c>
      <c r="BH1447">
        <v>3350</v>
      </c>
      <c r="BI1447">
        <v>1</v>
      </c>
      <c r="BJ1447">
        <v>1</v>
      </c>
      <c r="BK1447">
        <v>0</v>
      </c>
      <c r="BL1447">
        <v>0</v>
      </c>
      <c r="BO1447">
        <v>0</v>
      </c>
      <c r="BP1447">
        <v>0</v>
      </c>
      <c r="BW1447" t="str">
        <f>"22:15:33.244"</f>
        <v>22:15:33.244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6</v>
      </c>
      <c r="CP1447" t="s">
        <v>119</v>
      </c>
      <c r="CQ1447">
        <v>364</v>
      </c>
      <c r="CR1447">
        <v>0</v>
      </c>
      <c r="CW1447">
        <v>1420298</v>
      </c>
      <c r="CY1447">
        <v>1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"03/24/2022 22:15:33.430"</f>
        <v>03/24/2022 22:15:33.430</v>
      </c>
      <c r="C1448" t="str">
        <f t="shared" si="429"/>
        <v>FFDFD3C0</v>
      </c>
      <c r="D1448" t="s">
        <v>113</v>
      </c>
      <c r="E1448">
        <v>24</v>
      </c>
      <c r="F1448">
        <v>2024</v>
      </c>
      <c r="G1448" t="s">
        <v>114</v>
      </c>
      <c r="J1448" t="s">
        <v>115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S1448" t="str">
        <f t="shared" si="435"/>
        <v>22:15:33.000</v>
      </c>
      <c r="T1448" t="str">
        <f t="shared" si="435"/>
        <v>22:15:33.000</v>
      </c>
      <c r="U1448" t="str">
        <f t="shared" si="423"/>
        <v>A9D71F</v>
      </c>
      <c r="V1448">
        <v>0</v>
      </c>
      <c r="W1448">
        <v>0</v>
      </c>
      <c r="X1448">
        <v>2</v>
      </c>
      <c r="Z1448">
        <v>1</v>
      </c>
      <c r="AA1448">
        <v>8</v>
      </c>
      <c r="AB1448">
        <v>3</v>
      </c>
      <c r="AC1448">
        <v>0</v>
      </c>
      <c r="AD1448">
        <v>9</v>
      </c>
      <c r="AE1448">
        <v>0</v>
      </c>
      <c r="AF1448">
        <v>3</v>
      </c>
      <c r="AG1448">
        <v>1</v>
      </c>
      <c r="AH1448">
        <v>0</v>
      </c>
      <c r="AI1448" t="s">
        <v>774</v>
      </c>
      <c r="AJ1448">
        <v>33.098674000000003</v>
      </c>
      <c r="AK1448" t="s">
        <v>775</v>
      </c>
      <c r="AL1448">
        <v>-97.687790000000007</v>
      </c>
      <c r="AM1448">
        <v>25</v>
      </c>
      <c r="AN1448">
        <v>3400</v>
      </c>
      <c r="AO1448" t="s">
        <v>118</v>
      </c>
      <c r="AP1448">
        <v>48</v>
      </c>
      <c r="AQ1448">
        <v>-102</v>
      </c>
      <c r="AR1448">
        <v>0</v>
      </c>
      <c r="AZ1448">
        <v>1200</v>
      </c>
      <c r="BA1448">
        <v>1</v>
      </c>
      <c r="BB1448" t="str">
        <f t="shared" si="430"/>
        <v xml:space="preserve">N733KP  </v>
      </c>
      <c r="BC1448">
        <v>1</v>
      </c>
      <c r="BE1448">
        <v>0</v>
      </c>
      <c r="BF1448">
        <v>0</v>
      </c>
      <c r="BG1448">
        <v>0</v>
      </c>
      <c r="BH1448">
        <v>3350</v>
      </c>
      <c r="BI1448">
        <v>1</v>
      </c>
      <c r="BJ1448">
        <v>1</v>
      </c>
      <c r="BK1448">
        <v>0</v>
      </c>
      <c r="BL1448">
        <v>0</v>
      </c>
      <c r="BO1448">
        <v>0</v>
      </c>
      <c r="BP1448">
        <v>0</v>
      </c>
      <c r="BW1448" t="str">
        <f>"22:15:33.244"</f>
        <v>22:15:33.244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6</v>
      </c>
      <c r="CP1448" t="s">
        <v>119</v>
      </c>
      <c r="CQ1448">
        <v>364</v>
      </c>
      <c r="CR1448">
        <v>0</v>
      </c>
      <c r="CW1448">
        <v>1420298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"03/24/2022 22:15:33.430"</f>
        <v>03/24/2022 22:15:33.430</v>
      </c>
      <c r="C1449" t="str">
        <f t="shared" si="429"/>
        <v>FFDFD3C0</v>
      </c>
      <c r="D1449" t="s">
        <v>123</v>
      </c>
      <c r="E1449">
        <v>8</v>
      </c>
      <c r="H1449">
        <v>31</v>
      </c>
      <c r="I1449" t="s">
        <v>124</v>
      </c>
      <c r="J1449" t="s">
        <v>125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S1449" t="str">
        <f t="shared" si="435"/>
        <v>22:15:33.000</v>
      </c>
      <c r="T1449" t="str">
        <f t="shared" si="435"/>
        <v>22:15:33.000</v>
      </c>
      <c r="U1449" t="str">
        <f t="shared" si="423"/>
        <v>A9D71F</v>
      </c>
      <c r="V1449">
        <v>0</v>
      </c>
      <c r="W1449">
        <v>0</v>
      </c>
      <c r="X1449">
        <v>2</v>
      </c>
      <c r="Z1449">
        <v>1</v>
      </c>
      <c r="AA1449">
        <v>8</v>
      </c>
      <c r="AB1449">
        <v>3</v>
      </c>
      <c r="AC1449">
        <v>0</v>
      </c>
      <c r="AD1449">
        <v>9</v>
      </c>
      <c r="AE1449">
        <v>0</v>
      </c>
      <c r="AF1449">
        <v>3</v>
      </c>
      <c r="AG1449">
        <v>1</v>
      </c>
      <c r="AH1449">
        <v>0</v>
      </c>
      <c r="AI1449" t="s">
        <v>774</v>
      </c>
      <c r="AJ1449">
        <v>33.098674000000003</v>
      </c>
      <c r="AK1449" t="s">
        <v>775</v>
      </c>
      <c r="AL1449">
        <v>-97.687790000000007</v>
      </c>
      <c r="AM1449">
        <v>25</v>
      </c>
      <c r="AN1449">
        <v>3400</v>
      </c>
      <c r="AO1449" t="s">
        <v>118</v>
      </c>
      <c r="AP1449">
        <v>48</v>
      </c>
      <c r="AQ1449">
        <v>-102</v>
      </c>
      <c r="AR1449">
        <v>0</v>
      </c>
      <c r="AZ1449">
        <v>1200</v>
      </c>
      <c r="BA1449">
        <v>1</v>
      </c>
      <c r="BB1449" t="str">
        <f t="shared" si="430"/>
        <v xml:space="preserve">N733KP  </v>
      </c>
      <c r="BC1449">
        <v>1</v>
      </c>
      <c r="BE1449">
        <v>0</v>
      </c>
      <c r="BF1449">
        <v>0</v>
      </c>
      <c r="BG1449">
        <v>0</v>
      </c>
      <c r="BH1449">
        <v>3350</v>
      </c>
      <c r="BI1449">
        <v>1</v>
      </c>
      <c r="BJ1449">
        <v>1</v>
      </c>
      <c r="BK1449">
        <v>0</v>
      </c>
      <c r="BL1449">
        <v>0</v>
      </c>
      <c r="BO1449">
        <v>0</v>
      </c>
      <c r="BP1449">
        <v>0</v>
      </c>
      <c r="BW1449" t="str">
        <f>"22:15:33.244"</f>
        <v>22:15:33.244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6</v>
      </c>
      <c r="CP1449" t="s">
        <v>119</v>
      </c>
      <c r="CQ1449">
        <v>364</v>
      </c>
      <c r="CR1449">
        <v>0</v>
      </c>
      <c r="CW1449">
        <v>1420298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"03/24/2022 22:15:33.494"</f>
        <v>03/24/2022 22:15:33.494</v>
      </c>
      <c r="C1450" t="str">
        <f t="shared" si="429"/>
        <v>FFDFD3C0</v>
      </c>
      <c r="D1450" t="s">
        <v>126</v>
      </c>
      <c r="E1450">
        <v>3</v>
      </c>
      <c r="H1450">
        <v>160</v>
      </c>
      <c r="I1450" t="s">
        <v>121</v>
      </c>
      <c r="J1450" t="s">
        <v>127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S1450" t="str">
        <f t="shared" si="435"/>
        <v>22:15:33.000</v>
      </c>
      <c r="T1450" t="str">
        <f t="shared" si="435"/>
        <v>22:15:33.000</v>
      </c>
      <c r="U1450" t="str">
        <f t="shared" si="423"/>
        <v>A9D71F</v>
      </c>
      <c r="V1450">
        <v>0</v>
      </c>
      <c r="W1450">
        <v>0</v>
      </c>
      <c r="X1450">
        <v>2</v>
      </c>
      <c r="Z1450">
        <v>1</v>
      </c>
      <c r="AA1450">
        <v>8</v>
      </c>
      <c r="AB1450">
        <v>3</v>
      </c>
      <c r="AC1450">
        <v>0</v>
      </c>
      <c r="AD1450">
        <v>9</v>
      </c>
      <c r="AE1450">
        <v>0</v>
      </c>
      <c r="AF1450">
        <v>3</v>
      </c>
      <c r="AG1450">
        <v>1</v>
      </c>
      <c r="AH1450">
        <v>0</v>
      </c>
      <c r="AI1450" t="s">
        <v>774</v>
      </c>
      <c r="AJ1450">
        <v>33.098674000000003</v>
      </c>
      <c r="AK1450" t="s">
        <v>775</v>
      </c>
      <c r="AL1450">
        <v>-97.687790000000007</v>
      </c>
      <c r="AM1450">
        <v>25</v>
      </c>
      <c r="AN1450">
        <v>3400</v>
      </c>
      <c r="AO1450" t="s">
        <v>118</v>
      </c>
      <c r="AP1450">
        <v>48</v>
      </c>
      <c r="AQ1450">
        <v>-102</v>
      </c>
      <c r="AR1450">
        <v>0</v>
      </c>
      <c r="AZ1450">
        <v>1200</v>
      </c>
      <c r="BA1450">
        <v>1</v>
      </c>
      <c r="BB1450" t="str">
        <f t="shared" si="430"/>
        <v xml:space="preserve">N733KP  </v>
      </c>
      <c r="BC1450">
        <v>1</v>
      </c>
      <c r="BE1450">
        <v>0</v>
      </c>
      <c r="BF1450">
        <v>0</v>
      </c>
      <c r="BG1450">
        <v>0</v>
      </c>
      <c r="BH1450">
        <v>3350</v>
      </c>
      <c r="BI1450">
        <v>1</v>
      </c>
      <c r="BJ1450">
        <v>1</v>
      </c>
      <c r="BK1450">
        <v>0</v>
      </c>
      <c r="BL1450">
        <v>0</v>
      </c>
      <c r="BO1450">
        <v>0</v>
      </c>
      <c r="BP1450">
        <v>0</v>
      </c>
      <c r="BW1450" t="str">
        <f>"22:15:33.244"</f>
        <v>22:15:33.244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6</v>
      </c>
      <c r="CP1450" t="s">
        <v>119</v>
      </c>
      <c r="CQ1450">
        <v>364</v>
      </c>
      <c r="CR1450">
        <v>0</v>
      </c>
      <c r="CW1450">
        <v>1420298</v>
      </c>
      <c r="CY1450">
        <v>1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"03/24/2022 22:15:34.806"</f>
        <v>03/24/2022 22:15:34.806</v>
      </c>
      <c r="C1451" t="str">
        <f t="shared" si="429"/>
        <v>FFDFD3C0</v>
      </c>
      <c r="D1451" t="s">
        <v>123</v>
      </c>
      <c r="E1451">
        <v>8</v>
      </c>
      <c r="H1451">
        <v>31</v>
      </c>
      <c r="I1451" t="s">
        <v>124</v>
      </c>
      <c r="J1451" t="s">
        <v>125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S1451" t="str">
        <f t="shared" ref="S1451:T1454" si="436">"22:15:34.000"</f>
        <v>22:15:34.000</v>
      </c>
      <c r="T1451" t="str">
        <f t="shared" si="436"/>
        <v>22:15:34.000</v>
      </c>
      <c r="U1451" t="str">
        <f t="shared" si="423"/>
        <v>A9D71F</v>
      </c>
      <c r="V1451">
        <v>0</v>
      </c>
      <c r="W1451">
        <v>0</v>
      </c>
      <c r="X1451">
        <v>2</v>
      </c>
      <c r="Z1451">
        <v>1</v>
      </c>
      <c r="AA1451">
        <v>8</v>
      </c>
      <c r="AB1451">
        <v>3</v>
      </c>
      <c r="AC1451">
        <v>0</v>
      </c>
      <c r="AD1451">
        <v>9</v>
      </c>
      <c r="AE1451">
        <v>0</v>
      </c>
      <c r="AF1451">
        <v>3</v>
      </c>
      <c r="AG1451">
        <v>1</v>
      </c>
      <c r="AH1451">
        <v>0</v>
      </c>
      <c r="AI1451" t="s">
        <v>776</v>
      </c>
      <c r="AJ1451">
        <v>33.098202000000001</v>
      </c>
      <c r="AK1451" t="s">
        <v>777</v>
      </c>
      <c r="AL1451">
        <v>-97.687489999999997</v>
      </c>
      <c r="AM1451">
        <v>25</v>
      </c>
      <c r="AN1451">
        <v>3400</v>
      </c>
      <c r="AO1451" t="s">
        <v>118</v>
      </c>
      <c r="AP1451">
        <v>50</v>
      </c>
      <c r="AQ1451">
        <v>-103</v>
      </c>
      <c r="AR1451">
        <v>-64</v>
      </c>
      <c r="AZ1451">
        <v>1200</v>
      </c>
      <c r="BA1451">
        <v>1</v>
      </c>
      <c r="BB1451" t="str">
        <f t="shared" si="430"/>
        <v xml:space="preserve">N733KP  </v>
      </c>
      <c r="BC1451">
        <v>1</v>
      </c>
      <c r="BE1451">
        <v>0</v>
      </c>
      <c r="BF1451">
        <v>0</v>
      </c>
      <c r="BG1451">
        <v>0</v>
      </c>
      <c r="BH1451">
        <v>3350</v>
      </c>
      <c r="BI1451">
        <v>1</v>
      </c>
      <c r="BJ1451">
        <v>1</v>
      </c>
      <c r="BK1451">
        <v>0</v>
      </c>
      <c r="BL1451">
        <v>0</v>
      </c>
      <c r="BO1451">
        <v>0</v>
      </c>
      <c r="BP1451">
        <v>0</v>
      </c>
      <c r="BW1451" t="str">
        <f>"22:15:34.642"</f>
        <v>22:15:34.642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364</v>
      </c>
      <c r="CR1451">
        <v>0</v>
      </c>
      <c r="CW1451">
        <v>1420529</v>
      </c>
      <c r="CY1451">
        <v>1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"03/24/2022 22:15:34.806"</f>
        <v>03/24/2022 22:15:34.806</v>
      </c>
      <c r="C1452" t="str">
        <f t="shared" si="429"/>
        <v>FFDFD3C0</v>
      </c>
      <c r="D1452" t="s">
        <v>126</v>
      </c>
      <c r="E1452">
        <v>3</v>
      </c>
      <c r="H1452">
        <v>160</v>
      </c>
      <c r="I1452" t="s">
        <v>121</v>
      </c>
      <c r="J1452" t="s">
        <v>127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S1452" t="str">
        <f t="shared" si="436"/>
        <v>22:15:34.000</v>
      </c>
      <c r="T1452" t="str">
        <f t="shared" si="436"/>
        <v>22:15:34.000</v>
      </c>
      <c r="U1452" t="str">
        <f t="shared" si="423"/>
        <v>A9D71F</v>
      </c>
      <c r="V1452">
        <v>0</v>
      </c>
      <c r="W1452">
        <v>0</v>
      </c>
      <c r="X1452">
        <v>2</v>
      </c>
      <c r="Z1452">
        <v>1</v>
      </c>
      <c r="AA1452">
        <v>8</v>
      </c>
      <c r="AB1452">
        <v>3</v>
      </c>
      <c r="AC1452">
        <v>0</v>
      </c>
      <c r="AD1452">
        <v>9</v>
      </c>
      <c r="AE1452">
        <v>0</v>
      </c>
      <c r="AF1452">
        <v>3</v>
      </c>
      <c r="AG1452">
        <v>1</v>
      </c>
      <c r="AH1452">
        <v>0</v>
      </c>
      <c r="AI1452" t="s">
        <v>776</v>
      </c>
      <c r="AJ1452">
        <v>33.098202000000001</v>
      </c>
      <c r="AK1452" t="s">
        <v>777</v>
      </c>
      <c r="AL1452">
        <v>-97.687489999999997</v>
      </c>
      <c r="AM1452">
        <v>25</v>
      </c>
      <c r="AN1452">
        <v>3400</v>
      </c>
      <c r="AO1452" t="s">
        <v>118</v>
      </c>
      <c r="AP1452">
        <v>50</v>
      </c>
      <c r="AQ1452">
        <v>-103</v>
      </c>
      <c r="AR1452">
        <v>-64</v>
      </c>
      <c r="AZ1452">
        <v>1200</v>
      </c>
      <c r="BA1452">
        <v>1</v>
      </c>
      <c r="BB1452" t="str">
        <f t="shared" si="430"/>
        <v xml:space="preserve">N733KP  </v>
      </c>
      <c r="BC1452">
        <v>1</v>
      </c>
      <c r="BE1452">
        <v>0</v>
      </c>
      <c r="BF1452">
        <v>0</v>
      </c>
      <c r="BG1452">
        <v>0</v>
      </c>
      <c r="BH1452">
        <v>3350</v>
      </c>
      <c r="BI1452">
        <v>1</v>
      </c>
      <c r="BJ1452">
        <v>1</v>
      </c>
      <c r="BK1452">
        <v>0</v>
      </c>
      <c r="BL1452">
        <v>0</v>
      </c>
      <c r="BO1452">
        <v>0</v>
      </c>
      <c r="BP1452">
        <v>0</v>
      </c>
      <c r="BW1452" t="str">
        <f>"22:15:34.642"</f>
        <v>22:15:34.642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119</v>
      </c>
      <c r="CQ1452">
        <v>364</v>
      </c>
      <c r="CR1452">
        <v>0</v>
      </c>
      <c r="CW1452">
        <v>1420529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"03/24/2022 22:15:34.853"</f>
        <v>03/24/2022 22:15:34.853</v>
      </c>
      <c r="C1453" t="str">
        <f t="shared" si="429"/>
        <v>FFDFD3C0</v>
      </c>
      <c r="D1453" t="s">
        <v>120</v>
      </c>
      <c r="E1453">
        <v>14</v>
      </c>
      <c r="F1453">
        <v>1014</v>
      </c>
      <c r="G1453" t="s">
        <v>121</v>
      </c>
      <c r="J1453" t="s">
        <v>122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S1453" t="str">
        <f t="shared" si="436"/>
        <v>22:15:34.000</v>
      </c>
      <c r="T1453" t="str">
        <f t="shared" si="436"/>
        <v>22:15:34.000</v>
      </c>
      <c r="U1453" t="str">
        <f t="shared" si="423"/>
        <v>A9D71F</v>
      </c>
      <c r="V1453">
        <v>0</v>
      </c>
      <c r="W1453">
        <v>0</v>
      </c>
      <c r="X1453">
        <v>2</v>
      </c>
      <c r="Z1453">
        <v>1</v>
      </c>
      <c r="AA1453">
        <v>8</v>
      </c>
      <c r="AB1453">
        <v>3</v>
      </c>
      <c r="AC1453">
        <v>0</v>
      </c>
      <c r="AD1453">
        <v>9</v>
      </c>
      <c r="AE1453">
        <v>0</v>
      </c>
      <c r="AF1453">
        <v>3</v>
      </c>
      <c r="AG1453">
        <v>1</v>
      </c>
      <c r="AH1453">
        <v>0</v>
      </c>
      <c r="AI1453" t="s">
        <v>776</v>
      </c>
      <c r="AJ1453">
        <v>33.098202000000001</v>
      </c>
      <c r="AK1453" t="s">
        <v>777</v>
      </c>
      <c r="AL1453">
        <v>-97.687489999999997</v>
      </c>
      <c r="AM1453">
        <v>25</v>
      </c>
      <c r="AN1453">
        <v>3400</v>
      </c>
      <c r="AO1453" t="s">
        <v>118</v>
      </c>
      <c r="AP1453">
        <v>50</v>
      </c>
      <c r="AQ1453">
        <v>-103</v>
      </c>
      <c r="AR1453">
        <v>-64</v>
      </c>
      <c r="AZ1453">
        <v>1200</v>
      </c>
      <c r="BA1453">
        <v>1</v>
      </c>
      <c r="BB1453" t="str">
        <f t="shared" si="430"/>
        <v xml:space="preserve">N733KP  </v>
      </c>
      <c r="BC1453">
        <v>1</v>
      </c>
      <c r="BE1453">
        <v>0</v>
      </c>
      <c r="BF1453">
        <v>0</v>
      </c>
      <c r="BG1453">
        <v>0</v>
      </c>
      <c r="BH1453">
        <v>3350</v>
      </c>
      <c r="BI1453">
        <v>1</v>
      </c>
      <c r="BJ1453">
        <v>1</v>
      </c>
      <c r="BK1453">
        <v>0</v>
      </c>
      <c r="BL1453">
        <v>0</v>
      </c>
      <c r="BO1453">
        <v>0</v>
      </c>
      <c r="BP1453">
        <v>0</v>
      </c>
      <c r="BW1453" t="str">
        <f>"22:15:34.642"</f>
        <v>22:15:34.642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364</v>
      </c>
      <c r="CR1453">
        <v>0</v>
      </c>
      <c r="CW1453">
        <v>1420529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"03/24/2022 22:15:34.900"</f>
        <v>03/24/2022 22:15:34.900</v>
      </c>
      <c r="C1454" t="str">
        <f t="shared" si="429"/>
        <v>FFDFD3C0</v>
      </c>
      <c r="D1454" t="s">
        <v>113</v>
      </c>
      <c r="E1454">
        <v>24</v>
      </c>
      <c r="F1454">
        <v>2024</v>
      </c>
      <c r="G1454" t="s">
        <v>114</v>
      </c>
      <c r="J1454" t="s">
        <v>115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S1454" t="str">
        <f t="shared" si="436"/>
        <v>22:15:34.000</v>
      </c>
      <c r="T1454" t="str">
        <f t="shared" si="436"/>
        <v>22:15:34.000</v>
      </c>
      <c r="U1454" t="str">
        <f t="shared" si="423"/>
        <v>A9D71F</v>
      </c>
      <c r="V1454">
        <v>0</v>
      </c>
      <c r="W1454">
        <v>0</v>
      </c>
      <c r="X1454">
        <v>2</v>
      </c>
      <c r="Z1454">
        <v>1</v>
      </c>
      <c r="AA1454">
        <v>8</v>
      </c>
      <c r="AB1454">
        <v>3</v>
      </c>
      <c r="AC1454">
        <v>0</v>
      </c>
      <c r="AD1454">
        <v>9</v>
      </c>
      <c r="AE1454">
        <v>0</v>
      </c>
      <c r="AF1454">
        <v>3</v>
      </c>
      <c r="AG1454">
        <v>1</v>
      </c>
      <c r="AH1454">
        <v>0</v>
      </c>
      <c r="AI1454" t="s">
        <v>776</v>
      </c>
      <c r="AJ1454">
        <v>33.098202000000001</v>
      </c>
      <c r="AK1454" t="s">
        <v>777</v>
      </c>
      <c r="AL1454">
        <v>-97.687489999999997</v>
      </c>
      <c r="AM1454">
        <v>25</v>
      </c>
      <c r="AN1454">
        <v>3400</v>
      </c>
      <c r="AO1454" t="s">
        <v>118</v>
      </c>
      <c r="AP1454">
        <v>50</v>
      </c>
      <c r="AQ1454">
        <v>-103</v>
      </c>
      <c r="AR1454">
        <v>-64</v>
      </c>
      <c r="AZ1454">
        <v>1200</v>
      </c>
      <c r="BA1454">
        <v>1</v>
      </c>
      <c r="BB1454" t="str">
        <f t="shared" si="430"/>
        <v xml:space="preserve">N733KP  </v>
      </c>
      <c r="BC1454">
        <v>1</v>
      </c>
      <c r="BE1454">
        <v>0</v>
      </c>
      <c r="BF1454">
        <v>0</v>
      </c>
      <c r="BG1454">
        <v>0</v>
      </c>
      <c r="BH1454">
        <v>3350</v>
      </c>
      <c r="BI1454">
        <v>1</v>
      </c>
      <c r="BJ1454">
        <v>1</v>
      </c>
      <c r="BK1454">
        <v>0</v>
      </c>
      <c r="BL1454">
        <v>0</v>
      </c>
      <c r="BO1454">
        <v>0</v>
      </c>
      <c r="BP1454">
        <v>0</v>
      </c>
      <c r="BW1454" t="str">
        <f>"22:15:34.642"</f>
        <v>22:15:34.642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119</v>
      </c>
      <c r="CQ1454">
        <v>364</v>
      </c>
      <c r="CR1454">
        <v>0</v>
      </c>
      <c r="CW1454">
        <v>1420529</v>
      </c>
      <c r="CY1454">
        <v>1</v>
      </c>
      <c r="CZ1454">
        <v>0</v>
      </c>
      <c r="DA1454">
        <v>1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"03/24/2022 22:15:35.978"</f>
        <v>03/24/2022 22:15:35.978</v>
      </c>
      <c r="C1455" t="str">
        <f t="shared" si="429"/>
        <v>FFDFD3C0</v>
      </c>
      <c r="D1455" t="s">
        <v>120</v>
      </c>
      <c r="E1455">
        <v>14</v>
      </c>
      <c r="F1455">
        <v>1014</v>
      </c>
      <c r="G1455" t="s">
        <v>121</v>
      </c>
      <c r="J1455" t="s">
        <v>122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S1455" t="str">
        <f t="shared" ref="S1455:T1458" si="437">"22:15:35.000"</f>
        <v>22:15:35.000</v>
      </c>
      <c r="T1455" t="str">
        <f t="shared" si="437"/>
        <v>22:15:35.000</v>
      </c>
      <c r="U1455" t="str">
        <f t="shared" si="423"/>
        <v>A9D71F</v>
      </c>
      <c r="V1455">
        <v>0</v>
      </c>
      <c r="W1455">
        <v>0</v>
      </c>
      <c r="X1455">
        <v>2</v>
      </c>
      <c r="Z1455">
        <v>1</v>
      </c>
      <c r="AA1455">
        <v>8</v>
      </c>
      <c r="AB1455">
        <v>3</v>
      </c>
      <c r="AC1455">
        <v>0</v>
      </c>
      <c r="AD1455">
        <v>9</v>
      </c>
      <c r="AE1455">
        <v>0</v>
      </c>
      <c r="AF1455">
        <v>3</v>
      </c>
      <c r="AG1455">
        <v>1</v>
      </c>
      <c r="AH1455">
        <v>0</v>
      </c>
      <c r="AI1455" t="s">
        <v>778</v>
      </c>
      <c r="AJ1455">
        <v>33.097729999999999</v>
      </c>
      <c r="AK1455" t="s">
        <v>779</v>
      </c>
      <c r="AL1455">
        <v>-97.687211000000005</v>
      </c>
      <c r="AM1455">
        <v>25</v>
      </c>
      <c r="AN1455">
        <v>3400</v>
      </c>
      <c r="AO1455" t="s">
        <v>118</v>
      </c>
      <c r="AP1455">
        <v>50</v>
      </c>
      <c r="AQ1455">
        <v>-103</v>
      </c>
      <c r="AR1455">
        <v>-192</v>
      </c>
      <c r="AZ1455">
        <v>1200</v>
      </c>
      <c r="BA1455">
        <v>1</v>
      </c>
      <c r="BB1455" t="str">
        <f t="shared" si="430"/>
        <v xml:space="preserve">N733KP  </v>
      </c>
      <c r="BC1455">
        <v>1</v>
      </c>
      <c r="BE1455">
        <v>0</v>
      </c>
      <c r="BF1455">
        <v>0</v>
      </c>
      <c r="BG1455">
        <v>0</v>
      </c>
      <c r="BH1455">
        <v>3350</v>
      </c>
      <c r="BI1455">
        <v>1</v>
      </c>
      <c r="BJ1455">
        <v>1</v>
      </c>
      <c r="BK1455">
        <v>0</v>
      </c>
      <c r="BL1455">
        <v>0</v>
      </c>
      <c r="BO1455">
        <v>0</v>
      </c>
      <c r="BP1455">
        <v>0</v>
      </c>
      <c r="BW1455" t="str">
        <f>"22:15:35.791"</f>
        <v>22:15:35.791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7</v>
      </c>
      <c r="CP1455" t="s">
        <v>119</v>
      </c>
      <c r="CQ1455">
        <v>364</v>
      </c>
      <c r="CR1455">
        <v>0</v>
      </c>
      <c r="CW1455">
        <v>1420751</v>
      </c>
      <c r="CY1455">
        <v>1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"03/24/2022 22:15:35.978"</f>
        <v>03/24/2022 22:15:35.978</v>
      </c>
      <c r="C1456" t="str">
        <f t="shared" si="429"/>
        <v>FFDFD3C0</v>
      </c>
      <c r="D1456" t="s">
        <v>113</v>
      </c>
      <c r="E1456">
        <v>24</v>
      </c>
      <c r="F1456">
        <v>2024</v>
      </c>
      <c r="G1456" t="s">
        <v>114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S1456" t="str">
        <f t="shared" si="437"/>
        <v>22:15:35.000</v>
      </c>
      <c r="T1456" t="str">
        <f t="shared" si="437"/>
        <v>22:15:35.000</v>
      </c>
      <c r="U1456" t="str">
        <f t="shared" si="423"/>
        <v>A9D71F</v>
      </c>
      <c r="V1456">
        <v>0</v>
      </c>
      <c r="W1456">
        <v>0</v>
      </c>
      <c r="X1456">
        <v>2</v>
      </c>
      <c r="Z1456">
        <v>1</v>
      </c>
      <c r="AA1456">
        <v>8</v>
      </c>
      <c r="AB1456">
        <v>3</v>
      </c>
      <c r="AC1456">
        <v>0</v>
      </c>
      <c r="AD1456">
        <v>9</v>
      </c>
      <c r="AE1456">
        <v>0</v>
      </c>
      <c r="AF1456">
        <v>3</v>
      </c>
      <c r="AG1456">
        <v>1</v>
      </c>
      <c r="AH1456">
        <v>0</v>
      </c>
      <c r="AI1456" t="s">
        <v>778</v>
      </c>
      <c r="AJ1456">
        <v>33.097729999999999</v>
      </c>
      <c r="AK1456" t="s">
        <v>779</v>
      </c>
      <c r="AL1456">
        <v>-97.687211000000005</v>
      </c>
      <c r="AM1456">
        <v>25</v>
      </c>
      <c r="AN1456">
        <v>3400</v>
      </c>
      <c r="AO1456" t="s">
        <v>118</v>
      </c>
      <c r="AP1456">
        <v>50</v>
      </c>
      <c r="AQ1456">
        <v>-103</v>
      </c>
      <c r="AR1456">
        <v>-192</v>
      </c>
      <c r="AZ1456">
        <v>1200</v>
      </c>
      <c r="BA1456">
        <v>1</v>
      </c>
      <c r="BB1456" t="str">
        <f t="shared" si="430"/>
        <v xml:space="preserve">N733KP  </v>
      </c>
      <c r="BC1456">
        <v>1</v>
      </c>
      <c r="BE1456">
        <v>0</v>
      </c>
      <c r="BF1456">
        <v>0</v>
      </c>
      <c r="BG1456">
        <v>0</v>
      </c>
      <c r="BH1456">
        <v>3350</v>
      </c>
      <c r="BI1456">
        <v>1</v>
      </c>
      <c r="BJ1456">
        <v>1</v>
      </c>
      <c r="BK1456">
        <v>0</v>
      </c>
      <c r="BL1456">
        <v>0</v>
      </c>
      <c r="BO1456">
        <v>0</v>
      </c>
      <c r="BP1456">
        <v>0</v>
      </c>
      <c r="BW1456" t="str">
        <f>"22:15:35.791"</f>
        <v>22:15:35.791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364</v>
      </c>
      <c r="CR1456">
        <v>0</v>
      </c>
      <c r="CW1456">
        <v>1420751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"03/24/2022 22:15:35.978"</f>
        <v>03/24/2022 22:15:35.978</v>
      </c>
      <c r="C1457" t="str">
        <f t="shared" si="429"/>
        <v>FFDFD3C0</v>
      </c>
      <c r="D1457" t="s">
        <v>126</v>
      </c>
      <c r="E1457">
        <v>3</v>
      </c>
      <c r="H1457">
        <v>160</v>
      </c>
      <c r="I1457" t="s">
        <v>121</v>
      </c>
      <c r="J1457" t="s">
        <v>127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S1457" t="str">
        <f t="shared" si="437"/>
        <v>22:15:35.000</v>
      </c>
      <c r="T1457" t="str">
        <f t="shared" si="437"/>
        <v>22:15:35.000</v>
      </c>
      <c r="U1457" t="str">
        <f t="shared" si="423"/>
        <v>A9D71F</v>
      </c>
      <c r="V1457">
        <v>0</v>
      </c>
      <c r="W1457">
        <v>0</v>
      </c>
      <c r="X1457">
        <v>2</v>
      </c>
      <c r="Z1457">
        <v>1</v>
      </c>
      <c r="AA1457">
        <v>8</v>
      </c>
      <c r="AB1457">
        <v>3</v>
      </c>
      <c r="AC1457">
        <v>0</v>
      </c>
      <c r="AD1457">
        <v>9</v>
      </c>
      <c r="AE1457">
        <v>0</v>
      </c>
      <c r="AF1457">
        <v>3</v>
      </c>
      <c r="AG1457">
        <v>1</v>
      </c>
      <c r="AH1457">
        <v>0</v>
      </c>
      <c r="AI1457" t="s">
        <v>778</v>
      </c>
      <c r="AJ1457">
        <v>33.097729999999999</v>
      </c>
      <c r="AK1457" t="s">
        <v>779</v>
      </c>
      <c r="AL1457">
        <v>-97.687211000000005</v>
      </c>
      <c r="AM1457">
        <v>25</v>
      </c>
      <c r="AN1457">
        <v>3400</v>
      </c>
      <c r="AO1457" t="s">
        <v>118</v>
      </c>
      <c r="AP1457">
        <v>50</v>
      </c>
      <c r="AQ1457">
        <v>-103</v>
      </c>
      <c r="AR1457">
        <v>-192</v>
      </c>
      <c r="AZ1457">
        <v>1200</v>
      </c>
      <c r="BA1457">
        <v>1</v>
      </c>
      <c r="BB1457" t="str">
        <f t="shared" si="430"/>
        <v xml:space="preserve">N733KP  </v>
      </c>
      <c r="BC1457">
        <v>1</v>
      </c>
      <c r="BE1457">
        <v>0</v>
      </c>
      <c r="BF1457">
        <v>0</v>
      </c>
      <c r="BG1457">
        <v>0</v>
      </c>
      <c r="BH1457">
        <v>3350</v>
      </c>
      <c r="BI1457">
        <v>1</v>
      </c>
      <c r="BJ1457">
        <v>1</v>
      </c>
      <c r="BK1457">
        <v>0</v>
      </c>
      <c r="BL1457">
        <v>0</v>
      </c>
      <c r="BO1457">
        <v>0</v>
      </c>
      <c r="BP1457">
        <v>0</v>
      </c>
      <c r="BW1457" t="str">
        <f>"22:15:35.791"</f>
        <v>22:15:35.791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364</v>
      </c>
      <c r="CR1457">
        <v>0</v>
      </c>
      <c r="CW1457">
        <v>1420751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"03/24/2022 22:15:35.978"</f>
        <v>03/24/2022 22:15:35.978</v>
      </c>
      <c r="C1458" t="str">
        <f t="shared" si="429"/>
        <v>FFDFD3C0</v>
      </c>
      <c r="D1458" t="s">
        <v>123</v>
      </c>
      <c r="E1458">
        <v>8</v>
      </c>
      <c r="H1458">
        <v>31</v>
      </c>
      <c r="I1458" t="s">
        <v>124</v>
      </c>
      <c r="J1458" t="s">
        <v>125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S1458" t="str">
        <f t="shared" si="437"/>
        <v>22:15:35.000</v>
      </c>
      <c r="T1458" t="str">
        <f t="shared" si="437"/>
        <v>22:15:35.000</v>
      </c>
      <c r="U1458" t="str">
        <f t="shared" si="423"/>
        <v>A9D71F</v>
      </c>
      <c r="V1458">
        <v>0</v>
      </c>
      <c r="W1458">
        <v>0</v>
      </c>
      <c r="X1458">
        <v>2</v>
      </c>
      <c r="Z1458">
        <v>1</v>
      </c>
      <c r="AA1458">
        <v>8</v>
      </c>
      <c r="AB1458">
        <v>3</v>
      </c>
      <c r="AC1458">
        <v>0</v>
      </c>
      <c r="AD1458">
        <v>9</v>
      </c>
      <c r="AE1458">
        <v>0</v>
      </c>
      <c r="AF1458">
        <v>3</v>
      </c>
      <c r="AG1458">
        <v>1</v>
      </c>
      <c r="AH1458">
        <v>0</v>
      </c>
      <c r="AI1458" t="s">
        <v>778</v>
      </c>
      <c r="AJ1458">
        <v>33.097729999999999</v>
      </c>
      <c r="AK1458" t="s">
        <v>779</v>
      </c>
      <c r="AL1458">
        <v>-97.687211000000005</v>
      </c>
      <c r="AM1458">
        <v>25</v>
      </c>
      <c r="AN1458">
        <v>3400</v>
      </c>
      <c r="AO1458" t="s">
        <v>118</v>
      </c>
      <c r="AP1458">
        <v>50</v>
      </c>
      <c r="AQ1458">
        <v>-103</v>
      </c>
      <c r="AR1458">
        <v>-192</v>
      </c>
      <c r="AZ1458">
        <v>1200</v>
      </c>
      <c r="BA1458">
        <v>1</v>
      </c>
      <c r="BB1458" t="str">
        <f t="shared" si="430"/>
        <v xml:space="preserve">N733KP  </v>
      </c>
      <c r="BC1458">
        <v>1</v>
      </c>
      <c r="BE1458">
        <v>0</v>
      </c>
      <c r="BF1458">
        <v>0</v>
      </c>
      <c r="BG1458">
        <v>0</v>
      </c>
      <c r="BH1458">
        <v>3350</v>
      </c>
      <c r="BI1458">
        <v>1</v>
      </c>
      <c r="BJ1458">
        <v>1</v>
      </c>
      <c r="BK1458">
        <v>0</v>
      </c>
      <c r="BL1458">
        <v>0</v>
      </c>
      <c r="BO1458">
        <v>0</v>
      </c>
      <c r="BP1458">
        <v>0</v>
      </c>
      <c r="BW1458" t="str">
        <f>"22:15:35.791"</f>
        <v>22:15:35.791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364</v>
      </c>
      <c r="CR1458">
        <v>0</v>
      </c>
      <c r="CW1458">
        <v>1420751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"03/24/2022 22:15:36.572"</f>
        <v>03/24/2022 22:15:36.572</v>
      </c>
      <c r="C1459" t="str">
        <f t="shared" si="429"/>
        <v>FFDFD3C0</v>
      </c>
      <c r="D1459" t="s">
        <v>126</v>
      </c>
      <c r="E1459">
        <v>3</v>
      </c>
      <c r="H1459">
        <v>160</v>
      </c>
      <c r="I1459" t="s">
        <v>121</v>
      </c>
      <c r="J1459" t="s">
        <v>127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S1459" t="str">
        <f t="shared" ref="S1459:T1462" si="438">"22:15:36.000"</f>
        <v>22:15:36.000</v>
      </c>
      <c r="T1459" t="str">
        <f t="shared" si="438"/>
        <v>22:15:36.000</v>
      </c>
      <c r="U1459" t="str">
        <f t="shared" si="423"/>
        <v>A9D71F</v>
      </c>
      <c r="V1459">
        <v>0</v>
      </c>
      <c r="W1459">
        <v>0</v>
      </c>
      <c r="X1459">
        <v>2</v>
      </c>
      <c r="Z1459">
        <v>1</v>
      </c>
      <c r="AA1459">
        <v>8</v>
      </c>
      <c r="AB1459">
        <v>3</v>
      </c>
      <c r="AC1459">
        <v>0</v>
      </c>
      <c r="AD1459">
        <v>9</v>
      </c>
      <c r="AE1459">
        <v>0</v>
      </c>
      <c r="AF1459">
        <v>3</v>
      </c>
      <c r="AG1459">
        <v>1</v>
      </c>
      <c r="AH1459">
        <v>0</v>
      </c>
      <c r="AI1459" t="s">
        <v>780</v>
      </c>
      <c r="AJ1459">
        <v>33.097236000000002</v>
      </c>
      <c r="AK1459" t="s">
        <v>781</v>
      </c>
      <c r="AL1459">
        <v>-97.686954</v>
      </c>
      <c r="AM1459">
        <v>25</v>
      </c>
      <c r="AN1459">
        <v>3400</v>
      </c>
      <c r="AO1459" t="s">
        <v>118</v>
      </c>
      <c r="AP1459">
        <v>53</v>
      </c>
      <c r="AQ1459">
        <v>-105</v>
      </c>
      <c r="AR1459">
        <v>-192</v>
      </c>
      <c r="AZ1459">
        <v>1200</v>
      </c>
      <c r="BA1459">
        <v>1</v>
      </c>
      <c r="BB1459" t="str">
        <f t="shared" si="430"/>
        <v xml:space="preserve">N733KP  </v>
      </c>
      <c r="BC1459">
        <v>1</v>
      </c>
      <c r="BE1459">
        <v>0</v>
      </c>
      <c r="BF1459">
        <v>0</v>
      </c>
      <c r="BG1459">
        <v>0</v>
      </c>
      <c r="BH1459">
        <v>3350</v>
      </c>
      <c r="BI1459">
        <v>1</v>
      </c>
      <c r="BJ1459">
        <v>1</v>
      </c>
      <c r="BK1459">
        <v>0</v>
      </c>
      <c r="BL1459">
        <v>0</v>
      </c>
      <c r="BO1459">
        <v>0</v>
      </c>
      <c r="BP1459">
        <v>0</v>
      </c>
      <c r="BW1459" t="str">
        <f>"22:15:36.378"</f>
        <v>22:15:36.378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7</v>
      </c>
      <c r="CP1459" t="s">
        <v>119</v>
      </c>
      <c r="CQ1459">
        <v>364</v>
      </c>
      <c r="CR1459">
        <v>0</v>
      </c>
      <c r="CW1459">
        <v>1420862</v>
      </c>
      <c r="CY1459">
        <v>1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"03/24/2022 22:15:36.572"</f>
        <v>03/24/2022 22:15:36.572</v>
      </c>
      <c r="C1460" t="str">
        <f t="shared" si="429"/>
        <v>FFDFD3C0</v>
      </c>
      <c r="D1460" t="s">
        <v>120</v>
      </c>
      <c r="E1460">
        <v>14</v>
      </c>
      <c r="F1460">
        <v>1014</v>
      </c>
      <c r="G1460" t="s">
        <v>121</v>
      </c>
      <c r="J1460" t="s">
        <v>122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S1460" t="str">
        <f t="shared" si="438"/>
        <v>22:15:36.000</v>
      </c>
      <c r="T1460" t="str">
        <f t="shared" si="438"/>
        <v>22:15:36.000</v>
      </c>
      <c r="U1460" t="str">
        <f t="shared" si="423"/>
        <v>A9D71F</v>
      </c>
      <c r="V1460">
        <v>0</v>
      </c>
      <c r="W1460">
        <v>0</v>
      </c>
      <c r="X1460">
        <v>2</v>
      </c>
      <c r="Z1460">
        <v>1</v>
      </c>
      <c r="AA1460">
        <v>8</v>
      </c>
      <c r="AB1460">
        <v>3</v>
      </c>
      <c r="AC1460">
        <v>0</v>
      </c>
      <c r="AD1460">
        <v>9</v>
      </c>
      <c r="AE1460">
        <v>0</v>
      </c>
      <c r="AF1460">
        <v>3</v>
      </c>
      <c r="AG1460">
        <v>1</v>
      </c>
      <c r="AH1460">
        <v>0</v>
      </c>
      <c r="AI1460" t="s">
        <v>780</v>
      </c>
      <c r="AJ1460">
        <v>33.097236000000002</v>
      </c>
      <c r="AK1460" t="s">
        <v>781</v>
      </c>
      <c r="AL1460">
        <v>-97.686954</v>
      </c>
      <c r="AM1460">
        <v>25</v>
      </c>
      <c r="AN1460">
        <v>3400</v>
      </c>
      <c r="AO1460" t="s">
        <v>118</v>
      </c>
      <c r="AP1460">
        <v>53</v>
      </c>
      <c r="AQ1460">
        <v>-105</v>
      </c>
      <c r="AR1460">
        <v>-192</v>
      </c>
      <c r="AZ1460">
        <v>1200</v>
      </c>
      <c r="BA1460">
        <v>1</v>
      </c>
      <c r="BB1460" t="str">
        <f t="shared" si="430"/>
        <v xml:space="preserve">N733KP  </v>
      </c>
      <c r="BC1460">
        <v>1</v>
      </c>
      <c r="BE1460">
        <v>0</v>
      </c>
      <c r="BF1460">
        <v>0</v>
      </c>
      <c r="BG1460">
        <v>0</v>
      </c>
      <c r="BH1460">
        <v>3350</v>
      </c>
      <c r="BI1460">
        <v>1</v>
      </c>
      <c r="BJ1460">
        <v>1</v>
      </c>
      <c r="BK1460">
        <v>0</v>
      </c>
      <c r="BL1460">
        <v>0</v>
      </c>
      <c r="BO1460">
        <v>0</v>
      </c>
      <c r="BP1460">
        <v>0</v>
      </c>
      <c r="BW1460" t="str">
        <f>"22:15:36.378"</f>
        <v>22:15:36.378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119</v>
      </c>
      <c r="CQ1460">
        <v>364</v>
      </c>
      <c r="CR1460">
        <v>0</v>
      </c>
      <c r="CW1460">
        <v>1420862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"03/24/2022 22:15:36.572"</f>
        <v>03/24/2022 22:15:36.572</v>
      </c>
      <c r="C1461" t="str">
        <f t="shared" si="429"/>
        <v>FFDFD3C0</v>
      </c>
      <c r="D1461" t="s">
        <v>123</v>
      </c>
      <c r="E1461">
        <v>8</v>
      </c>
      <c r="H1461">
        <v>31</v>
      </c>
      <c r="I1461" t="s">
        <v>124</v>
      </c>
      <c r="J1461" t="s">
        <v>125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S1461" t="str">
        <f t="shared" si="438"/>
        <v>22:15:36.000</v>
      </c>
      <c r="T1461" t="str">
        <f t="shared" si="438"/>
        <v>22:15:36.000</v>
      </c>
      <c r="U1461" t="str">
        <f t="shared" si="423"/>
        <v>A9D71F</v>
      </c>
      <c r="V1461">
        <v>0</v>
      </c>
      <c r="W1461">
        <v>0</v>
      </c>
      <c r="X1461">
        <v>2</v>
      </c>
      <c r="Z1461">
        <v>1</v>
      </c>
      <c r="AA1461">
        <v>8</v>
      </c>
      <c r="AB1461">
        <v>3</v>
      </c>
      <c r="AC1461">
        <v>0</v>
      </c>
      <c r="AD1461">
        <v>9</v>
      </c>
      <c r="AE1461">
        <v>0</v>
      </c>
      <c r="AF1461">
        <v>3</v>
      </c>
      <c r="AG1461">
        <v>1</v>
      </c>
      <c r="AH1461">
        <v>0</v>
      </c>
      <c r="AI1461" t="s">
        <v>780</v>
      </c>
      <c r="AJ1461">
        <v>33.097236000000002</v>
      </c>
      <c r="AK1461" t="s">
        <v>781</v>
      </c>
      <c r="AL1461">
        <v>-97.686954</v>
      </c>
      <c r="AM1461">
        <v>25</v>
      </c>
      <c r="AN1461">
        <v>3400</v>
      </c>
      <c r="AO1461" t="s">
        <v>118</v>
      </c>
      <c r="AP1461">
        <v>53</v>
      </c>
      <c r="AQ1461">
        <v>-105</v>
      </c>
      <c r="AR1461">
        <v>-192</v>
      </c>
      <c r="AZ1461">
        <v>1200</v>
      </c>
      <c r="BA1461">
        <v>1</v>
      </c>
      <c r="BB1461" t="str">
        <f t="shared" si="430"/>
        <v xml:space="preserve">N733KP  </v>
      </c>
      <c r="BC1461">
        <v>1</v>
      </c>
      <c r="BE1461">
        <v>0</v>
      </c>
      <c r="BF1461">
        <v>0</v>
      </c>
      <c r="BG1461">
        <v>0</v>
      </c>
      <c r="BH1461">
        <v>3350</v>
      </c>
      <c r="BI1461">
        <v>1</v>
      </c>
      <c r="BJ1461">
        <v>1</v>
      </c>
      <c r="BK1461">
        <v>0</v>
      </c>
      <c r="BL1461">
        <v>0</v>
      </c>
      <c r="BO1461">
        <v>0</v>
      </c>
      <c r="BP1461">
        <v>0</v>
      </c>
      <c r="BW1461" t="str">
        <f>"22:15:36.378"</f>
        <v>22:15:36.378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7</v>
      </c>
      <c r="CP1461" t="s">
        <v>119</v>
      </c>
      <c r="CQ1461">
        <v>364</v>
      </c>
      <c r="CR1461">
        <v>0</v>
      </c>
      <c r="CW1461">
        <v>1420862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"03/24/2022 22:15:36.572"</f>
        <v>03/24/2022 22:15:36.572</v>
      </c>
      <c r="C1462" t="str">
        <f t="shared" si="429"/>
        <v>FFDFD3C0</v>
      </c>
      <c r="D1462" t="s">
        <v>113</v>
      </c>
      <c r="E1462">
        <v>24</v>
      </c>
      <c r="F1462">
        <v>2024</v>
      </c>
      <c r="G1462" t="s">
        <v>114</v>
      </c>
      <c r="J1462" t="s">
        <v>115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S1462" t="str">
        <f t="shared" si="438"/>
        <v>22:15:36.000</v>
      </c>
      <c r="T1462" t="str">
        <f t="shared" si="438"/>
        <v>22:15:36.000</v>
      </c>
      <c r="U1462" t="str">
        <f t="shared" si="423"/>
        <v>A9D71F</v>
      </c>
      <c r="V1462">
        <v>0</v>
      </c>
      <c r="W1462">
        <v>0</v>
      </c>
      <c r="X1462">
        <v>2</v>
      </c>
      <c r="Z1462">
        <v>1</v>
      </c>
      <c r="AA1462">
        <v>8</v>
      </c>
      <c r="AB1462">
        <v>3</v>
      </c>
      <c r="AC1462">
        <v>0</v>
      </c>
      <c r="AD1462">
        <v>9</v>
      </c>
      <c r="AE1462">
        <v>0</v>
      </c>
      <c r="AF1462">
        <v>3</v>
      </c>
      <c r="AG1462">
        <v>1</v>
      </c>
      <c r="AH1462">
        <v>0</v>
      </c>
      <c r="AI1462" t="s">
        <v>780</v>
      </c>
      <c r="AJ1462">
        <v>33.097236000000002</v>
      </c>
      <c r="AK1462" t="s">
        <v>781</v>
      </c>
      <c r="AL1462">
        <v>-97.686954</v>
      </c>
      <c r="AM1462">
        <v>25</v>
      </c>
      <c r="AN1462">
        <v>3400</v>
      </c>
      <c r="AO1462" t="s">
        <v>118</v>
      </c>
      <c r="AP1462">
        <v>53</v>
      </c>
      <c r="AQ1462">
        <v>-105</v>
      </c>
      <c r="AR1462">
        <v>-192</v>
      </c>
      <c r="AZ1462">
        <v>1200</v>
      </c>
      <c r="BA1462">
        <v>1</v>
      </c>
      <c r="BB1462" t="str">
        <f t="shared" si="430"/>
        <v xml:space="preserve">N733KP  </v>
      </c>
      <c r="BC1462">
        <v>1</v>
      </c>
      <c r="BE1462">
        <v>0</v>
      </c>
      <c r="BF1462">
        <v>0</v>
      </c>
      <c r="BG1462">
        <v>0</v>
      </c>
      <c r="BH1462">
        <v>3350</v>
      </c>
      <c r="BI1462">
        <v>1</v>
      </c>
      <c r="BJ1462">
        <v>1</v>
      </c>
      <c r="BK1462">
        <v>0</v>
      </c>
      <c r="BL1462">
        <v>0</v>
      </c>
      <c r="BO1462">
        <v>0</v>
      </c>
      <c r="BP1462">
        <v>0</v>
      </c>
      <c r="BW1462" t="str">
        <f>"22:15:36.378"</f>
        <v>22:15:36.378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364</v>
      </c>
      <c r="CR1462">
        <v>0</v>
      </c>
      <c r="CW1462">
        <v>1420862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"03/24/2022 22:15:37.682"</f>
        <v>03/24/2022 22:15:37.682</v>
      </c>
      <c r="C1463" t="str">
        <f t="shared" si="429"/>
        <v>FFDFD3C0</v>
      </c>
      <c r="D1463" t="s">
        <v>123</v>
      </c>
      <c r="E1463">
        <v>8</v>
      </c>
      <c r="H1463">
        <v>31</v>
      </c>
      <c r="I1463" t="s">
        <v>124</v>
      </c>
      <c r="J1463" t="s">
        <v>125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S1463" t="str">
        <f t="shared" ref="S1463:T1466" si="439">"22:15:37.000"</f>
        <v>22:15:37.000</v>
      </c>
      <c r="T1463" t="str">
        <f t="shared" si="439"/>
        <v>22:15:37.000</v>
      </c>
      <c r="U1463" t="str">
        <f t="shared" si="423"/>
        <v>A9D71F</v>
      </c>
      <c r="V1463">
        <v>0</v>
      </c>
      <c r="W1463">
        <v>0</v>
      </c>
      <c r="X1463">
        <v>2</v>
      </c>
      <c r="Z1463">
        <v>1</v>
      </c>
      <c r="AA1463">
        <v>8</v>
      </c>
      <c r="AB1463">
        <v>3</v>
      </c>
      <c r="AC1463">
        <v>0</v>
      </c>
      <c r="AD1463">
        <v>9</v>
      </c>
      <c r="AE1463">
        <v>0</v>
      </c>
      <c r="AF1463">
        <v>3</v>
      </c>
      <c r="AG1463">
        <v>1</v>
      </c>
      <c r="AH1463">
        <v>0</v>
      </c>
      <c r="AI1463" t="s">
        <v>782</v>
      </c>
      <c r="AJ1463">
        <v>33.096764</v>
      </c>
      <c r="AK1463" t="s">
        <v>783</v>
      </c>
      <c r="AL1463">
        <v>-97.686674999999994</v>
      </c>
      <c r="AM1463">
        <v>25</v>
      </c>
      <c r="AN1463">
        <v>3400</v>
      </c>
      <c r="AO1463" t="s">
        <v>118</v>
      </c>
      <c r="AP1463">
        <v>51</v>
      </c>
      <c r="AQ1463">
        <v>-105</v>
      </c>
      <c r="AR1463">
        <v>-320</v>
      </c>
      <c r="AZ1463">
        <v>1200</v>
      </c>
      <c r="BA1463">
        <v>1</v>
      </c>
      <c r="BB1463" t="str">
        <f t="shared" si="430"/>
        <v xml:space="preserve">N733KP  </v>
      </c>
      <c r="BC1463">
        <v>1</v>
      </c>
      <c r="BE1463">
        <v>0</v>
      </c>
      <c r="BF1463">
        <v>0</v>
      </c>
      <c r="BG1463">
        <v>0</v>
      </c>
      <c r="BH1463">
        <v>3325</v>
      </c>
      <c r="BI1463">
        <v>1</v>
      </c>
      <c r="BJ1463">
        <v>1</v>
      </c>
      <c r="BK1463">
        <v>0</v>
      </c>
      <c r="BL1463">
        <v>0</v>
      </c>
      <c r="BO1463">
        <v>0</v>
      </c>
      <c r="BP1463">
        <v>0</v>
      </c>
      <c r="BW1463" t="str">
        <f>"22:15:37.533"</f>
        <v>22:15:37.533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364</v>
      </c>
      <c r="CR1463">
        <v>0</v>
      </c>
      <c r="CW1463">
        <v>1421057</v>
      </c>
      <c r="CY1463">
        <v>1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"03/24/2022 22:15:37.682"</f>
        <v>03/24/2022 22:15:37.682</v>
      </c>
      <c r="C1464" t="str">
        <f t="shared" si="429"/>
        <v>FFDFD3C0</v>
      </c>
      <c r="D1464" t="s">
        <v>113</v>
      </c>
      <c r="E1464">
        <v>24</v>
      </c>
      <c r="F1464">
        <v>2024</v>
      </c>
      <c r="G1464" t="s">
        <v>114</v>
      </c>
      <c r="J1464" t="s">
        <v>115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S1464" t="str">
        <f t="shared" si="439"/>
        <v>22:15:37.000</v>
      </c>
      <c r="T1464" t="str">
        <f t="shared" si="439"/>
        <v>22:15:37.000</v>
      </c>
      <c r="U1464" t="str">
        <f t="shared" si="423"/>
        <v>A9D71F</v>
      </c>
      <c r="V1464">
        <v>0</v>
      </c>
      <c r="W1464">
        <v>0</v>
      </c>
      <c r="X1464">
        <v>2</v>
      </c>
      <c r="Z1464">
        <v>1</v>
      </c>
      <c r="AA1464">
        <v>8</v>
      </c>
      <c r="AB1464">
        <v>3</v>
      </c>
      <c r="AC1464">
        <v>0</v>
      </c>
      <c r="AD1464">
        <v>9</v>
      </c>
      <c r="AE1464">
        <v>0</v>
      </c>
      <c r="AF1464">
        <v>3</v>
      </c>
      <c r="AG1464">
        <v>1</v>
      </c>
      <c r="AH1464">
        <v>0</v>
      </c>
      <c r="AI1464" t="s">
        <v>782</v>
      </c>
      <c r="AJ1464">
        <v>33.096764</v>
      </c>
      <c r="AK1464" t="s">
        <v>783</v>
      </c>
      <c r="AL1464">
        <v>-97.686674999999994</v>
      </c>
      <c r="AM1464">
        <v>25</v>
      </c>
      <c r="AN1464">
        <v>3400</v>
      </c>
      <c r="AO1464" t="s">
        <v>118</v>
      </c>
      <c r="AP1464">
        <v>51</v>
      </c>
      <c r="AQ1464">
        <v>-105</v>
      </c>
      <c r="AR1464">
        <v>-320</v>
      </c>
      <c r="AZ1464">
        <v>1200</v>
      </c>
      <c r="BA1464">
        <v>1</v>
      </c>
      <c r="BB1464" t="str">
        <f t="shared" si="430"/>
        <v xml:space="preserve">N733KP  </v>
      </c>
      <c r="BC1464">
        <v>1</v>
      </c>
      <c r="BE1464">
        <v>0</v>
      </c>
      <c r="BF1464">
        <v>0</v>
      </c>
      <c r="BG1464">
        <v>0</v>
      </c>
      <c r="BH1464">
        <v>3325</v>
      </c>
      <c r="BI1464">
        <v>1</v>
      </c>
      <c r="BJ1464">
        <v>1</v>
      </c>
      <c r="BK1464">
        <v>0</v>
      </c>
      <c r="BL1464">
        <v>0</v>
      </c>
      <c r="BO1464">
        <v>0</v>
      </c>
      <c r="BP1464">
        <v>0</v>
      </c>
      <c r="BW1464" t="str">
        <f>"22:15:37.533"</f>
        <v>22:15:37.533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364</v>
      </c>
      <c r="CR1464">
        <v>0</v>
      </c>
      <c r="CW1464">
        <v>1421057</v>
      </c>
      <c r="CY1464">
        <v>1</v>
      </c>
      <c r="CZ1464">
        <v>0</v>
      </c>
      <c r="DA1464">
        <v>1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"03/24/2022 22:15:37.729"</f>
        <v>03/24/2022 22:15:37.729</v>
      </c>
      <c r="C1465" t="str">
        <f t="shared" si="429"/>
        <v>FFDFD3C0</v>
      </c>
      <c r="D1465" t="s">
        <v>126</v>
      </c>
      <c r="E1465">
        <v>3</v>
      </c>
      <c r="H1465">
        <v>160</v>
      </c>
      <c r="I1465" t="s">
        <v>121</v>
      </c>
      <c r="J1465" t="s">
        <v>127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S1465" t="str">
        <f t="shared" si="439"/>
        <v>22:15:37.000</v>
      </c>
      <c r="T1465" t="str">
        <f t="shared" si="439"/>
        <v>22:15:37.000</v>
      </c>
      <c r="U1465" t="str">
        <f t="shared" si="423"/>
        <v>A9D71F</v>
      </c>
      <c r="V1465">
        <v>0</v>
      </c>
      <c r="W1465">
        <v>0</v>
      </c>
      <c r="X1465">
        <v>2</v>
      </c>
      <c r="Z1465">
        <v>1</v>
      </c>
      <c r="AA1465">
        <v>8</v>
      </c>
      <c r="AB1465">
        <v>3</v>
      </c>
      <c r="AC1465">
        <v>0</v>
      </c>
      <c r="AD1465">
        <v>9</v>
      </c>
      <c r="AE1465">
        <v>0</v>
      </c>
      <c r="AF1465">
        <v>3</v>
      </c>
      <c r="AG1465">
        <v>1</v>
      </c>
      <c r="AH1465">
        <v>0</v>
      </c>
      <c r="AI1465" t="s">
        <v>782</v>
      </c>
      <c r="AJ1465">
        <v>33.096764</v>
      </c>
      <c r="AK1465" t="s">
        <v>783</v>
      </c>
      <c r="AL1465">
        <v>-97.686674999999994</v>
      </c>
      <c r="AM1465">
        <v>25</v>
      </c>
      <c r="AN1465">
        <v>3400</v>
      </c>
      <c r="AO1465" t="s">
        <v>118</v>
      </c>
      <c r="AP1465">
        <v>51</v>
      </c>
      <c r="AQ1465">
        <v>-105</v>
      </c>
      <c r="AR1465">
        <v>-320</v>
      </c>
      <c r="AZ1465">
        <v>1200</v>
      </c>
      <c r="BA1465">
        <v>1</v>
      </c>
      <c r="BB1465" t="str">
        <f t="shared" si="430"/>
        <v xml:space="preserve">N733KP  </v>
      </c>
      <c r="BC1465">
        <v>1</v>
      </c>
      <c r="BE1465">
        <v>0</v>
      </c>
      <c r="BF1465">
        <v>0</v>
      </c>
      <c r="BG1465">
        <v>0</v>
      </c>
      <c r="BH1465">
        <v>3325</v>
      </c>
      <c r="BI1465">
        <v>1</v>
      </c>
      <c r="BJ1465">
        <v>1</v>
      </c>
      <c r="BK1465">
        <v>0</v>
      </c>
      <c r="BL1465">
        <v>0</v>
      </c>
      <c r="BO1465">
        <v>0</v>
      </c>
      <c r="BP1465">
        <v>0</v>
      </c>
      <c r="BW1465" t="str">
        <f>"22:15:37.533"</f>
        <v>22:15:37.533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119</v>
      </c>
      <c r="CQ1465">
        <v>364</v>
      </c>
      <c r="CR1465">
        <v>0</v>
      </c>
      <c r="CW1465">
        <v>1421057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"03/24/2022 22:15:37.870"</f>
        <v>03/24/2022 22:15:37.870</v>
      </c>
      <c r="C1466" t="str">
        <f t="shared" si="429"/>
        <v>FFDFD3C0</v>
      </c>
      <c r="D1466" t="s">
        <v>120</v>
      </c>
      <c r="E1466">
        <v>14</v>
      </c>
      <c r="F1466">
        <v>1014</v>
      </c>
      <c r="G1466" t="s">
        <v>121</v>
      </c>
      <c r="J1466" t="s">
        <v>122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S1466" t="str">
        <f t="shared" si="439"/>
        <v>22:15:37.000</v>
      </c>
      <c r="T1466" t="str">
        <f t="shared" si="439"/>
        <v>22:15:37.000</v>
      </c>
      <c r="U1466" t="str">
        <f t="shared" si="423"/>
        <v>A9D71F</v>
      </c>
      <c r="V1466">
        <v>0</v>
      </c>
      <c r="W1466">
        <v>0</v>
      </c>
      <c r="X1466">
        <v>2</v>
      </c>
      <c r="Z1466">
        <v>1</v>
      </c>
      <c r="AA1466">
        <v>8</v>
      </c>
      <c r="AB1466">
        <v>3</v>
      </c>
      <c r="AC1466">
        <v>0</v>
      </c>
      <c r="AD1466">
        <v>9</v>
      </c>
      <c r="AE1466">
        <v>0</v>
      </c>
      <c r="AF1466">
        <v>3</v>
      </c>
      <c r="AG1466">
        <v>1</v>
      </c>
      <c r="AH1466">
        <v>0</v>
      </c>
      <c r="AI1466" t="s">
        <v>782</v>
      </c>
      <c r="AJ1466">
        <v>33.096764</v>
      </c>
      <c r="AK1466" t="s">
        <v>783</v>
      </c>
      <c r="AL1466">
        <v>-97.686674999999994</v>
      </c>
      <c r="AM1466">
        <v>25</v>
      </c>
      <c r="AN1466">
        <v>3400</v>
      </c>
      <c r="AO1466" t="s">
        <v>118</v>
      </c>
      <c r="AP1466">
        <v>51</v>
      </c>
      <c r="AQ1466">
        <v>-105</v>
      </c>
      <c r="AR1466">
        <v>-320</v>
      </c>
      <c r="AZ1466">
        <v>1200</v>
      </c>
      <c r="BA1466">
        <v>1</v>
      </c>
      <c r="BB1466" t="str">
        <f t="shared" si="430"/>
        <v xml:space="preserve">N733KP  </v>
      </c>
      <c r="BC1466">
        <v>1</v>
      </c>
      <c r="BE1466">
        <v>0</v>
      </c>
      <c r="BF1466">
        <v>0</v>
      </c>
      <c r="BG1466">
        <v>0</v>
      </c>
      <c r="BH1466">
        <v>3325</v>
      </c>
      <c r="BI1466">
        <v>1</v>
      </c>
      <c r="BJ1466">
        <v>1</v>
      </c>
      <c r="BK1466">
        <v>0</v>
      </c>
      <c r="BL1466">
        <v>0</v>
      </c>
      <c r="BO1466">
        <v>0</v>
      </c>
      <c r="BP1466">
        <v>0</v>
      </c>
      <c r="BW1466" t="str">
        <f>"22:15:37.533"</f>
        <v>22:15:37.533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7</v>
      </c>
      <c r="CP1466" t="s">
        <v>119</v>
      </c>
      <c r="CQ1466">
        <v>364</v>
      </c>
      <c r="CR1466">
        <v>0</v>
      </c>
      <c r="CW1466">
        <v>1421057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"03/24/2022 22:15:38.497"</f>
        <v>03/24/2022 22:15:38.497</v>
      </c>
      <c r="C1467" t="str">
        <f t="shared" si="429"/>
        <v>FFDFD3C0</v>
      </c>
      <c r="D1467" t="s">
        <v>123</v>
      </c>
      <c r="E1467">
        <v>8</v>
      </c>
      <c r="H1467">
        <v>31</v>
      </c>
      <c r="I1467" t="s">
        <v>124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S1467" t="str">
        <f t="shared" ref="S1467:T1470" si="440">"22:15:38.000"</f>
        <v>22:15:38.000</v>
      </c>
      <c r="T1467" t="str">
        <f t="shared" si="440"/>
        <v>22:15:38.000</v>
      </c>
      <c r="U1467" t="str">
        <f t="shared" si="423"/>
        <v>A9D71F</v>
      </c>
      <c r="V1467">
        <v>0</v>
      </c>
      <c r="W1467">
        <v>0</v>
      </c>
      <c r="X1467">
        <v>2</v>
      </c>
      <c r="Z1467">
        <v>1</v>
      </c>
      <c r="AA1467">
        <v>8</v>
      </c>
      <c r="AB1467">
        <v>3</v>
      </c>
      <c r="AC1467">
        <v>0</v>
      </c>
      <c r="AD1467">
        <v>9</v>
      </c>
      <c r="AE1467">
        <v>0</v>
      </c>
      <c r="AF1467">
        <v>3</v>
      </c>
      <c r="AG1467">
        <v>1</v>
      </c>
      <c r="AH1467">
        <v>0</v>
      </c>
      <c r="AI1467" t="s">
        <v>784</v>
      </c>
      <c r="AJ1467">
        <v>33.096271000000002</v>
      </c>
      <c r="AK1467" t="s">
        <v>785</v>
      </c>
      <c r="AL1467">
        <v>-97.686396000000002</v>
      </c>
      <c r="AM1467">
        <v>25</v>
      </c>
      <c r="AN1467">
        <v>3400</v>
      </c>
      <c r="AO1467" t="s">
        <v>118</v>
      </c>
      <c r="AP1467">
        <v>54</v>
      </c>
      <c r="AQ1467">
        <v>-107</v>
      </c>
      <c r="AR1467">
        <v>-320</v>
      </c>
      <c r="AZ1467">
        <v>1200</v>
      </c>
      <c r="BA1467">
        <v>1</v>
      </c>
      <c r="BB1467" t="str">
        <f t="shared" si="430"/>
        <v xml:space="preserve">N733KP  </v>
      </c>
      <c r="BC1467">
        <v>1</v>
      </c>
      <c r="BE1467">
        <v>0</v>
      </c>
      <c r="BF1467">
        <v>0</v>
      </c>
      <c r="BG1467">
        <v>0</v>
      </c>
      <c r="BH1467">
        <v>3325</v>
      </c>
      <c r="BI1467">
        <v>1</v>
      </c>
      <c r="BJ1467">
        <v>1</v>
      </c>
      <c r="BK1467">
        <v>0</v>
      </c>
      <c r="BL1467">
        <v>0</v>
      </c>
      <c r="BO1467">
        <v>0</v>
      </c>
      <c r="BP1467">
        <v>0</v>
      </c>
      <c r="BW1467" t="str">
        <f>"22:15:38.309"</f>
        <v>22:15:38.309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119</v>
      </c>
      <c r="CQ1467">
        <v>364</v>
      </c>
      <c r="CR1467">
        <v>0</v>
      </c>
      <c r="CW1467">
        <v>1421197</v>
      </c>
      <c r="CY1467">
        <v>1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"03/24/2022 22:15:38.497"</f>
        <v>03/24/2022 22:15:38.497</v>
      </c>
      <c r="C1468" t="str">
        <f t="shared" si="429"/>
        <v>FFDFD3C0</v>
      </c>
      <c r="D1468" t="s">
        <v>120</v>
      </c>
      <c r="E1468">
        <v>14</v>
      </c>
      <c r="F1468">
        <v>1014</v>
      </c>
      <c r="G1468" t="s">
        <v>121</v>
      </c>
      <c r="J1468" t="s">
        <v>122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S1468" t="str">
        <f t="shared" si="440"/>
        <v>22:15:38.000</v>
      </c>
      <c r="T1468" t="str">
        <f t="shared" si="440"/>
        <v>22:15:38.000</v>
      </c>
      <c r="U1468" t="str">
        <f t="shared" si="423"/>
        <v>A9D71F</v>
      </c>
      <c r="V1468">
        <v>0</v>
      </c>
      <c r="W1468">
        <v>0</v>
      </c>
      <c r="X1468">
        <v>2</v>
      </c>
      <c r="Z1468">
        <v>1</v>
      </c>
      <c r="AA1468">
        <v>8</v>
      </c>
      <c r="AB1468">
        <v>3</v>
      </c>
      <c r="AC1468">
        <v>0</v>
      </c>
      <c r="AD1468">
        <v>9</v>
      </c>
      <c r="AE1468">
        <v>0</v>
      </c>
      <c r="AF1468">
        <v>3</v>
      </c>
      <c r="AG1468">
        <v>1</v>
      </c>
      <c r="AH1468">
        <v>0</v>
      </c>
      <c r="AI1468" t="s">
        <v>784</v>
      </c>
      <c r="AJ1468">
        <v>33.096271000000002</v>
      </c>
      <c r="AK1468" t="s">
        <v>785</v>
      </c>
      <c r="AL1468">
        <v>-97.686396000000002</v>
      </c>
      <c r="AM1468">
        <v>25</v>
      </c>
      <c r="AN1468">
        <v>3400</v>
      </c>
      <c r="AO1468" t="s">
        <v>118</v>
      </c>
      <c r="AP1468">
        <v>54</v>
      </c>
      <c r="AQ1468">
        <v>-107</v>
      </c>
      <c r="AR1468">
        <v>-320</v>
      </c>
      <c r="AZ1468">
        <v>1200</v>
      </c>
      <c r="BA1468">
        <v>1</v>
      </c>
      <c r="BB1468" t="str">
        <f t="shared" si="430"/>
        <v xml:space="preserve">N733KP  </v>
      </c>
      <c r="BC1468">
        <v>1</v>
      </c>
      <c r="BE1468">
        <v>0</v>
      </c>
      <c r="BF1468">
        <v>0</v>
      </c>
      <c r="BG1468">
        <v>0</v>
      </c>
      <c r="BH1468">
        <v>3325</v>
      </c>
      <c r="BI1468">
        <v>1</v>
      </c>
      <c r="BJ1468">
        <v>1</v>
      </c>
      <c r="BK1468">
        <v>0</v>
      </c>
      <c r="BL1468">
        <v>0</v>
      </c>
      <c r="BO1468">
        <v>0</v>
      </c>
      <c r="BP1468">
        <v>0</v>
      </c>
      <c r="BW1468" t="str">
        <f>"22:15:38.309"</f>
        <v>22:15:38.309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119</v>
      </c>
      <c r="CQ1468">
        <v>364</v>
      </c>
      <c r="CR1468">
        <v>0</v>
      </c>
      <c r="CW1468">
        <v>1421197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"03/24/2022 22:15:38.497"</f>
        <v>03/24/2022 22:15:38.497</v>
      </c>
      <c r="C1469" t="str">
        <f t="shared" si="429"/>
        <v>FFDFD3C0</v>
      </c>
      <c r="D1469" t="s">
        <v>113</v>
      </c>
      <c r="E1469">
        <v>24</v>
      </c>
      <c r="F1469">
        <v>2024</v>
      </c>
      <c r="G1469" t="s">
        <v>114</v>
      </c>
      <c r="J1469" t="s">
        <v>115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S1469" t="str">
        <f t="shared" si="440"/>
        <v>22:15:38.000</v>
      </c>
      <c r="T1469" t="str">
        <f t="shared" si="440"/>
        <v>22:15:38.000</v>
      </c>
      <c r="U1469" t="str">
        <f t="shared" si="423"/>
        <v>A9D71F</v>
      </c>
      <c r="V1469">
        <v>0</v>
      </c>
      <c r="W1469">
        <v>0</v>
      </c>
      <c r="X1469">
        <v>2</v>
      </c>
      <c r="Z1469">
        <v>1</v>
      </c>
      <c r="AA1469">
        <v>8</v>
      </c>
      <c r="AB1469">
        <v>3</v>
      </c>
      <c r="AC1469">
        <v>0</v>
      </c>
      <c r="AD1469">
        <v>9</v>
      </c>
      <c r="AE1469">
        <v>0</v>
      </c>
      <c r="AF1469">
        <v>3</v>
      </c>
      <c r="AG1469">
        <v>1</v>
      </c>
      <c r="AH1469">
        <v>0</v>
      </c>
      <c r="AI1469" t="s">
        <v>784</v>
      </c>
      <c r="AJ1469">
        <v>33.096271000000002</v>
      </c>
      <c r="AK1469" t="s">
        <v>785</v>
      </c>
      <c r="AL1469">
        <v>-97.686396000000002</v>
      </c>
      <c r="AM1469">
        <v>25</v>
      </c>
      <c r="AN1469">
        <v>3400</v>
      </c>
      <c r="AO1469" t="s">
        <v>118</v>
      </c>
      <c r="AP1469">
        <v>54</v>
      </c>
      <c r="AQ1469">
        <v>-107</v>
      </c>
      <c r="AR1469">
        <v>-320</v>
      </c>
      <c r="AZ1469">
        <v>1200</v>
      </c>
      <c r="BA1469">
        <v>1</v>
      </c>
      <c r="BB1469" t="str">
        <f t="shared" si="430"/>
        <v xml:space="preserve">N733KP  </v>
      </c>
      <c r="BC1469">
        <v>1</v>
      </c>
      <c r="BE1469">
        <v>0</v>
      </c>
      <c r="BF1469">
        <v>0</v>
      </c>
      <c r="BG1469">
        <v>0</v>
      </c>
      <c r="BH1469">
        <v>3325</v>
      </c>
      <c r="BI1469">
        <v>1</v>
      </c>
      <c r="BJ1469">
        <v>1</v>
      </c>
      <c r="BK1469">
        <v>0</v>
      </c>
      <c r="BL1469">
        <v>0</v>
      </c>
      <c r="BO1469">
        <v>0</v>
      </c>
      <c r="BP1469">
        <v>0</v>
      </c>
      <c r="BW1469" t="str">
        <f>"22:15:38.309"</f>
        <v>22:15:38.309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7</v>
      </c>
      <c r="CP1469" t="s">
        <v>119</v>
      </c>
      <c r="CQ1469">
        <v>364</v>
      </c>
      <c r="CR1469">
        <v>0</v>
      </c>
      <c r="CW1469">
        <v>1421197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"03/24/2022 22:15:38.497"</f>
        <v>03/24/2022 22:15:38.497</v>
      </c>
      <c r="C1470" t="str">
        <f t="shared" si="429"/>
        <v>FFDFD3C0</v>
      </c>
      <c r="D1470" t="s">
        <v>126</v>
      </c>
      <c r="E1470">
        <v>3</v>
      </c>
      <c r="H1470">
        <v>160</v>
      </c>
      <c r="I1470" t="s">
        <v>121</v>
      </c>
      <c r="J1470" t="s">
        <v>127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S1470" t="str">
        <f t="shared" si="440"/>
        <v>22:15:38.000</v>
      </c>
      <c r="T1470" t="str">
        <f t="shared" si="440"/>
        <v>22:15:38.000</v>
      </c>
      <c r="U1470" t="str">
        <f t="shared" si="423"/>
        <v>A9D71F</v>
      </c>
      <c r="V1470">
        <v>0</v>
      </c>
      <c r="W1470">
        <v>0</v>
      </c>
      <c r="X1470">
        <v>2</v>
      </c>
      <c r="Z1470">
        <v>1</v>
      </c>
      <c r="AA1470">
        <v>8</v>
      </c>
      <c r="AB1470">
        <v>3</v>
      </c>
      <c r="AC1470">
        <v>0</v>
      </c>
      <c r="AD1470">
        <v>9</v>
      </c>
      <c r="AE1470">
        <v>0</v>
      </c>
      <c r="AF1470">
        <v>3</v>
      </c>
      <c r="AG1470">
        <v>1</v>
      </c>
      <c r="AH1470">
        <v>0</v>
      </c>
      <c r="AI1470" t="s">
        <v>784</v>
      </c>
      <c r="AJ1470">
        <v>33.096271000000002</v>
      </c>
      <c r="AK1470" t="s">
        <v>785</v>
      </c>
      <c r="AL1470">
        <v>-97.686396000000002</v>
      </c>
      <c r="AM1470">
        <v>25</v>
      </c>
      <c r="AN1470">
        <v>3400</v>
      </c>
      <c r="AO1470" t="s">
        <v>118</v>
      </c>
      <c r="AP1470">
        <v>54</v>
      </c>
      <c r="AQ1470">
        <v>-107</v>
      </c>
      <c r="AR1470">
        <v>-320</v>
      </c>
      <c r="AZ1470">
        <v>1200</v>
      </c>
      <c r="BA1470">
        <v>1</v>
      </c>
      <c r="BB1470" t="str">
        <f t="shared" si="430"/>
        <v xml:space="preserve">N733KP  </v>
      </c>
      <c r="BC1470">
        <v>1</v>
      </c>
      <c r="BE1470">
        <v>0</v>
      </c>
      <c r="BF1470">
        <v>0</v>
      </c>
      <c r="BG1470">
        <v>0</v>
      </c>
      <c r="BH1470">
        <v>3325</v>
      </c>
      <c r="BI1470">
        <v>1</v>
      </c>
      <c r="BJ1470">
        <v>1</v>
      </c>
      <c r="BK1470">
        <v>0</v>
      </c>
      <c r="BL1470">
        <v>0</v>
      </c>
      <c r="BO1470">
        <v>0</v>
      </c>
      <c r="BP1470">
        <v>0</v>
      </c>
      <c r="BW1470" t="str">
        <f>"22:15:38.309"</f>
        <v>22:15:38.309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7</v>
      </c>
      <c r="CP1470" t="s">
        <v>119</v>
      </c>
      <c r="CQ1470">
        <v>364</v>
      </c>
      <c r="CR1470">
        <v>0</v>
      </c>
      <c r="CW1470">
        <v>1421197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"03/24/2022 22:15:39.653"</f>
        <v>03/24/2022 22:15:39.653</v>
      </c>
      <c r="C1471" t="str">
        <f t="shared" si="429"/>
        <v>FFDFD3C0</v>
      </c>
      <c r="D1471" t="s">
        <v>123</v>
      </c>
      <c r="E1471">
        <v>8</v>
      </c>
      <c r="H1471">
        <v>31</v>
      </c>
      <c r="I1471" t="s">
        <v>124</v>
      </c>
      <c r="J1471" t="s">
        <v>125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S1471" t="str">
        <f t="shared" ref="S1471:T1474" si="441">"22:15:39.000"</f>
        <v>22:15:39.000</v>
      </c>
      <c r="T1471" t="str">
        <f t="shared" si="441"/>
        <v>22:15:39.000</v>
      </c>
      <c r="U1471" t="str">
        <f t="shared" si="423"/>
        <v>A9D71F</v>
      </c>
      <c r="V1471">
        <v>0</v>
      </c>
      <c r="W1471">
        <v>0</v>
      </c>
      <c r="X1471">
        <v>2</v>
      </c>
      <c r="Z1471">
        <v>1</v>
      </c>
      <c r="AA1471">
        <v>8</v>
      </c>
      <c r="AB1471">
        <v>3</v>
      </c>
      <c r="AC1471">
        <v>0</v>
      </c>
      <c r="AD1471">
        <v>9</v>
      </c>
      <c r="AE1471">
        <v>0</v>
      </c>
      <c r="AF1471">
        <v>3</v>
      </c>
      <c r="AG1471">
        <v>1</v>
      </c>
      <c r="AH1471">
        <v>0</v>
      </c>
      <c r="AI1471" t="s">
        <v>786</v>
      </c>
      <c r="AJ1471">
        <v>33.095776999999998</v>
      </c>
      <c r="AK1471" t="s">
        <v>787</v>
      </c>
      <c r="AL1471">
        <v>-97.686138</v>
      </c>
      <c r="AM1471">
        <v>25</v>
      </c>
      <c r="AN1471">
        <v>3400</v>
      </c>
      <c r="AO1471" t="s">
        <v>118</v>
      </c>
      <c r="AP1471">
        <v>52</v>
      </c>
      <c r="AQ1471">
        <v>-106</v>
      </c>
      <c r="AR1471">
        <v>-192</v>
      </c>
      <c r="AZ1471">
        <v>1200</v>
      </c>
      <c r="BA1471">
        <v>1</v>
      </c>
      <c r="BB1471" t="str">
        <f t="shared" si="430"/>
        <v xml:space="preserve">N733KP  </v>
      </c>
      <c r="BC1471">
        <v>1</v>
      </c>
      <c r="BE1471">
        <v>0</v>
      </c>
      <c r="BF1471">
        <v>0</v>
      </c>
      <c r="BG1471">
        <v>0</v>
      </c>
      <c r="BH1471">
        <v>3325</v>
      </c>
      <c r="BI1471">
        <v>1</v>
      </c>
      <c r="BJ1471">
        <v>1</v>
      </c>
      <c r="BK1471">
        <v>0</v>
      </c>
      <c r="BL1471">
        <v>0</v>
      </c>
      <c r="BO1471">
        <v>0</v>
      </c>
      <c r="BP1471">
        <v>0</v>
      </c>
      <c r="BW1471" t="str">
        <f>"22:15:39.471"</f>
        <v>22:15:39.471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7</v>
      </c>
      <c r="CP1471" t="s">
        <v>119</v>
      </c>
      <c r="CQ1471">
        <v>364</v>
      </c>
      <c r="CR1471">
        <v>0</v>
      </c>
      <c r="CW1471">
        <v>1421391</v>
      </c>
      <c r="CY1471">
        <v>1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"03/24/2022 22:15:39.653"</f>
        <v>03/24/2022 22:15:39.653</v>
      </c>
      <c r="C1472" t="str">
        <f t="shared" si="429"/>
        <v>FFDFD3C0</v>
      </c>
      <c r="D1472" t="s">
        <v>120</v>
      </c>
      <c r="E1472">
        <v>14</v>
      </c>
      <c r="F1472">
        <v>1014</v>
      </c>
      <c r="G1472" t="s">
        <v>121</v>
      </c>
      <c r="J1472" t="s">
        <v>122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S1472" t="str">
        <f t="shared" si="441"/>
        <v>22:15:39.000</v>
      </c>
      <c r="T1472" t="str">
        <f t="shared" si="441"/>
        <v>22:15:39.000</v>
      </c>
      <c r="U1472" t="str">
        <f t="shared" si="423"/>
        <v>A9D71F</v>
      </c>
      <c r="V1472">
        <v>0</v>
      </c>
      <c r="W1472">
        <v>0</v>
      </c>
      <c r="X1472">
        <v>2</v>
      </c>
      <c r="Z1472">
        <v>1</v>
      </c>
      <c r="AA1472">
        <v>8</v>
      </c>
      <c r="AB1472">
        <v>3</v>
      </c>
      <c r="AC1472">
        <v>0</v>
      </c>
      <c r="AD1472">
        <v>9</v>
      </c>
      <c r="AE1472">
        <v>0</v>
      </c>
      <c r="AF1472">
        <v>3</v>
      </c>
      <c r="AG1472">
        <v>1</v>
      </c>
      <c r="AH1472">
        <v>0</v>
      </c>
      <c r="AI1472" t="s">
        <v>786</v>
      </c>
      <c r="AJ1472">
        <v>33.095776999999998</v>
      </c>
      <c r="AK1472" t="s">
        <v>787</v>
      </c>
      <c r="AL1472">
        <v>-97.686138</v>
      </c>
      <c r="AM1472">
        <v>25</v>
      </c>
      <c r="AN1472">
        <v>3400</v>
      </c>
      <c r="AO1472" t="s">
        <v>118</v>
      </c>
      <c r="AP1472">
        <v>52</v>
      </c>
      <c r="AQ1472">
        <v>-106</v>
      </c>
      <c r="AR1472">
        <v>-192</v>
      </c>
      <c r="AZ1472">
        <v>1200</v>
      </c>
      <c r="BA1472">
        <v>1</v>
      </c>
      <c r="BB1472" t="str">
        <f t="shared" si="430"/>
        <v xml:space="preserve">N733KP  </v>
      </c>
      <c r="BC1472">
        <v>1</v>
      </c>
      <c r="BE1472">
        <v>0</v>
      </c>
      <c r="BF1472">
        <v>0</v>
      </c>
      <c r="BG1472">
        <v>0</v>
      </c>
      <c r="BH1472">
        <v>3325</v>
      </c>
      <c r="BI1472">
        <v>1</v>
      </c>
      <c r="BJ1472">
        <v>1</v>
      </c>
      <c r="BK1472">
        <v>0</v>
      </c>
      <c r="BL1472">
        <v>0</v>
      </c>
      <c r="BO1472">
        <v>0</v>
      </c>
      <c r="BP1472">
        <v>0</v>
      </c>
      <c r="BW1472" t="str">
        <f>"22:15:39.471"</f>
        <v>22:15:39.471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7</v>
      </c>
      <c r="CP1472" t="s">
        <v>119</v>
      </c>
      <c r="CQ1472">
        <v>364</v>
      </c>
      <c r="CR1472">
        <v>0</v>
      </c>
      <c r="CW1472">
        <v>1421391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"03/24/2022 22:15:39.653"</f>
        <v>03/24/2022 22:15:39.653</v>
      </c>
      <c r="C1473" t="str">
        <f t="shared" si="429"/>
        <v>FFDFD3C0</v>
      </c>
      <c r="D1473" t="s">
        <v>113</v>
      </c>
      <c r="E1473">
        <v>24</v>
      </c>
      <c r="F1473">
        <v>2024</v>
      </c>
      <c r="G1473" t="s">
        <v>114</v>
      </c>
      <c r="J1473" t="s">
        <v>115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S1473" t="str">
        <f t="shared" si="441"/>
        <v>22:15:39.000</v>
      </c>
      <c r="T1473" t="str">
        <f t="shared" si="441"/>
        <v>22:15:39.000</v>
      </c>
      <c r="U1473" t="str">
        <f t="shared" si="423"/>
        <v>A9D71F</v>
      </c>
      <c r="V1473">
        <v>0</v>
      </c>
      <c r="W1473">
        <v>0</v>
      </c>
      <c r="X1473">
        <v>2</v>
      </c>
      <c r="Z1473">
        <v>1</v>
      </c>
      <c r="AA1473">
        <v>8</v>
      </c>
      <c r="AB1473">
        <v>3</v>
      </c>
      <c r="AC1473">
        <v>0</v>
      </c>
      <c r="AD1473">
        <v>9</v>
      </c>
      <c r="AE1473">
        <v>0</v>
      </c>
      <c r="AF1473">
        <v>3</v>
      </c>
      <c r="AG1473">
        <v>1</v>
      </c>
      <c r="AH1473">
        <v>0</v>
      </c>
      <c r="AI1473" t="s">
        <v>786</v>
      </c>
      <c r="AJ1473">
        <v>33.095776999999998</v>
      </c>
      <c r="AK1473" t="s">
        <v>787</v>
      </c>
      <c r="AL1473">
        <v>-97.686138</v>
      </c>
      <c r="AM1473">
        <v>25</v>
      </c>
      <c r="AN1473">
        <v>3400</v>
      </c>
      <c r="AO1473" t="s">
        <v>118</v>
      </c>
      <c r="AP1473">
        <v>52</v>
      </c>
      <c r="AQ1473">
        <v>-106</v>
      </c>
      <c r="AR1473">
        <v>-192</v>
      </c>
      <c r="AZ1473">
        <v>1200</v>
      </c>
      <c r="BA1473">
        <v>1</v>
      </c>
      <c r="BB1473" t="str">
        <f t="shared" si="430"/>
        <v xml:space="preserve">N733KP  </v>
      </c>
      <c r="BC1473">
        <v>1</v>
      </c>
      <c r="BE1473">
        <v>0</v>
      </c>
      <c r="BF1473">
        <v>0</v>
      </c>
      <c r="BG1473">
        <v>0</v>
      </c>
      <c r="BH1473">
        <v>3325</v>
      </c>
      <c r="BI1473">
        <v>1</v>
      </c>
      <c r="BJ1473">
        <v>1</v>
      </c>
      <c r="BK1473">
        <v>0</v>
      </c>
      <c r="BL1473">
        <v>0</v>
      </c>
      <c r="BO1473">
        <v>0</v>
      </c>
      <c r="BP1473">
        <v>0</v>
      </c>
      <c r="BW1473" t="str">
        <f>"22:15:39.471"</f>
        <v>22:15:39.471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7</v>
      </c>
      <c r="CP1473" t="s">
        <v>119</v>
      </c>
      <c r="CQ1473">
        <v>364</v>
      </c>
      <c r="CR1473">
        <v>0</v>
      </c>
      <c r="CW1473">
        <v>1421391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"03/24/2022 22:15:39.669"</f>
        <v>03/24/2022 22:15:39.669</v>
      </c>
      <c r="C1474" t="str">
        <f t="shared" si="429"/>
        <v>FFDFD3C0</v>
      </c>
      <c r="D1474" t="s">
        <v>126</v>
      </c>
      <c r="E1474">
        <v>3</v>
      </c>
      <c r="H1474">
        <v>160</v>
      </c>
      <c r="I1474" t="s">
        <v>121</v>
      </c>
      <c r="J1474" t="s">
        <v>127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S1474" t="str">
        <f t="shared" si="441"/>
        <v>22:15:39.000</v>
      </c>
      <c r="T1474" t="str">
        <f t="shared" si="441"/>
        <v>22:15:39.000</v>
      </c>
      <c r="U1474" t="str">
        <f t="shared" ref="U1474:U1537" si="442">"A9D71F"</f>
        <v>A9D71F</v>
      </c>
      <c r="V1474">
        <v>0</v>
      </c>
      <c r="W1474">
        <v>0</v>
      </c>
      <c r="X1474">
        <v>2</v>
      </c>
      <c r="Z1474">
        <v>1</v>
      </c>
      <c r="AA1474">
        <v>8</v>
      </c>
      <c r="AB1474">
        <v>3</v>
      </c>
      <c r="AC1474">
        <v>0</v>
      </c>
      <c r="AD1474">
        <v>9</v>
      </c>
      <c r="AE1474">
        <v>0</v>
      </c>
      <c r="AF1474">
        <v>3</v>
      </c>
      <c r="AG1474">
        <v>1</v>
      </c>
      <c r="AH1474">
        <v>0</v>
      </c>
      <c r="AI1474" t="s">
        <v>786</v>
      </c>
      <c r="AJ1474">
        <v>33.095776999999998</v>
      </c>
      <c r="AK1474" t="s">
        <v>787</v>
      </c>
      <c r="AL1474">
        <v>-97.686138</v>
      </c>
      <c r="AM1474">
        <v>25</v>
      </c>
      <c r="AN1474">
        <v>3400</v>
      </c>
      <c r="AO1474" t="s">
        <v>118</v>
      </c>
      <c r="AP1474">
        <v>52</v>
      </c>
      <c r="AQ1474">
        <v>-106</v>
      </c>
      <c r="AR1474">
        <v>-192</v>
      </c>
      <c r="AZ1474">
        <v>1200</v>
      </c>
      <c r="BA1474">
        <v>1</v>
      </c>
      <c r="BB1474" t="str">
        <f t="shared" si="430"/>
        <v xml:space="preserve">N733KP  </v>
      </c>
      <c r="BC1474">
        <v>1</v>
      </c>
      <c r="BE1474">
        <v>0</v>
      </c>
      <c r="BF1474">
        <v>0</v>
      </c>
      <c r="BG1474">
        <v>0</v>
      </c>
      <c r="BH1474">
        <v>3325</v>
      </c>
      <c r="BI1474">
        <v>1</v>
      </c>
      <c r="BJ1474">
        <v>1</v>
      </c>
      <c r="BK1474">
        <v>0</v>
      </c>
      <c r="BL1474">
        <v>0</v>
      </c>
      <c r="BO1474">
        <v>0</v>
      </c>
      <c r="BP1474">
        <v>0</v>
      </c>
      <c r="BW1474" t="str">
        <f>"22:15:39.471"</f>
        <v>22:15:39.471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7</v>
      </c>
      <c r="CP1474" t="s">
        <v>119</v>
      </c>
      <c r="CQ1474">
        <v>364</v>
      </c>
      <c r="CR1474">
        <v>0</v>
      </c>
      <c r="CW1474">
        <v>1421391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"03/24/2022 22:15:40.825"</f>
        <v>03/24/2022 22:15:40.825</v>
      </c>
      <c r="C1475" t="str">
        <f t="shared" si="429"/>
        <v>FFDFD3C0</v>
      </c>
      <c r="D1475" t="s">
        <v>123</v>
      </c>
      <c r="E1475">
        <v>8</v>
      </c>
      <c r="H1475">
        <v>31</v>
      </c>
      <c r="I1475" t="s">
        <v>124</v>
      </c>
      <c r="J1475" t="s">
        <v>125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S1475" t="str">
        <f t="shared" ref="S1475:T1478" si="443">"22:15:40.000"</f>
        <v>22:15:40.000</v>
      </c>
      <c r="T1475" t="str">
        <f t="shared" si="443"/>
        <v>22:15:40.000</v>
      </c>
      <c r="U1475" t="str">
        <f t="shared" si="442"/>
        <v>A9D71F</v>
      </c>
      <c r="V1475">
        <v>0</v>
      </c>
      <c r="W1475">
        <v>0</v>
      </c>
      <c r="X1475">
        <v>2</v>
      </c>
      <c r="Z1475">
        <v>1</v>
      </c>
      <c r="AA1475">
        <v>8</v>
      </c>
      <c r="AB1475">
        <v>3</v>
      </c>
      <c r="AC1475">
        <v>0</v>
      </c>
      <c r="AD1475">
        <v>9</v>
      </c>
      <c r="AE1475">
        <v>0</v>
      </c>
      <c r="AF1475">
        <v>3</v>
      </c>
      <c r="AG1475">
        <v>1</v>
      </c>
      <c r="AH1475">
        <v>0</v>
      </c>
      <c r="AI1475" t="s">
        <v>788</v>
      </c>
      <c r="AJ1475">
        <v>33.095283999999999</v>
      </c>
      <c r="AK1475" t="s">
        <v>789</v>
      </c>
      <c r="AL1475">
        <v>-97.685838000000004</v>
      </c>
      <c r="AM1475">
        <v>25</v>
      </c>
      <c r="AN1475">
        <v>3400</v>
      </c>
      <c r="AO1475" t="s">
        <v>118</v>
      </c>
      <c r="AP1475">
        <v>45</v>
      </c>
      <c r="AQ1475">
        <v>-105</v>
      </c>
      <c r="AR1475">
        <v>0</v>
      </c>
      <c r="AZ1475">
        <v>1200</v>
      </c>
      <c r="BA1475">
        <v>1</v>
      </c>
      <c r="BB1475" t="str">
        <f t="shared" si="430"/>
        <v xml:space="preserve">N733KP  </v>
      </c>
      <c r="BC1475">
        <v>1</v>
      </c>
      <c r="BE1475">
        <v>0</v>
      </c>
      <c r="BF1475">
        <v>0</v>
      </c>
      <c r="BG1475">
        <v>0</v>
      </c>
      <c r="BH1475">
        <v>3325</v>
      </c>
      <c r="BI1475">
        <v>1</v>
      </c>
      <c r="BJ1475">
        <v>1</v>
      </c>
      <c r="BK1475">
        <v>0</v>
      </c>
      <c r="BL1475">
        <v>0</v>
      </c>
      <c r="BO1475">
        <v>0</v>
      </c>
      <c r="BP1475">
        <v>0</v>
      </c>
      <c r="BW1475" t="str">
        <f>"22:15:40.634"</f>
        <v>22:15:40.634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7</v>
      </c>
      <c r="CP1475" t="s">
        <v>119</v>
      </c>
      <c r="CQ1475">
        <v>364</v>
      </c>
      <c r="CR1475">
        <v>0</v>
      </c>
      <c r="CW1475">
        <v>1421626</v>
      </c>
      <c r="CY1475">
        <v>1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"03/24/2022 22:15:40.825"</f>
        <v>03/24/2022 22:15:40.825</v>
      </c>
      <c r="C1476" t="str">
        <f t="shared" si="429"/>
        <v>FFDFD3C0</v>
      </c>
      <c r="D1476" t="s">
        <v>120</v>
      </c>
      <c r="E1476">
        <v>14</v>
      </c>
      <c r="F1476">
        <v>1014</v>
      </c>
      <c r="G1476" t="s">
        <v>121</v>
      </c>
      <c r="J1476" t="s">
        <v>122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S1476" t="str">
        <f t="shared" si="443"/>
        <v>22:15:40.000</v>
      </c>
      <c r="T1476" t="str">
        <f t="shared" si="443"/>
        <v>22:15:40.000</v>
      </c>
      <c r="U1476" t="str">
        <f t="shared" si="442"/>
        <v>A9D71F</v>
      </c>
      <c r="V1476">
        <v>0</v>
      </c>
      <c r="W1476">
        <v>0</v>
      </c>
      <c r="X1476">
        <v>2</v>
      </c>
      <c r="Z1476">
        <v>1</v>
      </c>
      <c r="AA1476">
        <v>8</v>
      </c>
      <c r="AB1476">
        <v>3</v>
      </c>
      <c r="AC1476">
        <v>0</v>
      </c>
      <c r="AD1476">
        <v>9</v>
      </c>
      <c r="AE1476">
        <v>0</v>
      </c>
      <c r="AF1476">
        <v>3</v>
      </c>
      <c r="AG1476">
        <v>1</v>
      </c>
      <c r="AH1476">
        <v>0</v>
      </c>
      <c r="AI1476" t="s">
        <v>788</v>
      </c>
      <c r="AJ1476">
        <v>33.095283999999999</v>
      </c>
      <c r="AK1476" t="s">
        <v>789</v>
      </c>
      <c r="AL1476">
        <v>-97.685838000000004</v>
      </c>
      <c r="AM1476">
        <v>25</v>
      </c>
      <c r="AN1476">
        <v>3400</v>
      </c>
      <c r="AO1476" t="s">
        <v>118</v>
      </c>
      <c r="AP1476">
        <v>45</v>
      </c>
      <c r="AQ1476">
        <v>-105</v>
      </c>
      <c r="AR1476">
        <v>0</v>
      </c>
      <c r="AZ1476">
        <v>1200</v>
      </c>
      <c r="BA1476">
        <v>1</v>
      </c>
      <c r="BB1476" t="str">
        <f t="shared" si="430"/>
        <v xml:space="preserve">N733KP  </v>
      </c>
      <c r="BC1476">
        <v>1</v>
      </c>
      <c r="BE1476">
        <v>0</v>
      </c>
      <c r="BF1476">
        <v>0</v>
      </c>
      <c r="BG1476">
        <v>0</v>
      </c>
      <c r="BH1476">
        <v>3325</v>
      </c>
      <c r="BI1476">
        <v>1</v>
      </c>
      <c r="BJ1476">
        <v>1</v>
      </c>
      <c r="BK1476">
        <v>0</v>
      </c>
      <c r="BL1476">
        <v>0</v>
      </c>
      <c r="BO1476">
        <v>0</v>
      </c>
      <c r="BP1476">
        <v>0</v>
      </c>
      <c r="BW1476" t="str">
        <f>"22:15:40.634"</f>
        <v>22:15:40.634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7</v>
      </c>
      <c r="CP1476" t="s">
        <v>119</v>
      </c>
      <c r="CQ1476">
        <v>364</v>
      </c>
      <c r="CR1476">
        <v>0</v>
      </c>
      <c r="CW1476">
        <v>1421626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"03/24/2022 22:15:40.825"</f>
        <v>03/24/2022 22:15:40.825</v>
      </c>
      <c r="C1477" t="str">
        <f t="shared" si="429"/>
        <v>FFDFD3C0</v>
      </c>
      <c r="D1477" t="s">
        <v>113</v>
      </c>
      <c r="E1477">
        <v>24</v>
      </c>
      <c r="F1477">
        <v>2024</v>
      </c>
      <c r="G1477" t="s">
        <v>114</v>
      </c>
      <c r="J1477" t="s">
        <v>115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S1477" t="str">
        <f t="shared" si="443"/>
        <v>22:15:40.000</v>
      </c>
      <c r="T1477" t="str">
        <f t="shared" si="443"/>
        <v>22:15:40.000</v>
      </c>
      <c r="U1477" t="str">
        <f t="shared" si="442"/>
        <v>A9D71F</v>
      </c>
      <c r="V1477">
        <v>0</v>
      </c>
      <c r="W1477">
        <v>0</v>
      </c>
      <c r="X1477">
        <v>2</v>
      </c>
      <c r="Z1477">
        <v>1</v>
      </c>
      <c r="AA1477">
        <v>8</v>
      </c>
      <c r="AB1477">
        <v>3</v>
      </c>
      <c r="AC1477">
        <v>0</v>
      </c>
      <c r="AD1477">
        <v>9</v>
      </c>
      <c r="AE1477">
        <v>0</v>
      </c>
      <c r="AF1477">
        <v>3</v>
      </c>
      <c r="AG1477">
        <v>1</v>
      </c>
      <c r="AH1477">
        <v>0</v>
      </c>
      <c r="AI1477" t="s">
        <v>788</v>
      </c>
      <c r="AJ1477">
        <v>33.095283999999999</v>
      </c>
      <c r="AK1477" t="s">
        <v>789</v>
      </c>
      <c r="AL1477">
        <v>-97.685838000000004</v>
      </c>
      <c r="AM1477">
        <v>25</v>
      </c>
      <c r="AN1477">
        <v>3400</v>
      </c>
      <c r="AO1477" t="s">
        <v>118</v>
      </c>
      <c r="AP1477">
        <v>45</v>
      </c>
      <c r="AQ1477">
        <v>-105</v>
      </c>
      <c r="AR1477">
        <v>0</v>
      </c>
      <c r="AZ1477">
        <v>1200</v>
      </c>
      <c r="BA1477">
        <v>1</v>
      </c>
      <c r="BB1477" t="str">
        <f t="shared" si="430"/>
        <v xml:space="preserve">N733KP  </v>
      </c>
      <c r="BC1477">
        <v>1</v>
      </c>
      <c r="BE1477">
        <v>0</v>
      </c>
      <c r="BF1477">
        <v>0</v>
      </c>
      <c r="BG1477">
        <v>0</v>
      </c>
      <c r="BH1477">
        <v>3325</v>
      </c>
      <c r="BI1477">
        <v>1</v>
      </c>
      <c r="BJ1477">
        <v>1</v>
      </c>
      <c r="BK1477">
        <v>0</v>
      </c>
      <c r="BL1477">
        <v>0</v>
      </c>
      <c r="BO1477">
        <v>0</v>
      </c>
      <c r="BP1477">
        <v>0</v>
      </c>
      <c r="BW1477" t="str">
        <f>"22:15:40.634"</f>
        <v>22:15:40.634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7</v>
      </c>
      <c r="CP1477" t="s">
        <v>119</v>
      </c>
      <c r="CQ1477">
        <v>364</v>
      </c>
      <c r="CR1477">
        <v>0</v>
      </c>
      <c r="CW1477">
        <v>1421626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"03/24/2022 22:15:40.825"</f>
        <v>03/24/2022 22:15:40.825</v>
      </c>
      <c r="C1478" t="str">
        <f t="shared" si="429"/>
        <v>FFDFD3C0</v>
      </c>
      <c r="D1478" t="s">
        <v>126</v>
      </c>
      <c r="E1478">
        <v>3</v>
      </c>
      <c r="H1478">
        <v>160</v>
      </c>
      <c r="I1478" t="s">
        <v>121</v>
      </c>
      <c r="J1478" t="s">
        <v>127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S1478" t="str">
        <f t="shared" si="443"/>
        <v>22:15:40.000</v>
      </c>
      <c r="T1478" t="str">
        <f t="shared" si="443"/>
        <v>22:15:40.000</v>
      </c>
      <c r="U1478" t="str">
        <f t="shared" si="442"/>
        <v>A9D71F</v>
      </c>
      <c r="V1478">
        <v>0</v>
      </c>
      <c r="W1478">
        <v>0</v>
      </c>
      <c r="X1478">
        <v>2</v>
      </c>
      <c r="Z1478">
        <v>1</v>
      </c>
      <c r="AA1478">
        <v>8</v>
      </c>
      <c r="AB1478">
        <v>3</v>
      </c>
      <c r="AC1478">
        <v>0</v>
      </c>
      <c r="AD1478">
        <v>9</v>
      </c>
      <c r="AE1478">
        <v>0</v>
      </c>
      <c r="AF1478">
        <v>3</v>
      </c>
      <c r="AG1478">
        <v>1</v>
      </c>
      <c r="AH1478">
        <v>0</v>
      </c>
      <c r="AI1478" t="s">
        <v>788</v>
      </c>
      <c r="AJ1478">
        <v>33.095283999999999</v>
      </c>
      <c r="AK1478" t="s">
        <v>789</v>
      </c>
      <c r="AL1478">
        <v>-97.685838000000004</v>
      </c>
      <c r="AM1478">
        <v>25</v>
      </c>
      <c r="AN1478">
        <v>3400</v>
      </c>
      <c r="AO1478" t="s">
        <v>118</v>
      </c>
      <c r="AP1478">
        <v>45</v>
      </c>
      <c r="AQ1478">
        <v>-105</v>
      </c>
      <c r="AR1478">
        <v>0</v>
      </c>
      <c r="AZ1478">
        <v>1200</v>
      </c>
      <c r="BA1478">
        <v>1</v>
      </c>
      <c r="BB1478" t="str">
        <f t="shared" si="430"/>
        <v xml:space="preserve">N733KP  </v>
      </c>
      <c r="BC1478">
        <v>1</v>
      </c>
      <c r="BE1478">
        <v>0</v>
      </c>
      <c r="BF1478">
        <v>0</v>
      </c>
      <c r="BG1478">
        <v>0</v>
      </c>
      <c r="BH1478">
        <v>3325</v>
      </c>
      <c r="BI1478">
        <v>1</v>
      </c>
      <c r="BJ1478">
        <v>1</v>
      </c>
      <c r="BK1478">
        <v>0</v>
      </c>
      <c r="BL1478">
        <v>0</v>
      </c>
      <c r="BO1478">
        <v>0</v>
      </c>
      <c r="BP1478">
        <v>0</v>
      </c>
      <c r="BW1478" t="str">
        <f>"22:15:40.634"</f>
        <v>22:15:40.634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7</v>
      </c>
      <c r="CP1478" t="s">
        <v>119</v>
      </c>
      <c r="CQ1478">
        <v>364</v>
      </c>
      <c r="CR1478">
        <v>0</v>
      </c>
      <c r="CW1478">
        <v>1421626</v>
      </c>
      <c r="CY1478">
        <v>1</v>
      </c>
      <c r="CZ1478">
        <v>0</v>
      </c>
      <c r="DA1478">
        <v>1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"03/24/2022 22:15:41.779"</f>
        <v>03/24/2022 22:15:41.779</v>
      </c>
      <c r="C1479" t="str">
        <f t="shared" si="429"/>
        <v>FFDFD3C0</v>
      </c>
      <c r="D1479" t="s">
        <v>123</v>
      </c>
      <c r="E1479">
        <v>8</v>
      </c>
      <c r="H1479">
        <v>31</v>
      </c>
      <c r="I1479" t="s">
        <v>124</v>
      </c>
      <c r="J1479" t="s">
        <v>125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S1479" t="str">
        <f t="shared" ref="S1479:T1482" si="444">"22:15:41.000"</f>
        <v>22:15:41.000</v>
      </c>
      <c r="T1479" t="str">
        <f t="shared" si="444"/>
        <v>22:15:41.000</v>
      </c>
      <c r="U1479" t="str">
        <f t="shared" si="442"/>
        <v>A9D71F</v>
      </c>
      <c r="V1479">
        <v>0</v>
      </c>
      <c r="W1479">
        <v>0</v>
      </c>
      <c r="X1479">
        <v>2</v>
      </c>
      <c r="Z1479">
        <v>1</v>
      </c>
      <c r="AA1479">
        <v>8</v>
      </c>
      <c r="AB1479">
        <v>3</v>
      </c>
      <c r="AC1479">
        <v>0</v>
      </c>
      <c r="AD1479">
        <v>9</v>
      </c>
      <c r="AE1479">
        <v>0</v>
      </c>
      <c r="AF1479">
        <v>3</v>
      </c>
      <c r="AG1479">
        <v>1</v>
      </c>
      <c r="AH1479">
        <v>0</v>
      </c>
      <c r="AI1479" t="s">
        <v>790</v>
      </c>
      <c r="AJ1479">
        <v>33.094790000000003</v>
      </c>
      <c r="AK1479" t="s">
        <v>791</v>
      </c>
      <c r="AL1479">
        <v>-97.685558999999998</v>
      </c>
      <c r="AM1479">
        <v>25</v>
      </c>
      <c r="AN1479">
        <v>3400</v>
      </c>
      <c r="AO1479" t="s">
        <v>118</v>
      </c>
      <c r="AP1479">
        <v>49</v>
      </c>
      <c r="AQ1479">
        <v>-106</v>
      </c>
      <c r="AR1479">
        <v>-64</v>
      </c>
      <c r="AZ1479">
        <v>1200</v>
      </c>
      <c r="BA1479">
        <v>1</v>
      </c>
      <c r="BB1479" t="str">
        <f t="shared" si="430"/>
        <v xml:space="preserve">N733KP  </v>
      </c>
      <c r="BC1479">
        <v>1</v>
      </c>
      <c r="BE1479">
        <v>0</v>
      </c>
      <c r="BF1479">
        <v>0</v>
      </c>
      <c r="BG1479">
        <v>0</v>
      </c>
      <c r="BH1479">
        <v>3325</v>
      </c>
      <c r="BI1479">
        <v>1</v>
      </c>
      <c r="BJ1479">
        <v>1</v>
      </c>
      <c r="BK1479">
        <v>0</v>
      </c>
      <c r="BL1479">
        <v>0</v>
      </c>
      <c r="BO1479">
        <v>0</v>
      </c>
      <c r="BP1479">
        <v>0</v>
      </c>
      <c r="BW1479" t="str">
        <f>"22:15:41.603"</f>
        <v>22:15:41.603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7</v>
      </c>
      <c r="CP1479" t="s">
        <v>119</v>
      </c>
      <c r="CQ1479">
        <v>364</v>
      </c>
      <c r="CR1479">
        <v>0</v>
      </c>
      <c r="CW1479">
        <v>1421799</v>
      </c>
      <c r="CY1479">
        <v>1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"03/24/2022 22:15:41.779"</f>
        <v>03/24/2022 22:15:41.779</v>
      </c>
      <c r="C1480" t="str">
        <f t="shared" si="429"/>
        <v>FFDFD3C0</v>
      </c>
      <c r="D1480" t="s">
        <v>113</v>
      </c>
      <c r="E1480">
        <v>24</v>
      </c>
      <c r="F1480">
        <v>2024</v>
      </c>
      <c r="G1480" t="s">
        <v>114</v>
      </c>
      <c r="J1480" t="s">
        <v>115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S1480" t="str">
        <f t="shared" si="444"/>
        <v>22:15:41.000</v>
      </c>
      <c r="T1480" t="str">
        <f t="shared" si="444"/>
        <v>22:15:41.000</v>
      </c>
      <c r="U1480" t="str">
        <f t="shared" si="442"/>
        <v>A9D71F</v>
      </c>
      <c r="V1480">
        <v>0</v>
      </c>
      <c r="W1480">
        <v>0</v>
      </c>
      <c r="X1480">
        <v>2</v>
      </c>
      <c r="Z1480">
        <v>1</v>
      </c>
      <c r="AA1480">
        <v>8</v>
      </c>
      <c r="AB1480">
        <v>3</v>
      </c>
      <c r="AC1480">
        <v>0</v>
      </c>
      <c r="AD1480">
        <v>9</v>
      </c>
      <c r="AE1480">
        <v>0</v>
      </c>
      <c r="AF1480">
        <v>3</v>
      </c>
      <c r="AG1480">
        <v>1</v>
      </c>
      <c r="AH1480">
        <v>0</v>
      </c>
      <c r="AI1480" t="s">
        <v>790</v>
      </c>
      <c r="AJ1480">
        <v>33.094790000000003</v>
      </c>
      <c r="AK1480" t="s">
        <v>791</v>
      </c>
      <c r="AL1480">
        <v>-97.685558999999998</v>
      </c>
      <c r="AM1480">
        <v>25</v>
      </c>
      <c r="AN1480">
        <v>3400</v>
      </c>
      <c r="AO1480" t="s">
        <v>118</v>
      </c>
      <c r="AP1480">
        <v>49</v>
      </c>
      <c r="AQ1480">
        <v>-106</v>
      </c>
      <c r="AR1480">
        <v>-64</v>
      </c>
      <c r="AZ1480">
        <v>1200</v>
      </c>
      <c r="BA1480">
        <v>1</v>
      </c>
      <c r="BB1480" t="str">
        <f t="shared" si="430"/>
        <v xml:space="preserve">N733KP  </v>
      </c>
      <c r="BC1480">
        <v>1</v>
      </c>
      <c r="BE1480">
        <v>0</v>
      </c>
      <c r="BF1480">
        <v>0</v>
      </c>
      <c r="BG1480">
        <v>0</v>
      </c>
      <c r="BH1480">
        <v>3325</v>
      </c>
      <c r="BI1480">
        <v>1</v>
      </c>
      <c r="BJ1480">
        <v>1</v>
      </c>
      <c r="BK1480">
        <v>0</v>
      </c>
      <c r="BL1480">
        <v>0</v>
      </c>
      <c r="BO1480">
        <v>0</v>
      </c>
      <c r="BP1480">
        <v>0</v>
      </c>
      <c r="BW1480" t="str">
        <f>"22:15:41.603"</f>
        <v>22:15:41.603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119</v>
      </c>
      <c r="CQ1480">
        <v>364</v>
      </c>
      <c r="CR1480">
        <v>0</v>
      </c>
      <c r="CW1480">
        <v>1421799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"03/24/2022 22:15:41.779"</f>
        <v>03/24/2022 22:15:41.779</v>
      </c>
      <c r="C1481" t="str">
        <f t="shared" si="429"/>
        <v>FFDFD3C0</v>
      </c>
      <c r="D1481" t="s">
        <v>120</v>
      </c>
      <c r="E1481">
        <v>14</v>
      </c>
      <c r="F1481">
        <v>1014</v>
      </c>
      <c r="G1481" t="s">
        <v>121</v>
      </c>
      <c r="J1481" t="s">
        <v>122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S1481" t="str">
        <f t="shared" si="444"/>
        <v>22:15:41.000</v>
      </c>
      <c r="T1481" t="str">
        <f t="shared" si="444"/>
        <v>22:15:41.000</v>
      </c>
      <c r="U1481" t="str">
        <f t="shared" si="442"/>
        <v>A9D71F</v>
      </c>
      <c r="V1481">
        <v>0</v>
      </c>
      <c r="W1481">
        <v>0</v>
      </c>
      <c r="X1481">
        <v>2</v>
      </c>
      <c r="Z1481">
        <v>1</v>
      </c>
      <c r="AA1481">
        <v>8</v>
      </c>
      <c r="AB1481">
        <v>3</v>
      </c>
      <c r="AC1481">
        <v>0</v>
      </c>
      <c r="AD1481">
        <v>9</v>
      </c>
      <c r="AE1481">
        <v>0</v>
      </c>
      <c r="AF1481">
        <v>3</v>
      </c>
      <c r="AG1481">
        <v>1</v>
      </c>
      <c r="AH1481">
        <v>0</v>
      </c>
      <c r="AI1481" t="s">
        <v>790</v>
      </c>
      <c r="AJ1481">
        <v>33.094790000000003</v>
      </c>
      <c r="AK1481" t="s">
        <v>791</v>
      </c>
      <c r="AL1481">
        <v>-97.685558999999998</v>
      </c>
      <c r="AM1481">
        <v>25</v>
      </c>
      <c r="AN1481">
        <v>3400</v>
      </c>
      <c r="AO1481" t="s">
        <v>118</v>
      </c>
      <c r="AP1481">
        <v>49</v>
      </c>
      <c r="AQ1481">
        <v>-106</v>
      </c>
      <c r="AR1481">
        <v>-64</v>
      </c>
      <c r="AZ1481">
        <v>1200</v>
      </c>
      <c r="BA1481">
        <v>1</v>
      </c>
      <c r="BB1481" t="str">
        <f t="shared" si="430"/>
        <v xml:space="preserve">N733KP  </v>
      </c>
      <c r="BC1481">
        <v>1</v>
      </c>
      <c r="BE1481">
        <v>0</v>
      </c>
      <c r="BF1481">
        <v>0</v>
      </c>
      <c r="BG1481">
        <v>0</v>
      </c>
      <c r="BH1481">
        <v>3325</v>
      </c>
      <c r="BI1481">
        <v>1</v>
      </c>
      <c r="BJ1481">
        <v>1</v>
      </c>
      <c r="BK1481">
        <v>0</v>
      </c>
      <c r="BL1481">
        <v>0</v>
      </c>
      <c r="BO1481">
        <v>0</v>
      </c>
      <c r="BP1481">
        <v>0</v>
      </c>
      <c r="BW1481" t="str">
        <f>"22:15:41.603"</f>
        <v>22:15:41.603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119</v>
      </c>
      <c r="CQ1481">
        <v>364</v>
      </c>
      <c r="CR1481">
        <v>0</v>
      </c>
      <c r="CW1481">
        <v>1421799</v>
      </c>
      <c r="CY1481">
        <v>1</v>
      </c>
      <c r="CZ1481">
        <v>0</v>
      </c>
      <c r="DA1481">
        <v>1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"03/24/2022 22:15:41.810"</f>
        <v>03/24/2022 22:15:41.810</v>
      </c>
      <c r="C1482" t="str">
        <f t="shared" si="429"/>
        <v>FFDFD3C0</v>
      </c>
      <c r="D1482" t="s">
        <v>126</v>
      </c>
      <c r="E1482">
        <v>3</v>
      </c>
      <c r="H1482">
        <v>160</v>
      </c>
      <c r="I1482" t="s">
        <v>121</v>
      </c>
      <c r="J1482" t="s">
        <v>127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S1482" t="str">
        <f t="shared" si="444"/>
        <v>22:15:41.000</v>
      </c>
      <c r="T1482" t="str">
        <f t="shared" si="444"/>
        <v>22:15:41.000</v>
      </c>
      <c r="U1482" t="str">
        <f t="shared" si="442"/>
        <v>A9D71F</v>
      </c>
      <c r="V1482">
        <v>0</v>
      </c>
      <c r="W1482">
        <v>0</v>
      </c>
      <c r="X1482">
        <v>2</v>
      </c>
      <c r="Z1482">
        <v>1</v>
      </c>
      <c r="AA1482">
        <v>8</v>
      </c>
      <c r="AB1482">
        <v>3</v>
      </c>
      <c r="AC1482">
        <v>0</v>
      </c>
      <c r="AD1482">
        <v>9</v>
      </c>
      <c r="AE1482">
        <v>0</v>
      </c>
      <c r="AF1482">
        <v>3</v>
      </c>
      <c r="AG1482">
        <v>1</v>
      </c>
      <c r="AH1482">
        <v>0</v>
      </c>
      <c r="AI1482" t="s">
        <v>790</v>
      </c>
      <c r="AJ1482">
        <v>33.094790000000003</v>
      </c>
      <c r="AK1482" t="s">
        <v>791</v>
      </c>
      <c r="AL1482">
        <v>-97.685558999999998</v>
      </c>
      <c r="AM1482">
        <v>25</v>
      </c>
      <c r="AN1482">
        <v>3400</v>
      </c>
      <c r="AO1482" t="s">
        <v>118</v>
      </c>
      <c r="AP1482">
        <v>49</v>
      </c>
      <c r="AQ1482">
        <v>-106</v>
      </c>
      <c r="AR1482">
        <v>-64</v>
      </c>
      <c r="AZ1482">
        <v>1200</v>
      </c>
      <c r="BA1482">
        <v>1</v>
      </c>
      <c r="BB1482" t="str">
        <f t="shared" si="430"/>
        <v xml:space="preserve">N733KP  </v>
      </c>
      <c r="BC1482">
        <v>1</v>
      </c>
      <c r="BE1482">
        <v>0</v>
      </c>
      <c r="BF1482">
        <v>0</v>
      </c>
      <c r="BG1482">
        <v>0</v>
      </c>
      <c r="BH1482">
        <v>3325</v>
      </c>
      <c r="BI1482">
        <v>1</v>
      </c>
      <c r="BJ1482">
        <v>1</v>
      </c>
      <c r="BK1482">
        <v>0</v>
      </c>
      <c r="BL1482">
        <v>0</v>
      </c>
      <c r="BO1482">
        <v>0</v>
      </c>
      <c r="BP1482">
        <v>0</v>
      </c>
      <c r="BW1482" t="str">
        <f>"22:15:41.603"</f>
        <v>22:15:41.603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119</v>
      </c>
      <c r="CQ1482">
        <v>364</v>
      </c>
      <c r="CR1482">
        <v>0</v>
      </c>
      <c r="CW1482">
        <v>1421799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"03/24/2022 22:15:42.545"</f>
        <v>03/24/2022 22:15:42.545</v>
      </c>
      <c r="C1483" t="str">
        <f t="shared" si="429"/>
        <v>FFDFD3C0</v>
      </c>
      <c r="D1483" t="s">
        <v>123</v>
      </c>
      <c r="E1483">
        <v>8</v>
      </c>
      <c r="H1483">
        <v>31</v>
      </c>
      <c r="I1483" t="s">
        <v>124</v>
      </c>
      <c r="J1483" t="s">
        <v>125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S1483" t="str">
        <f t="shared" ref="S1483:T1486" si="445">"22:15:42.000"</f>
        <v>22:15:42.000</v>
      </c>
      <c r="T1483" t="str">
        <f t="shared" si="445"/>
        <v>22:15:42.000</v>
      </c>
      <c r="U1483" t="str">
        <f t="shared" si="442"/>
        <v>A9D71F</v>
      </c>
      <c r="V1483">
        <v>0</v>
      </c>
      <c r="W1483">
        <v>0</v>
      </c>
      <c r="X1483">
        <v>2</v>
      </c>
      <c r="Z1483">
        <v>1</v>
      </c>
      <c r="AA1483">
        <v>8</v>
      </c>
      <c r="AB1483">
        <v>3</v>
      </c>
      <c r="AC1483">
        <v>0</v>
      </c>
      <c r="AD1483">
        <v>9</v>
      </c>
      <c r="AE1483">
        <v>0</v>
      </c>
      <c r="AF1483">
        <v>3</v>
      </c>
      <c r="AG1483">
        <v>1</v>
      </c>
      <c r="AH1483">
        <v>0</v>
      </c>
      <c r="AI1483" t="s">
        <v>792</v>
      </c>
      <c r="AJ1483">
        <v>33.094296</v>
      </c>
      <c r="AK1483" t="s">
        <v>793</v>
      </c>
      <c r="AL1483">
        <v>-97.685300999999995</v>
      </c>
      <c r="AM1483">
        <v>25</v>
      </c>
      <c r="AN1483">
        <v>3400</v>
      </c>
      <c r="AO1483" t="s">
        <v>118</v>
      </c>
      <c r="AP1483">
        <v>50</v>
      </c>
      <c r="AQ1483">
        <v>-108</v>
      </c>
      <c r="AR1483">
        <v>-128</v>
      </c>
      <c r="AZ1483">
        <v>1200</v>
      </c>
      <c r="BA1483">
        <v>1</v>
      </c>
      <c r="BB1483" t="str">
        <f t="shared" si="430"/>
        <v xml:space="preserve">N733KP  </v>
      </c>
      <c r="BC1483">
        <v>1</v>
      </c>
      <c r="BE1483">
        <v>0</v>
      </c>
      <c r="BF1483">
        <v>0</v>
      </c>
      <c r="BG1483">
        <v>0</v>
      </c>
      <c r="BH1483">
        <v>3325</v>
      </c>
      <c r="BI1483">
        <v>1</v>
      </c>
      <c r="BJ1483">
        <v>1</v>
      </c>
      <c r="BK1483">
        <v>0</v>
      </c>
      <c r="BL1483">
        <v>0</v>
      </c>
      <c r="BO1483">
        <v>0</v>
      </c>
      <c r="BP1483">
        <v>0</v>
      </c>
      <c r="BW1483" t="str">
        <f>"22:15:42.355"</f>
        <v>22:15:42.355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364</v>
      </c>
      <c r="CR1483">
        <v>0</v>
      </c>
      <c r="CW1483">
        <v>1421924</v>
      </c>
      <c r="CY1483">
        <v>1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"03/24/2022 22:15:42.592"</f>
        <v>03/24/2022 22:15:42.592</v>
      </c>
      <c r="C1484" t="str">
        <f t="shared" si="429"/>
        <v>FFDFD3C0</v>
      </c>
      <c r="D1484" t="s">
        <v>120</v>
      </c>
      <c r="E1484">
        <v>14</v>
      </c>
      <c r="F1484">
        <v>1014</v>
      </c>
      <c r="G1484" t="s">
        <v>121</v>
      </c>
      <c r="J1484" t="s">
        <v>122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S1484" t="str">
        <f t="shared" si="445"/>
        <v>22:15:42.000</v>
      </c>
      <c r="T1484" t="str">
        <f t="shared" si="445"/>
        <v>22:15:42.000</v>
      </c>
      <c r="U1484" t="str">
        <f t="shared" si="442"/>
        <v>A9D71F</v>
      </c>
      <c r="V1484">
        <v>0</v>
      </c>
      <c r="W1484">
        <v>0</v>
      </c>
      <c r="X1484">
        <v>2</v>
      </c>
      <c r="Z1484">
        <v>1</v>
      </c>
      <c r="AA1484">
        <v>8</v>
      </c>
      <c r="AB1484">
        <v>3</v>
      </c>
      <c r="AC1484">
        <v>0</v>
      </c>
      <c r="AD1484">
        <v>9</v>
      </c>
      <c r="AE1484">
        <v>0</v>
      </c>
      <c r="AF1484">
        <v>3</v>
      </c>
      <c r="AG1484">
        <v>1</v>
      </c>
      <c r="AH1484">
        <v>0</v>
      </c>
      <c r="AI1484" t="s">
        <v>792</v>
      </c>
      <c r="AJ1484">
        <v>33.094296</v>
      </c>
      <c r="AK1484" t="s">
        <v>793</v>
      </c>
      <c r="AL1484">
        <v>-97.685300999999995</v>
      </c>
      <c r="AM1484">
        <v>25</v>
      </c>
      <c r="AN1484">
        <v>3400</v>
      </c>
      <c r="AO1484" t="s">
        <v>118</v>
      </c>
      <c r="AP1484">
        <v>50</v>
      </c>
      <c r="AQ1484">
        <v>-108</v>
      </c>
      <c r="AR1484">
        <v>-128</v>
      </c>
      <c r="AZ1484">
        <v>1200</v>
      </c>
      <c r="BA1484">
        <v>1</v>
      </c>
      <c r="BB1484" t="str">
        <f t="shared" si="430"/>
        <v xml:space="preserve">N733KP  </v>
      </c>
      <c r="BC1484">
        <v>1</v>
      </c>
      <c r="BE1484">
        <v>0</v>
      </c>
      <c r="BF1484">
        <v>0</v>
      </c>
      <c r="BG1484">
        <v>0</v>
      </c>
      <c r="BH1484">
        <v>3325</v>
      </c>
      <c r="BI1484">
        <v>1</v>
      </c>
      <c r="BJ1484">
        <v>1</v>
      </c>
      <c r="BK1484">
        <v>0</v>
      </c>
      <c r="BL1484">
        <v>0</v>
      </c>
      <c r="BO1484">
        <v>0</v>
      </c>
      <c r="BP1484">
        <v>0</v>
      </c>
      <c r="BW1484" t="str">
        <f>"22:15:42.355"</f>
        <v>22:15:42.355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119</v>
      </c>
      <c r="CQ1484">
        <v>364</v>
      </c>
      <c r="CR1484">
        <v>0</v>
      </c>
      <c r="CW1484">
        <v>1421924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"03/24/2022 22:15:42.592"</f>
        <v>03/24/2022 22:15:42.592</v>
      </c>
      <c r="C1485" t="str">
        <f t="shared" si="429"/>
        <v>FFDFD3C0</v>
      </c>
      <c r="D1485" t="s">
        <v>113</v>
      </c>
      <c r="E1485">
        <v>24</v>
      </c>
      <c r="F1485">
        <v>2024</v>
      </c>
      <c r="G1485" t="s">
        <v>114</v>
      </c>
      <c r="J1485" t="s">
        <v>115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S1485" t="str">
        <f t="shared" si="445"/>
        <v>22:15:42.000</v>
      </c>
      <c r="T1485" t="str">
        <f t="shared" si="445"/>
        <v>22:15:42.000</v>
      </c>
      <c r="U1485" t="str">
        <f t="shared" si="442"/>
        <v>A9D71F</v>
      </c>
      <c r="V1485">
        <v>0</v>
      </c>
      <c r="W1485">
        <v>0</v>
      </c>
      <c r="X1485">
        <v>2</v>
      </c>
      <c r="Z1485">
        <v>1</v>
      </c>
      <c r="AA1485">
        <v>8</v>
      </c>
      <c r="AB1485">
        <v>3</v>
      </c>
      <c r="AC1485">
        <v>0</v>
      </c>
      <c r="AD1485">
        <v>9</v>
      </c>
      <c r="AE1485">
        <v>0</v>
      </c>
      <c r="AF1485">
        <v>3</v>
      </c>
      <c r="AG1485">
        <v>1</v>
      </c>
      <c r="AH1485">
        <v>0</v>
      </c>
      <c r="AI1485" t="s">
        <v>792</v>
      </c>
      <c r="AJ1485">
        <v>33.094296</v>
      </c>
      <c r="AK1485" t="s">
        <v>793</v>
      </c>
      <c r="AL1485">
        <v>-97.685300999999995</v>
      </c>
      <c r="AM1485">
        <v>25</v>
      </c>
      <c r="AN1485">
        <v>3400</v>
      </c>
      <c r="AO1485" t="s">
        <v>118</v>
      </c>
      <c r="AP1485">
        <v>50</v>
      </c>
      <c r="AQ1485">
        <v>-108</v>
      </c>
      <c r="AR1485">
        <v>-128</v>
      </c>
      <c r="AZ1485">
        <v>1200</v>
      </c>
      <c r="BA1485">
        <v>1</v>
      </c>
      <c r="BB1485" t="str">
        <f t="shared" si="430"/>
        <v xml:space="preserve">N733KP  </v>
      </c>
      <c r="BC1485">
        <v>1</v>
      </c>
      <c r="BE1485">
        <v>0</v>
      </c>
      <c r="BF1485">
        <v>0</v>
      </c>
      <c r="BG1485">
        <v>0</v>
      </c>
      <c r="BH1485">
        <v>3325</v>
      </c>
      <c r="BI1485">
        <v>1</v>
      </c>
      <c r="BJ1485">
        <v>1</v>
      </c>
      <c r="BK1485">
        <v>0</v>
      </c>
      <c r="BL1485">
        <v>0</v>
      </c>
      <c r="BO1485">
        <v>0</v>
      </c>
      <c r="BP1485">
        <v>0</v>
      </c>
      <c r="BW1485" t="str">
        <f>"22:15:42.355"</f>
        <v>22:15:42.355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364</v>
      </c>
      <c r="CR1485">
        <v>0</v>
      </c>
      <c r="CW1485">
        <v>1421924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"03/24/2022 22:15:42.592"</f>
        <v>03/24/2022 22:15:42.592</v>
      </c>
      <c r="C1486" t="str">
        <f t="shared" si="429"/>
        <v>FFDFD3C0</v>
      </c>
      <c r="D1486" t="s">
        <v>126</v>
      </c>
      <c r="E1486">
        <v>3</v>
      </c>
      <c r="H1486">
        <v>160</v>
      </c>
      <c r="I1486" t="s">
        <v>121</v>
      </c>
      <c r="J1486" t="s">
        <v>127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S1486" t="str">
        <f t="shared" si="445"/>
        <v>22:15:42.000</v>
      </c>
      <c r="T1486" t="str">
        <f t="shared" si="445"/>
        <v>22:15:42.000</v>
      </c>
      <c r="U1486" t="str">
        <f t="shared" si="442"/>
        <v>A9D71F</v>
      </c>
      <c r="V1486">
        <v>0</v>
      </c>
      <c r="W1486">
        <v>0</v>
      </c>
      <c r="X1486">
        <v>2</v>
      </c>
      <c r="Z1486">
        <v>1</v>
      </c>
      <c r="AA1486">
        <v>8</v>
      </c>
      <c r="AB1486">
        <v>3</v>
      </c>
      <c r="AC1486">
        <v>0</v>
      </c>
      <c r="AD1486">
        <v>9</v>
      </c>
      <c r="AE1486">
        <v>0</v>
      </c>
      <c r="AF1486">
        <v>3</v>
      </c>
      <c r="AG1486">
        <v>1</v>
      </c>
      <c r="AH1486">
        <v>0</v>
      </c>
      <c r="AI1486" t="s">
        <v>792</v>
      </c>
      <c r="AJ1486">
        <v>33.094296</v>
      </c>
      <c r="AK1486" t="s">
        <v>793</v>
      </c>
      <c r="AL1486">
        <v>-97.685300999999995</v>
      </c>
      <c r="AM1486">
        <v>25</v>
      </c>
      <c r="AN1486">
        <v>3400</v>
      </c>
      <c r="AO1486" t="s">
        <v>118</v>
      </c>
      <c r="AP1486">
        <v>50</v>
      </c>
      <c r="AQ1486">
        <v>-108</v>
      </c>
      <c r="AR1486">
        <v>-128</v>
      </c>
      <c r="AZ1486">
        <v>1200</v>
      </c>
      <c r="BA1486">
        <v>1</v>
      </c>
      <c r="BB1486" t="str">
        <f t="shared" si="430"/>
        <v xml:space="preserve">N733KP  </v>
      </c>
      <c r="BC1486">
        <v>1</v>
      </c>
      <c r="BE1486">
        <v>0</v>
      </c>
      <c r="BF1486">
        <v>0</v>
      </c>
      <c r="BG1486">
        <v>0</v>
      </c>
      <c r="BH1486">
        <v>3325</v>
      </c>
      <c r="BI1486">
        <v>1</v>
      </c>
      <c r="BJ1486">
        <v>1</v>
      </c>
      <c r="BK1486">
        <v>0</v>
      </c>
      <c r="BL1486">
        <v>0</v>
      </c>
      <c r="BO1486">
        <v>0</v>
      </c>
      <c r="BP1486">
        <v>0</v>
      </c>
      <c r="BW1486" t="str">
        <f>"22:15:42.355"</f>
        <v>22:15:42.355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364</v>
      </c>
      <c r="CR1486">
        <v>0</v>
      </c>
      <c r="CW1486">
        <v>1421924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"03/24/2022 22:15:43.488"</f>
        <v>03/24/2022 22:15:43.488</v>
      </c>
      <c r="C1487" t="str">
        <f t="shared" si="429"/>
        <v>FFDFD3C0</v>
      </c>
      <c r="D1487" t="s">
        <v>123</v>
      </c>
      <c r="E1487">
        <v>8</v>
      </c>
      <c r="H1487">
        <v>31</v>
      </c>
      <c r="I1487" t="s">
        <v>124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S1487" t="str">
        <f t="shared" ref="S1487:T1490" si="446">"22:15:43.000"</f>
        <v>22:15:43.000</v>
      </c>
      <c r="T1487" t="str">
        <f t="shared" si="446"/>
        <v>22:15:43.000</v>
      </c>
      <c r="U1487" t="str">
        <f t="shared" si="442"/>
        <v>A9D71F</v>
      </c>
      <c r="V1487">
        <v>0</v>
      </c>
      <c r="W1487">
        <v>0</v>
      </c>
      <c r="X1487">
        <v>2</v>
      </c>
      <c r="Z1487">
        <v>1</v>
      </c>
      <c r="AA1487">
        <v>8</v>
      </c>
      <c r="AB1487">
        <v>3</v>
      </c>
      <c r="AC1487">
        <v>0</v>
      </c>
      <c r="AD1487">
        <v>9</v>
      </c>
      <c r="AE1487">
        <v>0</v>
      </c>
      <c r="AF1487">
        <v>3</v>
      </c>
      <c r="AG1487">
        <v>1</v>
      </c>
      <c r="AH1487">
        <v>0</v>
      </c>
      <c r="AI1487" t="s">
        <v>794</v>
      </c>
      <c r="AJ1487">
        <v>33.093803000000001</v>
      </c>
      <c r="AK1487" t="s">
        <v>795</v>
      </c>
      <c r="AL1487">
        <v>-97.685044000000005</v>
      </c>
      <c r="AM1487">
        <v>25</v>
      </c>
      <c r="AN1487">
        <v>3400</v>
      </c>
      <c r="AO1487" t="s">
        <v>118</v>
      </c>
      <c r="AP1487">
        <v>48</v>
      </c>
      <c r="AQ1487">
        <v>-107</v>
      </c>
      <c r="AR1487">
        <v>-64</v>
      </c>
      <c r="AZ1487">
        <v>1200</v>
      </c>
      <c r="BA1487">
        <v>1</v>
      </c>
      <c r="BB1487" t="str">
        <f t="shared" si="430"/>
        <v xml:space="preserve">N733KP  </v>
      </c>
      <c r="BC1487">
        <v>1</v>
      </c>
      <c r="BE1487">
        <v>0</v>
      </c>
      <c r="BF1487">
        <v>0</v>
      </c>
      <c r="BG1487">
        <v>0</v>
      </c>
      <c r="BH1487">
        <v>3325</v>
      </c>
      <c r="BI1487">
        <v>1</v>
      </c>
      <c r="BJ1487">
        <v>1</v>
      </c>
      <c r="BK1487">
        <v>0</v>
      </c>
      <c r="BL1487">
        <v>0</v>
      </c>
      <c r="BO1487">
        <v>0</v>
      </c>
      <c r="BP1487">
        <v>0</v>
      </c>
      <c r="BW1487" t="str">
        <f>"22:15:43.330"</f>
        <v>22:15:43.330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119</v>
      </c>
      <c r="CQ1487">
        <v>364</v>
      </c>
      <c r="CR1487">
        <v>0</v>
      </c>
      <c r="CW1487">
        <v>1422093</v>
      </c>
      <c r="CY1487">
        <v>1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"03/24/2022 22:15:43.503"</f>
        <v>03/24/2022 22:15:43.503</v>
      </c>
      <c r="C1488" t="str">
        <f t="shared" si="429"/>
        <v>FFDFD3C0</v>
      </c>
      <c r="D1488" t="s">
        <v>113</v>
      </c>
      <c r="E1488">
        <v>24</v>
      </c>
      <c r="F1488">
        <v>2024</v>
      </c>
      <c r="G1488" t="s">
        <v>114</v>
      </c>
      <c r="J1488" t="s">
        <v>115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S1488" t="str">
        <f t="shared" si="446"/>
        <v>22:15:43.000</v>
      </c>
      <c r="T1488" t="str">
        <f t="shared" si="446"/>
        <v>22:15:43.000</v>
      </c>
      <c r="U1488" t="str">
        <f t="shared" si="442"/>
        <v>A9D71F</v>
      </c>
      <c r="V1488">
        <v>0</v>
      </c>
      <c r="W1488">
        <v>0</v>
      </c>
      <c r="X1488">
        <v>2</v>
      </c>
      <c r="Z1488">
        <v>1</v>
      </c>
      <c r="AA1488">
        <v>8</v>
      </c>
      <c r="AB1488">
        <v>3</v>
      </c>
      <c r="AC1488">
        <v>0</v>
      </c>
      <c r="AD1488">
        <v>9</v>
      </c>
      <c r="AE1488">
        <v>0</v>
      </c>
      <c r="AF1488">
        <v>3</v>
      </c>
      <c r="AG1488">
        <v>1</v>
      </c>
      <c r="AH1488">
        <v>0</v>
      </c>
      <c r="AI1488" t="s">
        <v>794</v>
      </c>
      <c r="AJ1488">
        <v>33.093803000000001</v>
      </c>
      <c r="AK1488" t="s">
        <v>795</v>
      </c>
      <c r="AL1488">
        <v>-97.685044000000005</v>
      </c>
      <c r="AM1488">
        <v>25</v>
      </c>
      <c r="AN1488">
        <v>3400</v>
      </c>
      <c r="AO1488" t="s">
        <v>118</v>
      </c>
      <c r="AP1488">
        <v>48</v>
      </c>
      <c r="AQ1488">
        <v>-107</v>
      </c>
      <c r="AR1488">
        <v>-64</v>
      </c>
      <c r="AZ1488">
        <v>1200</v>
      </c>
      <c r="BA1488">
        <v>1</v>
      </c>
      <c r="BB1488" t="str">
        <f t="shared" si="430"/>
        <v xml:space="preserve">N733KP  </v>
      </c>
      <c r="BC1488">
        <v>1</v>
      </c>
      <c r="BE1488">
        <v>0</v>
      </c>
      <c r="BF1488">
        <v>0</v>
      </c>
      <c r="BG1488">
        <v>0</v>
      </c>
      <c r="BH1488">
        <v>3325</v>
      </c>
      <c r="BI1488">
        <v>1</v>
      </c>
      <c r="BJ1488">
        <v>1</v>
      </c>
      <c r="BK1488">
        <v>0</v>
      </c>
      <c r="BL1488">
        <v>0</v>
      </c>
      <c r="BO1488">
        <v>0</v>
      </c>
      <c r="BP1488">
        <v>0</v>
      </c>
      <c r="BW1488" t="str">
        <f>"22:15:43.330"</f>
        <v>22:15:43.330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7</v>
      </c>
      <c r="CP1488" t="s">
        <v>119</v>
      </c>
      <c r="CQ1488">
        <v>364</v>
      </c>
      <c r="CR1488">
        <v>0</v>
      </c>
      <c r="CW1488">
        <v>1422093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"03/24/2022 22:15:43.488"</f>
        <v>03/24/2022 22:15:43.488</v>
      </c>
      <c r="C1489" t="str">
        <f t="shared" si="429"/>
        <v>FFDFD3C0</v>
      </c>
      <c r="D1489" t="s">
        <v>120</v>
      </c>
      <c r="E1489">
        <v>14</v>
      </c>
      <c r="F1489">
        <v>1014</v>
      </c>
      <c r="G1489" t="s">
        <v>121</v>
      </c>
      <c r="J1489" t="s">
        <v>122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S1489" t="str">
        <f t="shared" si="446"/>
        <v>22:15:43.000</v>
      </c>
      <c r="T1489" t="str">
        <f t="shared" si="446"/>
        <v>22:15:43.000</v>
      </c>
      <c r="U1489" t="str">
        <f t="shared" si="442"/>
        <v>A9D71F</v>
      </c>
      <c r="V1489">
        <v>0</v>
      </c>
      <c r="W1489">
        <v>0</v>
      </c>
      <c r="X1489">
        <v>2</v>
      </c>
      <c r="Z1489">
        <v>1</v>
      </c>
      <c r="AA1489">
        <v>8</v>
      </c>
      <c r="AB1489">
        <v>3</v>
      </c>
      <c r="AC1489">
        <v>0</v>
      </c>
      <c r="AD1489">
        <v>9</v>
      </c>
      <c r="AE1489">
        <v>0</v>
      </c>
      <c r="AF1489">
        <v>3</v>
      </c>
      <c r="AG1489">
        <v>1</v>
      </c>
      <c r="AH1489">
        <v>0</v>
      </c>
      <c r="AI1489" t="s">
        <v>794</v>
      </c>
      <c r="AJ1489">
        <v>33.093803000000001</v>
      </c>
      <c r="AK1489" t="s">
        <v>795</v>
      </c>
      <c r="AL1489">
        <v>-97.685044000000005</v>
      </c>
      <c r="AM1489">
        <v>25</v>
      </c>
      <c r="AN1489">
        <v>3400</v>
      </c>
      <c r="AO1489" t="s">
        <v>118</v>
      </c>
      <c r="AP1489">
        <v>48</v>
      </c>
      <c r="AQ1489">
        <v>-107</v>
      </c>
      <c r="AR1489">
        <v>-64</v>
      </c>
      <c r="AZ1489">
        <v>1200</v>
      </c>
      <c r="BA1489">
        <v>1</v>
      </c>
      <c r="BB1489" t="str">
        <f t="shared" si="430"/>
        <v xml:space="preserve">N733KP  </v>
      </c>
      <c r="BC1489">
        <v>1</v>
      </c>
      <c r="BE1489">
        <v>0</v>
      </c>
      <c r="BF1489">
        <v>0</v>
      </c>
      <c r="BG1489">
        <v>0</v>
      </c>
      <c r="BH1489">
        <v>3325</v>
      </c>
      <c r="BI1489">
        <v>1</v>
      </c>
      <c r="BJ1489">
        <v>1</v>
      </c>
      <c r="BK1489">
        <v>0</v>
      </c>
      <c r="BL1489">
        <v>0</v>
      </c>
      <c r="BO1489">
        <v>0</v>
      </c>
      <c r="BP1489">
        <v>0</v>
      </c>
      <c r="BW1489" t="str">
        <f>"22:15:43.330"</f>
        <v>22:15:43.330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7</v>
      </c>
      <c r="CP1489" t="s">
        <v>119</v>
      </c>
      <c r="CQ1489">
        <v>364</v>
      </c>
      <c r="CR1489">
        <v>0</v>
      </c>
      <c r="CW1489">
        <v>1422093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"03/24/2022 22:15:43.503"</f>
        <v>03/24/2022 22:15:43.503</v>
      </c>
      <c r="C1490" t="str">
        <f t="shared" si="429"/>
        <v>FFDFD3C0</v>
      </c>
      <c r="D1490" t="s">
        <v>126</v>
      </c>
      <c r="E1490">
        <v>3</v>
      </c>
      <c r="H1490">
        <v>160</v>
      </c>
      <c r="I1490" t="s">
        <v>121</v>
      </c>
      <c r="J1490" t="s">
        <v>127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S1490" t="str">
        <f t="shared" si="446"/>
        <v>22:15:43.000</v>
      </c>
      <c r="T1490" t="str">
        <f t="shared" si="446"/>
        <v>22:15:43.000</v>
      </c>
      <c r="U1490" t="str">
        <f t="shared" si="442"/>
        <v>A9D71F</v>
      </c>
      <c r="V1490">
        <v>0</v>
      </c>
      <c r="W1490">
        <v>0</v>
      </c>
      <c r="X1490">
        <v>2</v>
      </c>
      <c r="Z1490">
        <v>1</v>
      </c>
      <c r="AA1490">
        <v>8</v>
      </c>
      <c r="AB1490">
        <v>3</v>
      </c>
      <c r="AC1490">
        <v>0</v>
      </c>
      <c r="AD1490">
        <v>9</v>
      </c>
      <c r="AE1490">
        <v>0</v>
      </c>
      <c r="AF1490">
        <v>3</v>
      </c>
      <c r="AG1490">
        <v>1</v>
      </c>
      <c r="AH1490">
        <v>0</v>
      </c>
      <c r="AI1490" t="s">
        <v>794</v>
      </c>
      <c r="AJ1490">
        <v>33.093803000000001</v>
      </c>
      <c r="AK1490" t="s">
        <v>795</v>
      </c>
      <c r="AL1490">
        <v>-97.685044000000005</v>
      </c>
      <c r="AM1490">
        <v>25</v>
      </c>
      <c r="AN1490">
        <v>3400</v>
      </c>
      <c r="AO1490" t="s">
        <v>118</v>
      </c>
      <c r="AP1490">
        <v>48</v>
      </c>
      <c r="AQ1490">
        <v>-107</v>
      </c>
      <c r="AR1490">
        <v>-64</v>
      </c>
      <c r="AZ1490">
        <v>1200</v>
      </c>
      <c r="BA1490">
        <v>1</v>
      </c>
      <c r="BB1490" t="str">
        <f t="shared" si="430"/>
        <v xml:space="preserve">N733KP  </v>
      </c>
      <c r="BC1490">
        <v>1</v>
      </c>
      <c r="BE1490">
        <v>0</v>
      </c>
      <c r="BF1490">
        <v>0</v>
      </c>
      <c r="BG1490">
        <v>0</v>
      </c>
      <c r="BH1490">
        <v>3325</v>
      </c>
      <c r="BI1490">
        <v>1</v>
      </c>
      <c r="BJ1490">
        <v>1</v>
      </c>
      <c r="BK1490">
        <v>0</v>
      </c>
      <c r="BL1490">
        <v>0</v>
      </c>
      <c r="BO1490">
        <v>0</v>
      </c>
      <c r="BP1490">
        <v>0</v>
      </c>
      <c r="BW1490" t="str">
        <f>"22:15:43.330"</f>
        <v>22:15:43.330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119</v>
      </c>
      <c r="CQ1490">
        <v>364</v>
      </c>
      <c r="CR1490">
        <v>0</v>
      </c>
      <c r="CW1490">
        <v>1422093</v>
      </c>
      <c r="CY1490">
        <v>1</v>
      </c>
      <c r="CZ1490">
        <v>0</v>
      </c>
      <c r="DA1490">
        <v>1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"03/24/2022 22:15:44.851"</f>
        <v>03/24/2022 22:15:44.851</v>
      </c>
      <c r="C1491" t="str">
        <f t="shared" si="429"/>
        <v>FFDFD3C0</v>
      </c>
      <c r="D1491" t="s">
        <v>113</v>
      </c>
      <c r="E1491">
        <v>24</v>
      </c>
      <c r="F1491">
        <v>2024</v>
      </c>
      <c r="G1491" t="s">
        <v>114</v>
      </c>
      <c r="J1491" t="s">
        <v>115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S1491" t="str">
        <f t="shared" ref="S1491:T1494" si="447">"22:15:44.000"</f>
        <v>22:15:44.000</v>
      </c>
      <c r="T1491" t="str">
        <f t="shared" si="447"/>
        <v>22:15:44.000</v>
      </c>
      <c r="U1491" t="str">
        <f t="shared" si="442"/>
        <v>A9D71F</v>
      </c>
      <c r="V1491">
        <v>0</v>
      </c>
      <c r="W1491">
        <v>0</v>
      </c>
      <c r="X1491">
        <v>2</v>
      </c>
      <c r="Z1491">
        <v>1</v>
      </c>
      <c r="AA1491">
        <v>8</v>
      </c>
      <c r="AB1491">
        <v>3</v>
      </c>
      <c r="AC1491">
        <v>0</v>
      </c>
      <c r="AD1491">
        <v>9</v>
      </c>
      <c r="AE1491">
        <v>0</v>
      </c>
      <c r="AF1491">
        <v>3</v>
      </c>
      <c r="AG1491">
        <v>1</v>
      </c>
      <c r="AH1491">
        <v>0</v>
      </c>
      <c r="AI1491" t="s">
        <v>796</v>
      </c>
      <c r="AJ1491">
        <v>33.093308999999998</v>
      </c>
      <c r="AK1491" t="s">
        <v>797</v>
      </c>
      <c r="AL1491">
        <v>-97.684786000000003</v>
      </c>
      <c r="AM1491">
        <v>25</v>
      </c>
      <c r="AN1491">
        <v>3400</v>
      </c>
      <c r="AO1491" t="s">
        <v>118</v>
      </c>
      <c r="AP1491">
        <v>47</v>
      </c>
      <c r="AQ1491">
        <v>-106</v>
      </c>
      <c r="AR1491">
        <v>-64</v>
      </c>
      <c r="AZ1491">
        <v>1200</v>
      </c>
      <c r="BA1491">
        <v>1</v>
      </c>
      <c r="BB1491" t="str">
        <f t="shared" si="430"/>
        <v xml:space="preserve">N733KP  </v>
      </c>
      <c r="BC1491">
        <v>1</v>
      </c>
      <c r="BE1491">
        <v>0</v>
      </c>
      <c r="BF1491">
        <v>0</v>
      </c>
      <c r="BG1491">
        <v>0</v>
      </c>
      <c r="BH1491">
        <v>3325</v>
      </c>
      <c r="BI1491">
        <v>1</v>
      </c>
      <c r="BJ1491">
        <v>1</v>
      </c>
      <c r="BK1491">
        <v>0</v>
      </c>
      <c r="BL1491">
        <v>0</v>
      </c>
      <c r="BO1491">
        <v>0</v>
      </c>
      <c r="BP1491">
        <v>0</v>
      </c>
      <c r="BW1491" t="str">
        <f>"22:15:44.671"</f>
        <v>22:15:44.671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364</v>
      </c>
      <c r="CR1491">
        <v>0</v>
      </c>
      <c r="CW1491">
        <v>1422319</v>
      </c>
      <c r="CY1491">
        <v>1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"03/24/2022 22:15:44.851"</f>
        <v>03/24/2022 22:15:44.851</v>
      </c>
      <c r="C1492" t="str">
        <f t="shared" si="429"/>
        <v>FFDFD3C0</v>
      </c>
      <c r="D1492" t="s">
        <v>126</v>
      </c>
      <c r="E1492">
        <v>3</v>
      </c>
      <c r="H1492">
        <v>160</v>
      </c>
      <c r="I1492" t="s">
        <v>121</v>
      </c>
      <c r="J1492" t="s">
        <v>127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S1492" t="str">
        <f t="shared" si="447"/>
        <v>22:15:44.000</v>
      </c>
      <c r="T1492" t="str">
        <f t="shared" si="447"/>
        <v>22:15:44.000</v>
      </c>
      <c r="U1492" t="str">
        <f t="shared" si="442"/>
        <v>A9D71F</v>
      </c>
      <c r="V1492">
        <v>0</v>
      </c>
      <c r="W1492">
        <v>0</v>
      </c>
      <c r="X1492">
        <v>2</v>
      </c>
      <c r="Z1492">
        <v>1</v>
      </c>
      <c r="AA1492">
        <v>8</v>
      </c>
      <c r="AB1492">
        <v>3</v>
      </c>
      <c r="AC1492">
        <v>0</v>
      </c>
      <c r="AD1492">
        <v>9</v>
      </c>
      <c r="AE1492">
        <v>0</v>
      </c>
      <c r="AF1492">
        <v>3</v>
      </c>
      <c r="AG1492">
        <v>1</v>
      </c>
      <c r="AH1492">
        <v>0</v>
      </c>
      <c r="AI1492" t="s">
        <v>796</v>
      </c>
      <c r="AJ1492">
        <v>33.093308999999998</v>
      </c>
      <c r="AK1492" t="s">
        <v>797</v>
      </c>
      <c r="AL1492">
        <v>-97.684786000000003</v>
      </c>
      <c r="AM1492">
        <v>25</v>
      </c>
      <c r="AN1492">
        <v>3400</v>
      </c>
      <c r="AO1492" t="s">
        <v>118</v>
      </c>
      <c r="AP1492">
        <v>47</v>
      </c>
      <c r="AQ1492">
        <v>-106</v>
      </c>
      <c r="AR1492">
        <v>-64</v>
      </c>
      <c r="AZ1492">
        <v>1200</v>
      </c>
      <c r="BA1492">
        <v>1</v>
      </c>
      <c r="BB1492" t="str">
        <f t="shared" si="430"/>
        <v xml:space="preserve">N733KP  </v>
      </c>
      <c r="BC1492">
        <v>1</v>
      </c>
      <c r="BE1492">
        <v>0</v>
      </c>
      <c r="BF1492">
        <v>0</v>
      </c>
      <c r="BG1492">
        <v>0</v>
      </c>
      <c r="BH1492">
        <v>3325</v>
      </c>
      <c r="BI1492">
        <v>1</v>
      </c>
      <c r="BJ1492">
        <v>1</v>
      </c>
      <c r="BK1492">
        <v>0</v>
      </c>
      <c r="BL1492">
        <v>0</v>
      </c>
      <c r="BO1492">
        <v>0</v>
      </c>
      <c r="BP1492">
        <v>0</v>
      </c>
      <c r="BW1492" t="str">
        <f>"22:15:44.671"</f>
        <v>22:15:44.671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119</v>
      </c>
      <c r="CQ1492">
        <v>364</v>
      </c>
      <c r="CR1492">
        <v>0</v>
      </c>
      <c r="CW1492">
        <v>1422319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"03/24/2022 22:15:44.882"</f>
        <v>03/24/2022 22:15:44.882</v>
      </c>
      <c r="C1493" t="str">
        <f t="shared" si="429"/>
        <v>FFDFD3C0</v>
      </c>
      <c r="D1493" t="s">
        <v>123</v>
      </c>
      <c r="E1493">
        <v>8</v>
      </c>
      <c r="H1493">
        <v>31</v>
      </c>
      <c r="I1493" t="s">
        <v>124</v>
      </c>
      <c r="J1493" t="s">
        <v>125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S1493" t="str">
        <f t="shared" si="447"/>
        <v>22:15:44.000</v>
      </c>
      <c r="T1493" t="str">
        <f t="shared" si="447"/>
        <v>22:15:44.000</v>
      </c>
      <c r="U1493" t="str">
        <f t="shared" si="442"/>
        <v>A9D71F</v>
      </c>
      <c r="V1493">
        <v>0</v>
      </c>
      <c r="W1493">
        <v>0</v>
      </c>
      <c r="X1493">
        <v>2</v>
      </c>
      <c r="Z1493">
        <v>1</v>
      </c>
      <c r="AA1493">
        <v>8</v>
      </c>
      <c r="AB1493">
        <v>3</v>
      </c>
      <c r="AC1493">
        <v>0</v>
      </c>
      <c r="AD1493">
        <v>9</v>
      </c>
      <c r="AE1493">
        <v>0</v>
      </c>
      <c r="AF1493">
        <v>3</v>
      </c>
      <c r="AG1493">
        <v>1</v>
      </c>
      <c r="AH1493">
        <v>0</v>
      </c>
      <c r="AI1493" t="s">
        <v>796</v>
      </c>
      <c r="AJ1493">
        <v>33.093308999999998</v>
      </c>
      <c r="AK1493" t="s">
        <v>797</v>
      </c>
      <c r="AL1493">
        <v>-97.684786000000003</v>
      </c>
      <c r="AM1493">
        <v>25</v>
      </c>
      <c r="AN1493">
        <v>3400</v>
      </c>
      <c r="AO1493" t="s">
        <v>118</v>
      </c>
      <c r="AP1493">
        <v>47</v>
      </c>
      <c r="AQ1493">
        <v>-106</v>
      </c>
      <c r="AR1493">
        <v>-64</v>
      </c>
      <c r="AZ1493">
        <v>1200</v>
      </c>
      <c r="BA1493">
        <v>1</v>
      </c>
      <c r="BB1493" t="str">
        <f t="shared" si="430"/>
        <v xml:space="preserve">N733KP  </v>
      </c>
      <c r="BC1493">
        <v>1</v>
      </c>
      <c r="BE1493">
        <v>0</v>
      </c>
      <c r="BF1493">
        <v>0</v>
      </c>
      <c r="BG1493">
        <v>0</v>
      </c>
      <c r="BH1493">
        <v>3325</v>
      </c>
      <c r="BI1493">
        <v>1</v>
      </c>
      <c r="BJ1493">
        <v>1</v>
      </c>
      <c r="BK1493">
        <v>0</v>
      </c>
      <c r="BL1493">
        <v>0</v>
      </c>
      <c r="BO1493">
        <v>0</v>
      </c>
      <c r="BP1493">
        <v>0</v>
      </c>
      <c r="BW1493" t="str">
        <f>"22:15:44.671"</f>
        <v>22:15:44.671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364</v>
      </c>
      <c r="CR1493">
        <v>0</v>
      </c>
      <c r="CW1493">
        <v>1422319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"03/24/2022 22:15:44.882"</f>
        <v>03/24/2022 22:15:44.882</v>
      </c>
      <c r="C1494" t="str">
        <f t="shared" ref="C1494:C1557" si="448">"FFDFD3C0"</f>
        <v>FFDFD3C0</v>
      </c>
      <c r="D1494" t="s">
        <v>120</v>
      </c>
      <c r="E1494">
        <v>14</v>
      </c>
      <c r="F1494">
        <v>1014</v>
      </c>
      <c r="G1494" t="s">
        <v>121</v>
      </c>
      <c r="J1494" t="s">
        <v>122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S1494" t="str">
        <f t="shared" si="447"/>
        <v>22:15:44.000</v>
      </c>
      <c r="T1494" t="str">
        <f t="shared" si="447"/>
        <v>22:15:44.000</v>
      </c>
      <c r="U1494" t="str">
        <f t="shared" si="442"/>
        <v>A9D71F</v>
      </c>
      <c r="V1494">
        <v>0</v>
      </c>
      <c r="W1494">
        <v>0</v>
      </c>
      <c r="X1494">
        <v>2</v>
      </c>
      <c r="Z1494">
        <v>1</v>
      </c>
      <c r="AA1494">
        <v>8</v>
      </c>
      <c r="AB1494">
        <v>3</v>
      </c>
      <c r="AC1494">
        <v>0</v>
      </c>
      <c r="AD1494">
        <v>9</v>
      </c>
      <c r="AE1494">
        <v>0</v>
      </c>
      <c r="AF1494">
        <v>3</v>
      </c>
      <c r="AG1494">
        <v>1</v>
      </c>
      <c r="AH1494">
        <v>0</v>
      </c>
      <c r="AI1494" t="s">
        <v>796</v>
      </c>
      <c r="AJ1494">
        <v>33.093308999999998</v>
      </c>
      <c r="AK1494" t="s">
        <v>797</v>
      </c>
      <c r="AL1494">
        <v>-97.684786000000003</v>
      </c>
      <c r="AM1494">
        <v>25</v>
      </c>
      <c r="AN1494">
        <v>3400</v>
      </c>
      <c r="AO1494" t="s">
        <v>118</v>
      </c>
      <c r="AP1494">
        <v>47</v>
      </c>
      <c r="AQ1494">
        <v>-106</v>
      </c>
      <c r="AR1494">
        <v>-64</v>
      </c>
      <c r="AZ1494">
        <v>1200</v>
      </c>
      <c r="BA1494">
        <v>1</v>
      </c>
      <c r="BB1494" t="str">
        <f t="shared" ref="BB1494:BB1557" si="449">"N733KP  "</f>
        <v xml:space="preserve">N733KP  </v>
      </c>
      <c r="BC1494">
        <v>1</v>
      </c>
      <c r="BE1494">
        <v>0</v>
      </c>
      <c r="BF1494">
        <v>0</v>
      </c>
      <c r="BG1494">
        <v>0</v>
      </c>
      <c r="BH1494">
        <v>3325</v>
      </c>
      <c r="BI1494">
        <v>1</v>
      </c>
      <c r="BJ1494">
        <v>1</v>
      </c>
      <c r="BK1494">
        <v>0</v>
      </c>
      <c r="BL1494">
        <v>0</v>
      </c>
      <c r="BO1494">
        <v>0</v>
      </c>
      <c r="BP1494">
        <v>0</v>
      </c>
      <c r="BW1494" t="str">
        <f>"22:15:44.671"</f>
        <v>22:15:44.671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364</v>
      </c>
      <c r="CR1494">
        <v>0</v>
      </c>
      <c r="CW1494">
        <v>1422319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"03/24/2022 22:15:45.413"</f>
        <v>03/24/2022 22:15:45.413</v>
      </c>
      <c r="C1495" t="str">
        <f t="shared" si="448"/>
        <v>FFDFD3C0</v>
      </c>
      <c r="D1495" t="s">
        <v>123</v>
      </c>
      <c r="E1495">
        <v>8</v>
      </c>
      <c r="H1495">
        <v>31</v>
      </c>
      <c r="I1495" t="s">
        <v>124</v>
      </c>
      <c r="J1495" t="s">
        <v>125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S1495" t="str">
        <f t="shared" ref="S1495:T1498" si="450">"22:15:45.000"</f>
        <v>22:15:45.000</v>
      </c>
      <c r="T1495" t="str">
        <f t="shared" si="450"/>
        <v>22:15:45.000</v>
      </c>
      <c r="U1495" t="str">
        <f t="shared" si="442"/>
        <v>A9D71F</v>
      </c>
      <c r="V1495">
        <v>0</v>
      </c>
      <c r="W1495">
        <v>0</v>
      </c>
      <c r="X1495">
        <v>2</v>
      </c>
      <c r="Z1495">
        <v>1</v>
      </c>
      <c r="AA1495">
        <v>8</v>
      </c>
      <c r="AB1495">
        <v>3</v>
      </c>
      <c r="AC1495">
        <v>0</v>
      </c>
      <c r="AD1495">
        <v>9</v>
      </c>
      <c r="AE1495">
        <v>0</v>
      </c>
      <c r="AF1495">
        <v>3</v>
      </c>
      <c r="AG1495">
        <v>1</v>
      </c>
      <c r="AH1495">
        <v>0</v>
      </c>
      <c r="AI1495" t="s">
        <v>798</v>
      </c>
      <c r="AJ1495">
        <v>33.092793999999998</v>
      </c>
      <c r="AK1495" t="s">
        <v>799</v>
      </c>
      <c r="AL1495">
        <v>-97.684528999999998</v>
      </c>
      <c r="AM1495">
        <v>25</v>
      </c>
      <c r="AN1495">
        <v>3400</v>
      </c>
      <c r="AO1495" t="s">
        <v>118</v>
      </c>
      <c r="AP1495">
        <v>46</v>
      </c>
      <c r="AQ1495">
        <v>-107</v>
      </c>
      <c r="AR1495">
        <v>0</v>
      </c>
      <c r="AZ1495">
        <v>1200</v>
      </c>
      <c r="BA1495">
        <v>1</v>
      </c>
      <c r="BB1495" t="str">
        <f t="shared" si="449"/>
        <v xml:space="preserve">N733KP  </v>
      </c>
      <c r="BC1495">
        <v>1</v>
      </c>
      <c r="BE1495">
        <v>0</v>
      </c>
      <c r="BF1495">
        <v>0</v>
      </c>
      <c r="BG1495">
        <v>0</v>
      </c>
      <c r="BH1495">
        <v>3325</v>
      </c>
      <c r="BI1495">
        <v>1</v>
      </c>
      <c r="BJ1495">
        <v>1</v>
      </c>
      <c r="BK1495">
        <v>0</v>
      </c>
      <c r="BL1495">
        <v>0</v>
      </c>
      <c r="BO1495">
        <v>0</v>
      </c>
      <c r="BP1495">
        <v>0</v>
      </c>
      <c r="BW1495" t="str">
        <f>"22:15:45.252"</f>
        <v>22:15:45.252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119</v>
      </c>
      <c r="CQ1495">
        <v>364</v>
      </c>
      <c r="CR1495">
        <v>0</v>
      </c>
      <c r="CW1495">
        <v>1422426</v>
      </c>
      <c r="CY1495">
        <v>1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"03/24/2022 22:15:45.444"</f>
        <v>03/24/2022 22:15:45.444</v>
      </c>
      <c r="C1496" t="str">
        <f t="shared" si="448"/>
        <v>FFDFD3C0</v>
      </c>
      <c r="D1496" t="s">
        <v>120</v>
      </c>
      <c r="E1496">
        <v>14</v>
      </c>
      <c r="F1496">
        <v>1014</v>
      </c>
      <c r="G1496" t="s">
        <v>121</v>
      </c>
      <c r="J1496" t="s">
        <v>122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S1496" t="str">
        <f t="shared" si="450"/>
        <v>22:15:45.000</v>
      </c>
      <c r="T1496" t="str">
        <f t="shared" si="450"/>
        <v>22:15:45.000</v>
      </c>
      <c r="U1496" t="str">
        <f t="shared" si="442"/>
        <v>A9D71F</v>
      </c>
      <c r="V1496">
        <v>0</v>
      </c>
      <c r="W1496">
        <v>0</v>
      </c>
      <c r="X1496">
        <v>2</v>
      </c>
      <c r="Z1496">
        <v>1</v>
      </c>
      <c r="AA1496">
        <v>8</v>
      </c>
      <c r="AB1496">
        <v>3</v>
      </c>
      <c r="AC1496">
        <v>0</v>
      </c>
      <c r="AD1496">
        <v>9</v>
      </c>
      <c r="AE1496">
        <v>0</v>
      </c>
      <c r="AF1496">
        <v>3</v>
      </c>
      <c r="AG1496">
        <v>1</v>
      </c>
      <c r="AH1496">
        <v>0</v>
      </c>
      <c r="AI1496" t="s">
        <v>798</v>
      </c>
      <c r="AJ1496">
        <v>33.092793999999998</v>
      </c>
      <c r="AK1496" t="s">
        <v>799</v>
      </c>
      <c r="AL1496">
        <v>-97.684528999999998</v>
      </c>
      <c r="AM1496">
        <v>25</v>
      </c>
      <c r="AN1496">
        <v>3400</v>
      </c>
      <c r="AO1496" t="s">
        <v>118</v>
      </c>
      <c r="AP1496">
        <v>46</v>
      </c>
      <c r="AQ1496">
        <v>-107</v>
      </c>
      <c r="AR1496">
        <v>0</v>
      </c>
      <c r="AZ1496">
        <v>1200</v>
      </c>
      <c r="BA1496">
        <v>1</v>
      </c>
      <c r="BB1496" t="str">
        <f t="shared" si="449"/>
        <v xml:space="preserve">N733KP  </v>
      </c>
      <c r="BC1496">
        <v>1</v>
      </c>
      <c r="BE1496">
        <v>0</v>
      </c>
      <c r="BF1496">
        <v>0</v>
      </c>
      <c r="BG1496">
        <v>0</v>
      </c>
      <c r="BH1496">
        <v>3325</v>
      </c>
      <c r="BI1496">
        <v>1</v>
      </c>
      <c r="BJ1496">
        <v>1</v>
      </c>
      <c r="BK1496">
        <v>0</v>
      </c>
      <c r="BL1496">
        <v>0</v>
      </c>
      <c r="BO1496">
        <v>0</v>
      </c>
      <c r="BP1496">
        <v>0</v>
      </c>
      <c r="BW1496" t="str">
        <f>"22:15:45.252"</f>
        <v>22:15:45.252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364</v>
      </c>
      <c r="CR1496">
        <v>0</v>
      </c>
      <c r="CW1496">
        <v>1422426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"03/24/2022 22:15:45.507"</f>
        <v>03/24/2022 22:15:45.507</v>
      </c>
      <c r="C1497" t="str">
        <f t="shared" si="448"/>
        <v>FFDFD3C0</v>
      </c>
      <c r="D1497" t="s">
        <v>113</v>
      </c>
      <c r="E1497">
        <v>24</v>
      </c>
      <c r="F1497">
        <v>2024</v>
      </c>
      <c r="G1497" t="s">
        <v>114</v>
      </c>
      <c r="J1497" t="s">
        <v>115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S1497" t="str">
        <f t="shared" si="450"/>
        <v>22:15:45.000</v>
      </c>
      <c r="T1497" t="str">
        <f t="shared" si="450"/>
        <v>22:15:45.000</v>
      </c>
      <c r="U1497" t="str">
        <f t="shared" si="442"/>
        <v>A9D71F</v>
      </c>
      <c r="V1497">
        <v>0</v>
      </c>
      <c r="W1497">
        <v>0</v>
      </c>
      <c r="X1497">
        <v>2</v>
      </c>
      <c r="Z1497">
        <v>1</v>
      </c>
      <c r="AA1497">
        <v>8</v>
      </c>
      <c r="AB1497">
        <v>3</v>
      </c>
      <c r="AC1497">
        <v>0</v>
      </c>
      <c r="AD1497">
        <v>9</v>
      </c>
      <c r="AE1497">
        <v>0</v>
      </c>
      <c r="AF1497">
        <v>3</v>
      </c>
      <c r="AG1497">
        <v>1</v>
      </c>
      <c r="AH1497">
        <v>0</v>
      </c>
      <c r="AI1497" t="s">
        <v>798</v>
      </c>
      <c r="AJ1497">
        <v>33.092793999999998</v>
      </c>
      <c r="AK1497" t="s">
        <v>799</v>
      </c>
      <c r="AL1497">
        <v>-97.684528999999998</v>
      </c>
      <c r="AM1497">
        <v>25</v>
      </c>
      <c r="AN1497">
        <v>3400</v>
      </c>
      <c r="AO1497" t="s">
        <v>118</v>
      </c>
      <c r="AP1497">
        <v>46</v>
      </c>
      <c r="AQ1497">
        <v>-107</v>
      </c>
      <c r="AR1497">
        <v>0</v>
      </c>
      <c r="AZ1497">
        <v>1200</v>
      </c>
      <c r="BA1497">
        <v>1</v>
      </c>
      <c r="BB1497" t="str">
        <f t="shared" si="449"/>
        <v xml:space="preserve">N733KP  </v>
      </c>
      <c r="BC1497">
        <v>1</v>
      </c>
      <c r="BE1497">
        <v>0</v>
      </c>
      <c r="BF1497">
        <v>0</v>
      </c>
      <c r="BG1497">
        <v>0</v>
      </c>
      <c r="BH1497">
        <v>3325</v>
      </c>
      <c r="BI1497">
        <v>1</v>
      </c>
      <c r="BJ1497">
        <v>1</v>
      </c>
      <c r="BK1497">
        <v>0</v>
      </c>
      <c r="BL1497">
        <v>0</v>
      </c>
      <c r="BO1497">
        <v>0</v>
      </c>
      <c r="BP1497">
        <v>0</v>
      </c>
      <c r="BW1497" t="str">
        <f>"22:15:45.252"</f>
        <v>22:15:45.252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364</v>
      </c>
      <c r="CR1497">
        <v>0</v>
      </c>
      <c r="CW1497">
        <v>1422426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"03/24/2022 22:15:45.507"</f>
        <v>03/24/2022 22:15:45.507</v>
      </c>
      <c r="C1498" t="str">
        <f t="shared" si="448"/>
        <v>FFDFD3C0</v>
      </c>
      <c r="D1498" t="s">
        <v>126</v>
      </c>
      <c r="E1498">
        <v>3</v>
      </c>
      <c r="H1498">
        <v>160</v>
      </c>
      <c r="I1498" t="s">
        <v>121</v>
      </c>
      <c r="J1498" t="s">
        <v>127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S1498" t="str">
        <f t="shared" si="450"/>
        <v>22:15:45.000</v>
      </c>
      <c r="T1498" t="str">
        <f t="shared" si="450"/>
        <v>22:15:45.000</v>
      </c>
      <c r="U1498" t="str">
        <f t="shared" si="442"/>
        <v>A9D71F</v>
      </c>
      <c r="V1498">
        <v>0</v>
      </c>
      <c r="W1498">
        <v>0</v>
      </c>
      <c r="X1498">
        <v>2</v>
      </c>
      <c r="Z1498">
        <v>1</v>
      </c>
      <c r="AA1498">
        <v>8</v>
      </c>
      <c r="AB1498">
        <v>3</v>
      </c>
      <c r="AC1498">
        <v>0</v>
      </c>
      <c r="AD1498">
        <v>9</v>
      </c>
      <c r="AE1498">
        <v>0</v>
      </c>
      <c r="AF1498">
        <v>3</v>
      </c>
      <c r="AG1498">
        <v>1</v>
      </c>
      <c r="AH1498">
        <v>0</v>
      </c>
      <c r="AI1498" t="s">
        <v>798</v>
      </c>
      <c r="AJ1498">
        <v>33.092793999999998</v>
      </c>
      <c r="AK1498" t="s">
        <v>799</v>
      </c>
      <c r="AL1498">
        <v>-97.684528999999998</v>
      </c>
      <c r="AM1498">
        <v>25</v>
      </c>
      <c r="AN1498">
        <v>3400</v>
      </c>
      <c r="AO1498" t="s">
        <v>118</v>
      </c>
      <c r="AP1498">
        <v>46</v>
      </c>
      <c r="AQ1498">
        <v>-107</v>
      </c>
      <c r="AR1498">
        <v>0</v>
      </c>
      <c r="AZ1498">
        <v>1200</v>
      </c>
      <c r="BA1498">
        <v>1</v>
      </c>
      <c r="BB1498" t="str">
        <f t="shared" si="449"/>
        <v xml:space="preserve">N733KP  </v>
      </c>
      <c r="BC1498">
        <v>1</v>
      </c>
      <c r="BE1498">
        <v>0</v>
      </c>
      <c r="BF1498">
        <v>0</v>
      </c>
      <c r="BG1498">
        <v>0</v>
      </c>
      <c r="BH1498">
        <v>3325</v>
      </c>
      <c r="BI1498">
        <v>1</v>
      </c>
      <c r="BJ1498">
        <v>1</v>
      </c>
      <c r="BK1498">
        <v>0</v>
      </c>
      <c r="BL1498">
        <v>0</v>
      </c>
      <c r="BO1498">
        <v>0</v>
      </c>
      <c r="BP1498">
        <v>0</v>
      </c>
      <c r="BW1498" t="str">
        <f>"22:15:45.252"</f>
        <v>22:15:45.252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364</v>
      </c>
      <c r="CR1498">
        <v>0</v>
      </c>
      <c r="CW1498">
        <v>1422426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"03/24/2022 22:15:46.538"</f>
        <v>03/24/2022 22:15:46.538</v>
      </c>
      <c r="C1499" t="str">
        <f t="shared" si="448"/>
        <v>FFDFD3C0</v>
      </c>
      <c r="D1499" t="s">
        <v>120</v>
      </c>
      <c r="E1499">
        <v>14</v>
      </c>
      <c r="F1499">
        <v>1014</v>
      </c>
      <c r="G1499" t="s">
        <v>121</v>
      </c>
      <c r="J1499" t="s">
        <v>122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S1499" t="str">
        <f t="shared" ref="S1499:T1502" si="451">"22:15:46.000"</f>
        <v>22:15:46.000</v>
      </c>
      <c r="T1499" t="str">
        <f t="shared" si="451"/>
        <v>22:15:46.000</v>
      </c>
      <c r="U1499" t="str">
        <f t="shared" si="442"/>
        <v>A9D71F</v>
      </c>
      <c r="V1499">
        <v>0</v>
      </c>
      <c r="W1499">
        <v>0</v>
      </c>
      <c r="X1499">
        <v>2</v>
      </c>
      <c r="Z1499">
        <v>1</v>
      </c>
      <c r="AA1499">
        <v>8</v>
      </c>
      <c r="AB1499">
        <v>3</v>
      </c>
      <c r="AC1499">
        <v>0</v>
      </c>
      <c r="AD1499">
        <v>9</v>
      </c>
      <c r="AE1499">
        <v>0</v>
      </c>
      <c r="AF1499">
        <v>3</v>
      </c>
      <c r="AG1499">
        <v>1</v>
      </c>
      <c r="AH1499">
        <v>0</v>
      </c>
      <c r="AI1499" t="s">
        <v>800</v>
      </c>
      <c r="AJ1499">
        <v>33.092322000000003</v>
      </c>
      <c r="AK1499" t="s">
        <v>801</v>
      </c>
      <c r="AL1499">
        <v>-97.684292999999997</v>
      </c>
      <c r="AM1499">
        <v>25</v>
      </c>
      <c r="AN1499">
        <v>3400</v>
      </c>
      <c r="AO1499" t="s">
        <v>118</v>
      </c>
      <c r="AP1499">
        <v>47</v>
      </c>
      <c r="AQ1499">
        <v>-108</v>
      </c>
      <c r="AR1499">
        <v>64</v>
      </c>
      <c r="AZ1499">
        <v>1200</v>
      </c>
      <c r="BA1499">
        <v>1</v>
      </c>
      <c r="BB1499" t="str">
        <f t="shared" si="449"/>
        <v xml:space="preserve">N733KP  </v>
      </c>
      <c r="BC1499">
        <v>1</v>
      </c>
      <c r="BE1499">
        <v>0</v>
      </c>
      <c r="BF1499">
        <v>0</v>
      </c>
      <c r="BG1499">
        <v>0</v>
      </c>
      <c r="BH1499">
        <v>3325</v>
      </c>
      <c r="BI1499">
        <v>1</v>
      </c>
      <c r="BJ1499">
        <v>1</v>
      </c>
      <c r="BK1499">
        <v>0</v>
      </c>
      <c r="BL1499">
        <v>0</v>
      </c>
      <c r="BO1499">
        <v>0</v>
      </c>
      <c r="BP1499">
        <v>0</v>
      </c>
      <c r="BW1499" t="str">
        <f>"22:15:46.381"</f>
        <v>22:15:46.381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364</v>
      </c>
      <c r="CR1499">
        <v>0</v>
      </c>
      <c r="CW1499">
        <v>1422612</v>
      </c>
      <c r="CY1499">
        <v>1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"03/24/2022 22:15:46.538"</f>
        <v>03/24/2022 22:15:46.538</v>
      </c>
      <c r="C1500" t="str">
        <f t="shared" si="448"/>
        <v>FFDFD3C0</v>
      </c>
      <c r="D1500" t="s">
        <v>126</v>
      </c>
      <c r="E1500">
        <v>3</v>
      </c>
      <c r="H1500">
        <v>160</v>
      </c>
      <c r="I1500" t="s">
        <v>121</v>
      </c>
      <c r="J1500" t="s">
        <v>127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S1500" t="str">
        <f t="shared" si="451"/>
        <v>22:15:46.000</v>
      </c>
      <c r="T1500" t="str">
        <f t="shared" si="451"/>
        <v>22:15:46.000</v>
      </c>
      <c r="U1500" t="str">
        <f t="shared" si="442"/>
        <v>A9D71F</v>
      </c>
      <c r="V1500">
        <v>0</v>
      </c>
      <c r="W1500">
        <v>0</v>
      </c>
      <c r="X1500">
        <v>2</v>
      </c>
      <c r="Z1500">
        <v>1</v>
      </c>
      <c r="AA1500">
        <v>8</v>
      </c>
      <c r="AB1500">
        <v>3</v>
      </c>
      <c r="AC1500">
        <v>0</v>
      </c>
      <c r="AD1500">
        <v>9</v>
      </c>
      <c r="AE1500">
        <v>0</v>
      </c>
      <c r="AF1500">
        <v>3</v>
      </c>
      <c r="AG1500">
        <v>1</v>
      </c>
      <c r="AH1500">
        <v>0</v>
      </c>
      <c r="AI1500" t="s">
        <v>800</v>
      </c>
      <c r="AJ1500">
        <v>33.092322000000003</v>
      </c>
      <c r="AK1500" t="s">
        <v>801</v>
      </c>
      <c r="AL1500">
        <v>-97.684292999999997</v>
      </c>
      <c r="AM1500">
        <v>25</v>
      </c>
      <c r="AN1500">
        <v>3400</v>
      </c>
      <c r="AO1500" t="s">
        <v>118</v>
      </c>
      <c r="AP1500">
        <v>47</v>
      </c>
      <c r="AQ1500">
        <v>-108</v>
      </c>
      <c r="AR1500">
        <v>64</v>
      </c>
      <c r="AZ1500">
        <v>1200</v>
      </c>
      <c r="BA1500">
        <v>1</v>
      </c>
      <c r="BB1500" t="str">
        <f t="shared" si="449"/>
        <v xml:space="preserve">N733KP  </v>
      </c>
      <c r="BC1500">
        <v>1</v>
      </c>
      <c r="BE1500">
        <v>0</v>
      </c>
      <c r="BF1500">
        <v>0</v>
      </c>
      <c r="BG1500">
        <v>0</v>
      </c>
      <c r="BH1500">
        <v>3325</v>
      </c>
      <c r="BI1500">
        <v>1</v>
      </c>
      <c r="BJ1500">
        <v>1</v>
      </c>
      <c r="BK1500">
        <v>0</v>
      </c>
      <c r="BL1500">
        <v>0</v>
      </c>
      <c r="BO1500">
        <v>0</v>
      </c>
      <c r="BP1500">
        <v>0</v>
      </c>
      <c r="BW1500" t="str">
        <f>"22:15:46.381"</f>
        <v>22:15:46.381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364</v>
      </c>
      <c r="CR1500">
        <v>0</v>
      </c>
      <c r="CW1500">
        <v>1422612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"03/24/2022 22:15:46.538"</f>
        <v>03/24/2022 22:15:46.538</v>
      </c>
      <c r="C1501" t="str">
        <f t="shared" si="448"/>
        <v>FFDFD3C0</v>
      </c>
      <c r="D1501" t="s">
        <v>113</v>
      </c>
      <c r="E1501">
        <v>24</v>
      </c>
      <c r="F1501">
        <v>2024</v>
      </c>
      <c r="G1501" t="s">
        <v>114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S1501" t="str">
        <f t="shared" si="451"/>
        <v>22:15:46.000</v>
      </c>
      <c r="T1501" t="str">
        <f t="shared" si="451"/>
        <v>22:15:46.000</v>
      </c>
      <c r="U1501" t="str">
        <f t="shared" si="442"/>
        <v>A9D71F</v>
      </c>
      <c r="V1501">
        <v>0</v>
      </c>
      <c r="W1501">
        <v>0</v>
      </c>
      <c r="X1501">
        <v>2</v>
      </c>
      <c r="Z1501">
        <v>1</v>
      </c>
      <c r="AA1501">
        <v>8</v>
      </c>
      <c r="AB1501">
        <v>3</v>
      </c>
      <c r="AC1501">
        <v>0</v>
      </c>
      <c r="AD1501">
        <v>9</v>
      </c>
      <c r="AE1501">
        <v>0</v>
      </c>
      <c r="AF1501">
        <v>3</v>
      </c>
      <c r="AG1501">
        <v>1</v>
      </c>
      <c r="AH1501">
        <v>0</v>
      </c>
      <c r="AI1501" t="s">
        <v>800</v>
      </c>
      <c r="AJ1501">
        <v>33.092322000000003</v>
      </c>
      <c r="AK1501" t="s">
        <v>801</v>
      </c>
      <c r="AL1501">
        <v>-97.684292999999997</v>
      </c>
      <c r="AM1501">
        <v>25</v>
      </c>
      <c r="AN1501">
        <v>3400</v>
      </c>
      <c r="AO1501" t="s">
        <v>118</v>
      </c>
      <c r="AP1501">
        <v>47</v>
      </c>
      <c r="AQ1501">
        <v>-108</v>
      </c>
      <c r="AR1501">
        <v>64</v>
      </c>
      <c r="AZ1501">
        <v>1200</v>
      </c>
      <c r="BA1501">
        <v>1</v>
      </c>
      <c r="BB1501" t="str">
        <f t="shared" si="449"/>
        <v xml:space="preserve">N733KP  </v>
      </c>
      <c r="BC1501">
        <v>1</v>
      </c>
      <c r="BE1501">
        <v>0</v>
      </c>
      <c r="BF1501">
        <v>0</v>
      </c>
      <c r="BG1501">
        <v>0</v>
      </c>
      <c r="BH1501">
        <v>3325</v>
      </c>
      <c r="BI1501">
        <v>1</v>
      </c>
      <c r="BJ1501">
        <v>1</v>
      </c>
      <c r="BK1501">
        <v>0</v>
      </c>
      <c r="BL1501">
        <v>0</v>
      </c>
      <c r="BO1501">
        <v>0</v>
      </c>
      <c r="BP1501">
        <v>0</v>
      </c>
      <c r="BW1501" t="str">
        <f>"22:15:46.381"</f>
        <v>22:15:46.381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364</v>
      </c>
      <c r="CR1501">
        <v>0</v>
      </c>
      <c r="CW1501">
        <v>1422612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"03/24/2022 22:15:46.601"</f>
        <v>03/24/2022 22:15:46.601</v>
      </c>
      <c r="C1502" t="str">
        <f t="shared" si="448"/>
        <v>FFDFD3C0</v>
      </c>
      <c r="D1502" t="s">
        <v>123</v>
      </c>
      <c r="E1502">
        <v>8</v>
      </c>
      <c r="H1502">
        <v>31</v>
      </c>
      <c r="I1502" t="s">
        <v>124</v>
      </c>
      <c r="J1502" t="s">
        <v>125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S1502" t="str">
        <f t="shared" si="451"/>
        <v>22:15:46.000</v>
      </c>
      <c r="T1502" t="str">
        <f t="shared" si="451"/>
        <v>22:15:46.000</v>
      </c>
      <c r="U1502" t="str">
        <f t="shared" si="442"/>
        <v>A9D71F</v>
      </c>
      <c r="V1502">
        <v>0</v>
      </c>
      <c r="W1502">
        <v>0</v>
      </c>
      <c r="X1502">
        <v>2</v>
      </c>
      <c r="Z1502">
        <v>1</v>
      </c>
      <c r="AA1502">
        <v>8</v>
      </c>
      <c r="AB1502">
        <v>3</v>
      </c>
      <c r="AC1502">
        <v>0</v>
      </c>
      <c r="AD1502">
        <v>9</v>
      </c>
      <c r="AE1502">
        <v>0</v>
      </c>
      <c r="AF1502">
        <v>3</v>
      </c>
      <c r="AG1502">
        <v>1</v>
      </c>
      <c r="AH1502">
        <v>0</v>
      </c>
      <c r="AI1502" t="s">
        <v>800</v>
      </c>
      <c r="AJ1502">
        <v>33.092322000000003</v>
      </c>
      <c r="AK1502" t="s">
        <v>801</v>
      </c>
      <c r="AL1502">
        <v>-97.684292999999997</v>
      </c>
      <c r="AM1502">
        <v>25</v>
      </c>
      <c r="AN1502">
        <v>3400</v>
      </c>
      <c r="AO1502" t="s">
        <v>118</v>
      </c>
      <c r="AP1502">
        <v>47</v>
      </c>
      <c r="AQ1502">
        <v>-108</v>
      </c>
      <c r="AR1502">
        <v>64</v>
      </c>
      <c r="AZ1502">
        <v>1200</v>
      </c>
      <c r="BA1502">
        <v>1</v>
      </c>
      <c r="BB1502" t="str">
        <f t="shared" si="449"/>
        <v xml:space="preserve">N733KP  </v>
      </c>
      <c r="BC1502">
        <v>1</v>
      </c>
      <c r="BE1502">
        <v>0</v>
      </c>
      <c r="BF1502">
        <v>0</v>
      </c>
      <c r="BG1502">
        <v>0</v>
      </c>
      <c r="BH1502">
        <v>3325</v>
      </c>
      <c r="BI1502">
        <v>1</v>
      </c>
      <c r="BJ1502">
        <v>1</v>
      </c>
      <c r="BK1502">
        <v>0</v>
      </c>
      <c r="BL1502">
        <v>0</v>
      </c>
      <c r="BO1502">
        <v>0</v>
      </c>
      <c r="BP1502">
        <v>0</v>
      </c>
      <c r="BW1502" t="str">
        <f>"22:15:46.381"</f>
        <v>22:15:46.381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364</v>
      </c>
      <c r="CR1502">
        <v>0</v>
      </c>
      <c r="CW1502">
        <v>1422612</v>
      </c>
      <c r="CY1502">
        <v>1</v>
      </c>
      <c r="CZ1502">
        <v>0</v>
      </c>
      <c r="DA1502">
        <v>1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"03/24/2022 22:15:48.118"</f>
        <v>03/24/2022 22:15:48.118</v>
      </c>
      <c r="C1503" t="str">
        <f t="shared" si="448"/>
        <v>FFDFD3C0</v>
      </c>
      <c r="D1503" t="s">
        <v>120</v>
      </c>
      <c r="E1503">
        <v>14</v>
      </c>
      <c r="F1503">
        <v>1014</v>
      </c>
      <c r="G1503" t="s">
        <v>121</v>
      </c>
      <c r="J1503" t="s">
        <v>122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S1503" t="str">
        <f t="shared" ref="S1503:T1506" si="452">"22:15:47.000"</f>
        <v>22:15:47.000</v>
      </c>
      <c r="T1503" t="str">
        <f t="shared" si="452"/>
        <v>22:15:47.000</v>
      </c>
      <c r="U1503" t="str">
        <f t="shared" si="442"/>
        <v>A9D71F</v>
      </c>
      <c r="V1503">
        <v>0</v>
      </c>
      <c r="W1503">
        <v>0</v>
      </c>
      <c r="X1503">
        <v>2</v>
      </c>
      <c r="Z1503">
        <v>1</v>
      </c>
      <c r="AA1503">
        <v>8</v>
      </c>
      <c r="AB1503">
        <v>3</v>
      </c>
      <c r="AC1503">
        <v>0</v>
      </c>
      <c r="AD1503">
        <v>9</v>
      </c>
      <c r="AE1503">
        <v>0</v>
      </c>
      <c r="AF1503">
        <v>3</v>
      </c>
      <c r="AG1503">
        <v>1</v>
      </c>
      <c r="AH1503">
        <v>0</v>
      </c>
      <c r="AI1503" t="s">
        <v>802</v>
      </c>
      <c r="AJ1503">
        <v>33.091828999999997</v>
      </c>
      <c r="AK1503" t="s">
        <v>803</v>
      </c>
      <c r="AL1503">
        <v>-97.684056999999996</v>
      </c>
      <c r="AM1503">
        <v>25</v>
      </c>
      <c r="AN1503">
        <v>3400</v>
      </c>
      <c r="AO1503" t="s">
        <v>118</v>
      </c>
      <c r="AP1503">
        <v>47</v>
      </c>
      <c r="AQ1503">
        <v>-108</v>
      </c>
      <c r="AR1503">
        <v>384</v>
      </c>
      <c r="AZ1503">
        <v>1200</v>
      </c>
      <c r="BA1503">
        <v>1</v>
      </c>
      <c r="BB1503" t="str">
        <f t="shared" si="449"/>
        <v xml:space="preserve">N733KP  </v>
      </c>
      <c r="BC1503">
        <v>1</v>
      </c>
      <c r="BE1503">
        <v>0</v>
      </c>
      <c r="BF1503">
        <v>0</v>
      </c>
      <c r="BG1503">
        <v>0</v>
      </c>
      <c r="BH1503">
        <v>3325</v>
      </c>
      <c r="BI1503">
        <v>1</v>
      </c>
      <c r="BJ1503">
        <v>1</v>
      </c>
      <c r="BK1503">
        <v>0</v>
      </c>
      <c r="BL1503">
        <v>0</v>
      </c>
      <c r="BO1503">
        <v>0</v>
      </c>
      <c r="BP1503">
        <v>0</v>
      </c>
      <c r="BW1503" t="str">
        <f>"22:15:47.967"</f>
        <v>22:15:47.967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364</v>
      </c>
      <c r="CR1503">
        <v>0</v>
      </c>
      <c r="CW1503">
        <v>1422900</v>
      </c>
      <c r="CY1503">
        <v>1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"03/24/2022 22:15:48.118"</f>
        <v>03/24/2022 22:15:48.118</v>
      </c>
      <c r="C1504" t="str">
        <f t="shared" si="448"/>
        <v>FFDFD3C0</v>
      </c>
      <c r="D1504" t="s">
        <v>113</v>
      </c>
      <c r="E1504">
        <v>24</v>
      </c>
      <c r="F1504">
        <v>2024</v>
      </c>
      <c r="G1504" t="s">
        <v>114</v>
      </c>
      <c r="J1504" t="s">
        <v>115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S1504" t="str">
        <f t="shared" si="452"/>
        <v>22:15:47.000</v>
      </c>
      <c r="T1504" t="str">
        <f t="shared" si="452"/>
        <v>22:15:47.000</v>
      </c>
      <c r="U1504" t="str">
        <f t="shared" si="442"/>
        <v>A9D71F</v>
      </c>
      <c r="V1504">
        <v>0</v>
      </c>
      <c r="W1504">
        <v>0</v>
      </c>
      <c r="X1504">
        <v>2</v>
      </c>
      <c r="Z1504">
        <v>1</v>
      </c>
      <c r="AA1504">
        <v>8</v>
      </c>
      <c r="AB1504">
        <v>3</v>
      </c>
      <c r="AC1504">
        <v>0</v>
      </c>
      <c r="AD1504">
        <v>9</v>
      </c>
      <c r="AE1504">
        <v>0</v>
      </c>
      <c r="AF1504">
        <v>3</v>
      </c>
      <c r="AG1504">
        <v>1</v>
      </c>
      <c r="AH1504">
        <v>0</v>
      </c>
      <c r="AI1504" t="s">
        <v>802</v>
      </c>
      <c r="AJ1504">
        <v>33.091828999999997</v>
      </c>
      <c r="AK1504" t="s">
        <v>803</v>
      </c>
      <c r="AL1504">
        <v>-97.684056999999996</v>
      </c>
      <c r="AM1504">
        <v>25</v>
      </c>
      <c r="AN1504">
        <v>3400</v>
      </c>
      <c r="AO1504" t="s">
        <v>118</v>
      </c>
      <c r="AP1504">
        <v>47</v>
      </c>
      <c r="AQ1504">
        <v>-108</v>
      </c>
      <c r="AR1504">
        <v>384</v>
      </c>
      <c r="AZ1504">
        <v>1200</v>
      </c>
      <c r="BA1504">
        <v>1</v>
      </c>
      <c r="BB1504" t="str">
        <f t="shared" si="449"/>
        <v xml:space="preserve">N733KP  </v>
      </c>
      <c r="BC1504">
        <v>1</v>
      </c>
      <c r="BE1504">
        <v>0</v>
      </c>
      <c r="BF1504">
        <v>0</v>
      </c>
      <c r="BG1504">
        <v>0</v>
      </c>
      <c r="BH1504">
        <v>3325</v>
      </c>
      <c r="BI1504">
        <v>1</v>
      </c>
      <c r="BJ1504">
        <v>1</v>
      </c>
      <c r="BK1504">
        <v>0</v>
      </c>
      <c r="BL1504">
        <v>0</v>
      </c>
      <c r="BO1504">
        <v>0</v>
      </c>
      <c r="BP1504">
        <v>0</v>
      </c>
      <c r="BW1504" t="str">
        <f>"22:15:47.967"</f>
        <v>22:15:47.967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364</v>
      </c>
      <c r="CR1504">
        <v>0</v>
      </c>
      <c r="CW1504">
        <v>1422900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"03/24/2022 22:15:48.164"</f>
        <v>03/24/2022 22:15:48.164</v>
      </c>
      <c r="C1505" t="str">
        <f t="shared" si="448"/>
        <v>FFDFD3C0</v>
      </c>
      <c r="D1505" t="s">
        <v>123</v>
      </c>
      <c r="E1505">
        <v>8</v>
      </c>
      <c r="H1505">
        <v>31</v>
      </c>
      <c r="I1505" t="s">
        <v>124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S1505" t="str">
        <f t="shared" si="452"/>
        <v>22:15:47.000</v>
      </c>
      <c r="T1505" t="str">
        <f t="shared" si="452"/>
        <v>22:15:47.000</v>
      </c>
      <c r="U1505" t="str">
        <f t="shared" si="442"/>
        <v>A9D71F</v>
      </c>
      <c r="V1505">
        <v>0</v>
      </c>
      <c r="W1505">
        <v>0</v>
      </c>
      <c r="X1505">
        <v>2</v>
      </c>
      <c r="Z1505">
        <v>1</v>
      </c>
      <c r="AA1505">
        <v>8</v>
      </c>
      <c r="AB1505">
        <v>3</v>
      </c>
      <c r="AC1505">
        <v>0</v>
      </c>
      <c r="AD1505">
        <v>9</v>
      </c>
      <c r="AE1505">
        <v>0</v>
      </c>
      <c r="AF1505">
        <v>3</v>
      </c>
      <c r="AG1505">
        <v>1</v>
      </c>
      <c r="AH1505">
        <v>0</v>
      </c>
      <c r="AI1505" t="s">
        <v>802</v>
      </c>
      <c r="AJ1505">
        <v>33.091828999999997</v>
      </c>
      <c r="AK1505" t="s">
        <v>803</v>
      </c>
      <c r="AL1505">
        <v>-97.684056999999996</v>
      </c>
      <c r="AM1505">
        <v>25</v>
      </c>
      <c r="AN1505">
        <v>3400</v>
      </c>
      <c r="AO1505" t="s">
        <v>118</v>
      </c>
      <c r="AP1505">
        <v>47</v>
      </c>
      <c r="AQ1505">
        <v>-108</v>
      </c>
      <c r="AR1505">
        <v>384</v>
      </c>
      <c r="AZ1505">
        <v>1200</v>
      </c>
      <c r="BA1505">
        <v>1</v>
      </c>
      <c r="BB1505" t="str">
        <f t="shared" si="449"/>
        <v xml:space="preserve">N733KP  </v>
      </c>
      <c r="BC1505">
        <v>1</v>
      </c>
      <c r="BE1505">
        <v>0</v>
      </c>
      <c r="BF1505">
        <v>0</v>
      </c>
      <c r="BG1505">
        <v>0</v>
      </c>
      <c r="BH1505">
        <v>3325</v>
      </c>
      <c r="BI1505">
        <v>1</v>
      </c>
      <c r="BJ1505">
        <v>1</v>
      </c>
      <c r="BK1505">
        <v>0</v>
      </c>
      <c r="BL1505">
        <v>0</v>
      </c>
      <c r="BO1505">
        <v>0</v>
      </c>
      <c r="BP1505">
        <v>0</v>
      </c>
      <c r="BW1505" t="str">
        <f>"22:15:47.967"</f>
        <v>22:15:47.967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364</v>
      </c>
      <c r="CR1505">
        <v>0</v>
      </c>
      <c r="CW1505">
        <v>1422900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"03/24/2022 22:15:48.164"</f>
        <v>03/24/2022 22:15:48.164</v>
      </c>
      <c r="C1506" t="str">
        <f t="shared" si="448"/>
        <v>FFDFD3C0</v>
      </c>
      <c r="D1506" t="s">
        <v>126</v>
      </c>
      <c r="E1506">
        <v>3</v>
      </c>
      <c r="H1506">
        <v>160</v>
      </c>
      <c r="I1506" t="s">
        <v>121</v>
      </c>
      <c r="J1506" t="s">
        <v>127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S1506" t="str">
        <f t="shared" si="452"/>
        <v>22:15:47.000</v>
      </c>
      <c r="T1506" t="str">
        <f t="shared" si="452"/>
        <v>22:15:47.000</v>
      </c>
      <c r="U1506" t="str">
        <f t="shared" si="442"/>
        <v>A9D71F</v>
      </c>
      <c r="V1506">
        <v>0</v>
      </c>
      <c r="W1506">
        <v>0</v>
      </c>
      <c r="X1506">
        <v>2</v>
      </c>
      <c r="Z1506">
        <v>1</v>
      </c>
      <c r="AA1506">
        <v>8</v>
      </c>
      <c r="AB1506">
        <v>3</v>
      </c>
      <c r="AC1506">
        <v>0</v>
      </c>
      <c r="AD1506">
        <v>9</v>
      </c>
      <c r="AE1506">
        <v>0</v>
      </c>
      <c r="AF1506">
        <v>3</v>
      </c>
      <c r="AG1506">
        <v>1</v>
      </c>
      <c r="AH1506">
        <v>0</v>
      </c>
      <c r="AI1506" t="s">
        <v>802</v>
      </c>
      <c r="AJ1506">
        <v>33.091828999999997</v>
      </c>
      <c r="AK1506" t="s">
        <v>803</v>
      </c>
      <c r="AL1506">
        <v>-97.684056999999996</v>
      </c>
      <c r="AM1506">
        <v>25</v>
      </c>
      <c r="AN1506">
        <v>3400</v>
      </c>
      <c r="AO1506" t="s">
        <v>118</v>
      </c>
      <c r="AP1506">
        <v>47</v>
      </c>
      <c r="AQ1506">
        <v>-108</v>
      </c>
      <c r="AR1506">
        <v>384</v>
      </c>
      <c r="AZ1506">
        <v>1200</v>
      </c>
      <c r="BA1506">
        <v>1</v>
      </c>
      <c r="BB1506" t="str">
        <f t="shared" si="449"/>
        <v xml:space="preserve">N733KP  </v>
      </c>
      <c r="BC1506">
        <v>1</v>
      </c>
      <c r="BE1506">
        <v>0</v>
      </c>
      <c r="BF1506">
        <v>0</v>
      </c>
      <c r="BG1506">
        <v>0</v>
      </c>
      <c r="BH1506">
        <v>3325</v>
      </c>
      <c r="BI1506">
        <v>1</v>
      </c>
      <c r="BJ1506">
        <v>1</v>
      </c>
      <c r="BK1506">
        <v>0</v>
      </c>
      <c r="BL1506">
        <v>0</v>
      </c>
      <c r="BO1506">
        <v>0</v>
      </c>
      <c r="BP1506">
        <v>0</v>
      </c>
      <c r="BW1506" t="str">
        <f>"22:15:47.967"</f>
        <v>22:15:47.967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364</v>
      </c>
      <c r="CR1506">
        <v>0</v>
      </c>
      <c r="CW1506">
        <v>1422900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"03/24/2022 22:15:49.057"</f>
        <v>03/24/2022 22:15:49.057</v>
      </c>
      <c r="C1507" t="str">
        <f t="shared" si="448"/>
        <v>FFDFD3C0</v>
      </c>
      <c r="D1507" t="s">
        <v>123</v>
      </c>
      <c r="E1507">
        <v>8</v>
      </c>
      <c r="H1507">
        <v>31</v>
      </c>
      <c r="I1507" t="s">
        <v>124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S1507" t="str">
        <f t="shared" ref="S1507:T1510" si="453">"22:15:48.000"</f>
        <v>22:15:48.000</v>
      </c>
      <c r="T1507" t="str">
        <f t="shared" si="453"/>
        <v>22:15:48.000</v>
      </c>
      <c r="U1507" t="str">
        <f t="shared" si="442"/>
        <v>A9D71F</v>
      </c>
      <c r="V1507">
        <v>0</v>
      </c>
      <c r="W1507">
        <v>0</v>
      </c>
      <c r="X1507">
        <v>2</v>
      </c>
      <c r="Z1507">
        <v>1</v>
      </c>
      <c r="AA1507">
        <v>8</v>
      </c>
      <c r="AB1507">
        <v>3</v>
      </c>
      <c r="AC1507">
        <v>0</v>
      </c>
      <c r="AD1507">
        <v>9</v>
      </c>
      <c r="AE1507">
        <v>0</v>
      </c>
      <c r="AF1507">
        <v>3</v>
      </c>
      <c r="AG1507">
        <v>1</v>
      </c>
      <c r="AH1507">
        <v>0</v>
      </c>
      <c r="AI1507" t="s">
        <v>804</v>
      </c>
      <c r="AJ1507">
        <v>33.091292000000003</v>
      </c>
      <c r="AK1507" t="s">
        <v>805</v>
      </c>
      <c r="AL1507">
        <v>-97.683778000000004</v>
      </c>
      <c r="AM1507">
        <v>25</v>
      </c>
      <c r="AN1507">
        <v>3400</v>
      </c>
      <c r="AO1507" t="s">
        <v>118</v>
      </c>
      <c r="AP1507">
        <v>44</v>
      </c>
      <c r="AQ1507">
        <v>-108</v>
      </c>
      <c r="AR1507">
        <v>576</v>
      </c>
      <c r="AZ1507">
        <v>1200</v>
      </c>
      <c r="BA1507">
        <v>1</v>
      </c>
      <c r="BB1507" t="str">
        <f t="shared" si="449"/>
        <v xml:space="preserve">N733KP  </v>
      </c>
      <c r="BC1507">
        <v>1</v>
      </c>
      <c r="BE1507">
        <v>0</v>
      </c>
      <c r="BF1507">
        <v>0</v>
      </c>
      <c r="BG1507">
        <v>0</v>
      </c>
      <c r="BH1507">
        <v>3350</v>
      </c>
      <c r="BI1507">
        <v>1</v>
      </c>
      <c r="BJ1507">
        <v>1</v>
      </c>
      <c r="BK1507">
        <v>0</v>
      </c>
      <c r="BL1507">
        <v>0</v>
      </c>
      <c r="BO1507">
        <v>0</v>
      </c>
      <c r="BP1507">
        <v>0</v>
      </c>
      <c r="BW1507" t="str">
        <f>"22:15:48.885"</f>
        <v>22:15:48.885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364</v>
      </c>
      <c r="CR1507">
        <v>0</v>
      </c>
      <c r="CW1507">
        <v>1423044</v>
      </c>
      <c r="CY1507">
        <v>1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"03/24/2022 22:15:49.073"</f>
        <v>03/24/2022 22:15:49.073</v>
      </c>
      <c r="C1508" t="str">
        <f t="shared" si="448"/>
        <v>FFDFD3C0</v>
      </c>
      <c r="D1508" t="s">
        <v>126</v>
      </c>
      <c r="E1508">
        <v>3</v>
      </c>
      <c r="H1508">
        <v>160</v>
      </c>
      <c r="I1508" t="s">
        <v>121</v>
      </c>
      <c r="J1508" t="s">
        <v>127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S1508" t="str">
        <f t="shared" si="453"/>
        <v>22:15:48.000</v>
      </c>
      <c r="T1508" t="str">
        <f t="shared" si="453"/>
        <v>22:15:48.000</v>
      </c>
      <c r="U1508" t="str">
        <f t="shared" si="442"/>
        <v>A9D71F</v>
      </c>
      <c r="V1508">
        <v>0</v>
      </c>
      <c r="W1508">
        <v>0</v>
      </c>
      <c r="X1508">
        <v>2</v>
      </c>
      <c r="Z1508">
        <v>1</v>
      </c>
      <c r="AA1508">
        <v>8</v>
      </c>
      <c r="AB1508">
        <v>3</v>
      </c>
      <c r="AC1508">
        <v>0</v>
      </c>
      <c r="AD1508">
        <v>9</v>
      </c>
      <c r="AE1508">
        <v>0</v>
      </c>
      <c r="AF1508">
        <v>3</v>
      </c>
      <c r="AG1508">
        <v>1</v>
      </c>
      <c r="AH1508">
        <v>0</v>
      </c>
      <c r="AI1508" t="s">
        <v>804</v>
      </c>
      <c r="AJ1508">
        <v>33.091292000000003</v>
      </c>
      <c r="AK1508" t="s">
        <v>805</v>
      </c>
      <c r="AL1508">
        <v>-97.683778000000004</v>
      </c>
      <c r="AM1508">
        <v>25</v>
      </c>
      <c r="AN1508">
        <v>3400</v>
      </c>
      <c r="AO1508" t="s">
        <v>118</v>
      </c>
      <c r="AP1508">
        <v>44</v>
      </c>
      <c r="AQ1508">
        <v>-108</v>
      </c>
      <c r="AR1508">
        <v>576</v>
      </c>
      <c r="AZ1508">
        <v>1200</v>
      </c>
      <c r="BA1508">
        <v>1</v>
      </c>
      <c r="BB1508" t="str">
        <f t="shared" si="449"/>
        <v xml:space="preserve">N733KP  </v>
      </c>
      <c r="BC1508">
        <v>1</v>
      </c>
      <c r="BE1508">
        <v>0</v>
      </c>
      <c r="BF1508">
        <v>0</v>
      </c>
      <c r="BG1508">
        <v>0</v>
      </c>
      <c r="BH1508">
        <v>3350</v>
      </c>
      <c r="BI1508">
        <v>1</v>
      </c>
      <c r="BJ1508">
        <v>1</v>
      </c>
      <c r="BK1508">
        <v>0</v>
      </c>
      <c r="BL1508">
        <v>0</v>
      </c>
      <c r="BO1508">
        <v>0</v>
      </c>
      <c r="BP1508">
        <v>0</v>
      </c>
      <c r="BW1508" t="str">
        <f>"22:15:48.885"</f>
        <v>22:15:48.885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364</v>
      </c>
      <c r="CR1508">
        <v>0</v>
      </c>
      <c r="CW1508">
        <v>1423044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"03/24/2022 22:15:49.073"</f>
        <v>03/24/2022 22:15:49.073</v>
      </c>
      <c r="C1509" t="str">
        <f t="shared" si="448"/>
        <v>FFDFD3C0</v>
      </c>
      <c r="D1509" t="s">
        <v>120</v>
      </c>
      <c r="E1509">
        <v>14</v>
      </c>
      <c r="F1509">
        <v>1014</v>
      </c>
      <c r="G1509" t="s">
        <v>121</v>
      </c>
      <c r="J1509" t="s">
        <v>122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S1509" t="str">
        <f t="shared" si="453"/>
        <v>22:15:48.000</v>
      </c>
      <c r="T1509" t="str">
        <f t="shared" si="453"/>
        <v>22:15:48.000</v>
      </c>
      <c r="U1509" t="str">
        <f t="shared" si="442"/>
        <v>A9D71F</v>
      </c>
      <c r="V1509">
        <v>0</v>
      </c>
      <c r="W1509">
        <v>0</v>
      </c>
      <c r="X1509">
        <v>2</v>
      </c>
      <c r="Z1509">
        <v>1</v>
      </c>
      <c r="AA1509">
        <v>8</v>
      </c>
      <c r="AB1509">
        <v>3</v>
      </c>
      <c r="AC1509">
        <v>0</v>
      </c>
      <c r="AD1509">
        <v>9</v>
      </c>
      <c r="AE1509">
        <v>0</v>
      </c>
      <c r="AF1509">
        <v>3</v>
      </c>
      <c r="AG1509">
        <v>1</v>
      </c>
      <c r="AH1509">
        <v>0</v>
      </c>
      <c r="AI1509" t="s">
        <v>804</v>
      </c>
      <c r="AJ1509">
        <v>33.091292000000003</v>
      </c>
      <c r="AK1509" t="s">
        <v>805</v>
      </c>
      <c r="AL1509">
        <v>-97.683778000000004</v>
      </c>
      <c r="AM1509">
        <v>25</v>
      </c>
      <c r="AN1509">
        <v>3400</v>
      </c>
      <c r="AO1509" t="s">
        <v>118</v>
      </c>
      <c r="AP1509">
        <v>44</v>
      </c>
      <c r="AQ1509">
        <v>-108</v>
      </c>
      <c r="AR1509">
        <v>576</v>
      </c>
      <c r="AZ1509">
        <v>1200</v>
      </c>
      <c r="BA1509">
        <v>1</v>
      </c>
      <c r="BB1509" t="str">
        <f t="shared" si="449"/>
        <v xml:space="preserve">N733KP  </v>
      </c>
      <c r="BC1509">
        <v>1</v>
      </c>
      <c r="BE1509">
        <v>0</v>
      </c>
      <c r="BF1509">
        <v>0</v>
      </c>
      <c r="BG1509">
        <v>0</v>
      </c>
      <c r="BH1509">
        <v>3350</v>
      </c>
      <c r="BI1509">
        <v>1</v>
      </c>
      <c r="BJ1509">
        <v>1</v>
      </c>
      <c r="BK1509">
        <v>0</v>
      </c>
      <c r="BL1509">
        <v>0</v>
      </c>
      <c r="BO1509">
        <v>0</v>
      </c>
      <c r="BP1509">
        <v>0</v>
      </c>
      <c r="BW1509" t="str">
        <f>"22:15:48.885"</f>
        <v>22:15:48.885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364</v>
      </c>
      <c r="CR1509">
        <v>0</v>
      </c>
      <c r="CW1509">
        <v>1423044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"03/24/2022 22:15:49.073"</f>
        <v>03/24/2022 22:15:49.073</v>
      </c>
      <c r="C1510" t="str">
        <f t="shared" si="448"/>
        <v>FFDFD3C0</v>
      </c>
      <c r="D1510" t="s">
        <v>113</v>
      </c>
      <c r="E1510">
        <v>24</v>
      </c>
      <c r="F1510">
        <v>2024</v>
      </c>
      <c r="G1510" t="s">
        <v>114</v>
      </c>
      <c r="J1510" t="s">
        <v>115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S1510" t="str">
        <f t="shared" si="453"/>
        <v>22:15:48.000</v>
      </c>
      <c r="T1510" t="str">
        <f t="shared" si="453"/>
        <v>22:15:48.000</v>
      </c>
      <c r="U1510" t="str">
        <f t="shared" si="442"/>
        <v>A9D71F</v>
      </c>
      <c r="V1510">
        <v>0</v>
      </c>
      <c r="W1510">
        <v>0</v>
      </c>
      <c r="X1510">
        <v>2</v>
      </c>
      <c r="Z1510">
        <v>1</v>
      </c>
      <c r="AA1510">
        <v>8</v>
      </c>
      <c r="AB1510">
        <v>3</v>
      </c>
      <c r="AC1510">
        <v>0</v>
      </c>
      <c r="AD1510">
        <v>9</v>
      </c>
      <c r="AE1510">
        <v>0</v>
      </c>
      <c r="AF1510">
        <v>3</v>
      </c>
      <c r="AG1510">
        <v>1</v>
      </c>
      <c r="AH1510">
        <v>0</v>
      </c>
      <c r="AI1510" t="s">
        <v>804</v>
      </c>
      <c r="AJ1510">
        <v>33.091292000000003</v>
      </c>
      <c r="AK1510" t="s">
        <v>805</v>
      </c>
      <c r="AL1510">
        <v>-97.683778000000004</v>
      </c>
      <c r="AM1510">
        <v>25</v>
      </c>
      <c r="AN1510">
        <v>3400</v>
      </c>
      <c r="AO1510" t="s">
        <v>118</v>
      </c>
      <c r="AP1510">
        <v>44</v>
      </c>
      <c r="AQ1510">
        <v>-108</v>
      </c>
      <c r="AR1510">
        <v>576</v>
      </c>
      <c r="AZ1510">
        <v>1200</v>
      </c>
      <c r="BA1510">
        <v>1</v>
      </c>
      <c r="BB1510" t="str">
        <f t="shared" si="449"/>
        <v xml:space="preserve">N733KP  </v>
      </c>
      <c r="BC1510">
        <v>1</v>
      </c>
      <c r="BE1510">
        <v>0</v>
      </c>
      <c r="BF1510">
        <v>0</v>
      </c>
      <c r="BG1510">
        <v>0</v>
      </c>
      <c r="BH1510">
        <v>3350</v>
      </c>
      <c r="BI1510">
        <v>1</v>
      </c>
      <c r="BJ1510">
        <v>1</v>
      </c>
      <c r="BK1510">
        <v>0</v>
      </c>
      <c r="BL1510">
        <v>0</v>
      </c>
      <c r="BO1510">
        <v>0</v>
      </c>
      <c r="BP1510">
        <v>0</v>
      </c>
      <c r="BW1510" t="str">
        <f>"22:15:48.885"</f>
        <v>22:15:48.885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364</v>
      </c>
      <c r="CR1510">
        <v>0</v>
      </c>
      <c r="CW1510">
        <v>1423044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"03/24/2022 22:15:49.635"</f>
        <v>03/24/2022 22:15:49.635</v>
      </c>
      <c r="C1511" t="str">
        <f t="shared" si="448"/>
        <v>FFDFD3C0</v>
      </c>
      <c r="D1511" t="s">
        <v>126</v>
      </c>
      <c r="E1511">
        <v>3</v>
      </c>
      <c r="H1511">
        <v>160</v>
      </c>
      <c r="I1511" t="s">
        <v>121</v>
      </c>
      <c r="J1511" t="s">
        <v>127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S1511" t="str">
        <f t="shared" ref="S1511:T1514" si="454">"22:15:49.000"</f>
        <v>22:15:49.000</v>
      </c>
      <c r="T1511" t="str">
        <f t="shared" si="454"/>
        <v>22:15:49.000</v>
      </c>
      <c r="U1511" t="str">
        <f t="shared" si="442"/>
        <v>A9D71F</v>
      </c>
      <c r="V1511">
        <v>0</v>
      </c>
      <c r="W1511">
        <v>0</v>
      </c>
      <c r="X1511">
        <v>2</v>
      </c>
      <c r="Z1511">
        <v>1</v>
      </c>
      <c r="AA1511">
        <v>8</v>
      </c>
      <c r="AB1511">
        <v>3</v>
      </c>
      <c r="AC1511">
        <v>0</v>
      </c>
      <c r="AD1511">
        <v>9</v>
      </c>
      <c r="AE1511">
        <v>0</v>
      </c>
      <c r="AF1511">
        <v>3</v>
      </c>
      <c r="AG1511">
        <v>1</v>
      </c>
      <c r="AH1511">
        <v>0</v>
      </c>
      <c r="AI1511" t="s">
        <v>806</v>
      </c>
      <c r="AJ1511">
        <v>33.090798999999997</v>
      </c>
      <c r="AK1511" t="s">
        <v>807</v>
      </c>
      <c r="AL1511">
        <v>-97.683520000000001</v>
      </c>
      <c r="AM1511">
        <v>25</v>
      </c>
      <c r="AN1511">
        <v>3400</v>
      </c>
      <c r="AO1511" t="s">
        <v>118</v>
      </c>
      <c r="AP1511">
        <v>47</v>
      </c>
      <c r="AQ1511">
        <v>-109</v>
      </c>
      <c r="AR1511">
        <v>640</v>
      </c>
      <c r="AZ1511">
        <v>1200</v>
      </c>
      <c r="BA1511">
        <v>1</v>
      </c>
      <c r="BB1511" t="str">
        <f t="shared" si="449"/>
        <v xml:space="preserve">N733KP  </v>
      </c>
      <c r="BC1511">
        <v>1</v>
      </c>
      <c r="BE1511">
        <v>0</v>
      </c>
      <c r="BF1511">
        <v>0</v>
      </c>
      <c r="BG1511">
        <v>0</v>
      </c>
      <c r="BH1511">
        <v>3350</v>
      </c>
      <c r="BI1511">
        <v>1</v>
      </c>
      <c r="BJ1511">
        <v>1</v>
      </c>
      <c r="BK1511">
        <v>0</v>
      </c>
      <c r="BL1511">
        <v>0</v>
      </c>
      <c r="BO1511">
        <v>0</v>
      </c>
      <c r="BP1511">
        <v>0</v>
      </c>
      <c r="BW1511" t="str">
        <f>"22:15:49.477"</f>
        <v>22:15:49.477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364</v>
      </c>
      <c r="CR1511">
        <v>0</v>
      </c>
      <c r="CW1511">
        <v>1423129</v>
      </c>
      <c r="CY1511">
        <v>1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"03/24/2022 22:15:49.635"</f>
        <v>03/24/2022 22:15:49.635</v>
      </c>
      <c r="C1512" t="str">
        <f t="shared" si="448"/>
        <v>FFDFD3C0</v>
      </c>
      <c r="D1512" t="s">
        <v>120</v>
      </c>
      <c r="E1512">
        <v>14</v>
      </c>
      <c r="F1512">
        <v>1014</v>
      </c>
      <c r="G1512" t="s">
        <v>121</v>
      </c>
      <c r="J1512" t="s">
        <v>122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S1512" t="str">
        <f t="shared" si="454"/>
        <v>22:15:49.000</v>
      </c>
      <c r="T1512" t="str">
        <f t="shared" si="454"/>
        <v>22:15:49.000</v>
      </c>
      <c r="U1512" t="str">
        <f t="shared" si="442"/>
        <v>A9D71F</v>
      </c>
      <c r="V1512">
        <v>0</v>
      </c>
      <c r="W1512">
        <v>0</v>
      </c>
      <c r="X1512">
        <v>2</v>
      </c>
      <c r="Z1512">
        <v>1</v>
      </c>
      <c r="AA1512">
        <v>8</v>
      </c>
      <c r="AB1512">
        <v>3</v>
      </c>
      <c r="AC1512">
        <v>0</v>
      </c>
      <c r="AD1512">
        <v>9</v>
      </c>
      <c r="AE1512">
        <v>0</v>
      </c>
      <c r="AF1512">
        <v>3</v>
      </c>
      <c r="AG1512">
        <v>1</v>
      </c>
      <c r="AH1512">
        <v>0</v>
      </c>
      <c r="AI1512" t="s">
        <v>806</v>
      </c>
      <c r="AJ1512">
        <v>33.090798999999997</v>
      </c>
      <c r="AK1512" t="s">
        <v>807</v>
      </c>
      <c r="AL1512">
        <v>-97.683520000000001</v>
      </c>
      <c r="AM1512">
        <v>25</v>
      </c>
      <c r="AN1512">
        <v>3400</v>
      </c>
      <c r="AO1512" t="s">
        <v>118</v>
      </c>
      <c r="AP1512">
        <v>47</v>
      </c>
      <c r="AQ1512">
        <v>-109</v>
      </c>
      <c r="AR1512">
        <v>640</v>
      </c>
      <c r="AZ1512">
        <v>1200</v>
      </c>
      <c r="BA1512">
        <v>1</v>
      </c>
      <c r="BB1512" t="str">
        <f t="shared" si="449"/>
        <v xml:space="preserve">N733KP  </v>
      </c>
      <c r="BC1512">
        <v>1</v>
      </c>
      <c r="BE1512">
        <v>0</v>
      </c>
      <c r="BF1512">
        <v>0</v>
      </c>
      <c r="BG1512">
        <v>0</v>
      </c>
      <c r="BH1512">
        <v>3350</v>
      </c>
      <c r="BI1512">
        <v>1</v>
      </c>
      <c r="BJ1512">
        <v>1</v>
      </c>
      <c r="BK1512">
        <v>0</v>
      </c>
      <c r="BL1512">
        <v>0</v>
      </c>
      <c r="BO1512">
        <v>0</v>
      </c>
      <c r="BP1512">
        <v>0</v>
      </c>
      <c r="BW1512" t="str">
        <f>"22:15:49.477"</f>
        <v>22:15:49.477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119</v>
      </c>
      <c r="CQ1512">
        <v>364</v>
      </c>
      <c r="CR1512">
        <v>0</v>
      </c>
      <c r="CW1512">
        <v>1423129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"03/24/2022 22:15:49.635"</f>
        <v>03/24/2022 22:15:49.635</v>
      </c>
      <c r="C1513" t="str">
        <f t="shared" si="448"/>
        <v>FFDFD3C0</v>
      </c>
      <c r="D1513" t="s">
        <v>113</v>
      </c>
      <c r="E1513">
        <v>24</v>
      </c>
      <c r="F1513">
        <v>2024</v>
      </c>
      <c r="G1513" t="s">
        <v>114</v>
      </c>
      <c r="J1513" t="s">
        <v>115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S1513" t="str">
        <f t="shared" si="454"/>
        <v>22:15:49.000</v>
      </c>
      <c r="T1513" t="str">
        <f t="shared" si="454"/>
        <v>22:15:49.000</v>
      </c>
      <c r="U1513" t="str">
        <f t="shared" si="442"/>
        <v>A9D71F</v>
      </c>
      <c r="V1513">
        <v>0</v>
      </c>
      <c r="W1513">
        <v>0</v>
      </c>
      <c r="X1513">
        <v>2</v>
      </c>
      <c r="Z1513">
        <v>1</v>
      </c>
      <c r="AA1513">
        <v>8</v>
      </c>
      <c r="AB1513">
        <v>3</v>
      </c>
      <c r="AC1513">
        <v>0</v>
      </c>
      <c r="AD1513">
        <v>9</v>
      </c>
      <c r="AE1513">
        <v>0</v>
      </c>
      <c r="AF1513">
        <v>3</v>
      </c>
      <c r="AG1513">
        <v>1</v>
      </c>
      <c r="AH1513">
        <v>0</v>
      </c>
      <c r="AI1513" t="s">
        <v>806</v>
      </c>
      <c r="AJ1513">
        <v>33.090798999999997</v>
      </c>
      <c r="AK1513" t="s">
        <v>807</v>
      </c>
      <c r="AL1513">
        <v>-97.683520000000001</v>
      </c>
      <c r="AM1513">
        <v>25</v>
      </c>
      <c r="AN1513">
        <v>3400</v>
      </c>
      <c r="AO1513" t="s">
        <v>118</v>
      </c>
      <c r="AP1513">
        <v>47</v>
      </c>
      <c r="AQ1513">
        <v>-109</v>
      </c>
      <c r="AR1513">
        <v>640</v>
      </c>
      <c r="AZ1513">
        <v>1200</v>
      </c>
      <c r="BA1513">
        <v>1</v>
      </c>
      <c r="BB1513" t="str">
        <f t="shared" si="449"/>
        <v xml:space="preserve">N733KP  </v>
      </c>
      <c r="BC1513">
        <v>1</v>
      </c>
      <c r="BE1513">
        <v>0</v>
      </c>
      <c r="BF1513">
        <v>0</v>
      </c>
      <c r="BG1513">
        <v>0</v>
      </c>
      <c r="BH1513">
        <v>3350</v>
      </c>
      <c r="BI1513">
        <v>1</v>
      </c>
      <c r="BJ1513">
        <v>1</v>
      </c>
      <c r="BK1513">
        <v>0</v>
      </c>
      <c r="BL1513">
        <v>0</v>
      </c>
      <c r="BO1513">
        <v>0</v>
      </c>
      <c r="BP1513">
        <v>0</v>
      </c>
      <c r="BW1513" t="str">
        <f>"22:15:49.477"</f>
        <v>22:15:49.477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364</v>
      </c>
      <c r="CR1513">
        <v>0</v>
      </c>
      <c r="CW1513">
        <v>1423129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"03/24/2022 22:15:49.667"</f>
        <v>03/24/2022 22:15:49.667</v>
      </c>
      <c r="C1514" t="str">
        <f t="shared" si="448"/>
        <v>FFDFD3C0</v>
      </c>
      <c r="D1514" t="s">
        <v>123</v>
      </c>
      <c r="E1514">
        <v>8</v>
      </c>
      <c r="H1514">
        <v>31</v>
      </c>
      <c r="I1514" t="s">
        <v>124</v>
      </c>
      <c r="J1514" t="s">
        <v>125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S1514" t="str">
        <f t="shared" si="454"/>
        <v>22:15:49.000</v>
      </c>
      <c r="T1514" t="str">
        <f t="shared" si="454"/>
        <v>22:15:49.000</v>
      </c>
      <c r="U1514" t="str">
        <f t="shared" si="442"/>
        <v>A9D71F</v>
      </c>
      <c r="V1514">
        <v>0</v>
      </c>
      <c r="W1514">
        <v>0</v>
      </c>
      <c r="X1514">
        <v>2</v>
      </c>
      <c r="Z1514">
        <v>1</v>
      </c>
      <c r="AA1514">
        <v>8</v>
      </c>
      <c r="AB1514">
        <v>3</v>
      </c>
      <c r="AC1514">
        <v>0</v>
      </c>
      <c r="AD1514">
        <v>9</v>
      </c>
      <c r="AE1514">
        <v>0</v>
      </c>
      <c r="AF1514">
        <v>3</v>
      </c>
      <c r="AG1514">
        <v>1</v>
      </c>
      <c r="AH1514">
        <v>0</v>
      </c>
      <c r="AI1514" t="s">
        <v>806</v>
      </c>
      <c r="AJ1514">
        <v>33.090798999999997</v>
      </c>
      <c r="AK1514" t="s">
        <v>807</v>
      </c>
      <c r="AL1514">
        <v>-97.683520000000001</v>
      </c>
      <c r="AM1514">
        <v>25</v>
      </c>
      <c r="AN1514">
        <v>3400</v>
      </c>
      <c r="AO1514" t="s">
        <v>118</v>
      </c>
      <c r="AP1514">
        <v>47</v>
      </c>
      <c r="AQ1514">
        <v>-109</v>
      </c>
      <c r="AR1514">
        <v>640</v>
      </c>
      <c r="AZ1514">
        <v>1200</v>
      </c>
      <c r="BA1514">
        <v>1</v>
      </c>
      <c r="BB1514" t="str">
        <f t="shared" si="449"/>
        <v xml:space="preserve">N733KP  </v>
      </c>
      <c r="BC1514">
        <v>1</v>
      </c>
      <c r="BE1514">
        <v>0</v>
      </c>
      <c r="BF1514">
        <v>0</v>
      </c>
      <c r="BG1514">
        <v>0</v>
      </c>
      <c r="BH1514">
        <v>3350</v>
      </c>
      <c r="BI1514">
        <v>1</v>
      </c>
      <c r="BJ1514">
        <v>1</v>
      </c>
      <c r="BK1514">
        <v>0</v>
      </c>
      <c r="BL1514">
        <v>0</v>
      </c>
      <c r="BO1514">
        <v>0</v>
      </c>
      <c r="BP1514">
        <v>0</v>
      </c>
      <c r="BW1514" t="str">
        <f>"22:15:49.477"</f>
        <v>22:15:49.477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119</v>
      </c>
      <c r="CQ1514">
        <v>364</v>
      </c>
      <c r="CR1514">
        <v>0</v>
      </c>
      <c r="CW1514">
        <v>1423129</v>
      </c>
      <c r="CY1514">
        <v>1</v>
      </c>
      <c r="CZ1514">
        <v>0</v>
      </c>
      <c r="DA1514">
        <v>1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"03/24/2022 22:15:50.557"</f>
        <v>03/24/2022 22:15:50.557</v>
      </c>
      <c r="C1515" t="str">
        <f t="shared" si="448"/>
        <v>FFDFD3C0</v>
      </c>
      <c r="D1515" t="s">
        <v>126</v>
      </c>
      <c r="E1515">
        <v>3</v>
      </c>
      <c r="H1515">
        <v>160</v>
      </c>
      <c r="I1515" t="s">
        <v>121</v>
      </c>
      <c r="J1515" t="s">
        <v>127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S1515" t="str">
        <f t="shared" ref="S1515:T1518" si="455">"22:15:50.000"</f>
        <v>22:15:50.000</v>
      </c>
      <c r="T1515" t="str">
        <f t="shared" si="455"/>
        <v>22:15:50.000</v>
      </c>
      <c r="U1515" t="str">
        <f t="shared" si="442"/>
        <v>A9D71F</v>
      </c>
      <c r="V1515">
        <v>0</v>
      </c>
      <c r="W1515">
        <v>0</v>
      </c>
      <c r="X1515">
        <v>2</v>
      </c>
      <c r="Z1515">
        <v>1</v>
      </c>
      <c r="AA1515">
        <v>8</v>
      </c>
      <c r="AB1515">
        <v>3</v>
      </c>
      <c r="AC1515">
        <v>0</v>
      </c>
      <c r="AD1515">
        <v>9</v>
      </c>
      <c r="AE1515">
        <v>0</v>
      </c>
      <c r="AF1515">
        <v>3</v>
      </c>
      <c r="AG1515">
        <v>1</v>
      </c>
      <c r="AH1515">
        <v>0</v>
      </c>
      <c r="AI1515" t="s">
        <v>808</v>
      </c>
      <c r="AJ1515">
        <v>33.090305000000001</v>
      </c>
      <c r="AK1515" t="s">
        <v>809</v>
      </c>
      <c r="AL1515">
        <v>-97.683284</v>
      </c>
      <c r="AM1515">
        <v>25</v>
      </c>
      <c r="AN1515">
        <v>3400</v>
      </c>
      <c r="AO1515" t="s">
        <v>118</v>
      </c>
      <c r="AP1515">
        <v>45</v>
      </c>
      <c r="AQ1515">
        <v>-107</v>
      </c>
      <c r="AR1515">
        <v>704</v>
      </c>
      <c r="AZ1515">
        <v>1200</v>
      </c>
      <c r="BA1515">
        <v>1</v>
      </c>
      <c r="BB1515" t="str">
        <f t="shared" si="449"/>
        <v xml:space="preserve">N733KP  </v>
      </c>
      <c r="BC1515">
        <v>1</v>
      </c>
      <c r="BE1515">
        <v>0</v>
      </c>
      <c r="BF1515">
        <v>0</v>
      </c>
      <c r="BG1515">
        <v>0</v>
      </c>
      <c r="BH1515">
        <v>3375</v>
      </c>
      <c r="BI1515">
        <v>1</v>
      </c>
      <c r="BJ1515">
        <v>1</v>
      </c>
      <c r="BK1515">
        <v>0</v>
      </c>
      <c r="BL1515">
        <v>0</v>
      </c>
      <c r="BO1515">
        <v>0</v>
      </c>
      <c r="BP1515">
        <v>0</v>
      </c>
      <c r="BW1515" t="str">
        <f>"22:15:50.383"</f>
        <v>22:15:50.383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119</v>
      </c>
      <c r="CQ1515">
        <v>364</v>
      </c>
      <c r="CR1515">
        <v>0</v>
      </c>
      <c r="CW1515">
        <v>1423278</v>
      </c>
      <c r="CY1515">
        <v>1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"03/24/2022 22:15:50.557"</f>
        <v>03/24/2022 22:15:50.557</v>
      </c>
      <c r="C1516" t="str">
        <f t="shared" si="448"/>
        <v>FFDFD3C0</v>
      </c>
      <c r="D1516" t="s">
        <v>120</v>
      </c>
      <c r="E1516">
        <v>14</v>
      </c>
      <c r="F1516">
        <v>1014</v>
      </c>
      <c r="G1516" t="s">
        <v>121</v>
      </c>
      <c r="J1516" t="s">
        <v>122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S1516" t="str">
        <f t="shared" si="455"/>
        <v>22:15:50.000</v>
      </c>
      <c r="T1516" t="str">
        <f t="shared" si="455"/>
        <v>22:15:50.000</v>
      </c>
      <c r="U1516" t="str">
        <f t="shared" si="442"/>
        <v>A9D71F</v>
      </c>
      <c r="V1516">
        <v>0</v>
      </c>
      <c r="W1516">
        <v>0</v>
      </c>
      <c r="X1516">
        <v>2</v>
      </c>
      <c r="Z1516">
        <v>1</v>
      </c>
      <c r="AA1516">
        <v>8</v>
      </c>
      <c r="AB1516">
        <v>3</v>
      </c>
      <c r="AC1516">
        <v>0</v>
      </c>
      <c r="AD1516">
        <v>9</v>
      </c>
      <c r="AE1516">
        <v>0</v>
      </c>
      <c r="AF1516">
        <v>3</v>
      </c>
      <c r="AG1516">
        <v>1</v>
      </c>
      <c r="AH1516">
        <v>0</v>
      </c>
      <c r="AI1516" t="s">
        <v>808</v>
      </c>
      <c r="AJ1516">
        <v>33.090305000000001</v>
      </c>
      <c r="AK1516" t="s">
        <v>809</v>
      </c>
      <c r="AL1516">
        <v>-97.683284</v>
      </c>
      <c r="AM1516">
        <v>25</v>
      </c>
      <c r="AN1516">
        <v>3400</v>
      </c>
      <c r="AO1516" t="s">
        <v>118</v>
      </c>
      <c r="AP1516">
        <v>45</v>
      </c>
      <c r="AQ1516">
        <v>-107</v>
      </c>
      <c r="AR1516">
        <v>704</v>
      </c>
      <c r="AZ1516">
        <v>1200</v>
      </c>
      <c r="BA1516">
        <v>1</v>
      </c>
      <c r="BB1516" t="str">
        <f t="shared" si="449"/>
        <v xml:space="preserve">N733KP  </v>
      </c>
      <c r="BC1516">
        <v>1</v>
      </c>
      <c r="BE1516">
        <v>0</v>
      </c>
      <c r="BF1516">
        <v>0</v>
      </c>
      <c r="BG1516">
        <v>0</v>
      </c>
      <c r="BH1516">
        <v>3375</v>
      </c>
      <c r="BI1516">
        <v>1</v>
      </c>
      <c r="BJ1516">
        <v>1</v>
      </c>
      <c r="BK1516">
        <v>0</v>
      </c>
      <c r="BL1516">
        <v>0</v>
      </c>
      <c r="BO1516">
        <v>0</v>
      </c>
      <c r="BP1516">
        <v>0</v>
      </c>
      <c r="BW1516" t="str">
        <f>"22:15:50.383"</f>
        <v>22:15:50.383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119</v>
      </c>
      <c r="CQ1516">
        <v>364</v>
      </c>
      <c r="CR1516">
        <v>0</v>
      </c>
      <c r="CW1516">
        <v>1423278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"03/24/2022 22:15:50.557"</f>
        <v>03/24/2022 22:15:50.557</v>
      </c>
      <c r="C1517" t="str">
        <f t="shared" si="448"/>
        <v>FFDFD3C0</v>
      </c>
      <c r="D1517" t="s">
        <v>113</v>
      </c>
      <c r="E1517">
        <v>24</v>
      </c>
      <c r="F1517">
        <v>2024</v>
      </c>
      <c r="G1517" t="s">
        <v>114</v>
      </c>
      <c r="J1517" t="s">
        <v>115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S1517" t="str">
        <f t="shared" si="455"/>
        <v>22:15:50.000</v>
      </c>
      <c r="T1517" t="str">
        <f t="shared" si="455"/>
        <v>22:15:50.000</v>
      </c>
      <c r="U1517" t="str">
        <f t="shared" si="442"/>
        <v>A9D71F</v>
      </c>
      <c r="V1517">
        <v>0</v>
      </c>
      <c r="W1517">
        <v>0</v>
      </c>
      <c r="X1517">
        <v>2</v>
      </c>
      <c r="Z1517">
        <v>1</v>
      </c>
      <c r="AA1517">
        <v>8</v>
      </c>
      <c r="AB1517">
        <v>3</v>
      </c>
      <c r="AC1517">
        <v>0</v>
      </c>
      <c r="AD1517">
        <v>9</v>
      </c>
      <c r="AE1517">
        <v>0</v>
      </c>
      <c r="AF1517">
        <v>3</v>
      </c>
      <c r="AG1517">
        <v>1</v>
      </c>
      <c r="AH1517">
        <v>0</v>
      </c>
      <c r="AI1517" t="s">
        <v>808</v>
      </c>
      <c r="AJ1517">
        <v>33.090305000000001</v>
      </c>
      <c r="AK1517" t="s">
        <v>809</v>
      </c>
      <c r="AL1517">
        <v>-97.683284</v>
      </c>
      <c r="AM1517">
        <v>25</v>
      </c>
      <c r="AN1517">
        <v>3400</v>
      </c>
      <c r="AO1517" t="s">
        <v>118</v>
      </c>
      <c r="AP1517">
        <v>45</v>
      </c>
      <c r="AQ1517">
        <v>-107</v>
      </c>
      <c r="AR1517">
        <v>704</v>
      </c>
      <c r="AZ1517">
        <v>1200</v>
      </c>
      <c r="BA1517">
        <v>1</v>
      </c>
      <c r="BB1517" t="str">
        <f t="shared" si="449"/>
        <v xml:space="preserve">N733KP  </v>
      </c>
      <c r="BC1517">
        <v>1</v>
      </c>
      <c r="BE1517">
        <v>0</v>
      </c>
      <c r="BF1517">
        <v>0</v>
      </c>
      <c r="BG1517">
        <v>0</v>
      </c>
      <c r="BH1517">
        <v>3375</v>
      </c>
      <c r="BI1517">
        <v>1</v>
      </c>
      <c r="BJ1517">
        <v>1</v>
      </c>
      <c r="BK1517">
        <v>0</v>
      </c>
      <c r="BL1517">
        <v>0</v>
      </c>
      <c r="BO1517">
        <v>0</v>
      </c>
      <c r="BP1517">
        <v>0</v>
      </c>
      <c r="BW1517" t="str">
        <f>"22:15:50.383"</f>
        <v>22:15:50.383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364</v>
      </c>
      <c r="CR1517">
        <v>0</v>
      </c>
      <c r="CW1517">
        <v>1423278</v>
      </c>
      <c r="CY1517">
        <v>1</v>
      </c>
      <c r="CZ1517">
        <v>0</v>
      </c>
      <c r="DA1517">
        <v>1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"03/24/2022 22:15:50.620"</f>
        <v>03/24/2022 22:15:50.620</v>
      </c>
      <c r="C1518" t="str">
        <f t="shared" si="448"/>
        <v>FFDFD3C0</v>
      </c>
      <c r="D1518" t="s">
        <v>123</v>
      </c>
      <c r="E1518">
        <v>8</v>
      </c>
      <c r="H1518">
        <v>31</v>
      </c>
      <c r="I1518" t="s">
        <v>124</v>
      </c>
      <c r="J1518" t="s">
        <v>125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S1518" t="str">
        <f t="shared" si="455"/>
        <v>22:15:50.000</v>
      </c>
      <c r="T1518" t="str">
        <f t="shared" si="455"/>
        <v>22:15:50.000</v>
      </c>
      <c r="U1518" t="str">
        <f t="shared" si="442"/>
        <v>A9D71F</v>
      </c>
      <c r="V1518">
        <v>0</v>
      </c>
      <c r="W1518">
        <v>0</v>
      </c>
      <c r="X1518">
        <v>2</v>
      </c>
      <c r="Z1518">
        <v>1</v>
      </c>
      <c r="AA1518">
        <v>8</v>
      </c>
      <c r="AB1518">
        <v>3</v>
      </c>
      <c r="AC1518">
        <v>0</v>
      </c>
      <c r="AD1518">
        <v>9</v>
      </c>
      <c r="AE1518">
        <v>0</v>
      </c>
      <c r="AF1518">
        <v>3</v>
      </c>
      <c r="AG1518">
        <v>1</v>
      </c>
      <c r="AH1518">
        <v>0</v>
      </c>
      <c r="AI1518" t="s">
        <v>808</v>
      </c>
      <c r="AJ1518">
        <v>33.090305000000001</v>
      </c>
      <c r="AK1518" t="s">
        <v>809</v>
      </c>
      <c r="AL1518">
        <v>-97.683284</v>
      </c>
      <c r="AM1518">
        <v>25</v>
      </c>
      <c r="AN1518">
        <v>3400</v>
      </c>
      <c r="AO1518" t="s">
        <v>118</v>
      </c>
      <c r="AP1518">
        <v>45</v>
      </c>
      <c r="AQ1518">
        <v>-107</v>
      </c>
      <c r="AR1518">
        <v>704</v>
      </c>
      <c r="AZ1518">
        <v>1200</v>
      </c>
      <c r="BA1518">
        <v>1</v>
      </c>
      <c r="BB1518" t="str">
        <f t="shared" si="449"/>
        <v xml:space="preserve">N733KP  </v>
      </c>
      <c r="BC1518">
        <v>1</v>
      </c>
      <c r="BE1518">
        <v>0</v>
      </c>
      <c r="BF1518">
        <v>0</v>
      </c>
      <c r="BG1518">
        <v>0</v>
      </c>
      <c r="BH1518">
        <v>3375</v>
      </c>
      <c r="BI1518">
        <v>1</v>
      </c>
      <c r="BJ1518">
        <v>1</v>
      </c>
      <c r="BK1518">
        <v>0</v>
      </c>
      <c r="BL1518">
        <v>0</v>
      </c>
      <c r="BO1518">
        <v>0</v>
      </c>
      <c r="BP1518">
        <v>0</v>
      </c>
      <c r="BW1518" t="str">
        <f>"22:15:50.383"</f>
        <v>22:15:50.383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7</v>
      </c>
      <c r="CP1518" t="s">
        <v>119</v>
      </c>
      <c r="CQ1518">
        <v>364</v>
      </c>
      <c r="CR1518">
        <v>0</v>
      </c>
      <c r="CW1518">
        <v>1423278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"03/24/2022 22:15:51.558"</f>
        <v>03/24/2022 22:15:51.558</v>
      </c>
      <c r="C1519" t="str">
        <f t="shared" si="448"/>
        <v>FFDFD3C0</v>
      </c>
      <c r="D1519" t="s">
        <v>126</v>
      </c>
      <c r="E1519">
        <v>3</v>
      </c>
      <c r="H1519">
        <v>160</v>
      </c>
      <c r="I1519" t="s">
        <v>121</v>
      </c>
      <c r="J1519" t="s">
        <v>127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S1519" t="str">
        <f t="shared" ref="S1519:T1522" si="456">"22:15:51.000"</f>
        <v>22:15:51.000</v>
      </c>
      <c r="T1519" t="str">
        <f t="shared" si="456"/>
        <v>22:15:51.000</v>
      </c>
      <c r="U1519" t="str">
        <f t="shared" si="442"/>
        <v>A9D71F</v>
      </c>
      <c r="V1519">
        <v>0</v>
      </c>
      <c r="W1519">
        <v>0</v>
      </c>
      <c r="X1519">
        <v>2</v>
      </c>
      <c r="Z1519">
        <v>1</v>
      </c>
      <c r="AA1519">
        <v>8</v>
      </c>
      <c r="AB1519">
        <v>3</v>
      </c>
      <c r="AC1519">
        <v>0</v>
      </c>
      <c r="AD1519">
        <v>9</v>
      </c>
      <c r="AE1519">
        <v>0</v>
      </c>
      <c r="AF1519">
        <v>3</v>
      </c>
      <c r="AG1519">
        <v>1</v>
      </c>
      <c r="AH1519">
        <v>0</v>
      </c>
      <c r="AI1519" t="s">
        <v>810</v>
      </c>
      <c r="AJ1519">
        <v>33.089790000000001</v>
      </c>
      <c r="AK1519" t="s">
        <v>811</v>
      </c>
      <c r="AL1519">
        <v>-97.683004999999994</v>
      </c>
      <c r="AM1519">
        <v>25</v>
      </c>
      <c r="AN1519">
        <v>3400</v>
      </c>
      <c r="AO1519" t="s">
        <v>118</v>
      </c>
      <c r="AP1519">
        <v>45</v>
      </c>
      <c r="AQ1519">
        <v>-107</v>
      </c>
      <c r="AR1519">
        <v>768</v>
      </c>
      <c r="AZ1519">
        <v>1200</v>
      </c>
      <c r="BA1519">
        <v>1</v>
      </c>
      <c r="BB1519" t="str">
        <f t="shared" si="449"/>
        <v xml:space="preserve">N733KP  </v>
      </c>
      <c r="BC1519">
        <v>1</v>
      </c>
      <c r="BE1519">
        <v>0</v>
      </c>
      <c r="BF1519">
        <v>0</v>
      </c>
      <c r="BG1519">
        <v>0</v>
      </c>
      <c r="BH1519">
        <v>3375</v>
      </c>
      <c r="BI1519">
        <v>1</v>
      </c>
      <c r="BJ1519">
        <v>1</v>
      </c>
      <c r="BK1519">
        <v>0</v>
      </c>
      <c r="BL1519">
        <v>0</v>
      </c>
      <c r="BO1519">
        <v>0</v>
      </c>
      <c r="BP1519">
        <v>0</v>
      </c>
      <c r="BW1519" t="str">
        <f>"22:15:51.382"</f>
        <v>22:15:51.382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7</v>
      </c>
      <c r="CP1519" t="s">
        <v>119</v>
      </c>
      <c r="CQ1519">
        <v>364</v>
      </c>
      <c r="CR1519">
        <v>0</v>
      </c>
      <c r="CW1519">
        <v>1423421</v>
      </c>
      <c r="CY1519">
        <v>1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"03/24/2022 22:15:51.558"</f>
        <v>03/24/2022 22:15:51.558</v>
      </c>
      <c r="C1520" t="str">
        <f t="shared" si="448"/>
        <v>FFDFD3C0</v>
      </c>
      <c r="D1520" t="s">
        <v>113</v>
      </c>
      <c r="E1520">
        <v>24</v>
      </c>
      <c r="F1520">
        <v>2024</v>
      </c>
      <c r="G1520" t="s">
        <v>114</v>
      </c>
      <c r="J1520" t="s">
        <v>115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S1520" t="str">
        <f t="shared" si="456"/>
        <v>22:15:51.000</v>
      </c>
      <c r="T1520" t="str">
        <f t="shared" si="456"/>
        <v>22:15:51.000</v>
      </c>
      <c r="U1520" t="str">
        <f t="shared" si="442"/>
        <v>A9D71F</v>
      </c>
      <c r="V1520">
        <v>0</v>
      </c>
      <c r="W1520">
        <v>0</v>
      </c>
      <c r="X1520">
        <v>2</v>
      </c>
      <c r="Z1520">
        <v>1</v>
      </c>
      <c r="AA1520">
        <v>8</v>
      </c>
      <c r="AB1520">
        <v>3</v>
      </c>
      <c r="AC1520">
        <v>0</v>
      </c>
      <c r="AD1520">
        <v>9</v>
      </c>
      <c r="AE1520">
        <v>0</v>
      </c>
      <c r="AF1520">
        <v>3</v>
      </c>
      <c r="AG1520">
        <v>1</v>
      </c>
      <c r="AH1520">
        <v>0</v>
      </c>
      <c r="AI1520" t="s">
        <v>810</v>
      </c>
      <c r="AJ1520">
        <v>33.089790000000001</v>
      </c>
      <c r="AK1520" t="s">
        <v>811</v>
      </c>
      <c r="AL1520">
        <v>-97.683004999999994</v>
      </c>
      <c r="AM1520">
        <v>25</v>
      </c>
      <c r="AN1520">
        <v>3400</v>
      </c>
      <c r="AO1520" t="s">
        <v>118</v>
      </c>
      <c r="AP1520">
        <v>45</v>
      </c>
      <c r="AQ1520">
        <v>-107</v>
      </c>
      <c r="AR1520">
        <v>768</v>
      </c>
      <c r="AZ1520">
        <v>1200</v>
      </c>
      <c r="BA1520">
        <v>1</v>
      </c>
      <c r="BB1520" t="str">
        <f t="shared" si="449"/>
        <v xml:space="preserve">N733KP  </v>
      </c>
      <c r="BC1520">
        <v>1</v>
      </c>
      <c r="BE1520">
        <v>0</v>
      </c>
      <c r="BF1520">
        <v>0</v>
      </c>
      <c r="BG1520">
        <v>0</v>
      </c>
      <c r="BH1520">
        <v>3375</v>
      </c>
      <c r="BI1520">
        <v>1</v>
      </c>
      <c r="BJ1520">
        <v>1</v>
      </c>
      <c r="BK1520">
        <v>0</v>
      </c>
      <c r="BL1520">
        <v>0</v>
      </c>
      <c r="BO1520">
        <v>0</v>
      </c>
      <c r="BP1520">
        <v>0</v>
      </c>
      <c r="BW1520" t="str">
        <f>"22:15:51.382"</f>
        <v>22:15:51.382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364</v>
      </c>
      <c r="CR1520">
        <v>0</v>
      </c>
      <c r="CW1520">
        <v>1423421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"03/24/2022 22:15:51.558"</f>
        <v>03/24/2022 22:15:51.558</v>
      </c>
      <c r="C1521" t="str">
        <f t="shared" si="448"/>
        <v>FFDFD3C0</v>
      </c>
      <c r="D1521" t="s">
        <v>120</v>
      </c>
      <c r="E1521">
        <v>14</v>
      </c>
      <c r="F1521">
        <v>1014</v>
      </c>
      <c r="G1521" t="s">
        <v>121</v>
      </c>
      <c r="J1521" t="s">
        <v>122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S1521" t="str">
        <f t="shared" si="456"/>
        <v>22:15:51.000</v>
      </c>
      <c r="T1521" t="str">
        <f t="shared" si="456"/>
        <v>22:15:51.000</v>
      </c>
      <c r="U1521" t="str">
        <f t="shared" si="442"/>
        <v>A9D71F</v>
      </c>
      <c r="V1521">
        <v>0</v>
      </c>
      <c r="W1521">
        <v>0</v>
      </c>
      <c r="X1521">
        <v>2</v>
      </c>
      <c r="Z1521">
        <v>1</v>
      </c>
      <c r="AA1521">
        <v>8</v>
      </c>
      <c r="AB1521">
        <v>3</v>
      </c>
      <c r="AC1521">
        <v>0</v>
      </c>
      <c r="AD1521">
        <v>9</v>
      </c>
      <c r="AE1521">
        <v>0</v>
      </c>
      <c r="AF1521">
        <v>3</v>
      </c>
      <c r="AG1521">
        <v>1</v>
      </c>
      <c r="AH1521">
        <v>0</v>
      </c>
      <c r="AI1521" t="s">
        <v>810</v>
      </c>
      <c r="AJ1521">
        <v>33.089790000000001</v>
      </c>
      <c r="AK1521" t="s">
        <v>811</v>
      </c>
      <c r="AL1521">
        <v>-97.683004999999994</v>
      </c>
      <c r="AM1521">
        <v>25</v>
      </c>
      <c r="AN1521">
        <v>3400</v>
      </c>
      <c r="AO1521" t="s">
        <v>118</v>
      </c>
      <c r="AP1521">
        <v>45</v>
      </c>
      <c r="AQ1521">
        <v>-107</v>
      </c>
      <c r="AR1521">
        <v>768</v>
      </c>
      <c r="AZ1521">
        <v>1200</v>
      </c>
      <c r="BA1521">
        <v>1</v>
      </c>
      <c r="BB1521" t="str">
        <f t="shared" si="449"/>
        <v xml:space="preserve">N733KP  </v>
      </c>
      <c r="BC1521">
        <v>1</v>
      </c>
      <c r="BE1521">
        <v>0</v>
      </c>
      <c r="BF1521">
        <v>0</v>
      </c>
      <c r="BG1521">
        <v>0</v>
      </c>
      <c r="BH1521">
        <v>3375</v>
      </c>
      <c r="BI1521">
        <v>1</v>
      </c>
      <c r="BJ1521">
        <v>1</v>
      </c>
      <c r="BK1521">
        <v>0</v>
      </c>
      <c r="BL1521">
        <v>0</v>
      </c>
      <c r="BO1521">
        <v>0</v>
      </c>
      <c r="BP1521">
        <v>0</v>
      </c>
      <c r="BW1521" t="str">
        <f>"22:15:51.382"</f>
        <v>22:15:51.382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364</v>
      </c>
      <c r="CR1521">
        <v>0</v>
      </c>
      <c r="CW1521">
        <v>1423421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"03/24/2022 22:15:51.604"</f>
        <v>03/24/2022 22:15:51.604</v>
      </c>
      <c r="C1522" t="str">
        <f t="shared" si="448"/>
        <v>FFDFD3C0</v>
      </c>
      <c r="D1522" t="s">
        <v>123</v>
      </c>
      <c r="E1522">
        <v>8</v>
      </c>
      <c r="H1522">
        <v>31</v>
      </c>
      <c r="I1522" t="s">
        <v>124</v>
      </c>
      <c r="J1522" t="s">
        <v>125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S1522" t="str">
        <f t="shared" si="456"/>
        <v>22:15:51.000</v>
      </c>
      <c r="T1522" t="str">
        <f t="shared" si="456"/>
        <v>22:15:51.000</v>
      </c>
      <c r="U1522" t="str">
        <f t="shared" si="442"/>
        <v>A9D71F</v>
      </c>
      <c r="V1522">
        <v>0</v>
      </c>
      <c r="W1522">
        <v>0</v>
      </c>
      <c r="X1522">
        <v>2</v>
      </c>
      <c r="Z1522">
        <v>1</v>
      </c>
      <c r="AA1522">
        <v>8</v>
      </c>
      <c r="AB1522">
        <v>3</v>
      </c>
      <c r="AC1522">
        <v>0</v>
      </c>
      <c r="AD1522">
        <v>9</v>
      </c>
      <c r="AE1522">
        <v>0</v>
      </c>
      <c r="AF1522">
        <v>3</v>
      </c>
      <c r="AG1522">
        <v>1</v>
      </c>
      <c r="AH1522">
        <v>0</v>
      </c>
      <c r="AI1522" t="s">
        <v>810</v>
      </c>
      <c r="AJ1522">
        <v>33.089790000000001</v>
      </c>
      <c r="AK1522" t="s">
        <v>811</v>
      </c>
      <c r="AL1522">
        <v>-97.683004999999994</v>
      </c>
      <c r="AM1522">
        <v>25</v>
      </c>
      <c r="AN1522">
        <v>3400</v>
      </c>
      <c r="AO1522" t="s">
        <v>118</v>
      </c>
      <c r="AP1522">
        <v>45</v>
      </c>
      <c r="AQ1522">
        <v>-107</v>
      </c>
      <c r="AR1522">
        <v>768</v>
      </c>
      <c r="AZ1522">
        <v>1200</v>
      </c>
      <c r="BA1522">
        <v>1</v>
      </c>
      <c r="BB1522" t="str">
        <f t="shared" si="449"/>
        <v xml:space="preserve">N733KP  </v>
      </c>
      <c r="BC1522">
        <v>1</v>
      </c>
      <c r="BE1522">
        <v>0</v>
      </c>
      <c r="BF1522">
        <v>0</v>
      </c>
      <c r="BG1522">
        <v>0</v>
      </c>
      <c r="BH1522">
        <v>3375</v>
      </c>
      <c r="BI1522">
        <v>1</v>
      </c>
      <c r="BJ1522">
        <v>1</v>
      </c>
      <c r="BK1522">
        <v>0</v>
      </c>
      <c r="BL1522">
        <v>0</v>
      </c>
      <c r="BO1522">
        <v>0</v>
      </c>
      <c r="BP1522">
        <v>0</v>
      </c>
      <c r="BW1522" t="str">
        <f>"22:15:51.382"</f>
        <v>22:15:51.382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364</v>
      </c>
      <c r="CR1522">
        <v>0</v>
      </c>
      <c r="CW1522">
        <v>1423421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"03/24/2022 22:15:52.840"</f>
        <v>03/24/2022 22:15:52.840</v>
      </c>
      <c r="C1523" t="str">
        <f t="shared" si="448"/>
        <v>FFDFD3C0</v>
      </c>
      <c r="D1523" t="s">
        <v>113</v>
      </c>
      <c r="E1523">
        <v>24</v>
      </c>
      <c r="F1523">
        <v>2024</v>
      </c>
      <c r="G1523" t="s">
        <v>114</v>
      </c>
      <c r="J1523" t="s">
        <v>115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S1523" t="str">
        <f t="shared" ref="S1523:T1526" si="457">"22:15:52.000"</f>
        <v>22:15:52.000</v>
      </c>
      <c r="T1523" t="str">
        <f t="shared" si="457"/>
        <v>22:15:52.000</v>
      </c>
      <c r="U1523" t="str">
        <f t="shared" si="442"/>
        <v>A9D71F</v>
      </c>
      <c r="V1523">
        <v>0</v>
      </c>
      <c r="W1523">
        <v>0</v>
      </c>
      <c r="X1523">
        <v>2</v>
      </c>
      <c r="Z1523">
        <v>1</v>
      </c>
      <c r="AA1523">
        <v>8</v>
      </c>
      <c r="AB1523">
        <v>3</v>
      </c>
      <c r="AC1523">
        <v>0</v>
      </c>
      <c r="AD1523">
        <v>9</v>
      </c>
      <c r="AE1523">
        <v>0</v>
      </c>
      <c r="AF1523">
        <v>3</v>
      </c>
      <c r="AG1523">
        <v>1</v>
      </c>
      <c r="AH1523">
        <v>0</v>
      </c>
      <c r="AI1523" t="s">
        <v>812</v>
      </c>
      <c r="AJ1523">
        <v>33.089317999999999</v>
      </c>
      <c r="AK1523" t="s">
        <v>813</v>
      </c>
      <c r="AL1523">
        <v>-97.682768999999993</v>
      </c>
      <c r="AM1523">
        <v>25</v>
      </c>
      <c r="AN1523">
        <v>3500</v>
      </c>
      <c r="AO1523" t="s">
        <v>118</v>
      </c>
      <c r="AP1523">
        <v>46</v>
      </c>
      <c r="AQ1523">
        <v>-107</v>
      </c>
      <c r="AR1523">
        <v>960</v>
      </c>
      <c r="AZ1523">
        <v>1200</v>
      </c>
      <c r="BA1523">
        <v>1</v>
      </c>
      <c r="BB1523" t="str">
        <f t="shared" si="449"/>
        <v xml:space="preserve">N733KP  </v>
      </c>
      <c r="BC1523">
        <v>1</v>
      </c>
      <c r="BE1523">
        <v>0</v>
      </c>
      <c r="BF1523">
        <v>0</v>
      </c>
      <c r="BG1523">
        <v>0</v>
      </c>
      <c r="BH1523">
        <v>3375</v>
      </c>
      <c r="BI1523">
        <v>1</v>
      </c>
      <c r="BJ1523">
        <v>1</v>
      </c>
      <c r="BK1523">
        <v>0</v>
      </c>
      <c r="BL1523">
        <v>0</v>
      </c>
      <c r="BO1523">
        <v>0</v>
      </c>
      <c r="BP1523">
        <v>0</v>
      </c>
      <c r="BW1523" t="str">
        <f>"22:15:52.676"</f>
        <v>22:15:52.676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364</v>
      </c>
      <c r="CR1523">
        <v>0</v>
      </c>
      <c r="CW1523">
        <v>1423620</v>
      </c>
      <c r="CY1523">
        <v>1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"03/24/2022 22:15:52.840"</f>
        <v>03/24/2022 22:15:52.840</v>
      </c>
      <c r="C1524" t="str">
        <f t="shared" si="448"/>
        <v>FFDFD3C0</v>
      </c>
      <c r="D1524" t="s">
        <v>120</v>
      </c>
      <c r="E1524">
        <v>14</v>
      </c>
      <c r="F1524">
        <v>1014</v>
      </c>
      <c r="G1524" t="s">
        <v>121</v>
      </c>
      <c r="J1524" t="s">
        <v>122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S1524" t="str">
        <f t="shared" si="457"/>
        <v>22:15:52.000</v>
      </c>
      <c r="T1524" t="str">
        <f t="shared" si="457"/>
        <v>22:15:52.000</v>
      </c>
      <c r="U1524" t="str">
        <f t="shared" si="442"/>
        <v>A9D71F</v>
      </c>
      <c r="V1524">
        <v>0</v>
      </c>
      <c r="W1524">
        <v>0</v>
      </c>
      <c r="X1524">
        <v>2</v>
      </c>
      <c r="Z1524">
        <v>1</v>
      </c>
      <c r="AA1524">
        <v>8</v>
      </c>
      <c r="AB1524">
        <v>3</v>
      </c>
      <c r="AC1524">
        <v>0</v>
      </c>
      <c r="AD1524">
        <v>9</v>
      </c>
      <c r="AE1524">
        <v>0</v>
      </c>
      <c r="AF1524">
        <v>3</v>
      </c>
      <c r="AG1524">
        <v>1</v>
      </c>
      <c r="AH1524">
        <v>0</v>
      </c>
      <c r="AI1524" t="s">
        <v>812</v>
      </c>
      <c r="AJ1524">
        <v>33.089317999999999</v>
      </c>
      <c r="AK1524" t="s">
        <v>813</v>
      </c>
      <c r="AL1524">
        <v>-97.682768999999993</v>
      </c>
      <c r="AM1524">
        <v>25</v>
      </c>
      <c r="AN1524">
        <v>3500</v>
      </c>
      <c r="AO1524" t="s">
        <v>118</v>
      </c>
      <c r="AP1524">
        <v>46</v>
      </c>
      <c r="AQ1524">
        <v>-107</v>
      </c>
      <c r="AR1524">
        <v>960</v>
      </c>
      <c r="AZ1524">
        <v>1200</v>
      </c>
      <c r="BA1524">
        <v>1</v>
      </c>
      <c r="BB1524" t="str">
        <f t="shared" si="449"/>
        <v xml:space="preserve">N733KP  </v>
      </c>
      <c r="BC1524">
        <v>1</v>
      </c>
      <c r="BE1524">
        <v>0</v>
      </c>
      <c r="BF1524">
        <v>0</v>
      </c>
      <c r="BG1524">
        <v>0</v>
      </c>
      <c r="BH1524">
        <v>3375</v>
      </c>
      <c r="BI1524">
        <v>1</v>
      </c>
      <c r="BJ1524">
        <v>1</v>
      </c>
      <c r="BK1524">
        <v>0</v>
      </c>
      <c r="BL1524">
        <v>0</v>
      </c>
      <c r="BO1524">
        <v>0</v>
      </c>
      <c r="BP1524">
        <v>0</v>
      </c>
      <c r="BW1524" t="str">
        <f>"22:15:52.676"</f>
        <v>22:15:52.676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7</v>
      </c>
      <c r="CP1524" t="s">
        <v>119</v>
      </c>
      <c r="CQ1524">
        <v>364</v>
      </c>
      <c r="CR1524">
        <v>0</v>
      </c>
      <c r="CW1524">
        <v>1423620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"03/24/2022 22:15:52.840"</f>
        <v>03/24/2022 22:15:52.840</v>
      </c>
      <c r="C1525" t="str">
        <f t="shared" si="448"/>
        <v>FFDFD3C0</v>
      </c>
      <c r="D1525" t="s">
        <v>123</v>
      </c>
      <c r="E1525">
        <v>8</v>
      </c>
      <c r="H1525">
        <v>31</v>
      </c>
      <c r="I1525" t="s">
        <v>124</v>
      </c>
      <c r="J1525" t="s">
        <v>125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S1525" t="str">
        <f t="shared" si="457"/>
        <v>22:15:52.000</v>
      </c>
      <c r="T1525" t="str">
        <f t="shared" si="457"/>
        <v>22:15:52.000</v>
      </c>
      <c r="U1525" t="str">
        <f t="shared" si="442"/>
        <v>A9D71F</v>
      </c>
      <c r="V1525">
        <v>0</v>
      </c>
      <c r="W1525">
        <v>0</v>
      </c>
      <c r="X1525">
        <v>2</v>
      </c>
      <c r="Z1525">
        <v>1</v>
      </c>
      <c r="AA1525">
        <v>8</v>
      </c>
      <c r="AB1525">
        <v>3</v>
      </c>
      <c r="AC1525">
        <v>0</v>
      </c>
      <c r="AD1525">
        <v>9</v>
      </c>
      <c r="AE1525">
        <v>0</v>
      </c>
      <c r="AF1525">
        <v>3</v>
      </c>
      <c r="AG1525">
        <v>1</v>
      </c>
      <c r="AH1525">
        <v>0</v>
      </c>
      <c r="AI1525" t="s">
        <v>812</v>
      </c>
      <c r="AJ1525">
        <v>33.089317999999999</v>
      </c>
      <c r="AK1525" t="s">
        <v>813</v>
      </c>
      <c r="AL1525">
        <v>-97.682768999999993</v>
      </c>
      <c r="AM1525">
        <v>25</v>
      </c>
      <c r="AN1525">
        <v>3500</v>
      </c>
      <c r="AO1525" t="s">
        <v>118</v>
      </c>
      <c r="AP1525">
        <v>46</v>
      </c>
      <c r="AQ1525">
        <v>-107</v>
      </c>
      <c r="AR1525">
        <v>960</v>
      </c>
      <c r="AZ1525">
        <v>1200</v>
      </c>
      <c r="BA1525">
        <v>1</v>
      </c>
      <c r="BB1525" t="str">
        <f t="shared" si="449"/>
        <v xml:space="preserve">N733KP  </v>
      </c>
      <c r="BC1525">
        <v>1</v>
      </c>
      <c r="BE1525">
        <v>0</v>
      </c>
      <c r="BF1525">
        <v>0</v>
      </c>
      <c r="BG1525">
        <v>0</v>
      </c>
      <c r="BH1525">
        <v>3375</v>
      </c>
      <c r="BI1525">
        <v>1</v>
      </c>
      <c r="BJ1525">
        <v>1</v>
      </c>
      <c r="BK1525">
        <v>0</v>
      </c>
      <c r="BL1525">
        <v>0</v>
      </c>
      <c r="BO1525">
        <v>0</v>
      </c>
      <c r="BP1525">
        <v>0</v>
      </c>
      <c r="BW1525" t="str">
        <f>"22:15:52.676"</f>
        <v>22:15:52.676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7</v>
      </c>
      <c r="CP1525" t="s">
        <v>119</v>
      </c>
      <c r="CQ1525">
        <v>364</v>
      </c>
      <c r="CR1525">
        <v>0</v>
      </c>
      <c r="CW1525">
        <v>1423620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"03/24/2022 22:15:52.871"</f>
        <v>03/24/2022 22:15:52.871</v>
      </c>
      <c r="C1526" t="str">
        <f t="shared" si="448"/>
        <v>FFDFD3C0</v>
      </c>
      <c r="D1526" t="s">
        <v>126</v>
      </c>
      <c r="E1526">
        <v>3</v>
      </c>
      <c r="H1526">
        <v>160</v>
      </c>
      <c r="I1526" t="s">
        <v>121</v>
      </c>
      <c r="J1526" t="s">
        <v>127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S1526" t="str">
        <f t="shared" si="457"/>
        <v>22:15:52.000</v>
      </c>
      <c r="T1526" t="str">
        <f t="shared" si="457"/>
        <v>22:15:52.000</v>
      </c>
      <c r="U1526" t="str">
        <f t="shared" si="442"/>
        <v>A9D71F</v>
      </c>
      <c r="V1526">
        <v>0</v>
      </c>
      <c r="W1526">
        <v>0</v>
      </c>
      <c r="X1526">
        <v>2</v>
      </c>
      <c r="Z1526">
        <v>1</v>
      </c>
      <c r="AA1526">
        <v>8</v>
      </c>
      <c r="AB1526">
        <v>3</v>
      </c>
      <c r="AC1526">
        <v>0</v>
      </c>
      <c r="AD1526">
        <v>9</v>
      </c>
      <c r="AE1526">
        <v>0</v>
      </c>
      <c r="AF1526">
        <v>3</v>
      </c>
      <c r="AG1526">
        <v>1</v>
      </c>
      <c r="AH1526">
        <v>0</v>
      </c>
      <c r="AI1526" t="s">
        <v>812</v>
      </c>
      <c r="AJ1526">
        <v>33.089317999999999</v>
      </c>
      <c r="AK1526" t="s">
        <v>813</v>
      </c>
      <c r="AL1526">
        <v>-97.682768999999993</v>
      </c>
      <c r="AM1526">
        <v>25</v>
      </c>
      <c r="AN1526">
        <v>3500</v>
      </c>
      <c r="AO1526" t="s">
        <v>118</v>
      </c>
      <c r="AP1526">
        <v>46</v>
      </c>
      <c r="AQ1526">
        <v>-107</v>
      </c>
      <c r="AR1526">
        <v>960</v>
      </c>
      <c r="AZ1526">
        <v>1200</v>
      </c>
      <c r="BA1526">
        <v>1</v>
      </c>
      <c r="BB1526" t="str">
        <f t="shared" si="449"/>
        <v xml:space="preserve">N733KP  </v>
      </c>
      <c r="BC1526">
        <v>1</v>
      </c>
      <c r="BE1526">
        <v>0</v>
      </c>
      <c r="BF1526">
        <v>0</v>
      </c>
      <c r="BG1526">
        <v>0</v>
      </c>
      <c r="BH1526">
        <v>3375</v>
      </c>
      <c r="BI1526">
        <v>1</v>
      </c>
      <c r="BJ1526">
        <v>1</v>
      </c>
      <c r="BK1526">
        <v>0</v>
      </c>
      <c r="BL1526">
        <v>0</v>
      </c>
      <c r="BO1526">
        <v>0</v>
      </c>
      <c r="BP1526">
        <v>0</v>
      </c>
      <c r="BW1526" t="str">
        <f>"22:15:52.676"</f>
        <v>22:15:52.676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7</v>
      </c>
      <c r="CP1526" t="s">
        <v>119</v>
      </c>
      <c r="CQ1526">
        <v>364</v>
      </c>
      <c r="CR1526">
        <v>0</v>
      </c>
      <c r="CW1526">
        <v>1423620</v>
      </c>
      <c r="CY1526">
        <v>1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"03/24/2022 22:15:53.983"</f>
        <v>03/24/2022 22:15:53.983</v>
      </c>
      <c r="C1527" t="str">
        <f t="shared" si="448"/>
        <v>FFDFD3C0</v>
      </c>
      <c r="D1527" t="s">
        <v>126</v>
      </c>
      <c r="E1527">
        <v>3</v>
      </c>
      <c r="H1527">
        <v>160</v>
      </c>
      <c r="I1527" t="s">
        <v>121</v>
      </c>
      <c r="J1527" t="s">
        <v>127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S1527" t="str">
        <f t="shared" ref="S1527:T1530" si="458">"22:15:53.000"</f>
        <v>22:15:53.000</v>
      </c>
      <c r="T1527" t="str">
        <f t="shared" si="458"/>
        <v>22:15:53.000</v>
      </c>
      <c r="U1527" t="str">
        <f t="shared" si="442"/>
        <v>A9D71F</v>
      </c>
      <c r="V1527">
        <v>0</v>
      </c>
      <c r="W1527">
        <v>0</v>
      </c>
      <c r="X1527">
        <v>2</v>
      </c>
      <c r="Z1527">
        <v>1</v>
      </c>
      <c r="AA1527">
        <v>8</v>
      </c>
      <c r="AB1527">
        <v>3</v>
      </c>
      <c r="AC1527">
        <v>0</v>
      </c>
      <c r="AD1527">
        <v>9</v>
      </c>
      <c r="AE1527">
        <v>0</v>
      </c>
      <c r="AF1527">
        <v>3</v>
      </c>
      <c r="AG1527">
        <v>1</v>
      </c>
      <c r="AH1527">
        <v>0</v>
      </c>
      <c r="AI1527" t="s">
        <v>814</v>
      </c>
      <c r="AJ1527">
        <v>33.088825</v>
      </c>
      <c r="AK1527" t="s">
        <v>815</v>
      </c>
      <c r="AL1527">
        <v>-97.682533000000006</v>
      </c>
      <c r="AM1527">
        <v>25</v>
      </c>
      <c r="AN1527">
        <v>3500</v>
      </c>
      <c r="AO1527" t="s">
        <v>118</v>
      </c>
      <c r="AP1527">
        <v>45</v>
      </c>
      <c r="AQ1527">
        <v>-106</v>
      </c>
      <c r="AR1527">
        <v>1024</v>
      </c>
      <c r="AZ1527">
        <v>1200</v>
      </c>
      <c r="BA1527">
        <v>1</v>
      </c>
      <c r="BB1527" t="str">
        <f t="shared" si="449"/>
        <v xml:space="preserve">N733KP  </v>
      </c>
      <c r="BC1527">
        <v>1</v>
      </c>
      <c r="BE1527">
        <v>0</v>
      </c>
      <c r="BF1527">
        <v>0</v>
      </c>
      <c r="BG1527">
        <v>0</v>
      </c>
      <c r="BH1527">
        <v>3400</v>
      </c>
      <c r="BI1527">
        <v>1</v>
      </c>
      <c r="BJ1527">
        <v>1</v>
      </c>
      <c r="BK1527">
        <v>0</v>
      </c>
      <c r="BL1527">
        <v>0</v>
      </c>
      <c r="BO1527">
        <v>0</v>
      </c>
      <c r="BP1527">
        <v>0</v>
      </c>
      <c r="BW1527" t="str">
        <f>"22:15:53.680"</f>
        <v>22:15:53.680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119</v>
      </c>
      <c r="CQ1527">
        <v>364</v>
      </c>
      <c r="CR1527">
        <v>0</v>
      </c>
      <c r="CW1527">
        <v>1423773</v>
      </c>
      <c r="CY1527">
        <v>1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"03/24/2022 22:15:53.983"</f>
        <v>03/24/2022 22:15:53.983</v>
      </c>
      <c r="C1528" t="str">
        <f t="shared" si="448"/>
        <v>FFDFD3C0</v>
      </c>
      <c r="D1528" t="s">
        <v>113</v>
      </c>
      <c r="E1528">
        <v>24</v>
      </c>
      <c r="F1528">
        <v>2024</v>
      </c>
      <c r="G1528" t="s">
        <v>114</v>
      </c>
      <c r="J1528" t="s">
        <v>115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S1528" t="str">
        <f t="shared" si="458"/>
        <v>22:15:53.000</v>
      </c>
      <c r="T1528" t="str">
        <f t="shared" si="458"/>
        <v>22:15:53.000</v>
      </c>
      <c r="U1528" t="str">
        <f t="shared" si="442"/>
        <v>A9D71F</v>
      </c>
      <c r="V1528">
        <v>0</v>
      </c>
      <c r="W1528">
        <v>0</v>
      </c>
      <c r="X1528">
        <v>2</v>
      </c>
      <c r="Z1528">
        <v>1</v>
      </c>
      <c r="AA1528">
        <v>8</v>
      </c>
      <c r="AB1528">
        <v>3</v>
      </c>
      <c r="AC1528">
        <v>0</v>
      </c>
      <c r="AD1528">
        <v>9</v>
      </c>
      <c r="AE1528">
        <v>0</v>
      </c>
      <c r="AF1528">
        <v>3</v>
      </c>
      <c r="AG1528">
        <v>1</v>
      </c>
      <c r="AH1528">
        <v>0</v>
      </c>
      <c r="AI1528" t="s">
        <v>814</v>
      </c>
      <c r="AJ1528">
        <v>33.088825</v>
      </c>
      <c r="AK1528" t="s">
        <v>815</v>
      </c>
      <c r="AL1528">
        <v>-97.682533000000006</v>
      </c>
      <c r="AM1528">
        <v>25</v>
      </c>
      <c r="AN1528">
        <v>3500</v>
      </c>
      <c r="AO1528" t="s">
        <v>118</v>
      </c>
      <c r="AP1528">
        <v>45</v>
      </c>
      <c r="AQ1528">
        <v>-106</v>
      </c>
      <c r="AR1528">
        <v>1024</v>
      </c>
      <c r="AZ1528">
        <v>1200</v>
      </c>
      <c r="BA1528">
        <v>1</v>
      </c>
      <c r="BB1528" t="str">
        <f t="shared" si="449"/>
        <v xml:space="preserve">N733KP  </v>
      </c>
      <c r="BC1528">
        <v>1</v>
      </c>
      <c r="BE1528">
        <v>0</v>
      </c>
      <c r="BF1528">
        <v>0</v>
      </c>
      <c r="BG1528">
        <v>0</v>
      </c>
      <c r="BH1528">
        <v>3400</v>
      </c>
      <c r="BI1528">
        <v>1</v>
      </c>
      <c r="BJ1528">
        <v>1</v>
      </c>
      <c r="BK1528">
        <v>0</v>
      </c>
      <c r="BL1528">
        <v>0</v>
      </c>
      <c r="BO1528">
        <v>0</v>
      </c>
      <c r="BP1528">
        <v>0</v>
      </c>
      <c r="BW1528" t="str">
        <f>"22:15:53.680"</f>
        <v>22:15:53.680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119</v>
      </c>
      <c r="CQ1528">
        <v>364</v>
      </c>
      <c r="CR1528">
        <v>0</v>
      </c>
      <c r="CW1528">
        <v>1423773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"03/24/2022 22:15:53.983"</f>
        <v>03/24/2022 22:15:53.983</v>
      </c>
      <c r="C1529" t="str">
        <f t="shared" si="448"/>
        <v>FFDFD3C0</v>
      </c>
      <c r="D1529" t="s">
        <v>120</v>
      </c>
      <c r="E1529">
        <v>14</v>
      </c>
      <c r="F1529">
        <v>1014</v>
      </c>
      <c r="G1529" t="s">
        <v>121</v>
      </c>
      <c r="J1529" t="s">
        <v>122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S1529" t="str">
        <f t="shared" si="458"/>
        <v>22:15:53.000</v>
      </c>
      <c r="T1529" t="str">
        <f t="shared" si="458"/>
        <v>22:15:53.000</v>
      </c>
      <c r="U1529" t="str">
        <f t="shared" si="442"/>
        <v>A9D71F</v>
      </c>
      <c r="V1529">
        <v>0</v>
      </c>
      <c r="W1529">
        <v>0</v>
      </c>
      <c r="X1529">
        <v>2</v>
      </c>
      <c r="Z1529">
        <v>1</v>
      </c>
      <c r="AA1529">
        <v>8</v>
      </c>
      <c r="AB1529">
        <v>3</v>
      </c>
      <c r="AC1529">
        <v>0</v>
      </c>
      <c r="AD1529">
        <v>9</v>
      </c>
      <c r="AE1529">
        <v>0</v>
      </c>
      <c r="AF1529">
        <v>3</v>
      </c>
      <c r="AG1529">
        <v>1</v>
      </c>
      <c r="AH1529">
        <v>0</v>
      </c>
      <c r="AI1529" t="s">
        <v>814</v>
      </c>
      <c r="AJ1529">
        <v>33.088825</v>
      </c>
      <c r="AK1529" t="s">
        <v>815</v>
      </c>
      <c r="AL1529">
        <v>-97.682533000000006</v>
      </c>
      <c r="AM1529">
        <v>25</v>
      </c>
      <c r="AN1529">
        <v>3500</v>
      </c>
      <c r="AO1529" t="s">
        <v>118</v>
      </c>
      <c r="AP1529">
        <v>45</v>
      </c>
      <c r="AQ1529">
        <v>-106</v>
      </c>
      <c r="AR1529">
        <v>1024</v>
      </c>
      <c r="AZ1529">
        <v>1200</v>
      </c>
      <c r="BA1529">
        <v>1</v>
      </c>
      <c r="BB1529" t="str">
        <f t="shared" si="449"/>
        <v xml:space="preserve">N733KP  </v>
      </c>
      <c r="BC1529">
        <v>1</v>
      </c>
      <c r="BE1529">
        <v>0</v>
      </c>
      <c r="BF1529">
        <v>0</v>
      </c>
      <c r="BG1529">
        <v>0</v>
      </c>
      <c r="BH1529">
        <v>3400</v>
      </c>
      <c r="BI1529">
        <v>1</v>
      </c>
      <c r="BJ1529">
        <v>1</v>
      </c>
      <c r="BK1529">
        <v>0</v>
      </c>
      <c r="BL1529">
        <v>0</v>
      </c>
      <c r="BO1529">
        <v>0</v>
      </c>
      <c r="BP1529">
        <v>0</v>
      </c>
      <c r="BW1529" t="str">
        <f>"22:15:53.680"</f>
        <v>22:15:53.680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7</v>
      </c>
      <c r="CP1529" t="s">
        <v>119</v>
      </c>
      <c r="CQ1529">
        <v>364</v>
      </c>
      <c r="CR1529">
        <v>0</v>
      </c>
      <c r="CW1529">
        <v>1423773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"03/24/2022 22:15:53.983"</f>
        <v>03/24/2022 22:15:53.983</v>
      </c>
      <c r="C1530" t="str">
        <f t="shared" si="448"/>
        <v>FFDFD3C0</v>
      </c>
      <c r="D1530" t="s">
        <v>123</v>
      </c>
      <c r="E1530">
        <v>8</v>
      </c>
      <c r="H1530">
        <v>31</v>
      </c>
      <c r="I1530" t="s">
        <v>124</v>
      </c>
      <c r="J1530" t="s">
        <v>125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S1530" t="str">
        <f t="shared" si="458"/>
        <v>22:15:53.000</v>
      </c>
      <c r="T1530" t="str">
        <f t="shared" si="458"/>
        <v>22:15:53.000</v>
      </c>
      <c r="U1530" t="str">
        <f t="shared" si="442"/>
        <v>A9D71F</v>
      </c>
      <c r="V1530">
        <v>0</v>
      </c>
      <c r="W1530">
        <v>0</v>
      </c>
      <c r="X1530">
        <v>2</v>
      </c>
      <c r="Z1530">
        <v>1</v>
      </c>
      <c r="AA1530">
        <v>8</v>
      </c>
      <c r="AB1530">
        <v>3</v>
      </c>
      <c r="AC1530">
        <v>0</v>
      </c>
      <c r="AD1530">
        <v>9</v>
      </c>
      <c r="AE1530">
        <v>0</v>
      </c>
      <c r="AF1530">
        <v>3</v>
      </c>
      <c r="AG1530">
        <v>1</v>
      </c>
      <c r="AH1530">
        <v>0</v>
      </c>
      <c r="AI1530" t="s">
        <v>814</v>
      </c>
      <c r="AJ1530">
        <v>33.088825</v>
      </c>
      <c r="AK1530" t="s">
        <v>815</v>
      </c>
      <c r="AL1530">
        <v>-97.682533000000006</v>
      </c>
      <c r="AM1530">
        <v>25</v>
      </c>
      <c r="AN1530">
        <v>3500</v>
      </c>
      <c r="AO1530" t="s">
        <v>118</v>
      </c>
      <c r="AP1530">
        <v>45</v>
      </c>
      <c r="AQ1530">
        <v>-106</v>
      </c>
      <c r="AR1530">
        <v>1024</v>
      </c>
      <c r="AZ1530">
        <v>1200</v>
      </c>
      <c r="BA1530">
        <v>1</v>
      </c>
      <c r="BB1530" t="str">
        <f t="shared" si="449"/>
        <v xml:space="preserve">N733KP  </v>
      </c>
      <c r="BC1530">
        <v>1</v>
      </c>
      <c r="BE1530">
        <v>0</v>
      </c>
      <c r="BF1530">
        <v>0</v>
      </c>
      <c r="BG1530">
        <v>0</v>
      </c>
      <c r="BH1530">
        <v>3400</v>
      </c>
      <c r="BI1530">
        <v>1</v>
      </c>
      <c r="BJ1530">
        <v>1</v>
      </c>
      <c r="BK1530">
        <v>0</v>
      </c>
      <c r="BL1530">
        <v>0</v>
      </c>
      <c r="BO1530">
        <v>0</v>
      </c>
      <c r="BP1530">
        <v>0</v>
      </c>
      <c r="BW1530" t="str">
        <f>"22:15:53.680"</f>
        <v>22:15:53.680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7</v>
      </c>
      <c r="CP1530" t="s">
        <v>119</v>
      </c>
      <c r="CQ1530">
        <v>364</v>
      </c>
      <c r="CR1530">
        <v>0</v>
      </c>
      <c r="CW1530">
        <v>1423773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"03/24/2022 22:15:54.748"</f>
        <v>03/24/2022 22:15:54.748</v>
      </c>
      <c r="C1531" t="str">
        <f t="shared" si="448"/>
        <v>FFDFD3C0</v>
      </c>
      <c r="D1531" t="s">
        <v>123</v>
      </c>
      <c r="E1531">
        <v>8</v>
      </c>
      <c r="H1531">
        <v>31</v>
      </c>
      <c r="I1531" t="s">
        <v>124</v>
      </c>
      <c r="J1531" t="s">
        <v>125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S1531" t="str">
        <f t="shared" ref="S1531:T1534" si="459">"22:15:54.000"</f>
        <v>22:15:54.000</v>
      </c>
      <c r="T1531" t="str">
        <f t="shared" si="459"/>
        <v>22:15:54.000</v>
      </c>
      <c r="U1531" t="str">
        <f t="shared" si="442"/>
        <v>A9D71F</v>
      </c>
      <c r="V1531">
        <v>0</v>
      </c>
      <c r="W1531">
        <v>0</v>
      </c>
      <c r="X1531">
        <v>2</v>
      </c>
      <c r="Z1531">
        <v>1</v>
      </c>
      <c r="AA1531">
        <v>8</v>
      </c>
      <c r="AB1531">
        <v>3</v>
      </c>
      <c r="AC1531">
        <v>0</v>
      </c>
      <c r="AD1531">
        <v>9</v>
      </c>
      <c r="AE1531">
        <v>0</v>
      </c>
      <c r="AF1531">
        <v>3</v>
      </c>
      <c r="AG1531">
        <v>1</v>
      </c>
      <c r="AH1531">
        <v>0</v>
      </c>
      <c r="AI1531" t="s">
        <v>816</v>
      </c>
      <c r="AJ1531">
        <v>33.088330999999997</v>
      </c>
      <c r="AK1531" t="s">
        <v>817</v>
      </c>
      <c r="AL1531">
        <v>-97.682254</v>
      </c>
      <c r="AM1531">
        <v>25</v>
      </c>
      <c r="AN1531">
        <v>3500</v>
      </c>
      <c r="AO1531" t="s">
        <v>118</v>
      </c>
      <c r="AP1531">
        <v>45</v>
      </c>
      <c r="AQ1531">
        <v>-106</v>
      </c>
      <c r="AR1531">
        <v>1024</v>
      </c>
      <c r="AZ1531">
        <v>1200</v>
      </c>
      <c r="BA1531">
        <v>1</v>
      </c>
      <c r="BB1531" t="str">
        <f t="shared" si="449"/>
        <v xml:space="preserve">N733KP  </v>
      </c>
      <c r="BC1531">
        <v>1</v>
      </c>
      <c r="BE1531">
        <v>0</v>
      </c>
      <c r="BF1531">
        <v>0</v>
      </c>
      <c r="BG1531">
        <v>0</v>
      </c>
      <c r="BH1531">
        <v>3400</v>
      </c>
      <c r="BI1531">
        <v>1</v>
      </c>
      <c r="BJ1531">
        <v>1</v>
      </c>
      <c r="BK1531">
        <v>0</v>
      </c>
      <c r="BL1531">
        <v>0</v>
      </c>
      <c r="BO1531">
        <v>0</v>
      </c>
      <c r="BP1531">
        <v>0</v>
      </c>
      <c r="BW1531" t="str">
        <f>"22:15:54.563"</f>
        <v>22:15:54.563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119</v>
      </c>
      <c r="CQ1531">
        <v>364</v>
      </c>
      <c r="CR1531">
        <v>0</v>
      </c>
      <c r="CW1531">
        <v>1423910</v>
      </c>
      <c r="CY1531">
        <v>1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"03/24/2022 22:15:54.748"</f>
        <v>03/24/2022 22:15:54.748</v>
      </c>
      <c r="C1532" t="str">
        <f t="shared" si="448"/>
        <v>FFDFD3C0</v>
      </c>
      <c r="D1532" t="s">
        <v>126</v>
      </c>
      <c r="E1532">
        <v>3</v>
      </c>
      <c r="H1532">
        <v>160</v>
      </c>
      <c r="I1532" t="s">
        <v>121</v>
      </c>
      <c r="J1532" t="s">
        <v>127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S1532" t="str">
        <f t="shared" si="459"/>
        <v>22:15:54.000</v>
      </c>
      <c r="T1532" t="str">
        <f t="shared" si="459"/>
        <v>22:15:54.000</v>
      </c>
      <c r="U1532" t="str">
        <f t="shared" si="442"/>
        <v>A9D71F</v>
      </c>
      <c r="V1532">
        <v>0</v>
      </c>
      <c r="W1532">
        <v>0</v>
      </c>
      <c r="X1532">
        <v>2</v>
      </c>
      <c r="Z1532">
        <v>1</v>
      </c>
      <c r="AA1532">
        <v>8</v>
      </c>
      <c r="AB1532">
        <v>3</v>
      </c>
      <c r="AC1532">
        <v>0</v>
      </c>
      <c r="AD1532">
        <v>9</v>
      </c>
      <c r="AE1532">
        <v>0</v>
      </c>
      <c r="AF1532">
        <v>3</v>
      </c>
      <c r="AG1532">
        <v>1</v>
      </c>
      <c r="AH1532">
        <v>0</v>
      </c>
      <c r="AI1532" t="s">
        <v>816</v>
      </c>
      <c r="AJ1532">
        <v>33.088330999999997</v>
      </c>
      <c r="AK1532" t="s">
        <v>817</v>
      </c>
      <c r="AL1532">
        <v>-97.682254</v>
      </c>
      <c r="AM1532">
        <v>25</v>
      </c>
      <c r="AN1532">
        <v>3500</v>
      </c>
      <c r="AO1532" t="s">
        <v>118</v>
      </c>
      <c r="AP1532">
        <v>45</v>
      </c>
      <c r="AQ1532">
        <v>-106</v>
      </c>
      <c r="AR1532">
        <v>1024</v>
      </c>
      <c r="AZ1532">
        <v>1200</v>
      </c>
      <c r="BA1532">
        <v>1</v>
      </c>
      <c r="BB1532" t="str">
        <f t="shared" si="449"/>
        <v xml:space="preserve">N733KP  </v>
      </c>
      <c r="BC1532">
        <v>1</v>
      </c>
      <c r="BE1532">
        <v>0</v>
      </c>
      <c r="BF1532">
        <v>0</v>
      </c>
      <c r="BG1532">
        <v>0</v>
      </c>
      <c r="BH1532">
        <v>3400</v>
      </c>
      <c r="BI1532">
        <v>1</v>
      </c>
      <c r="BJ1532">
        <v>1</v>
      </c>
      <c r="BK1532">
        <v>0</v>
      </c>
      <c r="BL1532">
        <v>0</v>
      </c>
      <c r="BO1532">
        <v>0</v>
      </c>
      <c r="BP1532">
        <v>0</v>
      </c>
      <c r="BW1532" t="str">
        <f>"22:15:54.563"</f>
        <v>22:15:54.563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364</v>
      </c>
      <c r="CR1532">
        <v>0</v>
      </c>
      <c r="CW1532">
        <v>1423910</v>
      </c>
      <c r="CY1532">
        <v>1</v>
      </c>
      <c r="CZ1532">
        <v>0</v>
      </c>
      <c r="DA1532">
        <v>1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"03/24/2022 22:15:54.764"</f>
        <v>03/24/2022 22:15:54.764</v>
      </c>
      <c r="C1533" t="str">
        <f t="shared" si="448"/>
        <v>FFDFD3C0</v>
      </c>
      <c r="D1533" t="s">
        <v>120</v>
      </c>
      <c r="E1533">
        <v>14</v>
      </c>
      <c r="F1533">
        <v>1014</v>
      </c>
      <c r="G1533" t="s">
        <v>121</v>
      </c>
      <c r="J1533" t="s">
        <v>122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S1533" t="str">
        <f t="shared" si="459"/>
        <v>22:15:54.000</v>
      </c>
      <c r="T1533" t="str">
        <f t="shared" si="459"/>
        <v>22:15:54.000</v>
      </c>
      <c r="U1533" t="str">
        <f t="shared" si="442"/>
        <v>A9D71F</v>
      </c>
      <c r="V1533">
        <v>0</v>
      </c>
      <c r="W1533">
        <v>0</v>
      </c>
      <c r="X1533">
        <v>2</v>
      </c>
      <c r="Z1533">
        <v>1</v>
      </c>
      <c r="AA1533">
        <v>8</v>
      </c>
      <c r="AB1533">
        <v>3</v>
      </c>
      <c r="AC1533">
        <v>0</v>
      </c>
      <c r="AD1533">
        <v>9</v>
      </c>
      <c r="AE1533">
        <v>0</v>
      </c>
      <c r="AF1533">
        <v>3</v>
      </c>
      <c r="AG1533">
        <v>1</v>
      </c>
      <c r="AH1533">
        <v>0</v>
      </c>
      <c r="AI1533" t="s">
        <v>816</v>
      </c>
      <c r="AJ1533">
        <v>33.088330999999997</v>
      </c>
      <c r="AK1533" t="s">
        <v>817</v>
      </c>
      <c r="AL1533">
        <v>-97.682254</v>
      </c>
      <c r="AM1533">
        <v>25</v>
      </c>
      <c r="AN1533">
        <v>3500</v>
      </c>
      <c r="AO1533" t="s">
        <v>118</v>
      </c>
      <c r="AP1533">
        <v>45</v>
      </c>
      <c r="AQ1533">
        <v>-106</v>
      </c>
      <c r="AR1533">
        <v>1024</v>
      </c>
      <c r="AZ1533">
        <v>1200</v>
      </c>
      <c r="BA1533">
        <v>1</v>
      </c>
      <c r="BB1533" t="str">
        <f t="shared" si="449"/>
        <v xml:space="preserve">N733KP  </v>
      </c>
      <c r="BC1533">
        <v>1</v>
      </c>
      <c r="BE1533">
        <v>0</v>
      </c>
      <c r="BF1533">
        <v>0</v>
      </c>
      <c r="BG1533">
        <v>0</v>
      </c>
      <c r="BH1533">
        <v>3400</v>
      </c>
      <c r="BI1533">
        <v>1</v>
      </c>
      <c r="BJ1533">
        <v>1</v>
      </c>
      <c r="BK1533">
        <v>0</v>
      </c>
      <c r="BL1533">
        <v>0</v>
      </c>
      <c r="BO1533">
        <v>0</v>
      </c>
      <c r="BP1533">
        <v>0</v>
      </c>
      <c r="BW1533" t="str">
        <f>"22:15:54.563"</f>
        <v>22:15:54.563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364</v>
      </c>
      <c r="CR1533">
        <v>0</v>
      </c>
      <c r="CW1533">
        <v>1423910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"03/24/2022 22:15:54.764"</f>
        <v>03/24/2022 22:15:54.764</v>
      </c>
      <c r="C1534" t="str">
        <f t="shared" si="448"/>
        <v>FFDFD3C0</v>
      </c>
      <c r="D1534" t="s">
        <v>113</v>
      </c>
      <c r="E1534">
        <v>24</v>
      </c>
      <c r="F1534">
        <v>2024</v>
      </c>
      <c r="G1534" t="s">
        <v>114</v>
      </c>
      <c r="J1534" t="s">
        <v>115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S1534" t="str">
        <f t="shared" si="459"/>
        <v>22:15:54.000</v>
      </c>
      <c r="T1534" t="str">
        <f t="shared" si="459"/>
        <v>22:15:54.000</v>
      </c>
      <c r="U1534" t="str">
        <f t="shared" si="442"/>
        <v>A9D71F</v>
      </c>
      <c r="V1534">
        <v>0</v>
      </c>
      <c r="W1534">
        <v>0</v>
      </c>
      <c r="X1534">
        <v>2</v>
      </c>
      <c r="Z1534">
        <v>1</v>
      </c>
      <c r="AA1534">
        <v>8</v>
      </c>
      <c r="AB1534">
        <v>3</v>
      </c>
      <c r="AC1534">
        <v>0</v>
      </c>
      <c r="AD1534">
        <v>9</v>
      </c>
      <c r="AE1534">
        <v>0</v>
      </c>
      <c r="AF1534">
        <v>3</v>
      </c>
      <c r="AG1534">
        <v>1</v>
      </c>
      <c r="AH1534">
        <v>0</v>
      </c>
      <c r="AI1534" t="s">
        <v>816</v>
      </c>
      <c r="AJ1534">
        <v>33.088330999999997</v>
      </c>
      <c r="AK1534" t="s">
        <v>817</v>
      </c>
      <c r="AL1534">
        <v>-97.682254</v>
      </c>
      <c r="AM1534">
        <v>25</v>
      </c>
      <c r="AN1534">
        <v>3500</v>
      </c>
      <c r="AO1534" t="s">
        <v>118</v>
      </c>
      <c r="AP1534">
        <v>45</v>
      </c>
      <c r="AQ1534">
        <v>-106</v>
      </c>
      <c r="AR1534">
        <v>1024</v>
      </c>
      <c r="AZ1534">
        <v>1200</v>
      </c>
      <c r="BA1534">
        <v>1</v>
      </c>
      <c r="BB1534" t="str">
        <f t="shared" si="449"/>
        <v xml:space="preserve">N733KP  </v>
      </c>
      <c r="BC1534">
        <v>1</v>
      </c>
      <c r="BE1534">
        <v>0</v>
      </c>
      <c r="BF1534">
        <v>0</v>
      </c>
      <c r="BG1534">
        <v>0</v>
      </c>
      <c r="BH1534">
        <v>3400</v>
      </c>
      <c r="BI1534">
        <v>1</v>
      </c>
      <c r="BJ1534">
        <v>1</v>
      </c>
      <c r="BK1534">
        <v>0</v>
      </c>
      <c r="BL1534">
        <v>0</v>
      </c>
      <c r="BO1534">
        <v>0</v>
      </c>
      <c r="BP1534">
        <v>0</v>
      </c>
      <c r="BW1534" t="str">
        <f>"22:15:54.563"</f>
        <v>22:15:54.563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7</v>
      </c>
      <c r="CP1534" t="s">
        <v>119</v>
      </c>
      <c r="CQ1534">
        <v>364</v>
      </c>
      <c r="CR1534">
        <v>0</v>
      </c>
      <c r="CW1534">
        <v>1423910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"03/24/2022 22:15:55.545"</f>
        <v>03/24/2022 22:15:55.545</v>
      </c>
      <c r="C1535" t="str">
        <f t="shared" si="448"/>
        <v>FFDFD3C0</v>
      </c>
      <c r="D1535" t="s">
        <v>126</v>
      </c>
      <c r="E1535">
        <v>3</v>
      </c>
      <c r="H1535">
        <v>160</v>
      </c>
      <c r="I1535" t="s">
        <v>121</v>
      </c>
      <c r="J1535" t="s">
        <v>127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S1535" t="str">
        <f t="shared" ref="S1535:T1538" si="460">"22:15:55.000"</f>
        <v>22:15:55.000</v>
      </c>
      <c r="T1535" t="str">
        <f t="shared" si="460"/>
        <v>22:15:55.000</v>
      </c>
      <c r="U1535" t="str">
        <f t="shared" si="442"/>
        <v>A9D71F</v>
      </c>
      <c r="V1535">
        <v>0</v>
      </c>
      <c r="W1535">
        <v>0</v>
      </c>
      <c r="X1535">
        <v>2</v>
      </c>
      <c r="Z1535">
        <v>1</v>
      </c>
      <c r="AA1535">
        <v>8</v>
      </c>
      <c r="AB1535">
        <v>3</v>
      </c>
      <c r="AC1535">
        <v>0</v>
      </c>
      <c r="AD1535">
        <v>9</v>
      </c>
      <c r="AE1535">
        <v>0</v>
      </c>
      <c r="AF1535">
        <v>3</v>
      </c>
      <c r="AG1535">
        <v>1</v>
      </c>
      <c r="AH1535">
        <v>0</v>
      </c>
      <c r="AI1535" t="s">
        <v>818</v>
      </c>
      <c r="AJ1535">
        <v>33.087837999999998</v>
      </c>
      <c r="AK1535" t="s">
        <v>819</v>
      </c>
      <c r="AL1535">
        <v>-97.682083000000006</v>
      </c>
      <c r="AM1535">
        <v>25</v>
      </c>
      <c r="AN1535">
        <v>3500</v>
      </c>
      <c r="AO1535" t="s">
        <v>118</v>
      </c>
      <c r="AP1535">
        <v>43</v>
      </c>
      <c r="AQ1535">
        <v>-106</v>
      </c>
      <c r="AR1535">
        <v>960</v>
      </c>
      <c r="AZ1535">
        <v>1200</v>
      </c>
      <c r="BA1535">
        <v>1</v>
      </c>
      <c r="BB1535" t="str">
        <f t="shared" si="449"/>
        <v xml:space="preserve">N733KP  </v>
      </c>
      <c r="BC1535">
        <v>1</v>
      </c>
      <c r="BE1535">
        <v>0</v>
      </c>
      <c r="BF1535">
        <v>0</v>
      </c>
      <c r="BG1535">
        <v>0</v>
      </c>
      <c r="BH1535">
        <v>3400</v>
      </c>
      <c r="BI1535">
        <v>1</v>
      </c>
      <c r="BJ1535">
        <v>1</v>
      </c>
      <c r="BK1535">
        <v>0</v>
      </c>
      <c r="BL1535">
        <v>0</v>
      </c>
      <c r="BO1535">
        <v>0</v>
      </c>
      <c r="BP1535">
        <v>0</v>
      </c>
      <c r="BW1535" t="str">
        <f>"22:15:55.372"</f>
        <v>22:15:55.372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7</v>
      </c>
      <c r="CP1535" t="s">
        <v>119</v>
      </c>
      <c r="CQ1535">
        <v>364</v>
      </c>
      <c r="CR1535">
        <v>0</v>
      </c>
      <c r="CW1535">
        <v>1424047</v>
      </c>
      <c r="CY1535">
        <v>1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"03/24/2022 22:15:55.577"</f>
        <v>03/24/2022 22:15:55.577</v>
      </c>
      <c r="C1536" t="str">
        <f t="shared" si="448"/>
        <v>FFDFD3C0</v>
      </c>
      <c r="D1536" t="s">
        <v>120</v>
      </c>
      <c r="E1536">
        <v>14</v>
      </c>
      <c r="F1536">
        <v>1014</v>
      </c>
      <c r="G1536" t="s">
        <v>121</v>
      </c>
      <c r="J1536" t="s">
        <v>122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S1536" t="str">
        <f t="shared" si="460"/>
        <v>22:15:55.000</v>
      </c>
      <c r="T1536" t="str">
        <f t="shared" si="460"/>
        <v>22:15:55.000</v>
      </c>
      <c r="U1536" t="str">
        <f t="shared" si="442"/>
        <v>A9D71F</v>
      </c>
      <c r="V1536">
        <v>0</v>
      </c>
      <c r="W1536">
        <v>0</v>
      </c>
      <c r="X1536">
        <v>2</v>
      </c>
      <c r="Z1536">
        <v>1</v>
      </c>
      <c r="AA1536">
        <v>8</v>
      </c>
      <c r="AB1536">
        <v>3</v>
      </c>
      <c r="AC1536">
        <v>0</v>
      </c>
      <c r="AD1536">
        <v>9</v>
      </c>
      <c r="AE1536">
        <v>0</v>
      </c>
      <c r="AF1536">
        <v>3</v>
      </c>
      <c r="AG1536">
        <v>1</v>
      </c>
      <c r="AH1536">
        <v>0</v>
      </c>
      <c r="AI1536" t="s">
        <v>818</v>
      </c>
      <c r="AJ1536">
        <v>33.087837999999998</v>
      </c>
      <c r="AK1536" t="s">
        <v>819</v>
      </c>
      <c r="AL1536">
        <v>-97.682083000000006</v>
      </c>
      <c r="AM1536">
        <v>25</v>
      </c>
      <c r="AN1536">
        <v>3500</v>
      </c>
      <c r="AO1536" t="s">
        <v>118</v>
      </c>
      <c r="AP1536">
        <v>43</v>
      </c>
      <c r="AQ1536">
        <v>-106</v>
      </c>
      <c r="AR1536">
        <v>960</v>
      </c>
      <c r="AZ1536">
        <v>1200</v>
      </c>
      <c r="BA1536">
        <v>1</v>
      </c>
      <c r="BB1536" t="str">
        <f t="shared" si="449"/>
        <v xml:space="preserve">N733KP  </v>
      </c>
      <c r="BC1536">
        <v>1</v>
      </c>
      <c r="BE1536">
        <v>0</v>
      </c>
      <c r="BF1536">
        <v>0</v>
      </c>
      <c r="BG1536">
        <v>0</v>
      </c>
      <c r="BH1536">
        <v>3400</v>
      </c>
      <c r="BI1536">
        <v>1</v>
      </c>
      <c r="BJ1536">
        <v>1</v>
      </c>
      <c r="BK1536">
        <v>0</v>
      </c>
      <c r="BL1536">
        <v>0</v>
      </c>
      <c r="BO1536">
        <v>0</v>
      </c>
      <c r="BP1536">
        <v>0</v>
      </c>
      <c r="BW1536" t="str">
        <f>"22:15:55.372"</f>
        <v>22:15:55.372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7</v>
      </c>
      <c r="CP1536" t="s">
        <v>119</v>
      </c>
      <c r="CQ1536">
        <v>364</v>
      </c>
      <c r="CR1536">
        <v>0</v>
      </c>
      <c r="CW1536">
        <v>1424047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"03/24/2022 22:15:55.577"</f>
        <v>03/24/2022 22:15:55.577</v>
      </c>
      <c r="C1537" t="str">
        <f t="shared" si="448"/>
        <v>FFDFD3C0</v>
      </c>
      <c r="D1537" t="s">
        <v>113</v>
      </c>
      <c r="E1537">
        <v>24</v>
      </c>
      <c r="F1537">
        <v>2024</v>
      </c>
      <c r="G1537" t="s">
        <v>114</v>
      </c>
      <c r="J1537" t="s">
        <v>115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S1537" t="str">
        <f t="shared" si="460"/>
        <v>22:15:55.000</v>
      </c>
      <c r="T1537" t="str">
        <f t="shared" si="460"/>
        <v>22:15:55.000</v>
      </c>
      <c r="U1537" t="str">
        <f t="shared" si="442"/>
        <v>A9D71F</v>
      </c>
      <c r="V1537">
        <v>0</v>
      </c>
      <c r="W1537">
        <v>0</v>
      </c>
      <c r="X1537">
        <v>2</v>
      </c>
      <c r="Z1537">
        <v>1</v>
      </c>
      <c r="AA1537">
        <v>8</v>
      </c>
      <c r="AB1537">
        <v>3</v>
      </c>
      <c r="AC1537">
        <v>0</v>
      </c>
      <c r="AD1537">
        <v>9</v>
      </c>
      <c r="AE1537">
        <v>0</v>
      </c>
      <c r="AF1537">
        <v>3</v>
      </c>
      <c r="AG1537">
        <v>1</v>
      </c>
      <c r="AH1537">
        <v>0</v>
      </c>
      <c r="AI1537" t="s">
        <v>818</v>
      </c>
      <c r="AJ1537">
        <v>33.087837999999998</v>
      </c>
      <c r="AK1537" t="s">
        <v>819</v>
      </c>
      <c r="AL1537">
        <v>-97.682083000000006</v>
      </c>
      <c r="AM1537">
        <v>25</v>
      </c>
      <c r="AN1537">
        <v>3500</v>
      </c>
      <c r="AO1537" t="s">
        <v>118</v>
      </c>
      <c r="AP1537">
        <v>43</v>
      </c>
      <c r="AQ1537">
        <v>-106</v>
      </c>
      <c r="AR1537">
        <v>960</v>
      </c>
      <c r="AZ1537">
        <v>1200</v>
      </c>
      <c r="BA1537">
        <v>1</v>
      </c>
      <c r="BB1537" t="str">
        <f t="shared" si="449"/>
        <v xml:space="preserve">N733KP  </v>
      </c>
      <c r="BC1537">
        <v>1</v>
      </c>
      <c r="BE1537">
        <v>0</v>
      </c>
      <c r="BF1537">
        <v>0</v>
      </c>
      <c r="BG1537">
        <v>0</v>
      </c>
      <c r="BH1537">
        <v>3400</v>
      </c>
      <c r="BI1537">
        <v>1</v>
      </c>
      <c r="BJ1537">
        <v>1</v>
      </c>
      <c r="BK1537">
        <v>0</v>
      </c>
      <c r="BL1537">
        <v>0</v>
      </c>
      <c r="BO1537">
        <v>0</v>
      </c>
      <c r="BP1537">
        <v>0</v>
      </c>
      <c r="BW1537" t="str">
        <f>"22:15:55.372"</f>
        <v>22:15:55.372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7</v>
      </c>
      <c r="CP1537" t="s">
        <v>119</v>
      </c>
      <c r="CQ1537">
        <v>364</v>
      </c>
      <c r="CR1537">
        <v>0</v>
      </c>
      <c r="CW1537">
        <v>1424047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"03/24/2022 22:15:55.577"</f>
        <v>03/24/2022 22:15:55.577</v>
      </c>
      <c r="C1538" t="str">
        <f t="shared" si="448"/>
        <v>FFDFD3C0</v>
      </c>
      <c r="D1538" t="s">
        <v>123</v>
      </c>
      <c r="E1538">
        <v>8</v>
      </c>
      <c r="H1538">
        <v>31</v>
      </c>
      <c r="I1538" t="s">
        <v>124</v>
      </c>
      <c r="J1538" t="s">
        <v>125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S1538" t="str">
        <f t="shared" si="460"/>
        <v>22:15:55.000</v>
      </c>
      <c r="T1538" t="str">
        <f t="shared" si="460"/>
        <v>22:15:55.000</v>
      </c>
      <c r="U1538" t="str">
        <f t="shared" ref="U1538:U1601" si="461">"A9D71F"</f>
        <v>A9D71F</v>
      </c>
      <c r="V1538">
        <v>0</v>
      </c>
      <c r="W1538">
        <v>0</v>
      </c>
      <c r="X1538">
        <v>2</v>
      </c>
      <c r="Z1538">
        <v>1</v>
      </c>
      <c r="AA1538">
        <v>8</v>
      </c>
      <c r="AB1538">
        <v>3</v>
      </c>
      <c r="AC1538">
        <v>0</v>
      </c>
      <c r="AD1538">
        <v>9</v>
      </c>
      <c r="AE1538">
        <v>0</v>
      </c>
      <c r="AF1538">
        <v>3</v>
      </c>
      <c r="AG1538">
        <v>1</v>
      </c>
      <c r="AH1538">
        <v>0</v>
      </c>
      <c r="AI1538" t="s">
        <v>818</v>
      </c>
      <c r="AJ1538">
        <v>33.087837999999998</v>
      </c>
      <c r="AK1538" t="s">
        <v>819</v>
      </c>
      <c r="AL1538">
        <v>-97.682083000000006</v>
      </c>
      <c r="AM1538">
        <v>25</v>
      </c>
      <c r="AN1538">
        <v>3500</v>
      </c>
      <c r="AO1538" t="s">
        <v>118</v>
      </c>
      <c r="AP1538">
        <v>43</v>
      </c>
      <c r="AQ1538">
        <v>-106</v>
      </c>
      <c r="AR1538">
        <v>960</v>
      </c>
      <c r="AZ1538">
        <v>1200</v>
      </c>
      <c r="BA1538">
        <v>1</v>
      </c>
      <c r="BB1538" t="str">
        <f t="shared" si="449"/>
        <v xml:space="preserve">N733KP  </v>
      </c>
      <c r="BC1538">
        <v>1</v>
      </c>
      <c r="BE1538">
        <v>0</v>
      </c>
      <c r="BF1538">
        <v>0</v>
      </c>
      <c r="BG1538">
        <v>0</v>
      </c>
      <c r="BH1538">
        <v>3400</v>
      </c>
      <c r="BI1538">
        <v>1</v>
      </c>
      <c r="BJ1538">
        <v>1</v>
      </c>
      <c r="BK1538">
        <v>0</v>
      </c>
      <c r="BL1538">
        <v>0</v>
      </c>
      <c r="BO1538">
        <v>0</v>
      </c>
      <c r="BP1538">
        <v>0</v>
      </c>
      <c r="BW1538" t="str">
        <f>"22:15:55.372"</f>
        <v>22:15:55.372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364</v>
      </c>
      <c r="CR1538">
        <v>0</v>
      </c>
      <c r="CW1538">
        <v>1424047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"03/24/2022 22:15:56.436"</f>
        <v>03/24/2022 22:15:56.436</v>
      </c>
      <c r="C1539" t="str">
        <f t="shared" si="448"/>
        <v>FFDFD3C0</v>
      </c>
      <c r="D1539" t="s">
        <v>126</v>
      </c>
      <c r="E1539">
        <v>3</v>
      </c>
      <c r="H1539">
        <v>160</v>
      </c>
      <c r="I1539" t="s">
        <v>121</v>
      </c>
      <c r="J1539" t="s">
        <v>127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S1539" t="str">
        <f t="shared" ref="S1539:T1542" si="462">"22:15:56.000"</f>
        <v>22:15:56.000</v>
      </c>
      <c r="T1539" t="str">
        <f t="shared" si="462"/>
        <v>22:15:56.000</v>
      </c>
      <c r="U1539" t="str">
        <f t="shared" si="461"/>
        <v>A9D71F</v>
      </c>
      <c r="V1539">
        <v>0</v>
      </c>
      <c r="W1539">
        <v>0</v>
      </c>
      <c r="X1539">
        <v>2</v>
      </c>
      <c r="Z1539">
        <v>1</v>
      </c>
      <c r="AA1539">
        <v>8</v>
      </c>
      <c r="AB1539">
        <v>3</v>
      </c>
      <c r="AC1539">
        <v>0</v>
      </c>
      <c r="AD1539">
        <v>9</v>
      </c>
      <c r="AE1539">
        <v>0</v>
      </c>
      <c r="AF1539">
        <v>3</v>
      </c>
      <c r="AG1539">
        <v>1</v>
      </c>
      <c r="AH1539">
        <v>0</v>
      </c>
      <c r="AI1539" t="s">
        <v>820</v>
      </c>
      <c r="AJ1539">
        <v>33.087344000000002</v>
      </c>
      <c r="AK1539" t="s">
        <v>821</v>
      </c>
      <c r="AL1539">
        <v>-97.681825000000003</v>
      </c>
      <c r="AM1539">
        <v>25</v>
      </c>
      <c r="AN1539">
        <v>3500</v>
      </c>
      <c r="AO1539" t="s">
        <v>118</v>
      </c>
      <c r="AP1539">
        <v>42</v>
      </c>
      <c r="AQ1539">
        <v>-106</v>
      </c>
      <c r="AR1539">
        <v>960</v>
      </c>
      <c r="AZ1539">
        <v>1200</v>
      </c>
      <c r="BA1539">
        <v>1</v>
      </c>
      <c r="BB1539" t="str">
        <f t="shared" si="449"/>
        <v xml:space="preserve">N733KP  </v>
      </c>
      <c r="BC1539">
        <v>1</v>
      </c>
      <c r="BE1539">
        <v>0</v>
      </c>
      <c r="BF1539">
        <v>0</v>
      </c>
      <c r="BG1539">
        <v>0</v>
      </c>
      <c r="BH1539">
        <v>3475</v>
      </c>
      <c r="BI1539">
        <v>1</v>
      </c>
      <c r="BJ1539">
        <v>1</v>
      </c>
      <c r="BK1539">
        <v>0</v>
      </c>
      <c r="BL1539">
        <v>0</v>
      </c>
      <c r="BO1539">
        <v>0</v>
      </c>
      <c r="BP1539">
        <v>0</v>
      </c>
      <c r="BW1539" t="str">
        <f>"22:15:56.244"</f>
        <v>22:15:56.244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119</v>
      </c>
      <c r="CQ1539">
        <v>364</v>
      </c>
      <c r="CR1539">
        <v>0</v>
      </c>
      <c r="CW1539">
        <v>1424180</v>
      </c>
      <c r="CY1539">
        <v>1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"03/24/2022 22:15:56.436"</f>
        <v>03/24/2022 22:15:56.436</v>
      </c>
      <c r="C1540" t="str">
        <f t="shared" si="448"/>
        <v>FFDFD3C0</v>
      </c>
      <c r="D1540" t="s">
        <v>120</v>
      </c>
      <c r="E1540">
        <v>14</v>
      </c>
      <c r="F1540">
        <v>1014</v>
      </c>
      <c r="G1540" t="s">
        <v>121</v>
      </c>
      <c r="J1540" t="s">
        <v>122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S1540" t="str">
        <f t="shared" si="462"/>
        <v>22:15:56.000</v>
      </c>
      <c r="T1540" t="str">
        <f t="shared" si="462"/>
        <v>22:15:56.000</v>
      </c>
      <c r="U1540" t="str">
        <f t="shared" si="461"/>
        <v>A9D71F</v>
      </c>
      <c r="V1540">
        <v>0</v>
      </c>
      <c r="W1540">
        <v>0</v>
      </c>
      <c r="X1540">
        <v>2</v>
      </c>
      <c r="Z1540">
        <v>1</v>
      </c>
      <c r="AA1540">
        <v>8</v>
      </c>
      <c r="AB1540">
        <v>3</v>
      </c>
      <c r="AC1540">
        <v>0</v>
      </c>
      <c r="AD1540">
        <v>9</v>
      </c>
      <c r="AE1540">
        <v>0</v>
      </c>
      <c r="AF1540">
        <v>3</v>
      </c>
      <c r="AG1540">
        <v>1</v>
      </c>
      <c r="AH1540">
        <v>0</v>
      </c>
      <c r="AI1540" t="s">
        <v>820</v>
      </c>
      <c r="AJ1540">
        <v>33.087344000000002</v>
      </c>
      <c r="AK1540" t="s">
        <v>821</v>
      </c>
      <c r="AL1540">
        <v>-97.681825000000003</v>
      </c>
      <c r="AM1540">
        <v>25</v>
      </c>
      <c r="AN1540">
        <v>3500</v>
      </c>
      <c r="AO1540" t="s">
        <v>118</v>
      </c>
      <c r="AP1540">
        <v>42</v>
      </c>
      <c r="AQ1540">
        <v>-106</v>
      </c>
      <c r="AR1540">
        <v>960</v>
      </c>
      <c r="AZ1540">
        <v>1200</v>
      </c>
      <c r="BA1540">
        <v>1</v>
      </c>
      <c r="BB1540" t="str">
        <f t="shared" si="449"/>
        <v xml:space="preserve">N733KP  </v>
      </c>
      <c r="BC1540">
        <v>1</v>
      </c>
      <c r="BE1540">
        <v>0</v>
      </c>
      <c r="BF1540">
        <v>0</v>
      </c>
      <c r="BG1540">
        <v>0</v>
      </c>
      <c r="BH1540">
        <v>3475</v>
      </c>
      <c r="BI1540">
        <v>1</v>
      </c>
      <c r="BJ1540">
        <v>1</v>
      </c>
      <c r="BK1540">
        <v>0</v>
      </c>
      <c r="BL1540">
        <v>0</v>
      </c>
      <c r="BO1540">
        <v>0</v>
      </c>
      <c r="BP1540">
        <v>0</v>
      </c>
      <c r="BW1540" t="str">
        <f>"22:15:56.244"</f>
        <v>22:15:56.244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7</v>
      </c>
      <c r="CP1540" t="s">
        <v>119</v>
      </c>
      <c r="CQ1540">
        <v>364</v>
      </c>
      <c r="CR1540">
        <v>0</v>
      </c>
      <c r="CW1540">
        <v>1424180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"03/24/2022 22:15:56.436"</f>
        <v>03/24/2022 22:15:56.436</v>
      </c>
      <c r="C1541" t="str">
        <f t="shared" si="448"/>
        <v>FFDFD3C0</v>
      </c>
      <c r="D1541" t="s">
        <v>123</v>
      </c>
      <c r="E1541">
        <v>8</v>
      </c>
      <c r="H1541">
        <v>31</v>
      </c>
      <c r="I1541" t="s">
        <v>124</v>
      </c>
      <c r="J1541" t="s">
        <v>125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S1541" t="str">
        <f t="shared" si="462"/>
        <v>22:15:56.000</v>
      </c>
      <c r="T1541" t="str">
        <f t="shared" si="462"/>
        <v>22:15:56.000</v>
      </c>
      <c r="U1541" t="str">
        <f t="shared" si="461"/>
        <v>A9D71F</v>
      </c>
      <c r="V1541">
        <v>0</v>
      </c>
      <c r="W1541">
        <v>0</v>
      </c>
      <c r="X1541">
        <v>2</v>
      </c>
      <c r="Z1541">
        <v>1</v>
      </c>
      <c r="AA1541">
        <v>8</v>
      </c>
      <c r="AB1541">
        <v>3</v>
      </c>
      <c r="AC1541">
        <v>0</v>
      </c>
      <c r="AD1541">
        <v>9</v>
      </c>
      <c r="AE1541">
        <v>0</v>
      </c>
      <c r="AF1541">
        <v>3</v>
      </c>
      <c r="AG1541">
        <v>1</v>
      </c>
      <c r="AH1541">
        <v>0</v>
      </c>
      <c r="AI1541" t="s">
        <v>820</v>
      </c>
      <c r="AJ1541">
        <v>33.087344000000002</v>
      </c>
      <c r="AK1541" t="s">
        <v>821</v>
      </c>
      <c r="AL1541">
        <v>-97.681825000000003</v>
      </c>
      <c r="AM1541">
        <v>25</v>
      </c>
      <c r="AN1541">
        <v>3500</v>
      </c>
      <c r="AO1541" t="s">
        <v>118</v>
      </c>
      <c r="AP1541">
        <v>42</v>
      </c>
      <c r="AQ1541">
        <v>-106</v>
      </c>
      <c r="AR1541">
        <v>960</v>
      </c>
      <c r="AZ1541">
        <v>1200</v>
      </c>
      <c r="BA1541">
        <v>1</v>
      </c>
      <c r="BB1541" t="str">
        <f t="shared" si="449"/>
        <v xml:space="preserve">N733KP  </v>
      </c>
      <c r="BC1541">
        <v>1</v>
      </c>
      <c r="BE1541">
        <v>0</v>
      </c>
      <c r="BF1541">
        <v>0</v>
      </c>
      <c r="BG1541">
        <v>0</v>
      </c>
      <c r="BH1541">
        <v>3475</v>
      </c>
      <c r="BI1541">
        <v>1</v>
      </c>
      <c r="BJ1541">
        <v>1</v>
      </c>
      <c r="BK1541">
        <v>0</v>
      </c>
      <c r="BL1541">
        <v>0</v>
      </c>
      <c r="BO1541">
        <v>0</v>
      </c>
      <c r="BP1541">
        <v>0</v>
      </c>
      <c r="BW1541" t="str">
        <f>"22:15:56.244"</f>
        <v>22:15:56.244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364</v>
      </c>
      <c r="CR1541">
        <v>0</v>
      </c>
      <c r="CW1541">
        <v>1424180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"03/24/2022 22:15:56.436"</f>
        <v>03/24/2022 22:15:56.436</v>
      </c>
      <c r="C1542" t="str">
        <f t="shared" si="448"/>
        <v>FFDFD3C0</v>
      </c>
      <c r="D1542" t="s">
        <v>113</v>
      </c>
      <c r="E1542">
        <v>24</v>
      </c>
      <c r="F1542">
        <v>2024</v>
      </c>
      <c r="G1542" t="s">
        <v>114</v>
      </c>
      <c r="J1542" t="s">
        <v>115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S1542" t="str">
        <f t="shared" si="462"/>
        <v>22:15:56.000</v>
      </c>
      <c r="T1542" t="str">
        <f t="shared" si="462"/>
        <v>22:15:56.000</v>
      </c>
      <c r="U1542" t="str">
        <f t="shared" si="461"/>
        <v>A9D71F</v>
      </c>
      <c r="V1542">
        <v>0</v>
      </c>
      <c r="W1542">
        <v>0</v>
      </c>
      <c r="X1542">
        <v>2</v>
      </c>
      <c r="Z1542">
        <v>1</v>
      </c>
      <c r="AA1542">
        <v>8</v>
      </c>
      <c r="AB1542">
        <v>3</v>
      </c>
      <c r="AC1542">
        <v>0</v>
      </c>
      <c r="AD1542">
        <v>9</v>
      </c>
      <c r="AE1542">
        <v>0</v>
      </c>
      <c r="AF1542">
        <v>3</v>
      </c>
      <c r="AG1542">
        <v>1</v>
      </c>
      <c r="AH1542">
        <v>0</v>
      </c>
      <c r="AI1542" t="s">
        <v>820</v>
      </c>
      <c r="AJ1542">
        <v>33.087344000000002</v>
      </c>
      <c r="AK1542" t="s">
        <v>821</v>
      </c>
      <c r="AL1542">
        <v>-97.681825000000003</v>
      </c>
      <c r="AM1542">
        <v>25</v>
      </c>
      <c r="AN1542">
        <v>3500</v>
      </c>
      <c r="AO1542" t="s">
        <v>118</v>
      </c>
      <c r="AP1542">
        <v>42</v>
      </c>
      <c r="AQ1542">
        <v>-106</v>
      </c>
      <c r="AR1542">
        <v>960</v>
      </c>
      <c r="AZ1542">
        <v>1200</v>
      </c>
      <c r="BA1542">
        <v>1</v>
      </c>
      <c r="BB1542" t="str">
        <f t="shared" si="449"/>
        <v xml:space="preserve">N733KP  </v>
      </c>
      <c r="BC1542">
        <v>1</v>
      </c>
      <c r="BE1542">
        <v>0</v>
      </c>
      <c r="BF1542">
        <v>0</v>
      </c>
      <c r="BG1542">
        <v>0</v>
      </c>
      <c r="BH1542">
        <v>3475</v>
      </c>
      <c r="BI1542">
        <v>1</v>
      </c>
      <c r="BJ1542">
        <v>1</v>
      </c>
      <c r="BK1542">
        <v>0</v>
      </c>
      <c r="BL1542">
        <v>0</v>
      </c>
      <c r="BO1542">
        <v>0</v>
      </c>
      <c r="BP1542">
        <v>0</v>
      </c>
      <c r="BW1542" t="str">
        <f>"22:15:56.244"</f>
        <v>22:15:56.244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119</v>
      </c>
      <c r="CQ1542">
        <v>364</v>
      </c>
      <c r="CR1542">
        <v>0</v>
      </c>
      <c r="CW1542">
        <v>1424180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"03/24/2022 22:15:57.828"</f>
        <v>03/24/2022 22:15:57.828</v>
      </c>
      <c r="C1543" t="str">
        <f t="shared" si="448"/>
        <v>FFDFD3C0</v>
      </c>
      <c r="D1543" t="s">
        <v>126</v>
      </c>
      <c r="E1543">
        <v>3</v>
      </c>
      <c r="H1543">
        <v>160</v>
      </c>
      <c r="I1543" t="s">
        <v>121</v>
      </c>
      <c r="J1543" t="s">
        <v>127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S1543" t="str">
        <f t="shared" ref="S1543:T1546" si="463">"22:15:57.000"</f>
        <v>22:15:57.000</v>
      </c>
      <c r="T1543" t="str">
        <f t="shared" si="463"/>
        <v>22:15:57.000</v>
      </c>
      <c r="U1543" t="str">
        <f t="shared" si="461"/>
        <v>A9D71F</v>
      </c>
      <c r="V1543">
        <v>0</v>
      </c>
      <c r="W1543">
        <v>0</v>
      </c>
      <c r="X1543">
        <v>2</v>
      </c>
      <c r="Z1543">
        <v>1</v>
      </c>
      <c r="AA1543">
        <v>8</v>
      </c>
      <c r="AB1543">
        <v>3</v>
      </c>
      <c r="AC1543">
        <v>0</v>
      </c>
      <c r="AD1543">
        <v>9</v>
      </c>
      <c r="AE1543">
        <v>0</v>
      </c>
      <c r="AF1543">
        <v>3</v>
      </c>
      <c r="AG1543">
        <v>1</v>
      </c>
      <c r="AH1543">
        <v>0</v>
      </c>
      <c r="AI1543" t="s">
        <v>822</v>
      </c>
      <c r="AJ1543">
        <v>33.086851000000003</v>
      </c>
      <c r="AK1543" t="s">
        <v>823</v>
      </c>
      <c r="AL1543">
        <v>-97.681589000000002</v>
      </c>
      <c r="AM1543">
        <v>25</v>
      </c>
      <c r="AN1543">
        <v>3600</v>
      </c>
      <c r="AO1543" t="s">
        <v>118</v>
      </c>
      <c r="AP1543">
        <v>44</v>
      </c>
      <c r="AQ1543">
        <v>-108</v>
      </c>
      <c r="AR1543">
        <v>512</v>
      </c>
      <c r="AZ1543">
        <v>1200</v>
      </c>
      <c r="BA1543">
        <v>1</v>
      </c>
      <c r="BB1543" t="str">
        <f t="shared" si="449"/>
        <v xml:space="preserve">N733KP  </v>
      </c>
      <c r="BC1543">
        <v>1</v>
      </c>
      <c r="BE1543">
        <v>0</v>
      </c>
      <c r="BF1543">
        <v>0</v>
      </c>
      <c r="BG1543">
        <v>0</v>
      </c>
      <c r="BH1543">
        <v>3475</v>
      </c>
      <c r="BI1543">
        <v>1</v>
      </c>
      <c r="BJ1543">
        <v>1</v>
      </c>
      <c r="BK1543">
        <v>0</v>
      </c>
      <c r="BL1543">
        <v>0</v>
      </c>
      <c r="BO1543">
        <v>0</v>
      </c>
      <c r="BP1543">
        <v>0</v>
      </c>
      <c r="BW1543" t="str">
        <f>"22:15:57.659"</f>
        <v>22:15:57.659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7</v>
      </c>
      <c r="CP1543" t="s">
        <v>119</v>
      </c>
      <c r="CQ1543">
        <v>364</v>
      </c>
      <c r="CR1543">
        <v>0</v>
      </c>
      <c r="CW1543">
        <v>1424404</v>
      </c>
      <c r="CY1543">
        <v>1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"03/24/2022 22:15:57.844"</f>
        <v>03/24/2022 22:15:57.844</v>
      </c>
      <c r="C1544" t="str">
        <f t="shared" si="448"/>
        <v>FFDFD3C0</v>
      </c>
      <c r="D1544" t="s">
        <v>123</v>
      </c>
      <c r="E1544">
        <v>8</v>
      </c>
      <c r="H1544">
        <v>31</v>
      </c>
      <c r="I1544" t="s">
        <v>124</v>
      </c>
      <c r="J1544" t="s">
        <v>125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S1544" t="str">
        <f t="shared" si="463"/>
        <v>22:15:57.000</v>
      </c>
      <c r="T1544" t="str">
        <f t="shared" si="463"/>
        <v>22:15:57.000</v>
      </c>
      <c r="U1544" t="str">
        <f t="shared" si="461"/>
        <v>A9D71F</v>
      </c>
      <c r="V1544">
        <v>0</v>
      </c>
      <c r="W1544">
        <v>0</v>
      </c>
      <c r="X1544">
        <v>2</v>
      </c>
      <c r="Z1544">
        <v>1</v>
      </c>
      <c r="AA1544">
        <v>8</v>
      </c>
      <c r="AB1544">
        <v>3</v>
      </c>
      <c r="AC1544">
        <v>0</v>
      </c>
      <c r="AD1544">
        <v>9</v>
      </c>
      <c r="AE1544">
        <v>0</v>
      </c>
      <c r="AF1544">
        <v>3</v>
      </c>
      <c r="AG1544">
        <v>1</v>
      </c>
      <c r="AH1544">
        <v>0</v>
      </c>
      <c r="AI1544" t="s">
        <v>822</v>
      </c>
      <c r="AJ1544">
        <v>33.086851000000003</v>
      </c>
      <c r="AK1544" t="s">
        <v>823</v>
      </c>
      <c r="AL1544">
        <v>-97.681589000000002</v>
      </c>
      <c r="AM1544">
        <v>25</v>
      </c>
      <c r="AN1544">
        <v>3600</v>
      </c>
      <c r="AO1544" t="s">
        <v>118</v>
      </c>
      <c r="AP1544">
        <v>44</v>
      </c>
      <c r="AQ1544">
        <v>-108</v>
      </c>
      <c r="AR1544">
        <v>512</v>
      </c>
      <c r="AZ1544">
        <v>1200</v>
      </c>
      <c r="BA1544">
        <v>1</v>
      </c>
      <c r="BB1544" t="str">
        <f t="shared" si="449"/>
        <v xml:space="preserve">N733KP  </v>
      </c>
      <c r="BC1544">
        <v>1</v>
      </c>
      <c r="BE1544">
        <v>0</v>
      </c>
      <c r="BF1544">
        <v>0</v>
      </c>
      <c r="BG1544">
        <v>0</v>
      </c>
      <c r="BH1544">
        <v>3475</v>
      </c>
      <c r="BI1544">
        <v>1</v>
      </c>
      <c r="BJ1544">
        <v>1</v>
      </c>
      <c r="BK1544">
        <v>0</v>
      </c>
      <c r="BL1544">
        <v>0</v>
      </c>
      <c r="BO1544">
        <v>0</v>
      </c>
      <c r="BP1544">
        <v>0</v>
      </c>
      <c r="BW1544" t="str">
        <f>"22:15:57.659"</f>
        <v>22:15:57.659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7</v>
      </c>
      <c r="CP1544" t="s">
        <v>119</v>
      </c>
      <c r="CQ1544">
        <v>364</v>
      </c>
      <c r="CR1544">
        <v>0</v>
      </c>
      <c r="CW1544">
        <v>1424404</v>
      </c>
      <c r="CY1544">
        <v>1</v>
      </c>
      <c r="CZ1544">
        <v>0</v>
      </c>
      <c r="DA1544">
        <v>1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"03/24/2022 22:15:57.844"</f>
        <v>03/24/2022 22:15:57.844</v>
      </c>
      <c r="C1545" t="str">
        <f t="shared" si="448"/>
        <v>FFDFD3C0</v>
      </c>
      <c r="D1545" t="s">
        <v>120</v>
      </c>
      <c r="E1545">
        <v>14</v>
      </c>
      <c r="F1545">
        <v>1014</v>
      </c>
      <c r="G1545" t="s">
        <v>121</v>
      </c>
      <c r="J1545" t="s">
        <v>122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S1545" t="str">
        <f t="shared" si="463"/>
        <v>22:15:57.000</v>
      </c>
      <c r="T1545" t="str">
        <f t="shared" si="463"/>
        <v>22:15:57.000</v>
      </c>
      <c r="U1545" t="str">
        <f t="shared" si="461"/>
        <v>A9D71F</v>
      </c>
      <c r="V1545">
        <v>0</v>
      </c>
      <c r="W1545">
        <v>0</v>
      </c>
      <c r="X1545">
        <v>2</v>
      </c>
      <c r="Z1545">
        <v>1</v>
      </c>
      <c r="AA1545">
        <v>8</v>
      </c>
      <c r="AB1545">
        <v>3</v>
      </c>
      <c r="AC1545">
        <v>0</v>
      </c>
      <c r="AD1545">
        <v>9</v>
      </c>
      <c r="AE1545">
        <v>0</v>
      </c>
      <c r="AF1545">
        <v>3</v>
      </c>
      <c r="AG1545">
        <v>1</v>
      </c>
      <c r="AH1545">
        <v>0</v>
      </c>
      <c r="AI1545" t="s">
        <v>822</v>
      </c>
      <c r="AJ1545">
        <v>33.086851000000003</v>
      </c>
      <c r="AK1545" t="s">
        <v>823</v>
      </c>
      <c r="AL1545">
        <v>-97.681589000000002</v>
      </c>
      <c r="AM1545">
        <v>25</v>
      </c>
      <c r="AN1545">
        <v>3600</v>
      </c>
      <c r="AO1545" t="s">
        <v>118</v>
      </c>
      <c r="AP1545">
        <v>44</v>
      </c>
      <c r="AQ1545">
        <v>-108</v>
      </c>
      <c r="AR1545">
        <v>512</v>
      </c>
      <c r="AZ1545">
        <v>1200</v>
      </c>
      <c r="BA1545">
        <v>1</v>
      </c>
      <c r="BB1545" t="str">
        <f t="shared" si="449"/>
        <v xml:space="preserve">N733KP  </v>
      </c>
      <c r="BC1545">
        <v>1</v>
      </c>
      <c r="BE1545">
        <v>0</v>
      </c>
      <c r="BF1545">
        <v>0</v>
      </c>
      <c r="BG1545">
        <v>0</v>
      </c>
      <c r="BH1545">
        <v>3475</v>
      </c>
      <c r="BI1545">
        <v>1</v>
      </c>
      <c r="BJ1545">
        <v>1</v>
      </c>
      <c r="BK1545">
        <v>0</v>
      </c>
      <c r="BL1545">
        <v>0</v>
      </c>
      <c r="BO1545">
        <v>0</v>
      </c>
      <c r="BP1545">
        <v>0</v>
      </c>
      <c r="BW1545" t="str">
        <f>"22:15:57.659"</f>
        <v>22:15:57.659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7</v>
      </c>
      <c r="CP1545" t="s">
        <v>119</v>
      </c>
      <c r="CQ1545">
        <v>364</v>
      </c>
      <c r="CR1545">
        <v>0</v>
      </c>
      <c r="CW1545">
        <v>1424404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"03/24/2022 22:15:57.890"</f>
        <v>03/24/2022 22:15:57.890</v>
      </c>
      <c r="C1546" t="str">
        <f t="shared" si="448"/>
        <v>FFDFD3C0</v>
      </c>
      <c r="D1546" t="s">
        <v>113</v>
      </c>
      <c r="E1546">
        <v>24</v>
      </c>
      <c r="F1546">
        <v>2024</v>
      </c>
      <c r="G1546" t="s">
        <v>114</v>
      </c>
      <c r="J1546" t="s">
        <v>115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S1546" t="str">
        <f t="shared" si="463"/>
        <v>22:15:57.000</v>
      </c>
      <c r="T1546" t="str">
        <f t="shared" si="463"/>
        <v>22:15:57.000</v>
      </c>
      <c r="U1546" t="str">
        <f t="shared" si="461"/>
        <v>A9D71F</v>
      </c>
      <c r="V1546">
        <v>0</v>
      </c>
      <c r="W1546">
        <v>0</v>
      </c>
      <c r="X1546">
        <v>2</v>
      </c>
      <c r="Z1546">
        <v>1</v>
      </c>
      <c r="AA1546">
        <v>8</v>
      </c>
      <c r="AB1546">
        <v>3</v>
      </c>
      <c r="AC1546">
        <v>0</v>
      </c>
      <c r="AD1546">
        <v>9</v>
      </c>
      <c r="AE1546">
        <v>0</v>
      </c>
      <c r="AF1546">
        <v>3</v>
      </c>
      <c r="AG1546">
        <v>1</v>
      </c>
      <c r="AH1546">
        <v>0</v>
      </c>
      <c r="AI1546" t="s">
        <v>822</v>
      </c>
      <c r="AJ1546">
        <v>33.086851000000003</v>
      </c>
      <c r="AK1546" t="s">
        <v>823</v>
      </c>
      <c r="AL1546">
        <v>-97.681589000000002</v>
      </c>
      <c r="AM1546">
        <v>25</v>
      </c>
      <c r="AN1546">
        <v>3600</v>
      </c>
      <c r="AO1546" t="s">
        <v>118</v>
      </c>
      <c r="AP1546">
        <v>44</v>
      </c>
      <c r="AQ1546">
        <v>-108</v>
      </c>
      <c r="AR1546">
        <v>512</v>
      </c>
      <c r="AZ1546">
        <v>1200</v>
      </c>
      <c r="BA1546">
        <v>1</v>
      </c>
      <c r="BB1546" t="str">
        <f t="shared" si="449"/>
        <v xml:space="preserve">N733KP  </v>
      </c>
      <c r="BC1546">
        <v>1</v>
      </c>
      <c r="BE1546">
        <v>0</v>
      </c>
      <c r="BF1546">
        <v>0</v>
      </c>
      <c r="BG1546">
        <v>0</v>
      </c>
      <c r="BH1546">
        <v>3475</v>
      </c>
      <c r="BI1546">
        <v>1</v>
      </c>
      <c r="BJ1546">
        <v>1</v>
      </c>
      <c r="BK1546">
        <v>0</v>
      </c>
      <c r="BL1546">
        <v>0</v>
      </c>
      <c r="BO1546">
        <v>0</v>
      </c>
      <c r="BP1546">
        <v>0</v>
      </c>
      <c r="BW1546" t="str">
        <f>"22:15:57.659"</f>
        <v>22:15:57.659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7</v>
      </c>
      <c r="CP1546" t="s">
        <v>119</v>
      </c>
      <c r="CQ1546">
        <v>364</v>
      </c>
      <c r="CR1546">
        <v>0</v>
      </c>
      <c r="CW1546">
        <v>1424404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"03/24/2022 22:15:59.145"</f>
        <v>03/24/2022 22:15:59.145</v>
      </c>
      <c r="C1547" t="str">
        <f t="shared" si="448"/>
        <v>FFDFD3C0</v>
      </c>
      <c r="D1547" t="s">
        <v>126</v>
      </c>
      <c r="E1547">
        <v>3</v>
      </c>
      <c r="H1547">
        <v>160</v>
      </c>
      <c r="I1547" t="s">
        <v>121</v>
      </c>
      <c r="J1547" t="s">
        <v>127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S1547" t="str">
        <f t="shared" ref="S1547:T1550" si="464">"22:15:58.000"</f>
        <v>22:15:58.000</v>
      </c>
      <c r="T1547" t="str">
        <f t="shared" si="464"/>
        <v>22:15:58.000</v>
      </c>
      <c r="U1547" t="str">
        <f t="shared" si="461"/>
        <v>A9D71F</v>
      </c>
      <c r="V1547">
        <v>0</v>
      </c>
      <c r="W1547">
        <v>0</v>
      </c>
      <c r="X1547">
        <v>2</v>
      </c>
      <c r="Z1547">
        <v>1</v>
      </c>
      <c r="AA1547">
        <v>8</v>
      </c>
      <c r="AB1547">
        <v>3</v>
      </c>
      <c r="AC1547">
        <v>0</v>
      </c>
      <c r="AD1547">
        <v>9</v>
      </c>
      <c r="AE1547">
        <v>0</v>
      </c>
      <c r="AF1547">
        <v>3</v>
      </c>
      <c r="AG1547">
        <v>1</v>
      </c>
      <c r="AH1547">
        <v>0</v>
      </c>
      <c r="AI1547" t="s">
        <v>824</v>
      </c>
      <c r="AJ1547">
        <v>33.086314000000002</v>
      </c>
      <c r="AK1547" t="s">
        <v>825</v>
      </c>
      <c r="AL1547">
        <v>-97.681331999999998</v>
      </c>
      <c r="AM1547">
        <v>25</v>
      </c>
      <c r="AN1547">
        <v>3600</v>
      </c>
      <c r="AO1547" t="s">
        <v>118</v>
      </c>
      <c r="AP1547">
        <v>42</v>
      </c>
      <c r="AQ1547">
        <v>-108</v>
      </c>
      <c r="AR1547">
        <v>320</v>
      </c>
      <c r="AZ1547">
        <v>1200</v>
      </c>
      <c r="BA1547">
        <v>1</v>
      </c>
      <c r="BB1547" t="str">
        <f t="shared" si="449"/>
        <v xml:space="preserve">N733KP  </v>
      </c>
      <c r="BC1547">
        <v>1</v>
      </c>
      <c r="BE1547">
        <v>0</v>
      </c>
      <c r="BF1547">
        <v>0</v>
      </c>
      <c r="BG1547">
        <v>0</v>
      </c>
      <c r="BH1547">
        <v>3500</v>
      </c>
      <c r="BI1547">
        <v>1</v>
      </c>
      <c r="BJ1547">
        <v>1</v>
      </c>
      <c r="BK1547">
        <v>0</v>
      </c>
      <c r="BL1547">
        <v>0</v>
      </c>
      <c r="BO1547">
        <v>0</v>
      </c>
      <c r="BP1547">
        <v>0</v>
      </c>
      <c r="BW1547" t="str">
        <f>"22:15:58.918"</f>
        <v>22:15:58.918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7</v>
      </c>
      <c r="CP1547" t="s">
        <v>119</v>
      </c>
      <c r="CQ1547">
        <v>364</v>
      </c>
      <c r="CR1547">
        <v>0</v>
      </c>
      <c r="CW1547">
        <v>1424599</v>
      </c>
      <c r="CY1547">
        <v>1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"03/24/2022 22:15:59.145"</f>
        <v>03/24/2022 22:15:59.145</v>
      </c>
      <c r="C1548" t="str">
        <f t="shared" si="448"/>
        <v>FFDFD3C0</v>
      </c>
      <c r="D1548" t="s">
        <v>123</v>
      </c>
      <c r="E1548">
        <v>8</v>
      </c>
      <c r="H1548">
        <v>31</v>
      </c>
      <c r="I1548" t="s">
        <v>124</v>
      </c>
      <c r="J1548" t="s">
        <v>125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S1548" t="str">
        <f t="shared" si="464"/>
        <v>22:15:58.000</v>
      </c>
      <c r="T1548" t="str">
        <f t="shared" si="464"/>
        <v>22:15:58.000</v>
      </c>
      <c r="U1548" t="str">
        <f t="shared" si="461"/>
        <v>A9D71F</v>
      </c>
      <c r="V1548">
        <v>0</v>
      </c>
      <c r="W1548">
        <v>0</v>
      </c>
      <c r="X1548">
        <v>2</v>
      </c>
      <c r="Z1548">
        <v>1</v>
      </c>
      <c r="AA1548">
        <v>8</v>
      </c>
      <c r="AB1548">
        <v>3</v>
      </c>
      <c r="AC1548">
        <v>0</v>
      </c>
      <c r="AD1548">
        <v>9</v>
      </c>
      <c r="AE1548">
        <v>0</v>
      </c>
      <c r="AF1548">
        <v>3</v>
      </c>
      <c r="AG1548">
        <v>1</v>
      </c>
      <c r="AH1548">
        <v>0</v>
      </c>
      <c r="AI1548" t="s">
        <v>824</v>
      </c>
      <c r="AJ1548">
        <v>33.086314000000002</v>
      </c>
      <c r="AK1548" t="s">
        <v>825</v>
      </c>
      <c r="AL1548">
        <v>-97.681331999999998</v>
      </c>
      <c r="AM1548">
        <v>25</v>
      </c>
      <c r="AN1548">
        <v>3600</v>
      </c>
      <c r="AO1548" t="s">
        <v>118</v>
      </c>
      <c r="AP1548">
        <v>42</v>
      </c>
      <c r="AQ1548">
        <v>-108</v>
      </c>
      <c r="AR1548">
        <v>320</v>
      </c>
      <c r="AZ1548">
        <v>1200</v>
      </c>
      <c r="BA1548">
        <v>1</v>
      </c>
      <c r="BB1548" t="str">
        <f t="shared" si="449"/>
        <v xml:space="preserve">N733KP  </v>
      </c>
      <c r="BC1548">
        <v>1</v>
      </c>
      <c r="BE1548">
        <v>0</v>
      </c>
      <c r="BF1548">
        <v>0</v>
      </c>
      <c r="BG1548">
        <v>0</v>
      </c>
      <c r="BH1548">
        <v>3500</v>
      </c>
      <c r="BI1548">
        <v>1</v>
      </c>
      <c r="BJ1548">
        <v>1</v>
      </c>
      <c r="BK1548">
        <v>0</v>
      </c>
      <c r="BL1548">
        <v>0</v>
      </c>
      <c r="BO1548">
        <v>0</v>
      </c>
      <c r="BP1548">
        <v>0</v>
      </c>
      <c r="BW1548" t="str">
        <f>"22:15:58.918"</f>
        <v>22:15:58.918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7</v>
      </c>
      <c r="CP1548" t="s">
        <v>119</v>
      </c>
      <c r="CQ1548">
        <v>364</v>
      </c>
      <c r="CR1548">
        <v>0</v>
      </c>
      <c r="CW1548">
        <v>1424599</v>
      </c>
      <c r="CY1548">
        <v>1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"03/24/2022 22:15:59.145"</f>
        <v>03/24/2022 22:15:59.145</v>
      </c>
      <c r="C1549" t="str">
        <f t="shared" si="448"/>
        <v>FFDFD3C0</v>
      </c>
      <c r="D1549" t="s">
        <v>120</v>
      </c>
      <c r="E1549">
        <v>14</v>
      </c>
      <c r="F1549">
        <v>1014</v>
      </c>
      <c r="G1549" t="s">
        <v>121</v>
      </c>
      <c r="J1549" t="s">
        <v>122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S1549" t="str">
        <f t="shared" si="464"/>
        <v>22:15:58.000</v>
      </c>
      <c r="T1549" t="str">
        <f t="shared" si="464"/>
        <v>22:15:58.000</v>
      </c>
      <c r="U1549" t="str">
        <f t="shared" si="461"/>
        <v>A9D71F</v>
      </c>
      <c r="V1549">
        <v>0</v>
      </c>
      <c r="W1549">
        <v>0</v>
      </c>
      <c r="X1549">
        <v>2</v>
      </c>
      <c r="Z1549">
        <v>1</v>
      </c>
      <c r="AA1549">
        <v>8</v>
      </c>
      <c r="AB1549">
        <v>3</v>
      </c>
      <c r="AC1549">
        <v>0</v>
      </c>
      <c r="AD1549">
        <v>9</v>
      </c>
      <c r="AE1549">
        <v>0</v>
      </c>
      <c r="AF1549">
        <v>3</v>
      </c>
      <c r="AG1549">
        <v>1</v>
      </c>
      <c r="AH1549">
        <v>0</v>
      </c>
      <c r="AI1549" t="s">
        <v>824</v>
      </c>
      <c r="AJ1549">
        <v>33.086314000000002</v>
      </c>
      <c r="AK1549" t="s">
        <v>825</v>
      </c>
      <c r="AL1549">
        <v>-97.681331999999998</v>
      </c>
      <c r="AM1549">
        <v>25</v>
      </c>
      <c r="AN1549">
        <v>3600</v>
      </c>
      <c r="AO1549" t="s">
        <v>118</v>
      </c>
      <c r="AP1549">
        <v>42</v>
      </c>
      <c r="AQ1549">
        <v>-108</v>
      </c>
      <c r="AR1549">
        <v>320</v>
      </c>
      <c r="AZ1549">
        <v>1200</v>
      </c>
      <c r="BA1549">
        <v>1</v>
      </c>
      <c r="BB1549" t="str">
        <f t="shared" si="449"/>
        <v xml:space="preserve">N733KP  </v>
      </c>
      <c r="BC1549">
        <v>1</v>
      </c>
      <c r="BE1549">
        <v>0</v>
      </c>
      <c r="BF1549">
        <v>0</v>
      </c>
      <c r="BG1549">
        <v>0</v>
      </c>
      <c r="BH1549">
        <v>3500</v>
      </c>
      <c r="BI1549">
        <v>1</v>
      </c>
      <c r="BJ1549">
        <v>1</v>
      </c>
      <c r="BK1549">
        <v>0</v>
      </c>
      <c r="BL1549">
        <v>0</v>
      </c>
      <c r="BO1549">
        <v>0</v>
      </c>
      <c r="BP1549">
        <v>0</v>
      </c>
      <c r="BW1549" t="str">
        <f>"22:15:58.918"</f>
        <v>22:15:58.918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7</v>
      </c>
      <c r="CP1549" t="s">
        <v>119</v>
      </c>
      <c r="CQ1549">
        <v>364</v>
      </c>
      <c r="CR1549">
        <v>0</v>
      </c>
      <c r="CW1549">
        <v>1424599</v>
      </c>
      <c r="CY1549">
        <v>1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"03/24/2022 22:15:59.145"</f>
        <v>03/24/2022 22:15:59.145</v>
      </c>
      <c r="C1550" t="str">
        <f t="shared" si="448"/>
        <v>FFDFD3C0</v>
      </c>
      <c r="D1550" t="s">
        <v>113</v>
      </c>
      <c r="E1550">
        <v>24</v>
      </c>
      <c r="F1550">
        <v>2024</v>
      </c>
      <c r="G1550" t="s">
        <v>114</v>
      </c>
      <c r="J1550" t="s">
        <v>115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S1550" t="str">
        <f t="shared" si="464"/>
        <v>22:15:58.000</v>
      </c>
      <c r="T1550" t="str">
        <f t="shared" si="464"/>
        <v>22:15:58.000</v>
      </c>
      <c r="U1550" t="str">
        <f t="shared" si="461"/>
        <v>A9D71F</v>
      </c>
      <c r="V1550">
        <v>0</v>
      </c>
      <c r="W1550">
        <v>0</v>
      </c>
      <c r="X1550">
        <v>2</v>
      </c>
      <c r="Z1550">
        <v>1</v>
      </c>
      <c r="AA1550">
        <v>8</v>
      </c>
      <c r="AB1550">
        <v>3</v>
      </c>
      <c r="AC1550">
        <v>0</v>
      </c>
      <c r="AD1550">
        <v>9</v>
      </c>
      <c r="AE1550">
        <v>0</v>
      </c>
      <c r="AF1550">
        <v>3</v>
      </c>
      <c r="AG1550">
        <v>1</v>
      </c>
      <c r="AH1550">
        <v>0</v>
      </c>
      <c r="AI1550" t="s">
        <v>824</v>
      </c>
      <c r="AJ1550">
        <v>33.086314000000002</v>
      </c>
      <c r="AK1550" t="s">
        <v>825</v>
      </c>
      <c r="AL1550">
        <v>-97.681331999999998</v>
      </c>
      <c r="AM1550">
        <v>25</v>
      </c>
      <c r="AN1550">
        <v>3600</v>
      </c>
      <c r="AO1550" t="s">
        <v>118</v>
      </c>
      <c r="AP1550">
        <v>42</v>
      </c>
      <c r="AQ1550">
        <v>-108</v>
      </c>
      <c r="AR1550">
        <v>320</v>
      </c>
      <c r="AZ1550">
        <v>1200</v>
      </c>
      <c r="BA1550">
        <v>1</v>
      </c>
      <c r="BB1550" t="str">
        <f t="shared" si="449"/>
        <v xml:space="preserve">N733KP  </v>
      </c>
      <c r="BC1550">
        <v>1</v>
      </c>
      <c r="BE1550">
        <v>0</v>
      </c>
      <c r="BF1550">
        <v>0</v>
      </c>
      <c r="BG1550">
        <v>0</v>
      </c>
      <c r="BH1550">
        <v>3500</v>
      </c>
      <c r="BI1550">
        <v>1</v>
      </c>
      <c r="BJ1550">
        <v>1</v>
      </c>
      <c r="BK1550">
        <v>0</v>
      </c>
      <c r="BL1550">
        <v>0</v>
      </c>
      <c r="BO1550">
        <v>0</v>
      </c>
      <c r="BP1550">
        <v>0</v>
      </c>
      <c r="BW1550" t="str">
        <f>"22:15:58.918"</f>
        <v>22:15:58.918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7</v>
      </c>
      <c r="CP1550" t="s">
        <v>119</v>
      </c>
      <c r="CQ1550">
        <v>364</v>
      </c>
      <c r="CR1550">
        <v>0</v>
      </c>
      <c r="CW1550">
        <v>1424599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"03/24/2022 22:16:00.208"</f>
        <v>03/24/2022 22:16:00.208</v>
      </c>
      <c r="C1551" t="str">
        <f t="shared" si="448"/>
        <v>FFDFD3C0</v>
      </c>
      <c r="D1551" t="s">
        <v>126</v>
      </c>
      <c r="E1551">
        <v>3</v>
      </c>
      <c r="H1551">
        <v>160</v>
      </c>
      <c r="I1551" t="s">
        <v>121</v>
      </c>
      <c r="J1551" t="s">
        <v>127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S1551" t="str">
        <f t="shared" ref="S1551:T1554" si="465">"22:15:59.000"</f>
        <v>22:15:59.000</v>
      </c>
      <c r="T1551" t="str">
        <f t="shared" si="465"/>
        <v>22:15:59.000</v>
      </c>
      <c r="U1551" t="str">
        <f t="shared" si="461"/>
        <v>A9D71F</v>
      </c>
      <c r="V1551">
        <v>0</v>
      </c>
      <c r="W1551">
        <v>0</v>
      </c>
      <c r="X1551">
        <v>2</v>
      </c>
      <c r="Z1551">
        <v>1</v>
      </c>
      <c r="AA1551">
        <v>8</v>
      </c>
      <c r="AB1551">
        <v>3</v>
      </c>
      <c r="AC1551">
        <v>0</v>
      </c>
      <c r="AD1551">
        <v>9</v>
      </c>
      <c r="AE1551">
        <v>0</v>
      </c>
      <c r="AF1551">
        <v>3</v>
      </c>
      <c r="AG1551">
        <v>1</v>
      </c>
      <c r="AH1551">
        <v>0</v>
      </c>
      <c r="AI1551" t="s">
        <v>826</v>
      </c>
      <c r="AJ1551">
        <v>33.085821000000003</v>
      </c>
      <c r="AK1551" t="s">
        <v>827</v>
      </c>
      <c r="AL1551">
        <v>-97.681095999999997</v>
      </c>
      <c r="AM1551">
        <v>25</v>
      </c>
      <c r="AN1551">
        <v>3600</v>
      </c>
      <c r="AO1551" t="s">
        <v>118</v>
      </c>
      <c r="AP1551">
        <v>44</v>
      </c>
      <c r="AQ1551">
        <v>-110</v>
      </c>
      <c r="AR1551">
        <v>192</v>
      </c>
      <c r="AZ1551">
        <v>1200</v>
      </c>
      <c r="BA1551">
        <v>1</v>
      </c>
      <c r="BB1551" t="str">
        <f t="shared" si="449"/>
        <v xml:space="preserve">N733KP  </v>
      </c>
      <c r="BC1551">
        <v>1</v>
      </c>
      <c r="BE1551">
        <v>0</v>
      </c>
      <c r="BF1551">
        <v>0</v>
      </c>
      <c r="BG1551">
        <v>0</v>
      </c>
      <c r="BH1551">
        <v>3525</v>
      </c>
      <c r="BI1551">
        <v>1</v>
      </c>
      <c r="BJ1551">
        <v>1</v>
      </c>
      <c r="BK1551">
        <v>0</v>
      </c>
      <c r="BL1551">
        <v>0</v>
      </c>
      <c r="BO1551">
        <v>0</v>
      </c>
      <c r="BP1551">
        <v>0</v>
      </c>
      <c r="BW1551" t="str">
        <f>"22:15:59.939"</f>
        <v>22:15:59.939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7</v>
      </c>
      <c r="CP1551" t="s">
        <v>119</v>
      </c>
      <c r="CQ1551">
        <v>364</v>
      </c>
      <c r="CR1551">
        <v>0</v>
      </c>
      <c r="CW1551">
        <v>1424771</v>
      </c>
      <c r="CY1551">
        <v>1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"03/24/2022 22:16:00.208"</f>
        <v>03/24/2022 22:16:00.208</v>
      </c>
      <c r="C1552" t="str">
        <f t="shared" si="448"/>
        <v>FFDFD3C0</v>
      </c>
      <c r="D1552" t="s">
        <v>123</v>
      </c>
      <c r="E1552">
        <v>8</v>
      </c>
      <c r="H1552">
        <v>31</v>
      </c>
      <c r="I1552" t="s">
        <v>124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S1552" t="str">
        <f t="shared" si="465"/>
        <v>22:15:59.000</v>
      </c>
      <c r="T1552" t="str">
        <f t="shared" si="465"/>
        <v>22:15:59.000</v>
      </c>
      <c r="U1552" t="str">
        <f t="shared" si="461"/>
        <v>A9D71F</v>
      </c>
      <c r="V1552">
        <v>0</v>
      </c>
      <c r="W1552">
        <v>0</v>
      </c>
      <c r="X1552">
        <v>2</v>
      </c>
      <c r="Z1552">
        <v>1</v>
      </c>
      <c r="AA1552">
        <v>8</v>
      </c>
      <c r="AB1552">
        <v>3</v>
      </c>
      <c r="AC1552">
        <v>0</v>
      </c>
      <c r="AD1552">
        <v>9</v>
      </c>
      <c r="AE1552">
        <v>0</v>
      </c>
      <c r="AF1552">
        <v>3</v>
      </c>
      <c r="AG1552">
        <v>1</v>
      </c>
      <c r="AH1552">
        <v>0</v>
      </c>
      <c r="AI1552" t="s">
        <v>826</v>
      </c>
      <c r="AJ1552">
        <v>33.085821000000003</v>
      </c>
      <c r="AK1552" t="s">
        <v>827</v>
      </c>
      <c r="AL1552">
        <v>-97.681095999999997</v>
      </c>
      <c r="AM1552">
        <v>25</v>
      </c>
      <c r="AN1552">
        <v>3600</v>
      </c>
      <c r="AO1552" t="s">
        <v>118</v>
      </c>
      <c r="AP1552">
        <v>44</v>
      </c>
      <c r="AQ1552">
        <v>-110</v>
      </c>
      <c r="AR1552">
        <v>192</v>
      </c>
      <c r="AZ1552">
        <v>1200</v>
      </c>
      <c r="BA1552">
        <v>1</v>
      </c>
      <c r="BB1552" t="str">
        <f t="shared" si="449"/>
        <v xml:space="preserve">N733KP  </v>
      </c>
      <c r="BC1552">
        <v>1</v>
      </c>
      <c r="BE1552">
        <v>0</v>
      </c>
      <c r="BF1552">
        <v>0</v>
      </c>
      <c r="BG1552">
        <v>0</v>
      </c>
      <c r="BH1552">
        <v>3525</v>
      </c>
      <c r="BI1552">
        <v>1</v>
      </c>
      <c r="BJ1552">
        <v>1</v>
      </c>
      <c r="BK1552">
        <v>0</v>
      </c>
      <c r="BL1552">
        <v>0</v>
      </c>
      <c r="BO1552">
        <v>0</v>
      </c>
      <c r="BP1552">
        <v>0</v>
      </c>
      <c r="BW1552" t="str">
        <f>"22:15:59.939"</f>
        <v>22:15:59.939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7</v>
      </c>
      <c r="CP1552" t="s">
        <v>119</v>
      </c>
      <c r="CQ1552">
        <v>364</v>
      </c>
      <c r="CR1552">
        <v>0</v>
      </c>
      <c r="CW1552">
        <v>1424771</v>
      </c>
      <c r="CY1552">
        <v>1</v>
      </c>
      <c r="CZ1552">
        <v>0</v>
      </c>
      <c r="DA1552">
        <v>1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"03/24/2022 22:16:00.208"</f>
        <v>03/24/2022 22:16:00.208</v>
      </c>
      <c r="C1553" t="str">
        <f t="shared" si="448"/>
        <v>FFDFD3C0</v>
      </c>
      <c r="D1553" t="s">
        <v>120</v>
      </c>
      <c r="E1553">
        <v>14</v>
      </c>
      <c r="F1553">
        <v>1014</v>
      </c>
      <c r="G1553" t="s">
        <v>121</v>
      </c>
      <c r="J1553" t="s">
        <v>122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S1553" t="str">
        <f t="shared" si="465"/>
        <v>22:15:59.000</v>
      </c>
      <c r="T1553" t="str">
        <f t="shared" si="465"/>
        <v>22:15:59.000</v>
      </c>
      <c r="U1553" t="str">
        <f t="shared" si="461"/>
        <v>A9D71F</v>
      </c>
      <c r="V1553">
        <v>0</v>
      </c>
      <c r="W1553">
        <v>0</v>
      </c>
      <c r="X1553">
        <v>2</v>
      </c>
      <c r="Z1553">
        <v>1</v>
      </c>
      <c r="AA1553">
        <v>8</v>
      </c>
      <c r="AB1553">
        <v>3</v>
      </c>
      <c r="AC1553">
        <v>0</v>
      </c>
      <c r="AD1553">
        <v>9</v>
      </c>
      <c r="AE1553">
        <v>0</v>
      </c>
      <c r="AF1553">
        <v>3</v>
      </c>
      <c r="AG1553">
        <v>1</v>
      </c>
      <c r="AH1553">
        <v>0</v>
      </c>
      <c r="AI1553" t="s">
        <v>826</v>
      </c>
      <c r="AJ1553">
        <v>33.085821000000003</v>
      </c>
      <c r="AK1553" t="s">
        <v>827</v>
      </c>
      <c r="AL1553">
        <v>-97.681095999999997</v>
      </c>
      <c r="AM1553">
        <v>25</v>
      </c>
      <c r="AN1553">
        <v>3600</v>
      </c>
      <c r="AO1553" t="s">
        <v>118</v>
      </c>
      <c r="AP1553">
        <v>44</v>
      </c>
      <c r="AQ1553">
        <v>-110</v>
      </c>
      <c r="AR1553">
        <v>192</v>
      </c>
      <c r="AZ1553">
        <v>1200</v>
      </c>
      <c r="BA1553">
        <v>1</v>
      </c>
      <c r="BB1553" t="str">
        <f t="shared" si="449"/>
        <v xml:space="preserve">N733KP  </v>
      </c>
      <c r="BC1553">
        <v>1</v>
      </c>
      <c r="BE1553">
        <v>0</v>
      </c>
      <c r="BF1553">
        <v>0</v>
      </c>
      <c r="BG1553">
        <v>0</v>
      </c>
      <c r="BH1553">
        <v>3525</v>
      </c>
      <c r="BI1553">
        <v>1</v>
      </c>
      <c r="BJ1553">
        <v>1</v>
      </c>
      <c r="BK1553">
        <v>0</v>
      </c>
      <c r="BL1553">
        <v>0</v>
      </c>
      <c r="BO1553">
        <v>0</v>
      </c>
      <c r="BP1553">
        <v>0</v>
      </c>
      <c r="BW1553" t="str">
        <f>"22:15:59.939"</f>
        <v>22:15:59.939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7</v>
      </c>
      <c r="CP1553" t="s">
        <v>119</v>
      </c>
      <c r="CQ1553">
        <v>364</v>
      </c>
      <c r="CR1553">
        <v>0</v>
      </c>
      <c r="CW1553">
        <v>1424771</v>
      </c>
      <c r="CY1553">
        <v>1</v>
      </c>
      <c r="CZ1553">
        <v>0</v>
      </c>
      <c r="DA1553">
        <v>1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"03/24/2022 22:16:00.208"</f>
        <v>03/24/2022 22:16:00.208</v>
      </c>
      <c r="C1554" t="str">
        <f t="shared" si="448"/>
        <v>FFDFD3C0</v>
      </c>
      <c r="D1554" t="s">
        <v>113</v>
      </c>
      <c r="E1554">
        <v>24</v>
      </c>
      <c r="F1554">
        <v>2024</v>
      </c>
      <c r="G1554" t="s">
        <v>114</v>
      </c>
      <c r="J1554" t="s">
        <v>115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S1554" t="str">
        <f t="shared" si="465"/>
        <v>22:15:59.000</v>
      </c>
      <c r="T1554" t="str">
        <f t="shared" si="465"/>
        <v>22:15:59.000</v>
      </c>
      <c r="U1554" t="str">
        <f t="shared" si="461"/>
        <v>A9D71F</v>
      </c>
      <c r="V1554">
        <v>0</v>
      </c>
      <c r="W1554">
        <v>0</v>
      </c>
      <c r="X1554">
        <v>2</v>
      </c>
      <c r="Z1554">
        <v>1</v>
      </c>
      <c r="AA1554">
        <v>8</v>
      </c>
      <c r="AB1554">
        <v>3</v>
      </c>
      <c r="AC1554">
        <v>0</v>
      </c>
      <c r="AD1554">
        <v>9</v>
      </c>
      <c r="AE1554">
        <v>0</v>
      </c>
      <c r="AF1554">
        <v>3</v>
      </c>
      <c r="AG1554">
        <v>1</v>
      </c>
      <c r="AH1554">
        <v>0</v>
      </c>
      <c r="AI1554" t="s">
        <v>826</v>
      </c>
      <c r="AJ1554">
        <v>33.085821000000003</v>
      </c>
      <c r="AK1554" t="s">
        <v>827</v>
      </c>
      <c r="AL1554">
        <v>-97.681095999999997</v>
      </c>
      <c r="AM1554">
        <v>25</v>
      </c>
      <c r="AN1554">
        <v>3600</v>
      </c>
      <c r="AO1554" t="s">
        <v>118</v>
      </c>
      <c r="AP1554">
        <v>44</v>
      </c>
      <c r="AQ1554">
        <v>-110</v>
      </c>
      <c r="AR1554">
        <v>192</v>
      </c>
      <c r="AZ1554">
        <v>1200</v>
      </c>
      <c r="BA1554">
        <v>1</v>
      </c>
      <c r="BB1554" t="str">
        <f t="shared" si="449"/>
        <v xml:space="preserve">N733KP  </v>
      </c>
      <c r="BC1554">
        <v>1</v>
      </c>
      <c r="BE1554">
        <v>0</v>
      </c>
      <c r="BF1554">
        <v>0</v>
      </c>
      <c r="BG1554">
        <v>0</v>
      </c>
      <c r="BH1554">
        <v>3525</v>
      </c>
      <c r="BI1554">
        <v>1</v>
      </c>
      <c r="BJ1554">
        <v>1</v>
      </c>
      <c r="BK1554">
        <v>0</v>
      </c>
      <c r="BL1554">
        <v>0</v>
      </c>
      <c r="BO1554">
        <v>0</v>
      </c>
      <c r="BP1554">
        <v>0</v>
      </c>
      <c r="BW1554" t="str">
        <f>"22:15:59.939"</f>
        <v>22:15:59.939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7</v>
      </c>
      <c r="CP1554" t="s">
        <v>119</v>
      </c>
      <c r="CQ1554">
        <v>364</v>
      </c>
      <c r="CR1554">
        <v>0</v>
      </c>
      <c r="CW1554">
        <v>1424771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"03/24/2022 22:16:00.942"</f>
        <v>03/24/2022 22:16:00.942</v>
      </c>
      <c r="C1555" t="str">
        <f t="shared" si="448"/>
        <v>FFDFD3C0</v>
      </c>
      <c r="D1555" t="s">
        <v>126</v>
      </c>
      <c r="E1555">
        <v>3</v>
      </c>
      <c r="H1555">
        <v>160</v>
      </c>
      <c r="I1555" t="s">
        <v>121</v>
      </c>
      <c r="J1555" t="s">
        <v>127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S1555" t="str">
        <f t="shared" ref="S1555:T1558" si="466">"22:16:00.000"</f>
        <v>22:16:00.000</v>
      </c>
      <c r="T1555" t="str">
        <f t="shared" si="466"/>
        <v>22:16:00.000</v>
      </c>
      <c r="U1555" t="str">
        <f t="shared" si="461"/>
        <v>A9D71F</v>
      </c>
      <c r="V1555">
        <v>0</v>
      </c>
      <c r="W1555">
        <v>0</v>
      </c>
      <c r="X1555">
        <v>2</v>
      </c>
      <c r="Z1555">
        <v>1</v>
      </c>
      <c r="AA1555">
        <v>8</v>
      </c>
      <c r="AB1555">
        <v>3</v>
      </c>
      <c r="AC1555">
        <v>0</v>
      </c>
      <c r="AD1555">
        <v>9</v>
      </c>
      <c r="AE1555">
        <v>0</v>
      </c>
      <c r="AF1555">
        <v>3</v>
      </c>
      <c r="AG1555">
        <v>1</v>
      </c>
      <c r="AH1555">
        <v>0</v>
      </c>
      <c r="AI1555" t="s">
        <v>828</v>
      </c>
      <c r="AJ1555">
        <v>33.085326999999999</v>
      </c>
      <c r="AK1555" t="s">
        <v>829</v>
      </c>
      <c r="AL1555">
        <v>-97.680880999999999</v>
      </c>
      <c r="AM1555">
        <v>25</v>
      </c>
      <c r="AN1555">
        <v>3600</v>
      </c>
      <c r="AO1555" t="s">
        <v>118</v>
      </c>
      <c r="AP1555">
        <v>45</v>
      </c>
      <c r="AQ1555">
        <v>-110</v>
      </c>
      <c r="AR1555">
        <v>192</v>
      </c>
      <c r="AZ1555">
        <v>1200</v>
      </c>
      <c r="BA1555">
        <v>1</v>
      </c>
      <c r="BB1555" t="str">
        <f t="shared" si="449"/>
        <v xml:space="preserve">N733KP  </v>
      </c>
      <c r="BC1555">
        <v>1</v>
      </c>
      <c r="BE1555">
        <v>0</v>
      </c>
      <c r="BF1555">
        <v>0</v>
      </c>
      <c r="BG1555">
        <v>0</v>
      </c>
      <c r="BH1555">
        <v>3525</v>
      </c>
      <c r="BI1555">
        <v>1</v>
      </c>
      <c r="BJ1555">
        <v>1</v>
      </c>
      <c r="BK1555">
        <v>0</v>
      </c>
      <c r="BL1555">
        <v>0</v>
      </c>
      <c r="BO1555">
        <v>0</v>
      </c>
      <c r="BP1555">
        <v>0</v>
      </c>
      <c r="BW1555" t="str">
        <f>"22:16:00.587"</f>
        <v>22:16:00.587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7</v>
      </c>
      <c r="CP1555" t="s">
        <v>119</v>
      </c>
      <c r="CQ1555">
        <v>364</v>
      </c>
      <c r="CR1555">
        <v>0</v>
      </c>
      <c r="CW1555">
        <v>1424869</v>
      </c>
      <c r="CY1555">
        <v>1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"03/24/2022 22:16:00.958"</f>
        <v>03/24/2022 22:16:00.958</v>
      </c>
      <c r="C1556" t="str">
        <f t="shared" si="448"/>
        <v>FFDFD3C0</v>
      </c>
      <c r="D1556" t="s">
        <v>123</v>
      </c>
      <c r="E1556">
        <v>8</v>
      </c>
      <c r="H1556">
        <v>31</v>
      </c>
      <c r="I1556" t="s">
        <v>124</v>
      </c>
      <c r="J1556" t="s">
        <v>125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S1556" t="str">
        <f t="shared" si="466"/>
        <v>22:16:00.000</v>
      </c>
      <c r="T1556" t="str">
        <f t="shared" si="466"/>
        <v>22:16:00.000</v>
      </c>
      <c r="U1556" t="str">
        <f t="shared" si="461"/>
        <v>A9D71F</v>
      </c>
      <c r="V1556">
        <v>0</v>
      </c>
      <c r="W1556">
        <v>0</v>
      </c>
      <c r="X1556">
        <v>2</v>
      </c>
      <c r="Z1556">
        <v>1</v>
      </c>
      <c r="AA1556">
        <v>8</v>
      </c>
      <c r="AB1556">
        <v>3</v>
      </c>
      <c r="AC1556">
        <v>0</v>
      </c>
      <c r="AD1556">
        <v>9</v>
      </c>
      <c r="AE1556">
        <v>0</v>
      </c>
      <c r="AF1556">
        <v>3</v>
      </c>
      <c r="AG1556">
        <v>1</v>
      </c>
      <c r="AH1556">
        <v>0</v>
      </c>
      <c r="AI1556" t="s">
        <v>828</v>
      </c>
      <c r="AJ1556">
        <v>33.085326999999999</v>
      </c>
      <c r="AK1556" t="s">
        <v>829</v>
      </c>
      <c r="AL1556">
        <v>-97.680880999999999</v>
      </c>
      <c r="AM1556">
        <v>25</v>
      </c>
      <c r="AN1556">
        <v>3600</v>
      </c>
      <c r="AO1556" t="s">
        <v>118</v>
      </c>
      <c r="AP1556">
        <v>45</v>
      </c>
      <c r="AQ1556">
        <v>-110</v>
      </c>
      <c r="AR1556">
        <v>192</v>
      </c>
      <c r="AZ1556">
        <v>1200</v>
      </c>
      <c r="BA1556">
        <v>1</v>
      </c>
      <c r="BB1556" t="str">
        <f t="shared" si="449"/>
        <v xml:space="preserve">N733KP  </v>
      </c>
      <c r="BC1556">
        <v>1</v>
      </c>
      <c r="BE1556">
        <v>0</v>
      </c>
      <c r="BF1556">
        <v>0</v>
      </c>
      <c r="BG1556">
        <v>0</v>
      </c>
      <c r="BH1556">
        <v>3525</v>
      </c>
      <c r="BI1556">
        <v>1</v>
      </c>
      <c r="BJ1556">
        <v>1</v>
      </c>
      <c r="BK1556">
        <v>0</v>
      </c>
      <c r="BL1556">
        <v>0</v>
      </c>
      <c r="BO1556">
        <v>0</v>
      </c>
      <c r="BP1556">
        <v>0</v>
      </c>
      <c r="BW1556" t="str">
        <f>"22:16:00.587"</f>
        <v>22:16:00.587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7</v>
      </c>
      <c r="CP1556" t="s">
        <v>119</v>
      </c>
      <c r="CQ1556">
        <v>364</v>
      </c>
      <c r="CR1556">
        <v>0</v>
      </c>
      <c r="CW1556">
        <v>1424869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"03/24/2022 22:16:00.958"</f>
        <v>03/24/2022 22:16:00.958</v>
      </c>
      <c r="C1557" t="str">
        <f t="shared" si="448"/>
        <v>FFDFD3C0</v>
      </c>
      <c r="D1557" t="s">
        <v>113</v>
      </c>
      <c r="E1557">
        <v>24</v>
      </c>
      <c r="F1557">
        <v>2024</v>
      </c>
      <c r="G1557" t="s">
        <v>114</v>
      </c>
      <c r="J1557" t="s">
        <v>115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S1557" t="str">
        <f t="shared" si="466"/>
        <v>22:16:00.000</v>
      </c>
      <c r="T1557" t="str">
        <f t="shared" si="466"/>
        <v>22:16:00.000</v>
      </c>
      <c r="U1557" t="str">
        <f t="shared" si="461"/>
        <v>A9D71F</v>
      </c>
      <c r="V1557">
        <v>0</v>
      </c>
      <c r="W1557">
        <v>0</v>
      </c>
      <c r="X1557">
        <v>2</v>
      </c>
      <c r="Z1557">
        <v>1</v>
      </c>
      <c r="AA1557">
        <v>8</v>
      </c>
      <c r="AB1557">
        <v>3</v>
      </c>
      <c r="AC1557">
        <v>0</v>
      </c>
      <c r="AD1557">
        <v>9</v>
      </c>
      <c r="AE1557">
        <v>0</v>
      </c>
      <c r="AF1557">
        <v>3</v>
      </c>
      <c r="AG1557">
        <v>1</v>
      </c>
      <c r="AH1557">
        <v>0</v>
      </c>
      <c r="AI1557" t="s">
        <v>828</v>
      </c>
      <c r="AJ1557">
        <v>33.085326999999999</v>
      </c>
      <c r="AK1557" t="s">
        <v>829</v>
      </c>
      <c r="AL1557">
        <v>-97.680880999999999</v>
      </c>
      <c r="AM1557">
        <v>25</v>
      </c>
      <c r="AN1557">
        <v>3600</v>
      </c>
      <c r="AO1557" t="s">
        <v>118</v>
      </c>
      <c r="AP1557">
        <v>45</v>
      </c>
      <c r="AQ1557">
        <v>-110</v>
      </c>
      <c r="AR1557">
        <v>192</v>
      </c>
      <c r="AZ1557">
        <v>1200</v>
      </c>
      <c r="BA1557">
        <v>1</v>
      </c>
      <c r="BB1557" t="str">
        <f t="shared" si="449"/>
        <v xml:space="preserve">N733KP  </v>
      </c>
      <c r="BC1557">
        <v>1</v>
      </c>
      <c r="BE1557">
        <v>0</v>
      </c>
      <c r="BF1557">
        <v>0</v>
      </c>
      <c r="BG1557">
        <v>0</v>
      </c>
      <c r="BH1557">
        <v>3525</v>
      </c>
      <c r="BI1557">
        <v>1</v>
      </c>
      <c r="BJ1557">
        <v>1</v>
      </c>
      <c r="BK1557">
        <v>0</v>
      </c>
      <c r="BL1557">
        <v>0</v>
      </c>
      <c r="BO1557">
        <v>0</v>
      </c>
      <c r="BP1557">
        <v>0</v>
      </c>
      <c r="BW1557" t="str">
        <f>"22:16:00.587"</f>
        <v>22:16:00.587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7</v>
      </c>
      <c r="CP1557" t="s">
        <v>119</v>
      </c>
      <c r="CQ1557">
        <v>364</v>
      </c>
      <c r="CR1557">
        <v>0</v>
      </c>
      <c r="CW1557">
        <v>1424869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"03/24/2022 22:16:00.958"</f>
        <v>03/24/2022 22:16:00.958</v>
      </c>
      <c r="C1558" t="str">
        <f t="shared" ref="C1558:C1621" si="467">"FFDFD3C0"</f>
        <v>FFDFD3C0</v>
      </c>
      <c r="D1558" t="s">
        <v>120</v>
      </c>
      <c r="E1558">
        <v>14</v>
      </c>
      <c r="F1558">
        <v>1014</v>
      </c>
      <c r="G1558" t="s">
        <v>121</v>
      </c>
      <c r="J1558" t="s">
        <v>122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S1558" t="str">
        <f t="shared" si="466"/>
        <v>22:16:00.000</v>
      </c>
      <c r="T1558" t="str">
        <f t="shared" si="466"/>
        <v>22:16:00.000</v>
      </c>
      <c r="U1558" t="str">
        <f t="shared" si="461"/>
        <v>A9D71F</v>
      </c>
      <c r="V1558">
        <v>0</v>
      </c>
      <c r="W1558">
        <v>0</v>
      </c>
      <c r="X1558">
        <v>2</v>
      </c>
      <c r="Z1558">
        <v>1</v>
      </c>
      <c r="AA1558">
        <v>8</v>
      </c>
      <c r="AB1558">
        <v>3</v>
      </c>
      <c r="AC1558">
        <v>0</v>
      </c>
      <c r="AD1558">
        <v>9</v>
      </c>
      <c r="AE1558">
        <v>0</v>
      </c>
      <c r="AF1558">
        <v>3</v>
      </c>
      <c r="AG1558">
        <v>1</v>
      </c>
      <c r="AH1558">
        <v>0</v>
      </c>
      <c r="AI1558" t="s">
        <v>828</v>
      </c>
      <c r="AJ1558">
        <v>33.085326999999999</v>
      </c>
      <c r="AK1558" t="s">
        <v>829</v>
      </c>
      <c r="AL1558">
        <v>-97.680880999999999</v>
      </c>
      <c r="AM1558">
        <v>25</v>
      </c>
      <c r="AN1558">
        <v>3600</v>
      </c>
      <c r="AO1558" t="s">
        <v>118</v>
      </c>
      <c r="AP1558">
        <v>45</v>
      </c>
      <c r="AQ1558">
        <v>-110</v>
      </c>
      <c r="AR1558">
        <v>192</v>
      </c>
      <c r="AZ1558">
        <v>1200</v>
      </c>
      <c r="BA1558">
        <v>1</v>
      </c>
      <c r="BB1558" t="str">
        <f t="shared" ref="BB1558:BB1621" si="468">"N733KP  "</f>
        <v xml:space="preserve">N733KP  </v>
      </c>
      <c r="BC1558">
        <v>1</v>
      </c>
      <c r="BE1558">
        <v>0</v>
      </c>
      <c r="BF1558">
        <v>0</v>
      </c>
      <c r="BG1558">
        <v>0</v>
      </c>
      <c r="BH1558">
        <v>3525</v>
      </c>
      <c r="BI1558">
        <v>1</v>
      </c>
      <c r="BJ1558">
        <v>1</v>
      </c>
      <c r="BK1558">
        <v>0</v>
      </c>
      <c r="BL1558">
        <v>0</v>
      </c>
      <c r="BO1558">
        <v>0</v>
      </c>
      <c r="BP1558">
        <v>0</v>
      </c>
      <c r="BW1558" t="str">
        <f>"22:16:00.587"</f>
        <v>22:16:00.587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7</v>
      </c>
      <c r="CP1558" t="s">
        <v>119</v>
      </c>
      <c r="CQ1558">
        <v>364</v>
      </c>
      <c r="CR1558">
        <v>0</v>
      </c>
      <c r="CW1558">
        <v>1424869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"03/24/2022 22:16:01.567"</f>
        <v>03/24/2022 22:16:01.567</v>
      </c>
      <c r="C1559" t="str">
        <f t="shared" si="467"/>
        <v>FFDFD3C0</v>
      </c>
      <c r="D1559" t="s">
        <v>126</v>
      </c>
      <c r="E1559">
        <v>3</v>
      </c>
      <c r="H1559">
        <v>160</v>
      </c>
      <c r="I1559" t="s">
        <v>121</v>
      </c>
      <c r="J1559" t="s">
        <v>127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S1559" t="str">
        <f t="shared" ref="S1559:T1562" si="469">"22:16:01.000"</f>
        <v>22:16:01.000</v>
      </c>
      <c r="T1559" t="str">
        <f t="shared" si="469"/>
        <v>22:16:01.000</v>
      </c>
      <c r="U1559" t="str">
        <f t="shared" si="461"/>
        <v>A9D71F</v>
      </c>
      <c r="V1559">
        <v>0</v>
      </c>
      <c r="W1559">
        <v>0</v>
      </c>
      <c r="X1559">
        <v>2</v>
      </c>
      <c r="Z1559">
        <v>1</v>
      </c>
      <c r="AA1559">
        <v>8</v>
      </c>
      <c r="AB1559">
        <v>3</v>
      </c>
      <c r="AC1559">
        <v>0</v>
      </c>
      <c r="AD1559">
        <v>9</v>
      </c>
      <c r="AE1559">
        <v>0</v>
      </c>
      <c r="AF1559">
        <v>3</v>
      </c>
      <c r="AG1559">
        <v>1</v>
      </c>
      <c r="AH1559">
        <v>0</v>
      </c>
      <c r="AI1559" t="s">
        <v>830</v>
      </c>
      <c r="AJ1559">
        <v>33.084811999999999</v>
      </c>
      <c r="AK1559" t="s">
        <v>831</v>
      </c>
      <c r="AL1559">
        <v>-97.680644999999998</v>
      </c>
      <c r="AM1559">
        <v>25</v>
      </c>
      <c r="AN1559">
        <v>3600</v>
      </c>
      <c r="AO1559" t="s">
        <v>118</v>
      </c>
      <c r="AP1559">
        <v>46</v>
      </c>
      <c r="AQ1559">
        <v>-110</v>
      </c>
      <c r="AR1559">
        <v>192</v>
      </c>
      <c r="AZ1559">
        <v>1200</v>
      </c>
      <c r="BA1559">
        <v>1</v>
      </c>
      <c r="BB1559" t="str">
        <f t="shared" si="468"/>
        <v xml:space="preserve">N733KP  </v>
      </c>
      <c r="BC1559">
        <v>1</v>
      </c>
      <c r="BE1559">
        <v>0</v>
      </c>
      <c r="BF1559">
        <v>0</v>
      </c>
      <c r="BG1559">
        <v>0</v>
      </c>
      <c r="BH1559">
        <v>3525</v>
      </c>
      <c r="BI1559">
        <v>1</v>
      </c>
      <c r="BJ1559">
        <v>1</v>
      </c>
      <c r="BK1559">
        <v>0</v>
      </c>
      <c r="BL1559">
        <v>0</v>
      </c>
      <c r="BO1559">
        <v>0</v>
      </c>
      <c r="BP1559">
        <v>0</v>
      </c>
      <c r="BW1559" t="str">
        <f>"22:16:01.413"</f>
        <v>22:16:01.413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7</v>
      </c>
      <c r="CP1559" t="s">
        <v>119</v>
      </c>
      <c r="CQ1559">
        <v>364</v>
      </c>
      <c r="CR1559">
        <v>0</v>
      </c>
      <c r="CW1559">
        <v>1425003</v>
      </c>
      <c r="CY1559">
        <v>1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"03/24/2022 22:16:01.567"</f>
        <v>03/24/2022 22:16:01.567</v>
      </c>
      <c r="C1560" t="str">
        <f t="shared" si="467"/>
        <v>FFDFD3C0</v>
      </c>
      <c r="D1560" t="s">
        <v>123</v>
      </c>
      <c r="E1560">
        <v>8</v>
      </c>
      <c r="H1560">
        <v>31</v>
      </c>
      <c r="I1560" t="s">
        <v>124</v>
      </c>
      <c r="J1560" t="s">
        <v>125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S1560" t="str">
        <f t="shared" si="469"/>
        <v>22:16:01.000</v>
      </c>
      <c r="T1560" t="str">
        <f t="shared" si="469"/>
        <v>22:16:01.000</v>
      </c>
      <c r="U1560" t="str">
        <f t="shared" si="461"/>
        <v>A9D71F</v>
      </c>
      <c r="V1560">
        <v>0</v>
      </c>
      <c r="W1560">
        <v>0</v>
      </c>
      <c r="X1560">
        <v>2</v>
      </c>
      <c r="Z1560">
        <v>1</v>
      </c>
      <c r="AA1560">
        <v>8</v>
      </c>
      <c r="AB1560">
        <v>3</v>
      </c>
      <c r="AC1560">
        <v>0</v>
      </c>
      <c r="AD1560">
        <v>9</v>
      </c>
      <c r="AE1560">
        <v>0</v>
      </c>
      <c r="AF1560">
        <v>3</v>
      </c>
      <c r="AG1560">
        <v>1</v>
      </c>
      <c r="AH1560">
        <v>0</v>
      </c>
      <c r="AI1560" t="s">
        <v>830</v>
      </c>
      <c r="AJ1560">
        <v>33.084811999999999</v>
      </c>
      <c r="AK1560" t="s">
        <v>831</v>
      </c>
      <c r="AL1560">
        <v>-97.680644999999998</v>
      </c>
      <c r="AM1560">
        <v>25</v>
      </c>
      <c r="AN1560">
        <v>3600</v>
      </c>
      <c r="AO1560" t="s">
        <v>118</v>
      </c>
      <c r="AP1560">
        <v>46</v>
      </c>
      <c r="AQ1560">
        <v>-110</v>
      </c>
      <c r="AR1560">
        <v>192</v>
      </c>
      <c r="AZ1560">
        <v>1200</v>
      </c>
      <c r="BA1560">
        <v>1</v>
      </c>
      <c r="BB1560" t="str">
        <f t="shared" si="468"/>
        <v xml:space="preserve">N733KP  </v>
      </c>
      <c r="BC1560">
        <v>1</v>
      </c>
      <c r="BE1560">
        <v>0</v>
      </c>
      <c r="BF1560">
        <v>0</v>
      </c>
      <c r="BG1560">
        <v>0</v>
      </c>
      <c r="BH1560">
        <v>3525</v>
      </c>
      <c r="BI1560">
        <v>1</v>
      </c>
      <c r="BJ1560">
        <v>1</v>
      </c>
      <c r="BK1560">
        <v>0</v>
      </c>
      <c r="BL1560">
        <v>0</v>
      </c>
      <c r="BO1560">
        <v>0</v>
      </c>
      <c r="BP1560">
        <v>0</v>
      </c>
      <c r="BW1560" t="str">
        <f>"22:16:01.413"</f>
        <v>22:16:01.413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7</v>
      </c>
      <c r="CP1560" t="s">
        <v>119</v>
      </c>
      <c r="CQ1560">
        <v>364</v>
      </c>
      <c r="CR1560">
        <v>0</v>
      </c>
      <c r="CW1560">
        <v>1425003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"03/24/2022 22:16:01.630"</f>
        <v>03/24/2022 22:16:01.630</v>
      </c>
      <c r="C1561" t="str">
        <f t="shared" si="467"/>
        <v>FFDFD3C0</v>
      </c>
      <c r="D1561" t="s">
        <v>113</v>
      </c>
      <c r="E1561">
        <v>24</v>
      </c>
      <c r="F1561">
        <v>2024</v>
      </c>
      <c r="G1561" t="s">
        <v>114</v>
      </c>
      <c r="J1561" t="s">
        <v>115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S1561" t="str">
        <f t="shared" si="469"/>
        <v>22:16:01.000</v>
      </c>
      <c r="T1561" t="str">
        <f t="shared" si="469"/>
        <v>22:16:01.000</v>
      </c>
      <c r="U1561" t="str">
        <f t="shared" si="461"/>
        <v>A9D71F</v>
      </c>
      <c r="V1561">
        <v>0</v>
      </c>
      <c r="W1561">
        <v>0</v>
      </c>
      <c r="X1561">
        <v>2</v>
      </c>
      <c r="Z1561">
        <v>1</v>
      </c>
      <c r="AA1561">
        <v>8</v>
      </c>
      <c r="AB1561">
        <v>3</v>
      </c>
      <c r="AC1561">
        <v>0</v>
      </c>
      <c r="AD1561">
        <v>9</v>
      </c>
      <c r="AE1561">
        <v>0</v>
      </c>
      <c r="AF1561">
        <v>3</v>
      </c>
      <c r="AG1561">
        <v>1</v>
      </c>
      <c r="AH1561">
        <v>0</v>
      </c>
      <c r="AI1561" t="s">
        <v>830</v>
      </c>
      <c r="AJ1561">
        <v>33.084811999999999</v>
      </c>
      <c r="AK1561" t="s">
        <v>831</v>
      </c>
      <c r="AL1561">
        <v>-97.680644999999998</v>
      </c>
      <c r="AM1561">
        <v>25</v>
      </c>
      <c r="AN1561">
        <v>3600</v>
      </c>
      <c r="AO1561" t="s">
        <v>118</v>
      </c>
      <c r="AP1561">
        <v>46</v>
      </c>
      <c r="AQ1561">
        <v>-110</v>
      </c>
      <c r="AR1561">
        <v>192</v>
      </c>
      <c r="AZ1561">
        <v>1200</v>
      </c>
      <c r="BA1561">
        <v>1</v>
      </c>
      <c r="BB1561" t="str">
        <f t="shared" si="468"/>
        <v xml:space="preserve">N733KP  </v>
      </c>
      <c r="BC1561">
        <v>1</v>
      </c>
      <c r="BE1561">
        <v>0</v>
      </c>
      <c r="BF1561">
        <v>0</v>
      </c>
      <c r="BG1561">
        <v>0</v>
      </c>
      <c r="BH1561">
        <v>3525</v>
      </c>
      <c r="BI1561">
        <v>1</v>
      </c>
      <c r="BJ1561">
        <v>1</v>
      </c>
      <c r="BK1561">
        <v>0</v>
      </c>
      <c r="BL1561">
        <v>0</v>
      </c>
      <c r="BO1561">
        <v>0</v>
      </c>
      <c r="BP1561">
        <v>0</v>
      </c>
      <c r="BW1561" t="str">
        <f>"22:16:01.413"</f>
        <v>22:16:01.413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7</v>
      </c>
      <c r="CP1561" t="s">
        <v>119</v>
      </c>
      <c r="CQ1561">
        <v>364</v>
      </c>
      <c r="CR1561">
        <v>0</v>
      </c>
      <c r="CW1561">
        <v>1425003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"03/24/2022 22:16:01.630"</f>
        <v>03/24/2022 22:16:01.630</v>
      </c>
      <c r="C1562" t="str">
        <f t="shared" si="467"/>
        <v>FFDFD3C0</v>
      </c>
      <c r="D1562" t="s">
        <v>120</v>
      </c>
      <c r="E1562">
        <v>14</v>
      </c>
      <c r="F1562">
        <v>1014</v>
      </c>
      <c r="G1562" t="s">
        <v>121</v>
      </c>
      <c r="J1562" t="s">
        <v>122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S1562" t="str">
        <f t="shared" si="469"/>
        <v>22:16:01.000</v>
      </c>
      <c r="T1562" t="str">
        <f t="shared" si="469"/>
        <v>22:16:01.000</v>
      </c>
      <c r="U1562" t="str">
        <f t="shared" si="461"/>
        <v>A9D71F</v>
      </c>
      <c r="V1562">
        <v>0</v>
      </c>
      <c r="W1562">
        <v>0</v>
      </c>
      <c r="X1562">
        <v>2</v>
      </c>
      <c r="Z1562">
        <v>1</v>
      </c>
      <c r="AA1562">
        <v>8</v>
      </c>
      <c r="AB1562">
        <v>3</v>
      </c>
      <c r="AC1562">
        <v>0</v>
      </c>
      <c r="AD1562">
        <v>9</v>
      </c>
      <c r="AE1562">
        <v>0</v>
      </c>
      <c r="AF1562">
        <v>3</v>
      </c>
      <c r="AG1562">
        <v>1</v>
      </c>
      <c r="AH1562">
        <v>0</v>
      </c>
      <c r="AI1562" t="s">
        <v>830</v>
      </c>
      <c r="AJ1562">
        <v>33.084811999999999</v>
      </c>
      <c r="AK1562" t="s">
        <v>831</v>
      </c>
      <c r="AL1562">
        <v>-97.680644999999998</v>
      </c>
      <c r="AM1562">
        <v>25</v>
      </c>
      <c r="AN1562">
        <v>3600</v>
      </c>
      <c r="AO1562" t="s">
        <v>118</v>
      </c>
      <c r="AP1562">
        <v>46</v>
      </c>
      <c r="AQ1562">
        <v>-110</v>
      </c>
      <c r="AR1562">
        <v>192</v>
      </c>
      <c r="AZ1562">
        <v>1200</v>
      </c>
      <c r="BA1562">
        <v>1</v>
      </c>
      <c r="BB1562" t="str">
        <f t="shared" si="468"/>
        <v xml:space="preserve">N733KP  </v>
      </c>
      <c r="BC1562">
        <v>1</v>
      </c>
      <c r="BE1562">
        <v>0</v>
      </c>
      <c r="BF1562">
        <v>0</v>
      </c>
      <c r="BG1562">
        <v>0</v>
      </c>
      <c r="BH1562">
        <v>3525</v>
      </c>
      <c r="BI1562">
        <v>1</v>
      </c>
      <c r="BJ1562">
        <v>1</v>
      </c>
      <c r="BK1562">
        <v>0</v>
      </c>
      <c r="BL1562">
        <v>0</v>
      </c>
      <c r="BO1562">
        <v>0</v>
      </c>
      <c r="BP1562">
        <v>0</v>
      </c>
      <c r="BW1562" t="str">
        <f>"22:16:01.413"</f>
        <v>22:16:01.413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119</v>
      </c>
      <c r="CQ1562">
        <v>364</v>
      </c>
      <c r="CR1562">
        <v>0</v>
      </c>
      <c r="CW1562">
        <v>1425003</v>
      </c>
      <c r="CY1562">
        <v>1</v>
      </c>
      <c r="CZ1562">
        <v>0</v>
      </c>
      <c r="DA1562">
        <v>1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"03/24/2022 22:16:03.038"</f>
        <v>03/24/2022 22:16:03.038</v>
      </c>
      <c r="C1563" t="str">
        <f t="shared" si="467"/>
        <v>FFDFD3C0</v>
      </c>
      <c r="D1563" t="s">
        <v>113</v>
      </c>
      <c r="E1563">
        <v>24</v>
      </c>
      <c r="F1563">
        <v>2024</v>
      </c>
      <c r="G1563" t="s">
        <v>114</v>
      </c>
      <c r="J1563" t="s">
        <v>115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S1563" t="str">
        <f t="shared" ref="S1563:T1566" si="470">"22:16:02.000"</f>
        <v>22:16:02.000</v>
      </c>
      <c r="T1563" t="str">
        <f t="shared" si="470"/>
        <v>22:16:02.000</v>
      </c>
      <c r="U1563" t="str">
        <f t="shared" si="461"/>
        <v>A9D71F</v>
      </c>
      <c r="V1563">
        <v>0</v>
      </c>
      <c r="W1563">
        <v>0</v>
      </c>
      <c r="X1563">
        <v>2</v>
      </c>
      <c r="Z1563">
        <v>1</v>
      </c>
      <c r="AA1563">
        <v>8</v>
      </c>
      <c r="AB1563">
        <v>3</v>
      </c>
      <c r="AC1563">
        <v>0</v>
      </c>
      <c r="AD1563">
        <v>9</v>
      </c>
      <c r="AE1563">
        <v>0</v>
      </c>
      <c r="AF1563">
        <v>3</v>
      </c>
      <c r="AG1563">
        <v>1</v>
      </c>
      <c r="AH1563">
        <v>0</v>
      </c>
      <c r="AI1563" t="s">
        <v>832</v>
      </c>
      <c r="AJ1563">
        <v>33.084296999999999</v>
      </c>
      <c r="AK1563" t="s">
        <v>833</v>
      </c>
      <c r="AL1563">
        <v>-97.680345000000003</v>
      </c>
      <c r="AM1563">
        <v>25</v>
      </c>
      <c r="AN1563">
        <v>3600</v>
      </c>
      <c r="AO1563" t="s">
        <v>118</v>
      </c>
      <c r="AP1563">
        <v>47</v>
      </c>
      <c r="AQ1563">
        <v>-110</v>
      </c>
      <c r="AR1563">
        <v>64</v>
      </c>
      <c r="AZ1563">
        <v>1200</v>
      </c>
      <c r="BA1563">
        <v>1</v>
      </c>
      <c r="BB1563" t="str">
        <f t="shared" si="468"/>
        <v xml:space="preserve">N733KP  </v>
      </c>
      <c r="BC1563">
        <v>1</v>
      </c>
      <c r="BE1563">
        <v>0</v>
      </c>
      <c r="BF1563">
        <v>0</v>
      </c>
      <c r="BG1563">
        <v>0</v>
      </c>
      <c r="BH1563">
        <v>3525</v>
      </c>
      <c r="BI1563">
        <v>1</v>
      </c>
      <c r="BJ1563">
        <v>1</v>
      </c>
      <c r="BK1563">
        <v>0</v>
      </c>
      <c r="BL1563">
        <v>0</v>
      </c>
      <c r="BO1563">
        <v>0</v>
      </c>
      <c r="BP1563">
        <v>0</v>
      </c>
      <c r="BW1563" t="str">
        <f>"22:16:02.849"</f>
        <v>22:16:02.849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119</v>
      </c>
      <c r="CQ1563">
        <v>364</v>
      </c>
      <c r="CR1563">
        <v>0</v>
      </c>
      <c r="CW1563">
        <v>1425227</v>
      </c>
      <c r="CY1563">
        <v>1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"03/24/2022 22:16:03.038"</f>
        <v>03/24/2022 22:16:03.038</v>
      </c>
      <c r="C1564" t="str">
        <f t="shared" si="467"/>
        <v>FFDFD3C0</v>
      </c>
      <c r="D1564" t="s">
        <v>120</v>
      </c>
      <c r="E1564">
        <v>14</v>
      </c>
      <c r="F1564">
        <v>1014</v>
      </c>
      <c r="G1564" t="s">
        <v>121</v>
      </c>
      <c r="J1564" t="s">
        <v>122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S1564" t="str">
        <f t="shared" si="470"/>
        <v>22:16:02.000</v>
      </c>
      <c r="T1564" t="str">
        <f t="shared" si="470"/>
        <v>22:16:02.000</v>
      </c>
      <c r="U1564" t="str">
        <f t="shared" si="461"/>
        <v>A9D71F</v>
      </c>
      <c r="V1564">
        <v>0</v>
      </c>
      <c r="W1564">
        <v>0</v>
      </c>
      <c r="X1564">
        <v>2</v>
      </c>
      <c r="Z1564">
        <v>1</v>
      </c>
      <c r="AA1564">
        <v>8</v>
      </c>
      <c r="AB1564">
        <v>3</v>
      </c>
      <c r="AC1564">
        <v>0</v>
      </c>
      <c r="AD1564">
        <v>9</v>
      </c>
      <c r="AE1564">
        <v>0</v>
      </c>
      <c r="AF1564">
        <v>3</v>
      </c>
      <c r="AG1564">
        <v>1</v>
      </c>
      <c r="AH1564">
        <v>0</v>
      </c>
      <c r="AI1564" t="s">
        <v>832</v>
      </c>
      <c r="AJ1564">
        <v>33.084296999999999</v>
      </c>
      <c r="AK1564" t="s">
        <v>833</v>
      </c>
      <c r="AL1564">
        <v>-97.680345000000003</v>
      </c>
      <c r="AM1564">
        <v>25</v>
      </c>
      <c r="AN1564">
        <v>3600</v>
      </c>
      <c r="AO1564" t="s">
        <v>118</v>
      </c>
      <c r="AP1564">
        <v>47</v>
      </c>
      <c r="AQ1564">
        <v>-110</v>
      </c>
      <c r="AR1564">
        <v>64</v>
      </c>
      <c r="AZ1564">
        <v>1200</v>
      </c>
      <c r="BA1564">
        <v>1</v>
      </c>
      <c r="BB1564" t="str">
        <f t="shared" si="468"/>
        <v xml:space="preserve">N733KP  </v>
      </c>
      <c r="BC1564">
        <v>1</v>
      </c>
      <c r="BE1564">
        <v>0</v>
      </c>
      <c r="BF1564">
        <v>0</v>
      </c>
      <c r="BG1564">
        <v>0</v>
      </c>
      <c r="BH1564">
        <v>3525</v>
      </c>
      <c r="BI1564">
        <v>1</v>
      </c>
      <c r="BJ1564">
        <v>1</v>
      </c>
      <c r="BK1564">
        <v>0</v>
      </c>
      <c r="BL1564">
        <v>0</v>
      </c>
      <c r="BO1564">
        <v>0</v>
      </c>
      <c r="BP1564">
        <v>0</v>
      </c>
      <c r="BW1564" t="str">
        <f>"22:16:02.849"</f>
        <v>22:16:02.849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119</v>
      </c>
      <c r="CQ1564">
        <v>364</v>
      </c>
      <c r="CR1564">
        <v>0</v>
      </c>
      <c r="CW1564">
        <v>1425227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"03/24/2022 22:16:03.038"</f>
        <v>03/24/2022 22:16:03.038</v>
      </c>
      <c r="C1565" t="str">
        <f t="shared" si="467"/>
        <v>FFDFD3C0</v>
      </c>
      <c r="D1565" t="s">
        <v>126</v>
      </c>
      <c r="E1565">
        <v>3</v>
      </c>
      <c r="H1565">
        <v>160</v>
      </c>
      <c r="I1565" t="s">
        <v>121</v>
      </c>
      <c r="J1565" t="s">
        <v>127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S1565" t="str">
        <f t="shared" si="470"/>
        <v>22:16:02.000</v>
      </c>
      <c r="T1565" t="str">
        <f t="shared" si="470"/>
        <v>22:16:02.000</v>
      </c>
      <c r="U1565" t="str">
        <f t="shared" si="461"/>
        <v>A9D71F</v>
      </c>
      <c r="V1565">
        <v>0</v>
      </c>
      <c r="W1565">
        <v>0</v>
      </c>
      <c r="X1565">
        <v>2</v>
      </c>
      <c r="Z1565">
        <v>1</v>
      </c>
      <c r="AA1565">
        <v>8</v>
      </c>
      <c r="AB1565">
        <v>3</v>
      </c>
      <c r="AC1565">
        <v>0</v>
      </c>
      <c r="AD1565">
        <v>9</v>
      </c>
      <c r="AE1565">
        <v>0</v>
      </c>
      <c r="AF1565">
        <v>3</v>
      </c>
      <c r="AG1565">
        <v>1</v>
      </c>
      <c r="AH1565">
        <v>0</v>
      </c>
      <c r="AI1565" t="s">
        <v>832</v>
      </c>
      <c r="AJ1565">
        <v>33.084296999999999</v>
      </c>
      <c r="AK1565" t="s">
        <v>833</v>
      </c>
      <c r="AL1565">
        <v>-97.680345000000003</v>
      </c>
      <c r="AM1565">
        <v>25</v>
      </c>
      <c r="AN1565">
        <v>3600</v>
      </c>
      <c r="AO1565" t="s">
        <v>118</v>
      </c>
      <c r="AP1565">
        <v>47</v>
      </c>
      <c r="AQ1565">
        <v>-110</v>
      </c>
      <c r="AR1565">
        <v>64</v>
      </c>
      <c r="AZ1565">
        <v>1200</v>
      </c>
      <c r="BA1565">
        <v>1</v>
      </c>
      <c r="BB1565" t="str">
        <f t="shared" si="468"/>
        <v xml:space="preserve">N733KP  </v>
      </c>
      <c r="BC1565">
        <v>1</v>
      </c>
      <c r="BE1565">
        <v>0</v>
      </c>
      <c r="BF1565">
        <v>0</v>
      </c>
      <c r="BG1565">
        <v>0</v>
      </c>
      <c r="BH1565">
        <v>3525</v>
      </c>
      <c r="BI1565">
        <v>1</v>
      </c>
      <c r="BJ1565">
        <v>1</v>
      </c>
      <c r="BK1565">
        <v>0</v>
      </c>
      <c r="BL1565">
        <v>0</v>
      </c>
      <c r="BO1565">
        <v>0</v>
      </c>
      <c r="BP1565">
        <v>0</v>
      </c>
      <c r="BW1565" t="str">
        <f>"22:16:02.849"</f>
        <v>22:16:02.849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364</v>
      </c>
      <c r="CR1565">
        <v>0</v>
      </c>
      <c r="CW1565">
        <v>1425227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"03/24/2022 22:16:03.116"</f>
        <v>03/24/2022 22:16:03.116</v>
      </c>
      <c r="C1566" t="str">
        <f t="shared" si="467"/>
        <v>FFDFD3C0</v>
      </c>
      <c r="D1566" t="s">
        <v>123</v>
      </c>
      <c r="E1566">
        <v>8</v>
      </c>
      <c r="H1566">
        <v>31</v>
      </c>
      <c r="I1566" t="s">
        <v>124</v>
      </c>
      <c r="J1566" t="s">
        <v>125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S1566" t="str">
        <f t="shared" si="470"/>
        <v>22:16:02.000</v>
      </c>
      <c r="T1566" t="str">
        <f t="shared" si="470"/>
        <v>22:16:02.000</v>
      </c>
      <c r="U1566" t="str">
        <f t="shared" si="461"/>
        <v>A9D71F</v>
      </c>
      <c r="V1566">
        <v>0</v>
      </c>
      <c r="W1566">
        <v>0</v>
      </c>
      <c r="X1566">
        <v>2</v>
      </c>
      <c r="Z1566">
        <v>1</v>
      </c>
      <c r="AA1566">
        <v>8</v>
      </c>
      <c r="AB1566">
        <v>3</v>
      </c>
      <c r="AC1566">
        <v>0</v>
      </c>
      <c r="AD1566">
        <v>9</v>
      </c>
      <c r="AE1566">
        <v>0</v>
      </c>
      <c r="AF1566">
        <v>3</v>
      </c>
      <c r="AG1566">
        <v>1</v>
      </c>
      <c r="AH1566">
        <v>0</v>
      </c>
      <c r="AI1566" t="s">
        <v>832</v>
      </c>
      <c r="AJ1566">
        <v>33.084296999999999</v>
      </c>
      <c r="AK1566" t="s">
        <v>833</v>
      </c>
      <c r="AL1566">
        <v>-97.680345000000003</v>
      </c>
      <c r="AM1566">
        <v>25</v>
      </c>
      <c r="AN1566">
        <v>3600</v>
      </c>
      <c r="AO1566" t="s">
        <v>118</v>
      </c>
      <c r="AP1566">
        <v>47</v>
      </c>
      <c r="AQ1566">
        <v>-110</v>
      </c>
      <c r="AR1566">
        <v>64</v>
      </c>
      <c r="AZ1566">
        <v>1200</v>
      </c>
      <c r="BA1566">
        <v>1</v>
      </c>
      <c r="BB1566" t="str">
        <f t="shared" si="468"/>
        <v xml:space="preserve">N733KP  </v>
      </c>
      <c r="BC1566">
        <v>1</v>
      </c>
      <c r="BE1566">
        <v>0</v>
      </c>
      <c r="BF1566">
        <v>0</v>
      </c>
      <c r="BG1566">
        <v>0</v>
      </c>
      <c r="BH1566">
        <v>3525</v>
      </c>
      <c r="BI1566">
        <v>1</v>
      </c>
      <c r="BJ1566">
        <v>1</v>
      </c>
      <c r="BK1566">
        <v>0</v>
      </c>
      <c r="BL1566">
        <v>0</v>
      </c>
      <c r="BO1566">
        <v>0</v>
      </c>
      <c r="BP1566">
        <v>0</v>
      </c>
      <c r="BW1566" t="str">
        <f>"22:16:02.849"</f>
        <v>22:16:02.849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7</v>
      </c>
      <c r="CP1566" t="s">
        <v>119</v>
      </c>
      <c r="CQ1566">
        <v>364</v>
      </c>
      <c r="CR1566">
        <v>0</v>
      </c>
      <c r="CW1566">
        <v>1425227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"03/24/2022 22:16:03.900"</f>
        <v>03/24/2022 22:16:03.900</v>
      </c>
      <c r="C1567" t="str">
        <f t="shared" si="467"/>
        <v>FFDFD3C0</v>
      </c>
      <c r="D1567" t="s">
        <v>126</v>
      </c>
      <c r="E1567">
        <v>3</v>
      </c>
      <c r="H1567">
        <v>160</v>
      </c>
      <c r="I1567" t="s">
        <v>121</v>
      </c>
      <c r="J1567" t="s">
        <v>127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S1567" t="str">
        <f t="shared" ref="S1567:T1570" si="471">"22:16:03.000"</f>
        <v>22:16:03.000</v>
      </c>
      <c r="T1567" t="str">
        <f t="shared" si="471"/>
        <v>22:16:03.000</v>
      </c>
      <c r="U1567" t="str">
        <f t="shared" si="461"/>
        <v>A9D71F</v>
      </c>
      <c r="V1567">
        <v>0</v>
      </c>
      <c r="W1567">
        <v>0</v>
      </c>
      <c r="X1567">
        <v>2</v>
      </c>
      <c r="Z1567">
        <v>1</v>
      </c>
      <c r="AA1567">
        <v>8</v>
      </c>
      <c r="AB1567">
        <v>3</v>
      </c>
      <c r="AC1567">
        <v>0</v>
      </c>
      <c r="AD1567">
        <v>9</v>
      </c>
      <c r="AE1567">
        <v>0</v>
      </c>
      <c r="AF1567">
        <v>3</v>
      </c>
      <c r="AG1567">
        <v>1</v>
      </c>
      <c r="AH1567">
        <v>0</v>
      </c>
      <c r="AI1567" t="s">
        <v>834</v>
      </c>
      <c r="AJ1567">
        <v>33.083781999999999</v>
      </c>
      <c r="AK1567" t="s">
        <v>835</v>
      </c>
      <c r="AL1567">
        <v>-97.680087</v>
      </c>
      <c r="AM1567">
        <v>25</v>
      </c>
      <c r="AN1567">
        <v>3600</v>
      </c>
      <c r="AO1567" t="s">
        <v>118</v>
      </c>
      <c r="AP1567">
        <v>47</v>
      </c>
      <c r="AQ1567">
        <v>-110</v>
      </c>
      <c r="AR1567">
        <v>64</v>
      </c>
      <c r="AZ1567">
        <v>1200</v>
      </c>
      <c r="BA1567">
        <v>1</v>
      </c>
      <c r="BB1567" t="str">
        <f t="shared" si="468"/>
        <v xml:space="preserve">N733KP  </v>
      </c>
      <c r="BC1567">
        <v>1</v>
      </c>
      <c r="BE1567">
        <v>0</v>
      </c>
      <c r="BF1567">
        <v>0</v>
      </c>
      <c r="BG1567">
        <v>0</v>
      </c>
      <c r="BH1567">
        <v>3525</v>
      </c>
      <c r="BI1567">
        <v>1</v>
      </c>
      <c r="BJ1567">
        <v>1</v>
      </c>
      <c r="BK1567">
        <v>0</v>
      </c>
      <c r="BL1567">
        <v>0</v>
      </c>
      <c r="BO1567">
        <v>0</v>
      </c>
      <c r="BP1567">
        <v>0</v>
      </c>
      <c r="BW1567" t="str">
        <f>"22:16:03.682"</f>
        <v>22:16:03.682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7</v>
      </c>
      <c r="CP1567" t="s">
        <v>119</v>
      </c>
      <c r="CQ1567">
        <v>364</v>
      </c>
      <c r="CR1567">
        <v>0</v>
      </c>
      <c r="CW1567">
        <v>1425347</v>
      </c>
      <c r="CY1567">
        <v>1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"03/24/2022 22:16:03.900"</f>
        <v>03/24/2022 22:16:03.900</v>
      </c>
      <c r="C1568" t="str">
        <f t="shared" si="467"/>
        <v>FFDFD3C0</v>
      </c>
      <c r="D1568" t="s">
        <v>123</v>
      </c>
      <c r="E1568">
        <v>8</v>
      </c>
      <c r="H1568">
        <v>31</v>
      </c>
      <c r="I1568" t="s">
        <v>124</v>
      </c>
      <c r="J1568" t="s">
        <v>125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S1568" t="str">
        <f t="shared" si="471"/>
        <v>22:16:03.000</v>
      </c>
      <c r="T1568" t="str">
        <f t="shared" si="471"/>
        <v>22:16:03.000</v>
      </c>
      <c r="U1568" t="str">
        <f t="shared" si="461"/>
        <v>A9D71F</v>
      </c>
      <c r="V1568">
        <v>0</v>
      </c>
      <c r="W1568">
        <v>0</v>
      </c>
      <c r="X1568">
        <v>2</v>
      </c>
      <c r="Z1568">
        <v>1</v>
      </c>
      <c r="AA1568">
        <v>8</v>
      </c>
      <c r="AB1568">
        <v>3</v>
      </c>
      <c r="AC1568">
        <v>0</v>
      </c>
      <c r="AD1568">
        <v>9</v>
      </c>
      <c r="AE1568">
        <v>0</v>
      </c>
      <c r="AF1568">
        <v>3</v>
      </c>
      <c r="AG1568">
        <v>1</v>
      </c>
      <c r="AH1568">
        <v>0</v>
      </c>
      <c r="AI1568" t="s">
        <v>834</v>
      </c>
      <c r="AJ1568">
        <v>33.083781999999999</v>
      </c>
      <c r="AK1568" t="s">
        <v>835</v>
      </c>
      <c r="AL1568">
        <v>-97.680087</v>
      </c>
      <c r="AM1568">
        <v>25</v>
      </c>
      <c r="AN1568">
        <v>3600</v>
      </c>
      <c r="AO1568" t="s">
        <v>118</v>
      </c>
      <c r="AP1568">
        <v>47</v>
      </c>
      <c r="AQ1568">
        <v>-110</v>
      </c>
      <c r="AR1568">
        <v>64</v>
      </c>
      <c r="AZ1568">
        <v>1200</v>
      </c>
      <c r="BA1568">
        <v>1</v>
      </c>
      <c r="BB1568" t="str">
        <f t="shared" si="468"/>
        <v xml:space="preserve">N733KP  </v>
      </c>
      <c r="BC1568">
        <v>1</v>
      </c>
      <c r="BE1568">
        <v>0</v>
      </c>
      <c r="BF1568">
        <v>0</v>
      </c>
      <c r="BG1568">
        <v>0</v>
      </c>
      <c r="BH1568">
        <v>3525</v>
      </c>
      <c r="BI1568">
        <v>1</v>
      </c>
      <c r="BJ1568">
        <v>1</v>
      </c>
      <c r="BK1568">
        <v>0</v>
      </c>
      <c r="BL1568">
        <v>0</v>
      </c>
      <c r="BO1568">
        <v>0</v>
      </c>
      <c r="BP1568">
        <v>0</v>
      </c>
      <c r="BW1568" t="str">
        <f>"22:16:03.682"</f>
        <v>22:16:03.682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7</v>
      </c>
      <c r="CP1568" t="s">
        <v>119</v>
      </c>
      <c r="CQ1568">
        <v>364</v>
      </c>
      <c r="CR1568">
        <v>0</v>
      </c>
      <c r="CW1568">
        <v>1425347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"03/24/2022 22:16:03.900"</f>
        <v>03/24/2022 22:16:03.900</v>
      </c>
      <c r="C1569" t="str">
        <f t="shared" si="467"/>
        <v>FFDFD3C0</v>
      </c>
      <c r="D1569" t="s">
        <v>120</v>
      </c>
      <c r="E1569">
        <v>14</v>
      </c>
      <c r="F1569">
        <v>1014</v>
      </c>
      <c r="G1569" t="s">
        <v>121</v>
      </c>
      <c r="J1569" t="s">
        <v>122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S1569" t="str">
        <f t="shared" si="471"/>
        <v>22:16:03.000</v>
      </c>
      <c r="T1569" t="str">
        <f t="shared" si="471"/>
        <v>22:16:03.000</v>
      </c>
      <c r="U1569" t="str">
        <f t="shared" si="461"/>
        <v>A9D71F</v>
      </c>
      <c r="V1569">
        <v>0</v>
      </c>
      <c r="W1569">
        <v>0</v>
      </c>
      <c r="X1569">
        <v>2</v>
      </c>
      <c r="Z1569">
        <v>1</v>
      </c>
      <c r="AA1569">
        <v>8</v>
      </c>
      <c r="AB1569">
        <v>3</v>
      </c>
      <c r="AC1569">
        <v>0</v>
      </c>
      <c r="AD1569">
        <v>9</v>
      </c>
      <c r="AE1569">
        <v>0</v>
      </c>
      <c r="AF1569">
        <v>3</v>
      </c>
      <c r="AG1569">
        <v>1</v>
      </c>
      <c r="AH1569">
        <v>0</v>
      </c>
      <c r="AI1569" t="s">
        <v>834</v>
      </c>
      <c r="AJ1569">
        <v>33.083781999999999</v>
      </c>
      <c r="AK1569" t="s">
        <v>835</v>
      </c>
      <c r="AL1569">
        <v>-97.680087</v>
      </c>
      <c r="AM1569">
        <v>25</v>
      </c>
      <c r="AN1569">
        <v>3600</v>
      </c>
      <c r="AO1569" t="s">
        <v>118</v>
      </c>
      <c r="AP1569">
        <v>47</v>
      </c>
      <c r="AQ1569">
        <v>-110</v>
      </c>
      <c r="AR1569">
        <v>64</v>
      </c>
      <c r="AZ1569">
        <v>1200</v>
      </c>
      <c r="BA1569">
        <v>1</v>
      </c>
      <c r="BB1569" t="str">
        <f t="shared" si="468"/>
        <v xml:space="preserve">N733KP  </v>
      </c>
      <c r="BC1569">
        <v>1</v>
      </c>
      <c r="BE1569">
        <v>0</v>
      </c>
      <c r="BF1569">
        <v>0</v>
      </c>
      <c r="BG1569">
        <v>0</v>
      </c>
      <c r="BH1569">
        <v>3525</v>
      </c>
      <c r="BI1569">
        <v>1</v>
      </c>
      <c r="BJ1569">
        <v>1</v>
      </c>
      <c r="BK1569">
        <v>0</v>
      </c>
      <c r="BL1569">
        <v>0</v>
      </c>
      <c r="BO1569">
        <v>0</v>
      </c>
      <c r="BP1569">
        <v>0</v>
      </c>
      <c r="BW1569" t="str">
        <f>"22:16:03.682"</f>
        <v>22:16:03.682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7</v>
      </c>
      <c r="CP1569" t="s">
        <v>119</v>
      </c>
      <c r="CQ1569">
        <v>364</v>
      </c>
      <c r="CR1569">
        <v>0</v>
      </c>
      <c r="CW1569">
        <v>1425347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"03/24/2022 22:16:03.900"</f>
        <v>03/24/2022 22:16:03.900</v>
      </c>
      <c r="C1570" t="str">
        <f t="shared" si="467"/>
        <v>FFDFD3C0</v>
      </c>
      <c r="D1570" t="s">
        <v>113</v>
      </c>
      <c r="E1570">
        <v>24</v>
      </c>
      <c r="F1570">
        <v>2024</v>
      </c>
      <c r="G1570" t="s">
        <v>114</v>
      </c>
      <c r="J1570" t="s">
        <v>115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S1570" t="str">
        <f t="shared" si="471"/>
        <v>22:16:03.000</v>
      </c>
      <c r="T1570" t="str">
        <f t="shared" si="471"/>
        <v>22:16:03.000</v>
      </c>
      <c r="U1570" t="str">
        <f t="shared" si="461"/>
        <v>A9D71F</v>
      </c>
      <c r="V1570">
        <v>0</v>
      </c>
      <c r="W1570">
        <v>0</v>
      </c>
      <c r="X1570">
        <v>2</v>
      </c>
      <c r="Z1570">
        <v>1</v>
      </c>
      <c r="AA1570">
        <v>8</v>
      </c>
      <c r="AB1570">
        <v>3</v>
      </c>
      <c r="AC1570">
        <v>0</v>
      </c>
      <c r="AD1570">
        <v>9</v>
      </c>
      <c r="AE1570">
        <v>0</v>
      </c>
      <c r="AF1570">
        <v>3</v>
      </c>
      <c r="AG1570">
        <v>1</v>
      </c>
      <c r="AH1570">
        <v>0</v>
      </c>
      <c r="AI1570" t="s">
        <v>834</v>
      </c>
      <c r="AJ1570">
        <v>33.083781999999999</v>
      </c>
      <c r="AK1570" t="s">
        <v>835</v>
      </c>
      <c r="AL1570">
        <v>-97.680087</v>
      </c>
      <c r="AM1570">
        <v>25</v>
      </c>
      <c r="AN1570">
        <v>3600</v>
      </c>
      <c r="AO1570" t="s">
        <v>118</v>
      </c>
      <c r="AP1570">
        <v>47</v>
      </c>
      <c r="AQ1570">
        <v>-110</v>
      </c>
      <c r="AR1570">
        <v>64</v>
      </c>
      <c r="AZ1570">
        <v>1200</v>
      </c>
      <c r="BA1570">
        <v>1</v>
      </c>
      <c r="BB1570" t="str">
        <f t="shared" si="468"/>
        <v xml:space="preserve">N733KP  </v>
      </c>
      <c r="BC1570">
        <v>1</v>
      </c>
      <c r="BE1570">
        <v>0</v>
      </c>
      <c r="BF1570">
        <v>0</v>
      </c>
      <c r="BG1570">
        <v>0</v>
      </c>
      <c r="BH1570">
        <v>3525</v>
      </c>
      <c r="BI1570">
        <v>1</v>
      </c>
      <c r="BJ1570">
        <v>1</v>
      </c>
      <c r="BK1570">
        <v>0</v>
      </c>
      <c r="BL1570">
        <v>0</v>
      </c>
      <c r="BO1570">
        <v>0</v>
      </c>
      <c r="BP1570">
        <v>0</v>
      </c>
      <c r="BW1570" t="str">
        <f>"22:16:03.682"</f>
        <v>22:16:03.682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364</v>
      </c>
      <c r="CR1570">
        <v>0</v>
      </c>
      <c r="CW1570">
        <v>1425347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"03/24/2022 22:16:04.900"</f>
        <v>03/24/2022 22:16:04.900</v>
      </c>
      <c r="C1571" t="str">
        <f t="shared" si="467"/>
        <v>FFDFD3C0</v>
      </c>
      <c r="D1571" t="s">
        <v>123</v>
      </c>
      <c r="E1571">
        <v>8</v>
      </c>
      <c r="H1571">
        <v>31</v>
      </c>
      <c r="I1571" t="s">
        <v>124</v>
      </c>
      <c r="J1571" t="s">
        <v>125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S1571" t="str">
        <f t="shared" ref="S1571:T1574" si="472">"22:16:04.000"</f>
        <v>22:16:04.000</v>
      </c>
      <c r="T1571" t="str">
        <f t="shared" si="472"/>
        <v>22:16:04.000</v>
      </c>
      <c r="U1571" t="str">
        <f t="shared" si="461"/>
        <v>A9D71F</v>
      </c>
      <c r="V1571">
        <v>0</v>
      </c>
      <c r="W1571">
        <v>0</v>
      </c>
      <c r="X1571">
        <v>2</v>
      </c>
      <c r="Z1571">
        <v>1</v>
      </c>
      <c r="AA1571">
        <v>8</v>
      </c>
      <c r="AB1571">
        <v>3</v>
      </c>
      <c r="AC1571">
        <v>0</v>
      </c>
      <c r="AD1571">
        <v>9</v>
      </c>
      <c r="AE1571">
        <v>0</v>
      </c>
      <c r="AF1571">
        <v>3</v>
      </c>
      <c r="AG1571">
        <v>1</v>
      </c>
      <c r="AH1571">
        <v>0</v>
      </c>
      <c r="AI1571" t="s">
        <v>836</v>
      </c>
      <c r="AJ1571">
        <v>33.083266999999999</v>
      </c>
      <c r="AK1571" t="s">
        <v>837</v>
      </c>
      <c r="AL1571">
        <v>-97.679829999999995</v>
      </c>
      <c r="AM1571">
        <v>25</v>
      </c>
      <c r="AN1571">
        <v>3600</v>
      </c>
      <c r="AO1571" t="s">
        <v>118</v>
      </c>
      <c r="AP1571">
        <v>47</v>
      </c>
      <c r="AQ1571">
        <v>-109</v>
      </c>
      <c r="AR1571">
        <v>0</v>
      </c>
      <c r="AZ1571">
        <v>1200</v>
      </c>
      <c r="BA1571">
        <v>1</v>
      </c>
      <c r="BB1571" t="str">
        <f t="shared" si="468"/>
        <v xml:space="preserve">N733KP  </v>
      </c>
      <c r="BC1571">
        <v>1</v>
      </c>
      <c r="BE1571">
        <v>0</v>
      </c>
      <c r="BF1571">
        <v>0</v>
      </c>
      <c r="BG1571">
        <v>0</v>
      </c>
      <c r="BH1571">
        <v>3525</v>
      </c>
      <c r="BI1571">
        <v>1</v>
      </c>
      <c r="BJ1571">
        <v>1</v>
      </c>
      <c r="BK1571">
        <v>0</v>
      </c>
      <c r="BL1571">
        <v>0</v>
      </c>
      <c r="BO1571">
        <v>0</v>
      </c>
      <c r="BP1571">
        <v>0</v>
      </c>
      <c r="BW1571" t="str">
        <f>"22:16:04.706"</f>
        <v>22:16:04.706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364</v>
      </c>
      <c r="CR1571">
        <v>0</v>
      </c>
      <c r="CW1571">
        <v>1425510</v>
      </c>
      <c r="CY1571">
        <v>1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"03/24/2022 22:16:04.900"</f>
        <v>03/24/2022 22:16:04.900</v>
      </c>
      <c r="C1572" t="str">
        <f t="shared" si="467"/>
        <v>FFDFD3C0</v>
      </c>
      <c r="D1572" t="s">
        <v>113</v>
      </c>
      <c r="E1572">
        <v>24</v>
      </c>
      <c r="F1572">
        <v>2024</v>
      </c>
      <c r="G1572" t="s">
        <v>114</v>
      </c>
      <c r="J1572" t="s">
        <v>115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S1572" t="str">
        <f t="shared" si="472"/>
        <v>22:16:04.000</v>
      </c>
      <c r="T1572" t="str">
        <f t="shared" si="472"/>
        <v>22:16:04.000</v>
      </c>
      <c r="U1572" t="str">
        <f t="shared" si="461"/>
        <v>A9D71F</v>
      </c>
      <c r="V1572">
        <v>0</v>
      </c>
      <c r="W1572">
        <v>0</v>
      </c>
      <c r="X1572">
        <v>2</v>
      </c>
      <c r="Z1572">
        <v>1</v>
      </c>
      <c r="AA1572">
        <v>8</v>
      </c>
      <c r="AB1572">
        <v>3</v>
      </c>
      <c r="AC1572">
        <v>0</v>
      </c>
      <c r="AD1572">
        <v>9</v>
      </c>
      <c r="AE1572">
        <v>0</v>
      </c>
      <c r="AF1572">
        <v>3</v>
      </c>
      <c r="AG1572">
        <v>1</v>
      </c>
      <c r="AH1572">
        <v>0</v>
      </c>
      <c r="AI1572" t="s">
        <v>836</v>
      </c>
      <c r="AJ1572">
        <v>33.083266999999999</v>
      </c>
      <c r="AK1572" t="s">
        <v>837</v>
      </c>
      <c r="AL1572">
        <v>-97.679829999999995</v>
      </c>
      <c r="AM1572">
        <v>25</v>
      </c>
      <c r="AN1572">
        <v>3600</v>
      </c>
      <c r="AO1572" t="s">
        <v>118</v>
      </c>
      <c r="AP1572">
        <v>47</v>
      </c>
      <c r="AQ1572">
        <v>-109</v>
      </c>
      <c r="AR1572">
        <v>0</v>
      </c>
      <c r="AZ1572">
        <v>1200</v>
      </c>
      <c r="BA1572">
        <v>1</v>
      </c>
      <c r="BB1572" t="str">
        <f t="shared" si="468"/>
        <v xml:space="preserve">N733KP  </v>
      </c>
      <c r="BC1572">
        <v>1</v>
      </c>
      <c r="BE1572">
        <v>0</v>
      </c>
      <c r="BF1572">
        <v>0</v>
      </c>
      <c r="BG1572">
        <v>0</v>
      </c>
      <c r="BH1572">
        <v>3525</v>
      </c>
      <c r="BI1572">
        <v>1</v>
      </c>
      <c r="BJ1572">
        <v>1</v>
      </c>
      <c r="BK1572">
        <v>0</v>
      </c>
      <c r="BL1572">
        <v>0</v>
      </c>
      <c r="BO1572">
        <v>0</v>
      </c>
      <c r="BP1572">
        <v>0</v>
      </c>
      <c r="BW1572" t="str">
        <f>"22:16:04.706"</f>
        <v>22:16:04.706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364</v>
      </c>
      <c r="CR1572">
        <v>0</v>
      </c>
      <c r="CW1572">
        <v>1425510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"03/24/2022 22:16:04.900"</f>
        <v>03/24/2022 22:16:04.900</v>
      </c>
      <c r="C1573" t="str">
        <f t="shared" si="467"/>
        <v>FFDFD3C0</v>
      </c>
      <c r="D1573" t="s">
        <v>120</v>
      </c>
      <c r="E1573">
        <v>14</v>
      </c>
      <c r="F1573">
        <v>1014</v>
      </c>
      <c r="G1573" t="s">
        <v>121</v>
      </c>
      <c r="J1573" t="s">
        <v>122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S1573" t="str">
        <f t="shared" si="472"/>
        <v>22:16:04.000</v>
      </c>
      <c r="T1573" t="str">
        <f t="shared" si="472"/>
        <v>22:16:04.000</v>
      </c>
      <c r="U1573" t="str">
        <f t="shared" si="461"/>
        <v>A9D71F</v>
      </c>
      <c r="V1573">
        <v>0</v>
      </c>
      <c r="W1573">
        <v>0</v>
      </c>
      <c r="X1573">
        <v>2</v>
      </c>
      <c r="Z1573">
        <v>1</v>
      </c>
      <c r="AA1573">
        <v>8</v>
      </c>
      <c r="AB1573">
        <v>3</v>
      </c>
      <c r="AC1573">
        <v>0</v>
      </c>
      <c r="AD1573">
        <v>9</v>
      </c>
      <c r="AE1573">
        <v>0</v>
      </c>
      <c r="AF1573">
        <v>3</v>
      </c>
      <c r="AG1573">
        <v>1</v>
      </c>
      <c r="AH1573">
        <v>0</v>
      </c>
      <c r="AI1573" t="s">
        <v>836</v>
      </c>
      <c r="AJ1573">
        <v>33.083266999999999</v>
      </c>
      <c r="AK1573" t="s">
        <v>837</v>
      </c>
      <c r="AL1573">
        <v>-97.679829999999995</v>
      </c>
      <c r="AM1573">
        <v>25</v>
      </c>
      <c r="AN1573">
        <v>3600</v>
      </c>
      <c r="AO1573" t="s">
        <v>118</v>
      </c>
      <c r="AP1573">
        <v>47</v>
      </c>
      <c r="AQ1573">
        <v>-109</v>
      </c>
      <c r="AR1573">
        <v>0</v>
      </c>
      <c r="AZ1573">
        <v>1200</v>
      </c>
      <c r="BA1573">
        <v>1</v>
      </c>
      <c r="BB1573" t="str">
        <f t="shared" si="468"/>
        <v xml:space="preserve">N733KP  </v>
      </c>
      <c r="BC1573">
        <v>1</v>
      </c>
      <c r="BE1573">
        <v>0</v>
      </c>
      <c r="BF1573">
        <v>0</v>
      </c>
      <c r="BG1573">
        <v>0</v>
      </c>
      <c r="BH1573">
        <v>3525</v>
      </c>
      <c r="BI1573">
        <v>1</v>
      </c>
      <c r="BJ1573">
        <v>1</v>
      </c>
      <c r="BK1573">
        <v>0</v>
      </c>
      <c r="BL1573">
        <v>0</v>
      </c>
      <c r="BO1573">
        <v>0</v>
      </c>
      <c r="BP1573">
        <v>0</v>
      </c>
      <c r="BW1573" t="str">
        <f>"22:16:04.706"</f>
        <v>22:16:04.706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7</v>
      </c>
      <c r="CP1573" t="s">
        <v>119</v>
      </c>
      <c r="CQ1573">
        <v>364</v>
      </c>
      <c r="CR1573">
        <v>0</v>
      </c>
      <c r="CW1573">
        <v>1425510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"03/24/2022 22:16:04.900"</f>
        <v>03/24/2022 22:16:04.900</v>
      </c>
      <c r="C1574" t="str">
        <f t="shared" si="467"/>
        <v>FFDFD3C0</v>
      </c>
      <c r="D1574" t="s">
        <v>126</v>
      </c>
      <c r="E1574">
        <v>3</v>
      </c>
      <c r="H1574">
        <v>160</v>
      </c>
      <c r="I1574" t="s">
        <v>121</v>
      </c>
      <c r="J1574" t="s">
        <v>127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S1574" t="str">
        <f t="shared" si="472"/>
        <v>22:16:04.000</v>
      </c>
      <c r="T1574" t="str">
        <f t="shared" si="472"/>
        <v>22:16:04.000</v>
      </c>
      <c r="U1574" t="str">
        <f t="shared" si="461"/>
        <v>A9D71F</v>
      </c>
      <c r="V1574">
        <v>0</v>
      </c>
      <c r="W1574">
        <v>0</v>
      </c>
      <c r="X1574">
        <v>2</v>
      </c>
      <c r="Z1574">
        <v>1</v>
      </c>
      <c r="AA1574">
        <v>8</v>
      </c>
      <c r="AB1574">
        <v>3</v>
      </c>
      <c r="AC1574">
        <v>0</v>
      </c>
      <c r="AD1574">
        <v>9</v>
      </c>
      <c r="AE1574">
        <v>0</v>
      </c>
      <c r="AF1574">
        <v>3</v>
      </c>
      <c r="AG1574">
        <v>1</v>
      </c>
      <c r="AH1574">
        <v>0</v>
      </c>
      <c r="AI1574" t="s">
        <v>836</v>
      </c>
      <c r="AJ1574">
        <v>33.083266999999999</v>
      </c>
      <c r="AK1574" t="s">
        <v>837</v>
      </c>
      <c r="AL1574">
        <v>-97.679829999999995</v>
      </c>
      <c r="AM1574">
        <v>25</v>
      </c>
      <c r="AN1574">
        <v>3600</v>
      </c>
      <c r="AO1574" t="s">
        <v>118</v>
      </c>
      <c r="AP1574">
        <v>47</v>
      </c>
      <c r="AQ1574">
        <v>-109</v>
      </c>
      <c r="AR1574">
        <v>0</v>
      </c>
      <c r="AZ1574">
        <v>1200</v>
      </c>
      <c r="BA1574">
        <v>1</v>
      </c>
      <c r="BB1574" t="str">
        <f t="shared" si="468"/>
        <v xml:space="preserve">N733KP  </v>
      </c>
      <c r="BC1574">
        <v>1</v>
      </c>
      <c r="BE1574">
        <v>0</v>
      </c>
      <c r="BF1574">
        <v>0</v>
      </c>
      <c r="BG1574">
        <v>0</v>
      </c>
      <c r="BH1574">
        <v>3525</v>
      </c>
      <c r="BI1574">
        <v>1</v>
      </c>
      <c r="BJ1574">
        <v>1</v>
      </c>
      <c r="BK1574">
        <v>0</v>
      </c>
      <c r="BL1574">
        <v>0</v>
      </c>
      <c r="BO1574">
        <v>0</v>
      </c>
      <c r="BP1574">
        <v>0</v>
      </c>
      <c r="BW1574" t="str">
        <f>"22:16:04.706"</f>
        <v>22:16:04.706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7</v>
      </c>
      <c r="CP1574" t="s">
        <v>119</v>
      </c>
      <c r="CQ1574">
        <v>364</v>
      </c>
      <c r="CR1574">
        <v>0</v>
      </c>
      <c r="CW1574">
        <v>1425510</v>
      </c>
      <c r="CY1574">
        <v>1</v>
      </c>
      <c r="CZ1574">
        <v>0</v>
      </c>
      <c r="DA1574">
        <v>1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"03/24/2022 22:16:06.134"</f>
        <v>03/24/2022 22:16:06.134</v>
      </c>
      <c r="C1575" t="str">
        <f t="shared" si="467"/>
        <v>FFDFD3C0</v>
      </c>
      <c r="D1575" t="s">
        <v>113</v>
      </c>
      <c r="E1575">
        <v>24</v>
      </c>
      <c r="F1575">
        <v>2024</v>
      </c>
      <c r="G1575" t="s">
        <v>114</v>
      </c>
      <c r="J1575" t="s">
        <v>115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S1575" t="str">
        <f t="shared" ref="S1575:T1578" si="473">"22:16:05.000"</f>
        <v>22:16:05.000</v>
      </c>
      <c r="T1575" t="str">
        <f t="shared" si="473"/>
        <v>22:16:05.000</v>
      </c>
      <c r="U1575" t="str">
        <f t="shared" si="461"/>
        <v>A9D71F</v>
      </c>
      <c r="V1575">
        <v>0</v>
      </c>
      <c r="W1575">
        <v>0</v>
      </c>
      <c r="X1575">
        <v>2</v>
      </c>
      <c r="Z1575">
        <v>1</v>
      </c>
      <c r="AA1575">
        <v>8</v>
      </c>
      <c r="AB1575">
        <v>3</v>
      </c>
      <c r="AC1575">
        <v>0</v>
      </c>
      <c r="AD1575">
        <v>9</v>
      </c>
      <c r="AE1575">
        <v>0</v>
      </c>
      <c r="AF1575">
        <v>3</v>
      </c>
      <c r="AG1575">
        <v>1</v>
      </c>
      <c r="AH1575">
        <v>0</v>
      </c>
      <c r="AI1575" t="s">
        <v>838</v>
      </c>
      <c r="AJ1575">
        <v>33.082751999999999</v>
      </c>
      <c r="AK1575" t="s">
        <v>839</v>
      </c>
      <c r="AL1575">
        <v>-97.679551000000004</v>
      </c>
      <c r="AM1575">
        <v>25</v>
      </c>
      <c r="AN1575">
        <v>3600</v>
      </c>
      <c r="AO1575" t="s">
        <v>118</v>
      </c>
      <c r="AP1575">
        <v>48</v>
      </c>
      <c r="AQ1575">
        <v>-110</v>
      </c>
      <c r="AR1575">
        <v>-64</v>
      </c>
      <c r="AZ1575">
        <v>1200</v>
      </c>
      <c r="BA1575">
        <v>1</v>
      </c>
      <c r="BB1575" t="str">
        <f t="shared" si="468"/>
        <v xml:space="preserve">N733KP  </v>
      </c>
      <c r="BC1575">
        <v>1</v>
      </c>
      <c r="BE1575">
        <v>0</v>
      </c>
      <c r="BF1575">
        <v>0</v>
      </c>
      <c r="BG1575">
        <v>0</v>
      </c>
      <c r="BH1575">
        <v>3525</v>
      </c>
      <c r="BI1575">
        <v>1</v>
      </c>
      <c r="BJ1575">
        <v>1</v>
      </c>
      <c r="BK1575">
        <v>0</v>
      </c>
      <c r="BL1575">
        <v>0</v>
      </c>
      <c r="BO1575">
        <v>0</v>
      </c>
      <c r="BP1575">
        <v>0</v>
      </c>
      <c r="BW1575" t="str">
        <f>"22:16:05.944"</f>
        <v>22:16:05.944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7</v>
      </c>
      <c r="CP1575" t="s">
        <v>119</v>
      </c>
      <c r="CQ1575">
        <v>364</v>
      </c>
      <c r="CR1575">
        <v>0</v>
      </c>
      <c r="CW1575">
        <v>1425705</v>
      </c>
      <c r="CY1575">
        <v>1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"03/24/2022 22:16:06.166"</f>
        <v>03/24/2022 22:16:06.166</v>
      </c>
      <c r="C1576" t="str">
        <f t="shared" si="467"/>
        <v>FFDFD3C0</v>
      </c>
      <c r="D1576" t="s">
        <v>120</v>
      </c>
      <c r="E1576">
        <v>14</v>
      </c>
      <c r="F1576">
        <v>1014</v>
      </c>
      <c r="G1576" t="s">
        <v>121</v>
      </c>
      <c r="J1576" t="s">
        <v>122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S1576" t="str">
        <f t="shared" si="473"/>
        <v>22:16:05.000</v>
      </c>
      <c r="T1576" t="str">
        <f t="shared" si="473"/>
        <v>22:16:05.000</v>
      </c>
      <c r="U1576" t="str">
        <f t="shared" si="461"/>
        <v>A9D71F</v>
      </c>
      <c r="V1576">
        <v>0</v>
      </c>
      <c r="W1576">
        <v>0</v>
      </c>
      <c r="X1576">
        <v>2</v>
      </c>
      <c r="Z1576">
        <v>1</v>
      </c>
      <c r="AA1576">
        <v>8</v>
      </c>
      <c r="AB1576">
        <v>3</v>
      </c>
      <c r="AC1576">
        <v>0</v>
      </c>
      <c r="AD1576">
        <v>9</v>
      </c>
      <c r="AE1576">
        <v>0</v>
      </c>
      <c r="AF1576">
        <v>3</v>
      </c>
      <c r="AG1576">
        <v>1</v>
      </c>
      <c r="AH1576">
        <v>0</v>
      </c>
      <c r="AI1576" t="s">
        <v>838</v>
      </c>
      <c r="AJ1576">
        <v>33.082751999999999</v>
      </c>
      <c r="AK1576" t="s">
        <v>839</v>
      </c>
      <c r="AL1576">
        <v>-97.679551000000004</v>
      </c>
      <c r="AM1576">
        <v>25</v>
      </c>
      <c r="AN1576">
        <v>3600</v>
      </c>
      <c r="AO1576" t="s">
        <v>118</v>
      </c>
      <c r="AP1576">
        <v>48</v>
      </c>
      <c r="AQ1576">
        <v>-110</v>
      </c>
      <c r="AR1576">
        <v>-64</v>
      </c>
      <c r="AZ1576">
        <v>1200</v>
      </c>
      <c r="BA1576">
        <v>1</v>
      </c>
      <c r="BB1576" t="str">
        <f t="shared" si="468"/>
        <v xml:space="preserve">N733KP  </v>
      </c>
      <c r="BC1576">
        <v>1</v>
      </c>
      <c r="BE1576">
        <v>0</v>
      </c>
      <c r="BF1576">
        <v>0</v>
      </c>
      <c r="BG1576">
        <v>0</v>
      </c>
      <c r="BH1576">
        <v>3525</v>
      </c>
      <c r="BI1576">
        <v>1</v>
      </c>
      <c r="BJ1576">
        <v>1</v>
      </c>
      <c r="BK1576">
        <v>0</v>
      </c>
      <c r="BL1576">
        <v>0</v>
      </c>
      <c r="BO1576">
        <v>0</v>
      </c>
      <c r="BP1576">
        <v>0</v>
      </c>
      <c r="BW1576" t="str">
        <f>"22:16:05.944"</f>
        <v>22:16:05.944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7</v>
      </c>
      <c r="CP1576" t="s">
        <v>119</v>
      </c>
      <c r="CQ1576">
        <v>364</v>
      </c>
      <c r="CR1576">
        <v>0</v>
      </c>
      <c r="CW1576">
        <v>1425705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"03/24/2022 22:16:06.166"</f>
        <v>03/24/2022 22:16:06.166</v>
      </c>
      <c r="C1577" t="str">
        <f t="shared" si="467"/>
        <v>FFDFD3C0</v>
      </c>
      <c r="D1577" t="s">
        <v>126</v>
      </c>
      <c r="E1577">
        <v>3</v>
      </c>
      <c r="H1577">
        <v>160</v>
      </c>
      <c r="I1577" t="s">
        <v>121</v>
      </c>
      <c r="J1577" t="s">
        <v>127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S1577" t="str">
        <f t="shared" si="473"/>
        <v>22:16:05.000</v>
      </c>
      <c r="T1577" t="str">
        <f t="shared" si="473"/>
        <v>22:16:05.000</v>
      </c>
      <c r="U1577" t="str">
        <f t="shared" si="461"/>
        <v>A9D71F</v>
      </c>
      <c r="V1577">
        <v>0</v>
      </c>
      <c r="W1577">
        <v>0</v>
      </c>
      <c r="X1577">
        <v>2</v>
      </c>
      <c r="Z1577">
        <v>1</v>
      </c>
      <c r="AA1577">
        <v>8</v>
      </c>
      <c r="AB1577">
        <v>3</v>
      </c>
      <c r="AC1577">
        <v>0</v>
      </c>
      <c r="AD1577">
        <v>9</v>
      </c>
      <c r="AE1577">
        <v>0</v>
      </c>
      <c r="AF1577">
        <v>3</v>
      </c>
      <c r="AG1577">
        <v>1</v>
      </c>
      <c r="AH1577">
        <v>0</v>
      </c>
      <c r="AI1577" t="s">
        <v>838</v>
      </c>
      <c r="AJ1577">
        <v>33.082751999999999</v>
      </c>
      <c r="AK1577" t="s">
        <v>839</v>
      </c>
      <c r="AL1577">
        <v>-97.679551000000004</v>
      </c>
      <c r="AM1577">
        <v>25</v>
      </c>
      <c r="AN1577">
        <v>3600</v>
      </c>
      <c r="AO1577" t="s">
        <v>118</v>
      </c>
      <c r="AP1577">
        <v>48</v>
      </c>
      <c r="AQ1577">
        <v>-110</v>
      </c>
      <c r="AR1577">
        <v>-64</v>
      </c>
      <c r="AZ1577">
        <v>1200</v>
      </c>
      <c r="BA1577">
        <v>1</v>
      </c>
      <c r="BB1577" t="str">
        <f t="shared" si="468"/>
        <v xml:space="preserve">N733KP  </v>
      </c>
      <c r="BC1577">
        <v>1</v>
      </c>
      <c r="BE1577">
        <v>0</v>
      </c>
      <c r="BF1577">
        <v>0</v>
      </c>
      <c r="BG1577">
        <v>0</v>
      </c>
      <c r="BH1577">
        <v>3525</v>
      </c>
      <c r="BI1577">
        <v>1</v>
      </c>
      <c r="BJ1577">
        <v>1</v>
      </c>
      <c r="BK1577">
        <v>0</v>
      </c>
      <c r="BL1577">
        <v>0</v>
      </c>
      <c r="BO1577">
        <v>0</v>
      </c>
      <c r="BP1577">
        <v>0</v>
      </c>
      <c r="BW1577" t="str">
        <f>"22:16:05.944"</f>
        <v>22:16:05.944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7</v>
      </c>
      <c r="CP1577" t="s">
        <v>119</v>
      </c>
      <c r="CQ1577">
        <v>364</v>
      </c>
      <c r="CR1577">
        <v>0</v>
      </c>
      <c r="CW1577">
        <v>1425705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"03/24/2022 22:16:06.181"</f>
        <v>03/24/2022 22:16:06.181</v>
      </c>
      <c r="C1578" t="str">
        <f t="shared" si="467"/>
        <v>FFDFD3C0</v>
      </c>
      <c r="D1578" t="s">
        <v>123</v>
      </c>
      <c r="E1578">
        <v>8</v>
      </c>
      <c r="H1578">
        <v>31</v>
      </c>
      <c r="I1578" t="s">
        <v>124</v>
      </c>
      <c r="J1578" t="s">
        <v>125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S1578" t="str">
        <f t="shared" si="473"/>
        <v>22:16:05.000</v>
      </c>
      <c r="T1578" t="str">
        <f t="shared" si="473"/>
        <v>22:16:05.000</v>
      </c>
      <c r="U1578" t="str">
        <f t="shared" si="461"/>
        <v>A9D71F</v>
      </c>
      <c r="V1578">
        <v>0</v>
      </c>
      <c r="W1578">
        <v>0</v>
      </c>
      <c r="X1578">
        <v>2</v>
      </c>
      <c r="Z1578">
        <v>1</v>
      </c>
      <c r="AA1578">
        <v>8</v>
      </c>
      <c r="AB1578">
        <v>3</v>
      </c>
      <c r="AC1578">
        <v>0</v>
      </c>
      <c r="AD1578">
        <v>9</v>
      </c>
      <c r="AE1578">
        <v>0</v>
      </c>
      <c r="AF1578">
        <v>3</v>
      </c>
      <c r="AG1578">
        <v>1</v>
      </c>
      <c r="AH1578">
        <v>0</v>
      </c>
      <c r="AI1578" t="s">
        <v>838</v>
      </c>
      <c r="AJ1578">
        <v>33.082751999999999</v>
      </c>
      <c r="AK1578" t="s">
        <v>839</v>
      </c>
      <c r="AL1578">
        <v>-97.679551000000004</v>
      </c>
      <c r="AM1578">
        <v>25</v>
      </c>
      <c r="AN1578">
        <v>3600</v>
      </c>
      <c r="AO1578" t="s">
        <v>118</v>
      </c>
      <c r="AP1578">
        <v>48</v>
      </c>
      <c r="AQ1578">
        <v>-110</v>
      </c>
      <c r="AR1578">
        <v>-64</v>
      </c>
      <c r="AZ1578">
        <v>1200</v>
      </c>
      <c r="BA1578">
        <v>1</v>
      </c>
      <c r="BB1578" t="str">
        <f t="shared" si="468"/>
        <v xml:space="preserve">N733KP  </v>
      </c>
      <c r="BC1578">
        <v>1</v>
      </c>
      <c r="BE1578">
        <v>0</v>
      </c>
      <c r="BF1578">
        <v>0</v>
      </c>
      <c r="BG1578">
        <v>0</v>
      </c>
      <c r="BH1578">
        <v>3525</v>
      </c>
      <c r="BI1578">
        <v>1</v>
      </c>
      <c r="BJ1578">
        <v>1</v>
      </c>
      <c r="BK1578">
        <v>0</v>
      </c>
      <c r="BL1578">
        <v>0</v>
      </c>
      <c r="BO1578">
        <v>0</v>
      </c>
      <c r="BP1578">
        <v>0</v>
      </c>
      <c r="BW1578" t="str">
        <f>"22:16:05.944"</f>
        <v>22:16:05.944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7</v>
      </c>
      <c r="CP1578" t="s">
        <v>119</v>
      </c>
      <c r="CQ1578">
        <v>364</v>
      </c>
      <c r="CR1578">
        <v>0</v>
      </c>
      <c r="CW1578">
        <v>1425705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"03/24/2022 22:16:07.026"</f>
        <v>03/24/2022 22:16:07.026</v>
      </c>
      <c r="C1579" t="str">
        <f t="shared" si="467"/>
        <v>FFDFD3C0</v>
      </c>
      <c r="D1579" t="s">
        <v>120</v>
      </c>
      <c r="E1579">
        <v>14</v>
      </c>
      <c r="F1579">
        <v>1014</v>
      </c>
      <c r="G1579" t="s">
        <v>121</v>
      </c>
      <c r="J1579" t="s">
        <v>122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S1579" t="str">
        <f t="shared" ref="S1579:T1582" si="474">"22:16:06.000"</f>
        <v>22:16:06.000</v>
      </c>
      <c r="T1579" t="str">
        <f t="shared" si="474"/>
        <v>22:16:06.000</v>
      </c>
      <c r="U1579" t="str">
        <f t="shared" si="461"/>
        <v>A9D71F</v>
      </c>
      <c r="V1579">
        <v>0</v>
      </c>
      <c r="W1579">
        <v>0</v>
      </c>
      <c r="X1579">
        <v>2</v>
      </c>
      <c r="Z1579">
        <v>1</v>
      </c>
      <c r="AA1579">
        <v>8</v>
      </c>
      <c r="AB1579">
        <v>3</v>
      </c>
      <c r="AC1579">
        <v>0</v>
      </c>
      <c r="AD1579">
        <v>9</v>
      </c>
      <c r="AE1579">
        <v>0</v>
      </c>
      <c r="AF1579">
        <v>3</v>
      </c>
      <c r="AG1579">
        <v>1</v>
      </c>
      <c r="AH1579">
        <v>0</v>
      </c>
      <c r="AI1579" t="s">
        <v>840</v>
      </c>
      <c r="AJ1579">
        <v>33.082236999999999</v>
      </c>
      <c r="AK1579" t="s">
        <v>841</v>
      </c>
      <c r="AL1579">
        <v>-97.679293000000001</v>
      </c>
      <c r="AM1579">
        <v>25</v>
      </c>
      <c r="AN1579">
        <v>3600</v>
      </c>
      <c r="AO1579" t="s">
        <v>118</v>
      </c>
      <c r="AP1579">
        <v>48</v>
      </c>
      <c r="AQ1579">
        <v>-110</v>
      </c>
      <c r="AR1579">
        <v>-192</v>
      </c>
      <c r="AZ1579">
        <v>1200</v>
      </c>
      <c r="BA1579">
        <v>1</v>
      </c>
      <c r="BB1579" t="str">
        <f t="shared" si="468"/>
        <v xml:space="preserve">N733KP  </v>
      </c>
      <c r="BC1579">
        <v>1</v>
      </c>
      <c r="BE1579">
        <v>0</v>
      </c>
      <c r="BF1579">
        <v>0</v>
      </c>
      <c r="BG1579">
        <v>0</v>
      </c>
      <c r="BH1579">
        <v>3525</v>
      </c>
      <c r="BI1579">
        <v>1</v>
      </c>
      <c r="BJ1579">
        <v>1</v>
      </c>
      <c r="BK1579">
        <v>0</v>
      </c>
      <c r="BL1579">
        <v>0</v>
      </c>
      <c r="BO1579">
        <v>0</v>
      </c>
      <c r="BP1579">
        <v>0</v>
      </c>
      <c r="BW1579" t="str">
        <f>"22:16:06.756"</f>
        <v>22:16:06.756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7</v>
      </c>
      <c r="CP1579" t="s">
        <v>119</v>
      </c>
      <c r="CQ1579">
        <v>364</v>
      </c>
      <c r="CR1579">
        <v>0</v>
      </c>
      <c r="CW1579">
        <v>1425823</v>
      </c>
      <c r="CY1579">
        <v>1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"03/24/2022 22:16:07.026"</f>
        <v>03/24/2022 22:16:07.026</v>
      </c>
      <c r="C1580" t="str">
        <f t="shared" si="467"/>
        <v>FFDFD3C0</v>
      </c>
      <c r="D1580" t="s">
        <v>126</v>
      </c>
      <c r="E1580">
        <v>3</v>
      </c>
      <c r="H1580">
        <v>160</v>
      </c>
      <c r="I1580" t="s">
        <v>121</v>
      </c>
      <c r="J1580" t="s">
        <v>127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S1580" t="str">
        <f t="shared" si="474"/>
        <v>22:16:06.000</v>
      </c>
      <c r="T1580" t="str">
        <f t="shared" si="474"/>
        <v>22:16:06.000</v>
      </c>
      <c r="U1580" t="str">
        <f t="shared" si="461"/>
        <v>A9D71F</v>
      </c>
      <c r="V1580">
        <v>0</v>
      </c>
      <c r="W1580">
        <v>0</v>
      </c>
      <c r="X1580">
        <v>2</v>
      </c>
      <c r="Z1580">
        <v>1</v>
      </c>
      <c r="AA1580">
        <v>8</v>
      </c>
      <c r="AB1580">
        <v>3</v>
      </c>
      <c r="AC1580">
        <v>0</v>
      </c>
      <c r="AD1580">
        <v>9</v>
      </c>
      <c r="AE1580">
        <v>0</v>
      </c>
      <c r="AF1580">
        <v>3</v>
      </c>
      <c r="AG1580">
        <v>1</v>
      </c>
      <c r="AH1580">
        <v>0</v>
      </c>
      <c r="AI1580" t="s">
        <v>840</v>
      </c>
      <c r="AJ1580">
        <v>33.082236999999999</v>
      </c>
      <c r="AK1580" t="s">
        <v>841</v>
      </c>
      <c r="AL1580">
        <v>-97.679293000000001</v>
      </c>
      <c r="AM1580">
        <v>25</v>
      </c>
      <c r="AN1580">
        <v>3600</v>
      </c>
      <c r="AO1580" t="s">
        <v>118</v>
      </c>
      <c r="AP1580">
        <v>48</v>
      </c>
      <c r="AQ1580">
        <v>-110</v>
      </c>
      <c r="AR1580">
        <v>-192</v>
      </c>
      <c r="AZ1580">
        <v>1200</v>
      </c>
      <c r="BA1580">
        <v>1</v>
      </c>
      <c r="BB1580" t="str">
        <f t="shared" si="468"/>
        <v xml:space="preserve">N733KP  </v>
      </c>
      <c r="BC1580">
        <v>1</v>
      </c>
      <c r="BE1580">
        <v>0</v>
      </c>
      <c r="BF1580">
        <v>0</v>
      </c>
      <c r="BG1580">
        <v>0</v>
      </c>
      <c r="BH1580">
        <v>3525</v>
      </c>
      <c r="BI1580">
        <v>1</v>
      </c>
      <c r="BJ1580">
        <v>1</v>
      </c>
      <c r="BK1580">
        <v>0</v>
      </c>
      <c r="BL1580">
        <v>0</v>
      </c>
      <c r="BO1580">
        <v>0</v>
      </c>
      <c r="BP1580">
        <v>0</v>
      </c>
      <c r="BW1580" t="str">
        <f>"22:16:06.756"</f>
        <v>22:16:06.756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7</v>
      </c>
      <c r="CP1580" t="s">
        <v>119</v>
      </c>
      <c r="CQ1580">
        <v>364</v>
      </c>
      <c r="CR1580">
        <v>0</v>
      </c>
      <c r="CW1580">
        <v>1425823</v>
      </c>
      <c r="CY1580">
        <v>1</v>
      </c>
      <c r="CZ1580">
        <v>0</v>
      </c>
      <c r="DA1580">
        <v>1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"03/24/2022 22:16:07.026"</f>
        <v>03/24/2022 22:16:07.026</v>
      </c>
      <c r="C1581" t="str">
        <f t="shared" si="467"/>
        <v>FFDFD3C0</v>
      </c>
      <c r="D1581" t="s">
        <v>123</v>
      </c>
      <c r="E1581">
        <v>8</v>
      </c>
      <c r="H1581">
        <v>31</v>
      </c>
      <c r="I1581" t="s">
        <v>124</v>
      </c>
      <c r="J1581" t="s">
        <v>125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S1581" t="str">
        <f t="shared" si="474"/>
        <v>22:16:06.000</v>
      </c>
      <c r="T1581" t="str">
        <f t="shared" si="474"/>
        <v>22:16:06.000</v>
      </c>
      <c r="U1581" t="str">
        <f t="shared" si="461"/>
        <v>A9D71F</v>
      </c>
      <c r="V1581">
        <v>0</v>
      </c>
      <c r="W1581">
        <v>0</v>
      </c>
      <c r="X1581">
        <v>2</v>
      </c>
      <c r="Z1581">
        <v>1</v>
      </c>
      <c r="AA1581">
        <v>8</v>
      </c>
      <c r="AB1581">
        <v>3</v>
      </c>
      <c r="AC1581">
        <v>0</v>
      </c>
      <c r="AD1581">
        <v>9</v>
      </c>
      <c r="AE1581">
        <v>0</v>
      </c>
      <c r="AF1581">
        <v>3</v>
      </c>
      <c r="AG1581">
        <v>1</v>
      </c>
      <c r="AH1581">
        <v>0</v>
      </c>
      <c r="AI1581" t="s">
        <v>840</v>
      </c>
      <c r="AJ1581">
        <v>33.082236999999999</v>
      </c>
      <c r="AK1581" t="s">
        <v>841</v>
      </c>
      <c r="AL1581">
        <v>-97.679293000000001</v>
      </c>
      <c r="AM1581">
        <v>25</v>
      </c>
      <c r="AN1581">
        <v>3600</v>
      </c>
      <c r="AO1581" t="s">
        <v>118</v>
      </c>
      <c r="AP1581">
        <v>48</v>
      </c>
      <c r="AQ1581">
        <v>-110</v>
      </c>
      <c r="AR1581">
        <v>-192</v>
      </c>
      <c r="AZ1581">
        <v>1200</v>
      </c>
      <c r="BA1581">
        <v>1</v>
      </c>
      <c r="BB1581" t="str">
        <f t="shared" si="468"/>
        <v xml:space="preserve">N733KP  </v>
      </c>
      <c r="BC1581">
        <v>1</v>
      </c>
      <c r="BE1581">
        <v>0</v>
      </c>
      <c r="BF1581">
        <v>0</v>
      </c>
      <c r="BG1581">
        <v>0</v>
      </c>
      <c r="BH1581">
        <v>3525</v>
      </c>
      <c r="BI1581">
        <v>1</v>
      </c>
      <c r="BJ1581">
        <v>1</v>
      </c>
      <c r="BK1581">
        <v>0</v>
      </c>
      <c r="BL1581">
        <v>0</v>
      </c>
      <c r="BO1581">
        <v>0</v>
      </c>
      <c r="BP1581">
        <v>0</v>
      </c>
      <c r="BW1581" t="str">
        <f>"22:16:06.756"</f>
        <v>22:16:06.756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7</v>
      </c>
      <c r="CP1581" t="s">
        <v>119</v>
      </c>
      <c r="CQ1581">
        <v>364</v>
      </c>
      <c r="CR1581">
        <v>0</v>
      </c>
      <c r="CW1581">
        <v>1425823</v>
      </c>
      <c r="CY1581">
        <v>1</v>
      </c>
      <c r="CZ1581">
        <v>0</v>
      </c>
      <c r="DA1581">
        <v>1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"03/24/2022 22:16:07.026"</f>
        <v>03/24/2022 22:16:07.026</v>
      </c>
      <c r="C1582" t="str">
        <f t="shared" si="467"/>
        <v>FFDFD3C0</v>
      </c>
      <c r="D1582" t="s">
        <v>113</v>
      </c>
      <c r="E1582">
        <v>24</v>
      </c>
      <c r="F1582">
        <v>2024</v>
      </c>
      <c r="G1582" t="s">
        <v>114</v>
      </c>
      <c r="J1582" t="s">
        <v>115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S1582" t="str">
        <f t="shared" si="474"/>
        <v>22:16:06.000</v>
      </c>
      <c r="T1582" t="str">
        <f t="shared" si="474"/>
        <v>22:16:06.000</v>
      </c>
      <c r="U1582" t="str">
        <f t="shared" si="461"/>
        <v>A9D71F</v>
      </c>
      <c r="V1582">
        <v>0</v>
      </c>
      <c r="W1582">
        <v>0</v>
      </c>
      <c r="X1582">
        <v>2</v>
      </c>
      <c r="Z1582">
        <v>1</v>
      </c>
      <c r="AA1582">
        <v>8</v>
      </c>
      <c r="AB1582">
        <v>3</v>
      </c>
      <c r="AC1582">
        <v>0</v>
      </c>
      <c r="AD1582">
        <v>9</v>
      </c>
      <c r="AE1582">
        <v>0</v>
      </c>
      <c r="AF1582">
        <v>3</v>
      </c>
      <c r="AG1582">
        <v>1</v>
      </c>
      <c r="AH1582">
        <v>0</v>
      </c>
      <c r="AI1582" t="s">
        <v>840</v>
      </c>
      <c r="AJ1582">
        <v>33.082236999999999</v>
      </c>
      <c r="AK1582" t="s">
        <v>841</v>
      </c>
      <c r="AL1582">
        <v>-97.679293000000001</v>
      </c>
      <c r="AM1582">
        <v>25</v>
      </c>
      <c r="AN1582">
        <v>3600</v>
      </c>
      <c r="AO1582" t="s">
        <v>118</v>
      </c>
      <c r="AP1582">
        <v>48</v>
      </c>
      <c r="AQ1582">
        <v>-110</v>
      </c>
      <c r="AR1582">
        <v>-192</v>
      </c>
      <c r="AZ1582">
        <v>1200</v>
      </c>
      <c r="BA1582">
        <v>1</v>
      </c>
      <c r="BB1582" t="str">
        <f t="shared" si="468"/>
        <v xml:space="preserve">N733KP  </v>
      </c>
      <c r="BC1582">
        <v>1</v>
      </c>
      <c r="BE1582">
        <v>0</v>
      </c>
      <c r="BF1582">
        <v>0</v>
      </c>
      <c r="BG1582">
        <v>0</v>
      </c>
      <c r="BH1582">
        <v>3525</v>
      </c>
      <c r="BI1582">
        <v>1</v>
      </c>
      <c r="BJ1582">
        <v>1</v>
      </c>
      <c r="BK1582">
        <v>0</v>
      </c>
      <c r="BL1582">
        <v>0</v>
      </c>
      <c r="BO1582">
        <v>0</v>
      </c>
      <c r="BP1582">
        <v>0</v>
      </c>
      <c r="BW1582" t="str">
        <f>"22:16:06.756"</f>
        <v>22:16:06.756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7</v>
      </c>
      <c r="CP1582" t="s">
        <v>119</v>
      </c>
      <c r="CQ1582">
        <v>364</v>
      </c>
      <c r="CR1582">
        <v>0</v>
      </c>
      <c r="CW1582">
        <v>1425823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>"03/24/2022 22:16:07.995"</f>
        <v>03/24/2022 22:16:07.995</v>
      </c>
      <c r="C1583" t="str">
        <f t="shared" si="467"/>
        <v>FFDFD3C0</v>
      </c>
      <c r="D1583" t="s">
        <v>113</v>
      </c>
      <c r="E1583">
        <v>24</v>
      </c>
      <c r="F1583">
        <v>2024</v>
      </c>
      <c r="G1583" t="s">
        <v>114</v>
      </c>
      <c r="J1583" t="s">
        <v>115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S1583" t="str">
        <f t="shared" ref="S1583:T1585" si="475">"22:16:07.000"</f>
        <v>22:16:07.000</v>
      </c>
      <c r="T1583" t="str">
        <f t="shared" si="475"/>
        <v>22:16:07.000</v>
      </c>
      <c r="U1583" t="str">
        <f t="shared" si="461"/>
        <v>A9D71F</v>
      </c>
      <c r="V1583">
        <v>0</v>
      </c>
      <c r="W1583">
        <v>0</v>
      </c>
      <c r="X1583">
        <v>2</v>
      </c>
      <c r="Z1583">
        <v>1</v>
      </c>
      <c r="AA1583">
        <v>8</v>
      </c>
      <c r="AB1583">
        <v>3</v>
      </c>
      <c r="AC1583">
        <v>0</v>
      </c>
      <c r="AD1583">
        <v>9</v>
      </c>
      <c r="AE1583">
        <v>0</v>
      </c>
      <c r="AF1583">
        <v>3</v>
      </c>
      <c r="AG1583">
        <v>1</v>
      </c>
      <c r="AH1583">
        <v>0</v>
      </c>
      <c r="AI1583" t="s">
        <v>842</v>
      </c>
      <c r="AJ1583">
        <v>33.081744</v>
      </c>
      <c r="AK1583" t="s">
        <v>843</v>
      </c>
      <c r="AL1583">
        <v>-97.679013999999995</v>
      </c>
      <c r="AM1583">
        <v>25</v>
      </c>
      <c r="AN1583">
        <v>3600</v>
      </c>
      <c r="AO1583" t="s">
        <v>118</v>
      </c>
      <c r="AP1583">
        <v>47</v>
      </c>
      <c r="AQ1583">
        <v>-111</v>
      </c>
      <c r="AR1583">
        <v>-256</v>
      </c>
      <c r="AZ1583">
        <v>1200</v>
      </c>
      <c r="BA1583">
        <v>1</v>
      </c>
      <c r="BB1583" t="str">
        <f t="shared" si="468"/>
        <v xml:space="preserve">N733KP  </v>
      </c>
      <c r="BC1583">
        <v>1</v>
      </c>
      <c r="BE1583">
        <v>0</v>
      </c>
      <c r="BF1583">
        <v>0</v>
      </c>
      <c r="BG1583">
        <v>0</v>
      </c>
      <c r="BH1583">
        <v>3525</v>
      </c>
      <c r="BI1583">
        <v>1</v>
      </c>
      <c r="BJ1583">
        <v>1</v>
      </c>
      <c r="BK1583">
        <v>0</v>
      </c>
      <c r="BL1583">
        <v>0</v>
      </c>
      <c r="BO1583">
        <v>0</v>
      </c>
      <c r="BP1583">
        <v>0</v>
      </c>
      <c r="BW1583" t="str">
        <f>"22:16:07.801"</f>
        <v>22:16:07.801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2</v>
      </c>
      <c r="CP1583" t="s">
        <v>119</v>
      </c>
      <c r="CQ1583">
        <v>438</v>
      </c>
      <c r="CR1583">
        <v>0</v>
      </c>
      <c r="CW1583">
        <v>11605282</v>
      </c>
      <c r="CY1583">
        <v>1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>"03/24/2022 22:16:07.995"</f>
        <v>03/24/2022 22:16:07.995</v>
      </c>
      <c r="C1584" t="str">
        <f t="shared" si="467"/>
        <v>FFDFD3C0</v>
      </c>
      <c r="D1584" t="s">
        <v>126</v>
      </c>
      <c r="E1584">
        <v>3</v>
      </c>
      <c r="H1584">
        <v>160</v>
      </c>
      <c r="I1584" t="s">
        <v>121</v>
      </c>
      <c r="J1584" t="s">
        <v>127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S1584" t="str">
        <f t="shared" si="475"/>
        <v>22:16:07.000</v>
      </c>
      <c r="T1584" t="str">
        <f t="shared" si="475"/>
        <v>22:16:07.000</v>
      </c>
      <c r="U1584" t="str">
        <f t="shared" si="461"/>
        <v>A9D71F</v>
      </c>
      <c r="V1584">
        <v>0</v>
      </c>
      <c r="W1584">
        <v>0</v>
      </c>
      <c r="X1584">
        <v>2</v>
      </c>
      <c r="Z1584">
        <v>1</v>
      </c>
      <c r="AA1584">
        <v>8</v>
      </c>
      <c r="AB1584">
        <v>3</v>
      </c>
      <c r="AC1584">
        <v>0</v>
      </c>
      <c r="AD1584">
        <v>9</v>
      </c>
      <c r="AE1584">
        <v>0</v>
      </c>
      <c r="AF1584">
        <v>3</v>
      </c>
      <c r="AG1584">
        <v>1</v>
      </c>
      <c r="AH1584">
        <v>0</v>
      </c>
      <c r="AI1584" t="s">
        <v>842</v>
      </c>
      <c r="AJ1584">
        <v>33.081744</v>
      </c>
      <c r="AK1584" t="s">
        <v>843</v>
      </c>
      <c r="AL1584">
        <v>-97.679013999999995</v>
      </c>
      <c r="AM1584">
        <v>25</v>
      </c>
      <c r="AN1584">
        <v>3600</v>
      </c>
      <c r="AO1584" t="s">
        <v>118</v>
      </c>
      <c r="AP1584">
        <v>47</v>
      </c>
      <c r="AQ1584">
        <v>-111</v>
      </c>
      <c r="AR1584">
        <v>-256</v>
      </c>
      <c r="AZ1584">
        <v>1200</v>
      </c>
      <c r="BA1584">
        <v>1</v>
      </c>
      <c r="BB1584" t="str">
        <f t="shared" si="468"/>
        <v xml:space="preserve">N733KP  </v>
      </c>
      <c r="BC1584">
        <v>1</v>
      </c>
      <c r="BE1584">
        <v>0</v>
      </c>
      <c r="BF1584">
        <v>0</v>
      </c>
      <c r="BG1584">
        <v>0</v>
      </c>
      <c r="BH1584">
        <v>3525</v>
      </c>
      <c r="BI1584">
        <v>1</v>
      </c>
      <c r="BJ1584">
        <v>1</v>
      </c>
      <c r="BK1584">
        <v>0</v>
      </c>
      <c r="BL1584">
        <v>0</v>
      </c>
      <c r="BO1584">
        <v>0</v>
      </c>
      <c r="BP1584">
        <v>0</v>
      </c>
      <c r="BW1584" t="str">
        <f>"22:16:07.801"</f>
        <v>22:16:07.801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2</v>
      </c>
      <c r="CP1584" t="s">
        <v>119</v>
      </c>
      <c r="CQ1584">
        <v>438</v>
      </c>
      <c r="CR1584">
        <v>0</v>
      </c>
      <c r="CW1584">
        <v>11605282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>"03/24/2022 22:16:07.995"</f>
        <v>03/24/2022 22:16:07.995</v>
      </c>
      <c r="C1585" t="str">
        <f t="shared" si="467"/>
        <v>FFDFD3C0</v>
      </c>
      <c r="D1585" t="s">
        <v>120</v>
      </c>
      <c r="E1585">
        <v>14</v>
      </c>
      <c r="F1585">
        <v>1014</v>
      </c>
      <c r="G1585" t="s">
        <v>121</v>
      </c>
      <c r="J1585" t="s">
        <v>122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S1585" t="str">
        <f t="shared" si="475"/>
        <v>22:16:07.000</v>
      </c>
      <c r="T1585" t="str">
        <f t="shared" si="475"/>
        <v>22:16:07.000</v>
      </c>
      <c r="U1585" t="str">
        <f t="shared" si="461"/>
        <v>A9D71F</v>
      </c>
      <c r="V1585">
        <v>0</v>
      </c>
      <c r="W1585">
        <v>0</v>
      </c>
      <c r="X1585">
        <v>2</v>
      </c>
      <c r="Z1585">
        <v>1</v>
      </c>
      <c r="AA1585">
        <v>8</v>
      </c>
      <c r="AB1585">
        <v>3</v>
      </c>
      <c r="AC1585">
        <v>0</v>
      </c>
      <c r="AD1585">
        <v>9</v>
      </c>
      <c r="AE1585">
        <v>0</v>
      </c>
      <c r="AF1585">
        <v>3</v>
      </c>
      <c r="AG1585">
        <v>1</v>
      </c>
      <c r="AH1585">
        <v>0</v>
      </c>
      <c r="AI1585" t="s">
        <v>842</v>
      </c>
      <c r="AJ1585">
        <v>33.081744</v>
      </c>
      <c r="AK1585" t="s">
        <v>843</v>
      </c>
      <c r="AL1585">
        <v>-97.679013999999995</v>
      </c>
      <c r="AM1585">
        <v>25</v>
      </c>
      <c r="AN1585">
        <v>3600</v>
      </c>
      <c r="AO1585" t="s">
        <v>118</v>
      </c>
      <c r="AP1585">
        <v>47</v>
      </c>
      <c r="AQ1585">
        <v>-111</v>
      </c>
      <c r="AR1585">
        <v>-256</v>
      </c>
      <c r="AZ1585">
        <v>1200</v>
      </c>
      <c r="BA1585">
        <v>1</v>
      </c>
      <c r="BB1585" t="str">
        <f t="shared" si="468"/>
        <v xml:space="preserve">N733KP  </v>
      </c>
      <c r="BC1585">
        <v>1</v>
      </c>
      <c r="BE1585">
        <v>0</v>
      </c>
      <c r="BF1585">
        <v>0</v>
      </c>
      <c r="BG1585">
        <v>0</v>
      </c>
      <c r="BH1585">
        <v>3525</v>
      </c>
      <c r="BI1585">
        <v>1</v>
      </c>
      <c r="BJ1585">
        <v>1</v>
      </c>
      <c r="BK1585">
        <v>0</v>
      </c>
      <c r="BL1585">
        <v>0</v>
      </c>
      <c r="BO1585">
        <v>0</v>
      </c>
      <c r="BP1585">
        <v>0</v>
      </c>
      <c r="BW1585" t="str">
        <f>"22:16:07.801"</f>
        <v>22:16:07.801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2</v>
      </c>
      <c r="CP1585" t="s">
        <v>119</v>
      </c>
      <c r="CQ1585">
        <v>438</v>
      </c>
      <c r="CR1585">
        <v>0</v>
      </c>
      <c r="CW1585">
        <v>11605282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>"03/24/2022 22:16:08.794"</f>
        <v>03/24/2022 22:16:08.794</v>
      </c>
      <c r="C1586" t="str">
        <f t="shared" si="467"/>
        <v>FFDFD3C0</v>
      </c>
      <c r="D1586" t="s">
        <v>123</v>
      </c>
      <c r="E1586">
        <v>8</v>
      </c>
      <c r="H1586">
        <v>31</v>
      </c>
      <c r="I1586" t="s">
        <v>124</v>
      </c>
      <c r="J1586" t="s">
        <v>125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S1586" t="str">
        <f t="shared" ref="S1586:T1589" si="476">"22:16:08.000"</f>
        <v>22:16:08.000</v>
      </c>
      <c r="T1586" t="str">
        <f t="shared" si="476"/>
        <v>22:16:08.000</v>
      </c>
      <c r="U1586" t="str">
        <f t="shared" si="461"/>
        <v>A9D71F</v>
      </c>
      <c r="V1586">
        <v>0</v>
      </c>
      <c r="W1586">
        <v>0</v>
      </c>
      <c r="X1586">
        <v>2</v>
      </c>
      <c r="Z1586">
        <v>1</v>
      </c>
      <c r="AA1586">
        <v>8</v>
      </c>
      <c r="AB1586">
        <v>3</v>
      </c>
      <c r="AC1586">
        <v>0</v>
      </c>
      <c r="AD1586">
        <v>9</v>
      </c>
      <c r="AE1586">
        <v>0</v>
      </c>
      <c r="AF1586">
        <v>3</v>
      </c>
      <c r="AG1586">
        <v>1</v>
      </c>
      <c r="AH1586">
        <v>0</v>
      </c>
      <c r="AI1586" t="s">
        <v>844</v>
      </c>
      <c r="AJ1586">
        <v>33.081229</v>
      </c>
      <c r="AK1586" t="s">
        <v>845</v>
      </c>
      <c r="AL1586">
        <v>-97.678757000000004</v>
      </c>
      <c r="AM1586">
        <v>25</v>
      </c>
      <c r="AN1586">
        <v>3500</v>
      </c>
      <c r="AO1586" t="s">
        <v>118</v>
      </c>
      <c r="AP1586">
        <v>46</v>
      </c>
      <c r="AQ1586">
        <v>-111</v>
      </c>
      <c r="AR1586">
        <v>-384</v>
      </c>
      <c r="AZ1586">
        <v>1200</v>
      </c>
      <c r="BA1586">
        <v>1</v>
      </c>
      <c r="BB1586" t="str">
        <f t="shared" si="468"/>
        <v xml:space="preserve">N733KP  </v>
      </c>
      <c r="BC1586">
        <v>1</v>
      </c>
      <c r="BE1586">
        <v>0</v>
      </c>
      <c r="BF1586">
        <v>0</v>
      </c>
      <c r="BG1586">
        <v>0</v>
      </c>
      <c r="BH1586">
        <v>3525</v>
      </c>
      <c r="BI1586">
        <v>1</v>
      </c>
      <c r="BJ1586">
        <v>1</v>
      </c>
      <c r="BK1586">
        <v>0</v>
      </c>
      <c r="BL1586">
        <v>0</v>
      </c>
      <c r="BO1586">
        <v>0</v>
      </c>
      <c r="BP1586">
        <v>0</v>
      </c>
      <c r="BW1586" t="str">
        <f>"22:16:08.602"</f>
        <v>22:16:08.602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7</v>
      </c>
      <c r="CP1586" t="s">
        <v>119</v>
      </c>
      <c r="CQ1586">
        <v>364</v>
      </c>
      <c r="CR1586">
        <v>0</v>
      </c>
      <c r="CW1586">
        <v>1426099</v>
      </c>
      <c r="CY1586">
        <v>1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"03/24/2022 22:16:08.888"</f>
        <v>03/24/2022 22:16:08.888</v>
      </c>
      <c r="C1587" t="str">
        <f t="shared" si="467"/>
        <v>FFDFD3C0</v>
      </c>
      <c r="D1587" t="s">
        <v>113</v>
      </c>
      <c r="E1587">
        <v>24</v>
      </c>
      <c r="F1587">
        <v>2024</v>
      </c>
      <c r="G1587" t="s">
        <v>114</v>
      </c>
      <c r="J1587" t="s">
        <v>115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S1587" t="str">
        <f t="shared" si="476"/>
        <v>22:16:08.000</v>
      </c>
      <c r="T1587" t="str">
        <f t="shared" si="476"/>
        <v>22:16:08.000</v>
      </c>
      <c r="U1587" t="str">
        <f t="shared" si="461"/>
        <v>A9D71F</v>
      </c>
      <c r="V1587">
        <v>0</v>
      </c>
      <c r="W1587">
        <v>0</v>
      </c>
      <c r="X1587">
        <v>2</v>
      </c>
      <c r="Z1587">
        <v>1</v>
      </c>
      <c r="AA1587">
        <v>8</v>
      </c>
      <c r="AB1587">
        <v>3</v>
      </c>
      <c r="AC1587">
        <v>0</v>
      </c>
      <c r="AD1587">
        <v>9</v>
      </c>
      <c r="AE1587">
        <v>0</v>
      </c>
      <c r="AF1587">
        <v>3</v>
      </c>
      <c r="AG1587">
        <v>1</v>
      </c>
      <c r="AH1587">
        <v>0</v>
      </c>
      <c r="AI1587" t="s">
        <v>844</v>
      </c>
      <c r="AJ1587">
        <v>33.081229</v>
      </c>
      <c r="AK1587" t="s">
        <v>845</v>
      </c>
      <c r="AL1587">
        <v>-97.678757000000004</v>
      </c>
      <c r="AM1587">
        <v>25</v>
      </c>
      <c r="AN1587">
        <v>3500</v>
      </c>
      <c r="AO1587" t="s">
        <v>118</v>
      </c>
      <c r="AP1587">
        <v>46</v>
      </c>
      <c r="AQ1587">
        <v>-111</v>
      </c>
      <c r="AR1587">
        <v>-384</v>
      </c>
      <c r="AZ1587">
        <v>1200</v>
      </c>
      <c r="BA1587">
        <v>1</v>
      </c>
      <c r="BB1587" t="str">
        <f t="shared" si="468"/>
        <v xml:space="preserve">N733KP  </v>
      </c>
      <c r="BC1587">
        <v>1</v>
      </c>
      <c r="BE1587">
        <v>0</v>
      </c>
      <c r="BF1587">
        <v>0</v>
      </c>
      <c r="BG1587">
        <v>0</v>
      </c>
      <c r="BH1587">
        <v>3525</v>
      </c>
      <c r="BI1587">
        <v>1</v>
      </c>
      <c r="BJ1587">
        <v>1</v>
      </c>
      <c r="BK1587">
        <v>0</v>
      </c>
      <c r="BL1587">
        <v>0</v>
      </c>
      <c r="BO1587">
        <v>0</v>
      </c>
      <c r="BP1587">
        <v>0</v>
      </c>
      <c r="BW1587" t="str">
        <f>"22:16:08.602"</f>
        <v>22:16:08.602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7</v>
      </c>
      <c r="CP1587" t="s">
        <v>119</v>
      </c>
      <c r="CQ1587">
        <v>364</v>
      </c>
      <c r="CR1587">
        <v>0</v>
      </c>
      <c r="CW1587">
        <v>1426099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>"03/24/2022 22:16:08.888"</f>
        <v>03/24/2022 22:16:08.888</v>
      </c>
      <c r="C1588" t="str">
        <f t="shared" si="467"/>
        <v>FFDFD3C0</v>
      </c>
      <c r="D1588" t="s">
        <v>120</v>
      </c>
      <c r="E1588">
        <v>14</v>
      </c>
      <c r="F1588">
        <v>1014</v>
      </c>
      <c r="G1588" t="s">
        <v>121</v>
      </c>
      <c r="J1588" t="s">
        <v>122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S1588" t="str">
        <f t="shared" si="476"/>
        <v>22:16:08.000</v>
      </c>
      <c r="T1588" t="str">
        <f t="shared" si="476"/>
        <v>22:16:08.000</v>
      </c>
      <c r="U1588" t="str">
        <f t="shared" si="461"/>
        <v>A9D71F</v>
      </c>
      <c r="V1588">
        <v>0</v>
      </c>
      <c r="W1588">
        <v>0</v>
      </c>
      <c r="X1588">
        <v>2</v>
      </c>
      <c r="Z1588">
        <v>1</v>
      </c>
      <c r="AA1588">
        <v>8</v>
      </c>
      <c r="AB1588">
        <v>3</v>
      </c>
      <c r="AC1588">
        <v>0</v>
      </c>
      <c r="AD1588">
        <v>9</v>
      </c>
      <c r="AE1588">
        <v>0</v>
      </c>
      <c r="AF1588">
        <v>3</v>
      </c>
      <c r="AG1588">
        <v>1</v>
      </c>
      <c r="AH1588">
        <v>0</v>
      </c>
      <c r="AI1588" t="s">
        <v>844</v>
      </c>
      <c r="AJ1588">
        <v>33.081229</v>
      </c>
      <c r="AK1588" t="s">
        <v>845</v>
      </c>
      <c r="AL1588">
        <v>-97.678757000000004</v>
      </c>
      <c r="AM1588">
        <v>25</v>
      </c>
      <c r="AN1588">
        <v>3500</v>
      </c>
      <c r="AO1588" t="s">
        <v>118</v>
      </c>
      <c r="AP1588">
        <v>46</v>
      </c>
      <c r="AQ1588">
        <v>-111</v>
      </c>
      <c r="AR1588">
        <v>-384</v>
      </c>
      <c r="AZ1588">
        <v>1200</v>
      </c>
      <c r="BA1588">
        <v>1</v>
      </c>
      <c r="BB1588" t="str">
        <f t="shared" si="468"/>
        <v xml:space="preserve">N733KP  </v>
      </c>
      <c r="BC1588">
        <v>1</v>
      </c>
      <c r="BE1588">
        <v>0</v>
      </c>
      <c r="BF1588">
        <v>0</v>
      </c>
      <c r="BG1588">
        <v>0</v>
      </c>
      <c r="BH1588">
        <v>3525</v>
      </c>
      <c r="BI1588">
        <v>1</v>
      </c>
      <c r="BJ1588">
        <v>1</v>
      </c>
      <c r="BK1588">
        <v>0</v>
      </c>
      <c r="BL1588">
        <v>0</v>
      </c>
      <c r="BO1588">
        <v>0</v>
      </c>
      <c r="BP1588">
        <v>0</v>
      </c>
      <c r="BW1588" t="str">
        <f>"22:16:08.602"</f>
        <v>22:16:08.602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7</v>
      </c>
      <c r="CP1588" t="s">
        <v>119</v>
      </c>
      <c r="CQ1588">
        <v>364</v>
      </c>
      <c r="CR1588">
        <v>0</v>
      </c>
      <c r="CW1588">
        <v>1426099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"03/24/2022 22:16:08.888"</f>
        <v>03/24/2022 22:16:08.888</v>
      </c>
      <c r="C1589" t="str">
        <f t="shared" si="467"/>
        <v>FFDFD3C0</v>
      </c>
      <c r="D1589" t="s">
        <v>126</v>
      </c>
      <c r="E1589">
        <v>3</v>
      </c>
      <c r="H1589">
        <v>160</v>
      </c>
      <c r="I1589" t="s">
        <v>121</v>
      </c>
      <c r="J1589" t="s">
        <v>127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S1589" t="str">
        <f t="shared" si="476"/>
        <v>22:16:08.000</v>
      </c>
      <c r="T1589" t="str">
        <f t="shared" si="476"/>
        <v>22:16:08.000</v>
      </c>
      <c r="U1589" t="str">
        <f t="shared" si="461"/>
        <v>A9D71F</v>
      </c>
      <c r="V1589">
        <v>0</v>
      </c>
      <c r="W1589">
        <v>0</v>
      </c>
      <c r="X1589">
        <v>2</v>
      </c>
      <c r="Z1589">
        <v>1</v>
      </c>
      <c r="AA1589">
        <v>8</v>
      </c>
      <c r="AB1589">
        <v>3</v>
      </c>
      <c r="AC1589">
        <v>0</v>
      </c>
      <c r="AD1589">
        <v>9</v>
      </c>
      <c r="AE1589">
        <v>0</v>
      </c>
      <c r="AF1589">
        <v>3</v>
      </c>
      <c r="AG1589">
        <v>1</v>
      </c>
      <c r="AH1589">
        <v>0</v>
      </c>
      <c r="AI1589" t="s">
        <v>844</v>
      </c>
      <c r="AJ1589">
        <v>33.081229</v>
      </c>
      <c r="AK1589" t="s">
        <v>845</v>
      </c>
      <c r="AL1589">
        <v>-97.678757000000004</v>
      </c>
      <c r="AM1589">
        <v>25</v>
      </c>
      <c r="AN1589">
        <v>3500</v>
      </c>
      <c r="AO1589" t="s">
        <v>118</v>
      </c>
      <c r="AP1589">
        <v>46</v>
      </c>
      <c r="AQ1589">
        <v>-111</v>
      </c>
      <c r="AR1589">
        <v>-384</v>
      </c>
      <c r="AZ1589">
        <v>1200</v>
      </c>
      <c r="BA1589">
        <v>1</v>
      </c>
      <c r="BB1589" t="str">
        <f t="shared" si="468"/>
        <v xml:space="preserve">N733KP  </v>
      </c>
      <c r="BC1589">
        <v>1</v>
      </c>
      <c r="BE1589">
        <v>0</v>
      </c>
      <c r="BF1589">
        <v>0</v>
      </c>
      <c r="BG1589">
        <v>0</v>
      </c>
      <c r="BH1589">
        <v>3525</v>
      </c>
      <c r="BI1589">
        <v>1</v>
      </c>
      <c r="BJ1589">
        <v>1</v>
      </c>
      <c r="BK1589">
        <v>0</v>
      </c>
      <c r="BL1589">
        <v>0</v>
      </c>
      <c r="BO1589">
        <v>0</v>
      </c>
      <c r="BP1589">
        <v>0</v>
      </c>
      <c r="BW1589" t="str">
        <f>"22:16:08.602"</f>
        <v>22:16:08.602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7</v>
      </c>
      <c r="CP1589" t="s">
        <v>119</v>
      </c>
      <c r="CQ1589">
        <v>364</v>
      </c>
      <c r="CR1589">
        <v>0</v>
      </c>
      <c r="CW1589">
        <v>1426099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"03/24/2022 22:16:10.013"</f>
        <v>03/24/2022 22:16:10.013</v>
      </c>
      <c r="C1590" t="str">
        <f t="shared" si="467"/>
        <v>FFDFD3C0</v>
      </c>
      <c r="D1590" t="s">
        <v>126</v>
      </c>
      <c r="E1590">
        <v>3</v>
      </c>
      <c r="H1590">
        <v>160</v>
      </c>
      <c r="I1590" t="s">
        <v>121</v>
      </c>
      <c r="J1590" t="s">
        <v>127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S1590" t="str">
        <f t="shared" ref="S1590:T1593" si="477">"22:16:09.000"</f>
        <v>22:16:09.000</v>
      </c>
      <c r="T1590" t="str">
        <f t="shared" si="477"/>
        <v>22:16:09.000</v>
      </c>
      <c r="U1590" t="str">
        <f t="shared" si="461"/>
        <v>A9D71F</v>
      </c>
      <c r="V1590">
        <v>0</v>
      </c>
      <c r="W1590">
        <v>0</v>
      </c>
      <c r="X1590">
        <v>2</v>
      </c>
      <c r="Z1590">
        <v>1</v>
      </c>
      <c r="AA1590">
        <v>8</v>
      </c>
      <c r="AB1590">
        <v>3</v>
      </c>
      <c r="AC1590">
        <v>0</v>
      </c>
      <c r="AD1590">
        <v>9</v>
      </c>
      <c r="AE1590">
        <v>0</v>
      </c>
      <c r="AF1590">
        <v>3</v>
      </c>
      <c r="AG1590">
        <v>1</v>
      </c>
      <c r="AH1590">
        <v>0</v>
      </c>
      <c r="AI1590" t="s">
        <v>846</v>
      </c>
      <c r="AJ1590">
        <v>33.080714</v>
      </c>
      <c r="AK1590" t="s">
        <v>847</v>
      </c>
      <c r="AL1590">
        <v>-97.678477999999998</v>
      </c>
      <c r="AM1590">
        <v>25</v>
      </c>
      <c r="AN1590">
        <v>3500</v>
      </c>
      <c r="AO1590" t="s">
        <v>118</v>
      </c>
      <c r="AP1590">
        <v>46</v>
      </c>
      <c r="AQ1590">
        <v>-112</v>
      </c>
      <c r="AR1590">
        <v>-512</v>
      </c>
      <c r="AZ1590">
        <v>1200</v>
      </c>
      <c r="BA1590">
        <v>1</v>
      </c>
      <c r="BB1590" t="str">
        <f t="shared" si="468"/>
        <v xml:space="preserve">N733KP  </v>
      </c>
      <c r="BC1590">
        <v>1</v>
      </c>
      <c r="BE1590">
        <v>0</v>
      </c>
      <c r="BF1590">
        <v>0</v>
      </c>
      <c r="BG1590">
        <v>0</v>
      </c>
      <c r="BH1590">
        <v>3500</v>
      </c>
      <c r="BI1590">
        <v>1</v>
      </c>
      <c r="BJ1590">
        <v>1</v>
      </c>
      <c r="BK1590">
        <v>0</v>
      </c>
      <c r="BL1590">
        <v>0</v>
      </c>
      <c r="BO1590">
        <v>0</v>
      </c>
      <c r="BP1590">
        <v>0</v>
      </c>
      <c r="BW1590" t="str">
        <f>"22:16:09.853"</f>
        <v>22:16:09.853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119</v>
      </c>
      <c r="CQ1590">
        <v>364</v>
      </c>
      <c r="CR1590">
        <v>0</v>
      </c>
      <c r="CW1590">
        <v>1426301</v>
      </c>
      <c r="CY1590">
        <v>1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"03/24/2022 22:16:10.013"</f>
        <v>03/24/2022 22:16:10.013</v>
      </c>
      <c r="C1591" t="str">
        <f t="shared" si="467"/>
        <v>FFDFD3C0</v>
      </c>
      <c r="D1591" t="s">
        <v>120</v>
      </c>
      <c r="E1591">
        <v>14</v>
      </c>
      <c r="F1591">
        <v>1014</v>
      </c>
      <c r="G1591" t="s">
        <v>121</v>
      </c>
      <c r="J1591" t="s">
        <v>122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S1591" t="str">
        <f t="shared" si="477"/>
        <v>22:16:09.000</v>
      </c>
      <c r="T1591" t="str">
        <f t="shared" si="477"/>
        <v>22:16:09.000</v>
      </c>
      <c r="U1591" t="str">
        <f t="shared" si="461"/>
        <v>A9D71F</v>
      </c>
      <c r="V1591">
        <v>0</v>
      </c>
      <c r="W1591">
        <v>0</v>
      </c>
      <c r="X1591">
        <v>2</v>
      </c>
      <c r="Z1591">
        <v>1</v>
      </c>
      <c r="AA1591">
        <v>8</v>
      </c>
      <c r="AB1591">
        <v>3</v>
      </c>
      <c r="AC1591">
        <v>0</v>
      </c>
      <c r="AD1591">
        <v>9</v>
      </c>
      <c r="AE1591">
        <v>0</v>
      </c>
      <c r="AF1591">
        <v>3</v>
      </c>
      <c r="AG1591">
        <v>1</v>
      </c>
      <c r="AH1591">
        <v>0</v>
      </c>
      <c r="AI1591" t="s">
        <v>846</v>
      </c>
      <c r="AJ1591">
        <v>33.080714</v>
      </c>
      <c r="AK1591" t="s">
        <v>847</v>
      </c>
      <c r="AL1591">
        <v>-97.678477999999998</v>
      </c>
      <c r="AM1591">
        <v>25</v>
      </c>
      <c r="AN1591">
        <v>3500</v>
      </c>
      <c r="AO1591" t="s">
        <v>118</v>
      </c>
      <c r="AP1591">
        <v>46</v>
      </c>
      <c r="AQ1591">
        <v>-112</v>
      </c>
      <c r="AR1591">
        <v>-512</v>
      </c>
      <c r="AZ1591">
        <v>1200</v>
      </c>
      <c r="BA1591">
        <v>1</v>
      </c>
      <c r="BB1591" t="str">
        <f t="shared" si="468"/>
        <v xml:space="preserve">N733KP  </v>
      </c>
      <c r="BC1591">
        <v>1</v>
      </c>
      <c r="BE1591">
        <v>0</v>
      </c>
      <c r="BF1591">
        <v>0</v>
      </c>
      <c r="BG1591">
        <v>0</v>
      </c>
      <c r="BH1591">
        <v>3500</v>
      </c>
      <c r="BI1591">
        <v>1</v>
      </c>
      <c r="BJ1591">
        <v>1</v>
      </c>
      <c r="BK1591">
        <v>0</v>
      </c>
      <c r="BL1591">
        <v>0</v>
      </c>
      <c r="BO1591">
        <v>0</v>
      </c>
      <c r="BP1591">
        <v>0</v>
      </c>
      <c r="BW1591" t="str">
        <f>"22:16:09.853"</f>
        <v>22:16:09.853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364</v>
      </c>
      <c r="CR1591">
        <v>0</v>
      </c>
      <c r="CW1591">
        <v>1426301</v>
      </c>
      <c r="CY1591">
        <v>1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"03/24/2022 22:16:10.029"</f>
        <v>03/24/2022 22:16:10.029</v>
      </c>
      <c r="C1592" t="str">
        <f t="shared" si="467"/>
        <v>FFDFD3C0</v>
      </c>
      <c r="D1592" t="s">
        <v>123</v>
      </c>
      <c r="E1592">
        <v>8</v>
      </c>
      <c r="H1592">
        <v>31</v>
      </c>
      <c r="I1592" t="s">
        <v>124</v>
      </c>
      <c r="J1592" t="s">
        <v>125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S1592" t="str">
        <f t="shared" si="477"/>
        <v>22:16:09.000</v>
      </c>
      <c r="T1592" t="str">
        <f t="shared" si="477"/>
        <v>22:16:09.000</v>
      </c>
      <c r="U1592" t="str">
        <f t="shared" si="461"/>
        <v>A9D71F</v>
      </c>
      <c r="V1592">
        <v>0</v>
      </c>
      <c r="W1592">
        <v>0</v>
      </c>
      <c r="X1592">
        <v>2</v>
      </c>
      <c r="Z1592">
        <v>1</v>
      </c>
      <c r="AA1592">
        <v>8</v>
      </c>
      <c r="AB1592">
        <v>3</v>
      </c>
      <c r="AC1592">
        <v>0</v>
      </c>
      <c r="AD1592">
        <v>9</v>
      </c>
      <c r="AE1592">
        <v>0</v>
      </c>
      <c r="AF1592">
        <v>3</v>
      </c>
      <c r="AG1592">
        <v>1</v>
      </c>
      <c r="AH1592">
        <v>0</v>
      </c>
      <c r="AI1592" t="s">
        <v>846</v>
      </c>
      <c r="AJ1592">
        <v>33.080714</v>
      </c>
      <c r="AK1592" t="s">
        <v>847</v>
      </c>
      <c r="AL1592">
        <v>-97.678477999999998</v>
      </c>
      <c r="AM1592">
        <v>25</v>
      </c>
      <c r="AN1592">
        <v>3500</v>
      </c>
      <c r="AO1592" t="s">
        <v>118</v>
      </c>
      <c r="AP1592">
        <v>46</v>
      </c>
      <c r="AQ1592">
        <v>-112</v>
      </c>
      <c r="AR1592">
        <v>-512</v>
      </c>
      <c r="AZ1592">
        <v>1200</v>
      </c>
      <c r="BA1592">
        <v>1</v>
      </c>
      <c r="BB1592" t="str">
        <f t="shared" si="468"/>
        <v xml:space="preserve">N733KP  </v>
      </c>
      <c r="BC1592">
        <v>1</v>
      </c>
      <c r="BE1592">
        <v>0</v>
      </c>
      <c r="BF1592">
        <v>0</v>
      </c>
      <c r="BG1592">
        <v>0</v>
      </c>
      <c r="BH1592">
        <v>3500</v>
      </c>
      <c r="BI1592">
        <v>1</v>
      </c>
      <c r="BJ1592">
        <v>1</v>
      </c>
      <c r="BK1592">
        <v>0</v>
      </c>
      <c r="BL1592">
        <v>0</v>
      </c>
      <c r="BO1592">
        <v>0</v>
      </c>
      <c r="BP1592">
        <v>0</v>
      </c>
      <c r="BW1592" t="str">
        <f>"22:16:09.853"</f>
        <v>22:16:09.853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119</v>
      </c>
      <c r="CQ1592">
        <v>364</v>
      </c>
      <c r="CR1592">
        <v>0</v>
      </c>
      <c r="CW1592">
        <v>1426301</v>
      </c>
      <c r="CY1592">
        <v>1</v>
      </c>
      <c r="CZ1592">
        <v>0</v>
      </c>
      <c r="DA1592">
        <v>1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"03/24/2022 22:16:10.060"</f>
        <v>03/24/2022 22:16:10.060</v>
      </c>
      <c r="C1593" t="str">
        <f t="shared" si="467"/>
        <v>FFDFD3C0</v>
      </c>
      <c r="D1593" t="s">
        <v>113</v>
      </c>
      <c r="E1593">
        <v>24</v>
      </c>
      <c r="F1593">
        <v>2024</v>
      </c>
      <c r="G1593" t="s">
        <v>114</v>
      </c>
      <c r="J1593" t="s">
        <v>115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S1593" t="str">
        <f t="shared" si="477"/>
        <v>22:16:09.000</v>
      </c>
      <c r="T1593" t="str">
        <f t="shared" si="477"/>
        <v>22:16:09.000</v>
      </c>
      <c r="U1593" t="str">
        <f t="shared" si="461"/>
        <v>A9D71F</v>
      </c>
      <c r="V1593">
        <v>0</v>
      </c>
      <c r="W1593">
        <v>0</v>
      </c>
      <c r="X1593">
        <v>2</v>
      </c>
      <c r="Z1593">
        <v>1</v>
      </c>
      <c r="AA1593">
        <v>8</v>
      </c>
      <c r="AB1593">
        <v>3</v>
      </c>
      <c r="AC1593">
        <v>0</v>
      </c>
      <c r="AD1593">
        <v>9</v>
      </c>
      <c r="AE1593">
        <v>0</v>
      </c>
      <c r="AF1593">
        <v>3</v>
      </c>
      <c r="AG1593">
        <v>1</v>
      </c>
      <c r="AH1593">
        <v>0</v>
      </c>
      <c r="AI1593" t="s">
        <v>846</v>
      </c>
      <c r="AJ1593">
        <v>33.080714</v>
      </c>
      <c r="AK1593" t="s">
        <v>847</v>
      </c>
      <c r="AL1593">
        <v>-97.678477999999998</v>
      </c>
      <c r="AM1593">
        <v>25</v>
      </c>
      <c r="AN1593">
        <v>3500</v>
      </c>
      <c r="AO1593" t="s">
        <v>118</v>
      </c>
      <c r="AP1593">
        <v>46</v>
      </c>
      <c r="AQ1593">
        <v>-112</v>
      </c>
      <c r="AR1593">
        <v>-512</v>
      </c>
      <c r="AZ1593">
        <v>1200</v>
      </c>
      <c r="BA1593">
        <v>1</v>
      </c>
      <c r="BB1593" t="str">
        <f t="shared" si="468"/>
        <v xml:space="preserve">N733KP  </v>
      </c>
      <c r="BC1593">
        <v>1</v>
      </c>
      <c r="BE1593">
        <v>0</v>
      </c>
      <c r="BF1593">
        <v>0</v>
      </c>
      <c r="BG1593">
        <v>0</v>
      </c>
      <c r="BH1593">
        <v>3500</v>
      </c>
      <c r="BI1593">
        <v>1</v>
      </c>
      <c r="BJ1593">
        <v>1</v>
      </c>
      <c r="BK1593">
        <v>0</v>
      </c>
      <c r="BL1593">
        <v>0</v>
      </c>
      <c r="BO1593">
        <v>0</v>
      </c>
      <c r="BP1593">
        <v>0</v>
      </c>
      <c r="BW1593" t="str">
        <f>"22:16:09.853"</f>
        <v>22:16:09.853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7</v>
      </c>
      <c r="CP1593" t="s">
        <v>119</v>
      </c>
      <c r="CQ1593">
        <v>364</v>
      </c>
      <c r="CR1593">
        <v>0</v>
      </c>
      <c r="CW1593">
        <v>1426301</v>
      </c>
      <c r="CY1593">
        <v>1</v>
      </c>
      <c r="CZ1593">
        <v>0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"03/24/2022 22:16:10.497"</f>
        <v>03/24/2022 22:16:10.497</v>
      </c>
      <c r="C1594" t="str">
        <f t="shared" si="467"/>
        <v>FFDFD3C0</v>
      </c>
      <c r="D1594" t="s">
        <v>123</v>
      </c>
      <c r="E1594">
        <v>8</v>
      </c>
      <c r="H1594">
        <v>31</v>
      </c>
      <c r="I1594" t="s">
        <v>124</v>
      </c>
      <c r="J1594" t="s">
        <v>125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S1594" t="str">
        <f t="shared" ref="S1594:T1597" si="478">"22:16:10.000"</f>
        <v>22:16:10.000</v>
      </c>
      <c r="T1594" t="str">
        <f t="shared" si="478"/>
        <v>22:16:10.000</v>
      </c>
      <c r="U1594" t="str">
        <f t="shared" si="461"/>
        <v>A9D71F</v>
      </c>
      <c r="V1594">
        <v>0</v>
      </c>
      <c r="W1594">
        <v>0</v>
      </c>
      <c r="X1594">
        <v>2</v>
      </c>
      <c r="Z1594">
        <v>1</v>
      </c>
      <c r="AA1594">
        <v>8</v>
      </c>
      <c r="AB1594">
        <v>3</v>
      </c>
      <c r="AC1594">
        <v>0</v>
      </c>
      <c r="AD1594">
        <v>9</v>
      </c>
      <c r="AE1594">
        <v>0</v>
      </c>
      <c r="AF1594">
        <v>3</v>
      </c>
      <c r="AG1594">
        <v>1</v>
      </c>
      <c r="AH1594">
        <v>0</v>
      </c>
      <c r="AI1594" t="s">
        <v>848</v>
      </c>
      <c r="AJ1594">
        <v>33.080199</v>
      </c>
      <c r="AK1594" t="s">
        <v>849</v>
      </c>
      <c r="AL1594">
        <v>-97.678219999999996</v>
      </c>
      <c r="AM1594">
        <v>25</v>
      </c>
      <c r="AN1594">
        <v>3500</v>
      </c>
      <c r="AO1594" t="s">
        <v>118</v>
      </c>
      <c r="AP1594">
        <v>46</v>
      </c>
      <c r="AQ1594">
        <v>-111</v>
      </c>
      <c r="AR1594">
        <v>-512</v>
      </c>
      <c r="AZ1594">
        <v>1200</v>
      </c>
      <c r="BA1594">
        <v>1</v>
      </c>
      <c r="BB1594" t="str">
        <f t="shared" si="468"/>
        <v xml:space="preserve">N733KP  </v>
      </c>
      <c r="BC1594">
        <v>1</v>
      </c>
      <c r="BE1594">
        <v>0</v>
      </c>
      <c r="BF1594">
        <v>0</v>
      </c>
      <c r="BG1594">
        <v>0</v>
      </c>
      <c r="BH1594">
        <v>3500</v>
      </c>
      <c r="BI1594">
        <v>1</v>
      </c>
      <c r="BJ1594">
        <v>1</v>
      </c>
      <c r="BK1594">
        <v>0</v>
      </c>
      <c r="BL1594">
        <v>0</v>
      </c>
      <c r="BO1594">
        <v>0</v>
      </c>
      <c r="BP1594">
        <v>0</v>
      </c>
      <c r="BW1594" t="str">
        <f>"22:16:10.241"</f>
        <v>22:16:10.241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7</v>
      </c>
      <c r="CP1594" t="s">
        <v>119</v>
      </c>
      <c r="CQ1594">
        <v>364</v>
      </c>
      <c r="CR1594">
        <v>0</v>
      </c>
      <c r="CW1594">
        <v>1426351</v>
      </c>
      <c r="CY1594">
        <v>1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"03/24/2022 22:16:10.544"</f>
        <v>03/24/2022 22:16:10.544</v>
      </c>
      <c r="C1595" t="str">
        <f t="shared" si="467"/>
        <v>FFDFD3C0</v>
      </c>
      <c r="D1595" t="s">
        <v>113</v>
      </c>
      <c r="E1595">
        <v>24</v>
      </c>
      <c r="F1595">
        <v>2024</v>
      </c>
      <c r="G1595" t="s">
        <v>114</v>
      </c>
      <c r="J1595" t="s">
        <v>115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S1595" t="str">
        <f t="shared" si="478"/>
        <v>22:16:10.000</v>
      </c>
      <c r="T1595" t="str">
        <f t="shared" si="478"/>
        <v>22:16:10.000</v>
      </c>
      <c r="U1595" t="str">
        <f t="shared" si="461"/>
        <v>A9D71F</v>
      </c>
      <c r="V1595">
        <v>0</v>
      </c>
      <c r="W1595">
        <v>0</v>
      </c>
      <c r="X1595">
        <v>2</v>
      </c>
      <c r="Z1595">
        <v>1</v>
      </c>
      <c r="AA1595">
        <v>8</v>
      </c>
      <c r="AB1595">
        <v>3</v>
      </c>
      <c r="AC1595">
        <v>0</v>
      </c>
      <c r="AD1595">
        <v>9</v>
      </c>
      <c r="AE1595">
        <v>0</v>
      </c>
      <c r="AF1595">
        <v>3</v>
      </c>
      <c r="AG1595">
        <v>1</v>
      </c>
      <c r="AH1595">
        <v>0</v>
      </c>
      <c r="AI1595" t="s">
        <v>848</v>
      </c>
      <c r="AJ1595">
        <v>33.080199</v>
      </c>
      <c r="AK1595" t="s">
        <v>849</v>
      </c>
      <c r="AL1595">
        <v>-97.678219999999996</v>
      </c>
      <c r="AM1595">
        <v>25</v>
      </c>
      <c r="AN1595">
        <v>3500</v>
      </c>
      <c r="AO1595" t="s">
        <v>118</v>
      </c>
      <c r="AP1595">
        <v>46</v>
      </c>
      <c r="AQ1595">
        <v>-111</v>
      </c>
      <c r="AR1595">
        <v>-512</v>
      </c>
      <c r="AZ1595">
        <v>1200</v>
      </c>
      <c r="BA1595">
        <v>1</v>
      </c>
      <c r="BB1595" t="str">
        <f t="shared" si="468"/>
        <v xml:space="preserve">N733KP  </v>
      </c>
      <c r="BC1595">
        <v>1</v>
      </c>
      <c r="BE1595">
        <v>0</v>
      </c>
      <c r="BF1595">
        <v>0</v>
      </c>
      <c r="BG1595">
        <v>0</v>
      </c>
      <c r="BH1595">
        <v>3500</v>
      </c>
      <c r="BI1595">
        <v>1</v>
      </c>
      <c r="BJ1595">
        <v>1</v>
      </c>
      <c r="BK1595">
        <v>0</v>
      </c>
      <c r="BL1595">
        <v>0</v>
      </c>
      <c r="BO1595">
        <v>0</v>
      </c>
      <c r="BP1595">
        <v>0</v>
      </c>
      <c r="BW1595" t="str">
        <f>"22:16:10.241"</f>
        <v>22:16:10.241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7</v>
      </c>
      <c r="CP1595" t="s">
        <v>119</v>
      </c>
      <c r="CQ1595">
        <v>364</v>
      </c>
      <c r="CR1595">
        <v>0</v>
      </c>
      <c r="CW1595">
        <v>1426351</v>
      </c>
      <c r="CY1595">
        <v>1</v>
      </c>
      <c r="CZ1595">
        <v>0</v>
      </c>
      <c r="DA1595">
        <v>1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"03/24/2022 22:16:10.544"</f>
        <v>03/24/2022 22:16:10.544</v>
      </c>
      <c r="C1596" t="str">
        <f t="shared" si="467"/>
        <v>FFDFD3C0</v>
      </c>
      <c r="D1596" t="s">
        <v>126</v>
      </c>
      <c r="E1596">
        <v>3</v>
      </c>
      <c r="H1596">
        <v>160</v>
      </c>
      <c r="I1596" t="s">
        <v>121</v>
      </c>
      <c r="J1596" t="s">
        <v>127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S1596" t="str">
        <f t="shared" si="478"/>
        <v>22:16:10.000</v>
      </c>
      <c r="T1596" t="str">
        <f t="shared" si="478"/>
        <v>22:16:10.000</v>
      </c>
      <c r="U1596" t="str">
        <f t="shared" si="461"/>
        <v>A9D71F</v>
      </c>
      <c r="V1596">
        <v>0</v>
      </c>
      <c r="W1596">
        <v>0</v>
      </c>
      <c r="X1596">
        <v>2</v>
      </c>
      <c r="Z1596">
        <v>1</v>
      </c>
      <c r="AA1596">
        <v>8</v>
      </c>
      <c r="AB1596">
        <v>3</v>
      </c>
      <c r="AC1596">
        <v>0</v>
      </c>
      <c r="AD1596">
        <v>9</v>
      </c>
      <c r="AE1596">
        <v>0</v>
      </c>
      <c r="AF1596">
        <v>3</v>
      </c>
      <c r="AG1596">
        <v>1</v>
      </c>
      <c r="AH1596">
        <v>0</v>
      </c>
      <c r="AI1596" t="s">
        <v>848</v>
      </c>
      <c r="AJ1596">
        <v>33.080199</v>
      </c>
      <c r="AK1596" t="s">
        <v>849</v>
      </c>
      <c r="AL1596">
        <v>-97.678219999999996</v>
      </c>
      <c r="AM1596">
        <v>25</v>
      </c>
      <c r="AN1596">
        <v>3500</v>
      </c>
      <c r="AO1596" t="s">
        <v>118</v>
      </c>
      <c r="AP1596">
        <v>46</v>
      </c>
      <c r="AQ1596">
        <v>-111</v>
      </c>
      <c r="AR1596">
        <v>-512</v>
      </c>
      <c r="AZ1596">
        <v>1200</v>
      </c>
      <c r="BA1596">
        <v>1</v>
      </c>
      <c r="BB1596" t="str">
        <f t="shared" si="468"/>
        <v xml:space="preserve">N733KP  </v>
      </c>
      <c r="BC1596">
        <v>1</v>
      </c>
      <c r="BE1596">
        <v>0</v>
      </c>
      <c r="BF1596">
        <v>0</v>
      </c>
      <c r="BG1596">
        <v>0</v>
      </c>
      <c r="BH1596">
        <v>3500</v>
      </c>
      <c r="BI1596">
        <v>1</v>
      </c>
      <c r="BJ1596">
        <v>1</v>
      </c>
      <c r="BK1596">
        <v>0</v>
      </c>
      <c r="BL1596">
        <v>0</v>
      </c>
      <c r="BO1596">
        <v>0</v>
      </c>
      <c r="BP1596">
        <v>0</v>
      </c>
      <c r="BW1596" t="str">
        <f>"22:16:10.241"</f>
        <v>22:16:10.241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7</v>
      </c>
      <c r="CP1596" t="s">
        <v>119</v>
      </c>
      <c r="CQ1596">
        <v>364</v>
      </c>
      <c r="CR1596">
        <v>0</v>
      </c>
      <c r="CW1596">
        <v>1426351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"03/24/2022 22:16:10.544"</f>
        <v>03/24/2022 22:16:10.544</v>
      </c>
      <c r="C1597" t="str">
        <f t="shared" si="467"/>
        <v>FFDFD3C0</v>
      </c>
      <c r="D1597" t="s">
        <v>120</v>
      </c>
      <c r="E1597">
        <v>14</v>
      </c>
      <c r="F1597">
        <v>1014</v>
      </c>
      <c r="G1597" t="s">
        <v>121</v>
      </c>
      <c r="J1597" t="s">
        <v>122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S1597" t="str">
        <f t="shared" si="478"/>
        <v>22:16:10.000</v>
      </c>
      <c r="T1597" t="str">
        <f t="shared" si="478"/>
        <v>22:16:10.000</v>
      </c>
      <c r="U1597" t="str">
        <f t="shared" si="461"/>
        <v>A9D71F</v>
      </c>
      <c r="V1597">
        <v>0</v>
      </c>
      <c r="W1597">
        <v>0</v>
      </c>
      <c r="X1597">
        <v>2</v>
      </c>
      <c r="Z1597">
        <v>1</v>
      </c>
      <c r="AA1597">
        <v>8</v>
      </c>
      <c r="AB1597">
        <v>3</v>
      </c>
      <c r="AC1597">
        <v>0</v>
      </c>
      <c r="AD1597">
        <v>9</v>
      </c>
      <c r="AE1597">
        <v>0</v>
      </c>
      <c r="AF1597">
        <v>3</v>
      </c>
      <c r="AG1597">
        <v>1</v>
      </c>
      <c r="AH1597">
        <v>0</v>
      </c>
      <c r="AI1597" t="s">
        <v>848</v>
      </c>
      <c r="AJ1597">
        <v>33.080199</v>
      </c>
      <c r="AK1597" t="s">
        <v>849</v>
      </c>
      <c r="AL1597">
        <v>-97.678219999999996</v>
      </c>
      <c r="AM1597">
        <v>25</v>
      </c>
      <c r="AN1597">
        <v>3500</v>
      </c>
      <c r="AO1597" t="s">
        <v>118</v>
      </c>
      <c r="AP1597">
        <v>46</v>
      </c>
      <c r="AQ1597">
        <v>-111</v>
      </c>
      <c r="AR1597">
        <v>-512</v>
      </c>
      <c r="AZ1597">
        <v>1200</v>
      </c>
      <c r="BA1597">
        <v>1</v>
      </c>
      <c r="BB1597" t="str">
        <f t="shared" si="468"/>
        <v xml:space="preserve">N733KP  </v>
      </c>
      <c r="BC1597">
        <v>1</v>
      </c>
      <c r="BE1597">
        <v>0</v>
      </c>
      <c r="BF1597">
        <v>0</v>
      </c>
      <c r="BG1597">
        <v>0</v>
      </c>
      <c r="BH1597">
        <v>3500</v>
      </c>
      <c r="BI1597">
        <v>1</v>
      </c>
      <c r="BJ1597">
        <v>1</v>
      </c>
      <c r="BK1597">
        <v>0</v>
      </c>
      <c r="BL1597">
        <v>0</v>
      </c>
      <c r="BO1597">
        <v>0</v>
      </c>
      <c r="BP1597">
        <v>0</v>
      </c>
      <c r="BW1597" t="str">
        <f>"22:16:10.241"</f>
        <v>22:16:10.241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7</v>
      </c>
      <c r="CP1597" t="s">
        <v>119</v>
      </c>
      <c r="CQ1597">
        <v>364</v>
      </c>
      <c r="CR1597">
        <v>0</v>
      </c>
      <c r="CW1597">
        <v>1426351</v>
      </c>
      <c r="CY1597">
        <v>1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"03/24/2022 22:16:12.173"</f>
        <v>03/24/2022 22:16:12.173</v>
      </c>
      <c r="C1598" t="str">
        <f t="shared" si="467"/>
        <v>FFDFD3C0</v>
      </c>
      <c r="D1598" t="s">
        <v>123</v>
      </c>
      <c r="E1598">
        <v>8</v>
      </c>
      <c r="H1598">
        <v>31</v>
      </c>
      <c r="I1598" t="s">
        <v>124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S1598" t="str">
        <f t="shared" ref="S1598:T1601" si="479">"22:16:11.000"</f>
        <v>22:16:11.000</v>
      </c>
      <c r="T1598" t="str">
        <f t="shared" si="479"/>
        <v>22:16:11.000</v>
      </c>
      <c r="U1598" t="str">
        <f t="shared" si="461"/>
        <v>A9D71F</v>
      </c>
      <c r="V1598">
        <v>0</v>
      </c>
      <c r="W1598">
        <v>0</v>
      </c>
      <c r="X1598">
        <v>2</v>
      </c>
      <c r="Z1598">
        <v>1</v>
      </c>
      <c r="AA1598">
        <v>8</v>
      </c>
      <c r="AB1598">
        <v>3</v>
      </c>
      <c r="AC1598">
        <v>0</v>
      </c>
      <c r="AD1598">
        <v>9</v>
      </c>
      <c r="AE1598">
        <v>0</v>
      </c>
      <c r="AF1598">
        <v>3</v>
      </c>
      <c r="AG1598">
        <v>1</v>
      </c>
      <c r="AH1598">
        <v>0</v>
      </c>
      <c r="AI1598" t="s">
        <v>850</v>
      </c>
      <c r="AJ1598">
        <v>33.079661999999999</v>
      </c>
      <c r="AK1598" t="s">
        <v>851</v>
      </c>
      <c r="AL1598">
        <v>-97.677963000000005</v>
      </c>
      <c r="AM1598">
        <v>25</v>
      </c>
      <c r="AN1598">
        <v>3500</v>
      </c>
      <c r="AO1598" t="s">
        <v>118</v>
      </c>
      <c r="AP1598">
        <v>46</v>
      </c>
      <c r="AQ1598">
        <v>-112</v>
      </c>
      <c r="AR1598">
        <v>-512</v>
      </c>
      <c r="AZ1598">
        <v>1200</v>
      </c>
      <c r="BA1598">
        <v>1</v>
      </c>
      <c r="BB1598" t="str">
        <f t="shared" si="468"/>
        <v xml:space="preserve">N733KP  </v>
      </c>
      <c r="BC1598">
        <v>1</v>
      </c>
      <c r="BE1598">
        <v>0</v>
      </c>
      <c r="BF1598">
        <v>0</v>
      </c>
      <c r="BG1598">
        <v>0</v>
      </c>
      <c r="BH1598">
        <v>3500</v>
      </c>
      <c r="BI1598">
        <v>1</v>
      </c>
      <c r="BJ1598">
        <v>1</v>
      </c>
      <c r="BK1598">
        <v>0</v>
      </c>
      <c r="BL1598">
        <v>0</v>
      </c>
      <c r="BO1598">
        <v>0</v>
      </c>
      <c r="BP1598">
        <v>0</v>
      </c>
      <c r="BW1598" t="str">
        <f>"22:16:11.898"</f>
        <v>22:16:11.898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119</v>
      </c>
      <c r="CQ1598">
        <v>364</v>
      </c>
      <c r="CR1598">
        <v>0</v>
      </c>
      <c r="CW1598">
        <v>1426603</v>
      </c>
      <c r="CY1598">
        <v>1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"03/24/2022 22:16:12.173"</f>
        <v>03/24/2022 22:16:12.173</v>
      </c>
      <c r="C1599" t="str">
        <f t="shared" si="467"/>
        <v>FFDFD3C0</v>
      </c>
      <c r="D1599" t="s">
        <v>113</v>
      </c>
      <c r="E1599">
        <v>24</v>
      </c>
      <c r="F1599">
        <v>2024</v>
      </c>
      <c r="G1599" t="s">
        <v>114</v>
      </c>
      <c r="J1599" t="s">
        <v>115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S1599" t="str">
        <f t="shared" si="479"/>
        <v>22:16:11.000</v>
      </c>
      <c r="T1599" t="str">
        <f t="shared" si="479"/>
        <v>22:16:11.000</v>
      </c>
      <c r="U1599" t="str">
        <f t="shared" si="461"/>
        <v>A9D71F</v>
      </c>
      <c r="V1599">
        <v>0</v>
      </c>
      <c r="W1599">
        <v>0</v>
      </c>
      <c r="X1599">
        <v>2</v>
      </c>
      <c r="Z1599">
        <v>1</v>
      </c>
      <c r="AA1599">
        <v>8</v>
      </c>
      <c r="AB1599">
        <v>3</v>
      </c>
      <c r="AC1599">
        <v>0</v>
      </c>
      <c r="AD1599">
        <v>9</v>
      </c>
      <c r="AE1599">
        <v>0</v>
      </c>
      <c r="AF1599">
        <v>3</v>
      </c>
      <c r="AG1599">
        <v>1</v>
      </c>
      <c r="AH1599">
        <v>0</v>
      </c>
      <c r="AI1599" t="s">
        <v>850</v>
      </c>
      <c r="AJ1599">
        <v>33.079661999999999</v>
      </c>
      <c r="AK1599" t="s">
        <v>851</v>
      </c>
      <c r="AL1599">
        <v>-97.677963000000005</v>
      </c>
      <c r="AM1599">
        <v>25</v>
      </c>
      <c r="AN1599">
        <v>3500</v>
      </c>
      <c r="AO1599" t="s">
        <v>118</v>
      </c>
      <c r="AP1599">
        <v>46</v>
      </c>
      <c r="AQ1599">
        <v>-112</v>
      </c>
      <c r="AR1599">
        <v>-512</v>
      </c>
      <c r="AZ1599">
        <v>1200</v>
      </c>
      <c r="BA1599">
        <v>1</v>
      </c>
      <c r="BB1599" t="str">
        <f t="shared" si="468"/>
        <v xml:space="preserve">N733KP  </v>
      </c>
      <c r="BC1599">
        <v>1</v>
      </c>
      <c r="BE1599">
        <v>0</v>
      </c>
      <c r="BF1599">
        <v>0</v>
      </c>
      <c r="BG1599">
        <v>0</v>
      </c>
      <c r="BH1599">
        <v>3500</v>
      </c>
      <c r="BI1599">
        <v>1</v>
      </c>
      <c r="BJ1599">
        <v>1</v>
      </c>
      <c r="BK1599">
        <v>0</v>
      </c>
      <c r="BL1599">
        <v>0</v>
      </c>
      <c r="BO1599">
        <v>0</v>
      </c>
      <c r="BP1599">
        <v>0</v>
      </c>
      <c r="BW1599" t="str">
        <f>"22:16:11.898"</f>
        <v>22:16:11.898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119</v>
      </c>
      <c r="CQ1599">
        <v>364</v>
      </c>
      <c r="CR1599">
        <v>0</v>
      </c>
      <c r="CW1599">
        <v>1426603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>"03/24/2022 22:16:12.173"</f>
        <v>03/24/2022 22:16:12.173</v>
      </c>
      <c r="C1600" t="str">
        <f t="shared" si="467"/>
        <v>FFDFD3C0</v>
      </c>
      <c r="D1600" t="s">
        <v>126</v>
      </c>
      <c r="E1600">
        <v>3</v>
      </c>
      <c r="H1600">
        <v>160</v>
      </c>
      <c r="I1600" t="s">
        <v>121</v>
      </c>
      <c r="J1600" t="s">
        <v>127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S1600" t="str">
        <f t="shared" si="479"/>
        <v>22:16:11.000</v>
      </c>
      <c r="T1600" t="str">
        <f t="shared" si="479"/>
        <v>22:16:11.000</v>
      </c>
      <c r="U1600" t="str">
        <f t="shared" si="461"/>
        <v>A9D71F</v>
      </c>
      <c r="V1600">
        <v>0</v>
      </c>
      <c r="W1600">
        <v>0</v>
      </c>
      <c r="X1600">
        <v>2</v>
      </c>
      <c r="Z1600">
        <v>1</v>
      </c>
      <c r="AA1600">
        <v>8</v>
      </c>
      <c r="AB1600">
        <v>3</v>
      </c>
      <c r="AC1600">
        <v>0</v>
      </c>
      <c r="AD1600">
        <v>9</v>
      </c>
      <c r="AE1600">
        <v>0</v>
      </c>
      <c r="AF1600">
        <v>3</v>
      </c>
      <c r="AG1600">
        <v>1</v>
      </c>
      <c r="AH1600">
        <v>0</v>
      </c>
      <c r="AI1600" t="s">
        <v>850</v>
      </c>
      <c r="AJ1600">
        <v>33.079661999999999</v>
      </c>
      <c r="AK1600" t="s">
        <v>851</v>
      </c>
      <c r="AL1600">
        <v>-97.677963000000005</v>
      </c>
      <c r="AM1600">
        <v>25</v>
      </c>
      <c r="AN1600">
        <v>3500</v>
      </c>
      <c r="AO1600" t="s">
        <v>118</v>
      </c>
      <c r="AP1600">
        <v>46</v>
      </c>
      <c r="AQ1600">
        <v>-112</v>
      </c>
      <c r="AR1600">
        <v>-512</v>
      </c>
      <c r="AZ1600">
        <v>1200</v>
      </c>
      <c r="BA1600">
        <v>1</v>
      </c>
      <c r="BB1600" t="str">
        <f t="shared" si="468"/>
        <v xml:space="preserve">N733KP  </v>
      </c>
      <c r="BC1600">
        <v>1</v>
      </c>
      <c r="BE1600">
        <v>0</v>
      </c>
      <c r="BF1600">
        <v>0</v>
      </c>
      <c r="BG1600">
        <v>0</v>
      </c>
      <c r="BH1600">
        <v>3500</v>
      </c>
      <c r="BI1600">
        <v>1</v>
      </c>
      <c r="BJ1600">
        <v>1</v>
      </c>
      <c r="BK1600">
        <v>0</v>
      </c>
      <c r="BL1600">
        <v>0</v>
      </c>
      <c r="BO1600">
        <v>0</v>
      </c>
      <c r="BP1600">
        <v>0</v>
      </c>
      <c r="BW1600" t="str">
        <f>"22:16:11.898"</f>
        <v>22:16:11.898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119</v>
      </c>
      <c r="CQ1600">
        <v>364</v>
      </c>
      <c r="CR1600">
        <v>0</v>
      </c>
      <c r="CW1600">
        <v>1426603</v>
      </c>
      <c r="CY1600">
        <v>1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"03/24/2022 22:16:12.173"</f>
        <v>03/24/2022 22:16:12.173</v>
      </c>
      <c r="C1601" t="str">
        <f t="shared" si="467"/>
        <v>FFDFD3C0</v>
      </c>
      <c r="D1601" t="s">
        <v>120</v>
      </c>
      <c r="E1601">
        <v>14</v>
      </c>
      <c r="F1601">
        <v>1014</v>
      </c>
      <c r="G1601" t="s">
        <v>121</v>
      </c>
      <c r="J1601" t="s">
        <v>122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S1601" t="str">
        <f t="shared" si="479"/>
        <v>22:16:11.000</v>
      </c>
      <c r="T1601" t="str">
        <f t="shared" si="479"/>
        <v>22:16:11.000</v>
      </c>
      <c r="U1601" t="str">
        <f t="shared" si="461"/>
        <v>A9D71F</v>
      </c>
      <c r="V1601">
        <v>0</v>
      </c>
      <c r="W1601">
        <v>0</v>
      </c>
      <c r="X1601">
        <v>2</v>
      </c>
      <c r="Z1601">
        <v>1</v>
      </c>
      <c r="AA1601">
        <v>8</v>
      </c>
      <c r="AB1601">
        <v>3</v>
      </c>
      <c r="AC1601">
        <v>0</v>
      </c>
      <c r="AD1601">
        <v>9</v>
      </c>
      <c r="AE1601">
        <v>0</v>
      </c>
      <c r="AF1601">
        <v>3</v>
      </c>
      <c r="AG1601">
        <v>1</v>
      </c>
      <c r="AH1601">
        <v>0</v>
      </c>
      <c r="AI1601" t="s">
        <v>850</v>
      </c>
      <c r="AJ1601">
        <v>33.079661999999999</v>
      </c>
      <c r="AK1601" t="s">
        <v>851</v>
      </c>
      <c r="AL1601">
        <v>-97.677963000000005</v>
      </c>
      <c r="AM1601">
        <v>25</v>
      </c>
      <c r="AN1601">
        <v>3500</v>
      </c>
      <c r="AO1601" t="s">
        <v>118</v>
      </c>
      <c r="AP1601">
        <v>46</v>
      </c>
      <c r="AQ1601">
        <v>-112</v>
      </c>
      <c r="AR1601">
        <v>-512</v>
      </c>
      <c r="AZ1601">
        <v>1200</v>
      </c>
      <c r="BA1601">
        <v>1</v>
      </c>
      <c r="BB1601" t="str">
        <f t="shared" si="468"/>
        <v xml:space="preserve">N733KP  </v>
      </c>
      <c r="BC1601">
        <v>1</v>
      </c>
      <c r="BE1601">
        <v>0</v>
      </c>
      <c r="BF1601">
        <v>0</v>
      </c>
      <c r="BG1601">
        <v>0</v>
      </c>
      <c r="BH1601">
        <v>3500</v>
      </c>
      <c r="BI1601">
        <v>1</v>
      </c>
      <c r="BJ1601">
        <v>1</v>
      </c>
      <c r="BK1601">
        <v>0</v>
      </c>
      <c r="BL1601">
        <v>0</v>
      </c>
      <c r="BO1601">
        <v>0</v>
      </c>
      <c r="BP1601">
        <v>0</v>
      </c>
      <c r="BW1601" t="str">
        <f>"22:16:11.898"</f>
        <v>22:16:11.898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364</v>
      </c>
      <c r="CR1601">
        <v>0</v>
      </c>
      <c r="CW1601">
        <v>1426603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"03/24/2022 22:16:12.861"</f>
        <v>03/24/2022 22:16:12.861</v>
      </c>
      <c r="C1602" t="str">
        <f t="shared" si="467"/>
        <v>FFDFD3C0</v>
      </c>
      <c r="D1602" t="s">
        <v>126</v>
      </c>
      <c r="E1602">
        <v>3</v>
      </c>
      <c r="H1602">
        <v>160</v>
      </c>
      <c r="I1602" t="s">
        <v>121</v>
      </c>
      <c r="J1602" t="s">
        <v>127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S1602" t="str">
        <f t="shared" ref="S1602:T1605" si="480">"22:16:12.000"</f>
        <v>22:16:12.000</v>
      </c>
      <c r="T1602" t="str">
        <f t="shared" si="480"/>
        <v>22:16:12.000</v>
      </c>
      <c r="U1602" t="str">
        <f t="shared" ref="U1602:U1665" si="481">"A9D71F"</f>
        <v>A9D71F</v>
      </c>
      <c r="V1602">
        <v>0</v>
      </c>
      <c r="W1602">
        <v>0</v>
      </c>
      <c r="X1602">
        <v>2</v>
      </c>
      <c r="Z1602">
        <v>1</v>
      </c>
      <c r="AA1602">
        <v>8</v>
      </c>
      <c r="AB1602">
        <v>3</v>
      </c>
      <c r="AC1602">
        <v>0</v>
      </c>
      <c r="AD1602">
        <v>9</v>
      </c>
      <c r="AE1602">
        <v>0</v>
      </c>
      <c r="AF1602">
        <v>3</v>
      </c>
      <c r="AG1602">
        <v>1</v>
      </c>
      <c r="AH1602">
        <v>0</v>
      </c>
      <c r="AI1602" t="s">
        <v>852</v>
      </c>
      <c r="AJ1602">
        <v>33.079146999999999</v>
      </c>
      <c r="AK1602" t="s">
        <v>853</v>
      </c>
      <c r="AL1602">
        <v>-97.677705000000003</v>
      </c>
      <c r="AM1602">
        <v>25</v>
      </c>
      <c r="AN1602">
        <v>3500</v>
      </c>
      <c r="AO1602" t="s">
        <v>118</v>
      </c>
      <c r="AP1602">
        <v>46</v>
      </c>
      <c r="AQ1602">
        <v>-112</v>
      </c>
      <c r="AR1602">
        <v>-448</v>
      </c>
      <c r="AZ1602">
        <v>1200</v>
      </c>
      <c r="BA1602">
        <v>1</v>
      </c>
      <c r="BB1602" t="str">
        <f t="shared" si="468"/>
        <v xml:space="preserve">N733KP  </v>
      </c>
      <c r="BC1602">
        <v>1</v>
      </c>
      <c r="BE1602">
        <v>0</v>
      </c>
      <c r="BF1602">
        <v>0</v>
      </c>
      <c r="BG1602">
        <v>0</v>
      </c>
      <c r="BH1602">
        <v>3475</v>
      </c>
      <c r="BI1602">
        <v>1</v>
      </c>
      <c r="BJ1602">
        <v>1</v>
      </c>
      <c r="BK1602">
        <v>0</v>
      </c>
      <c r="BL1602">
        <v>0</v>
      </c>
      <c r="BO1602">
        <v>0</v>
      </c>
      <c r="BP1602">
        <v>0</v>
      </c>
      <c r="BW1602" t="str">
        <f>"22:16:12.674"</f>
        <v>22:16:12.674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7</v>
      </c>
      <c r="CP1602" t="s">
        <v>119</v>
      </c>
      <c r="CQ1602">
        <v>364</v>
      </c>
      <c r="CR1602">
        <v>0</v>
      </c>
      <c r="CW1602">
        <v>1426722</v>
      </c>
      <c r="CY1602">
        <v>1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"03/24/2022 22:16:12.861"</f>
        <v>03/24/2022 22:16:12.861</v>
      </c>
      <c r="C1603" t="str">
        <f t="shared" si="467"/>
        <v>FFDFD3C0</v>
      </c>
      <c r="D1603" t="s">
        <v>113</v>
      </c>
      <c r="E1603">
        <v>24</v>
      </c>
      <c r="F1603">
        <v>2024</v>
      </c>
      <c r="G1603" t="s">
        <v>114</v>
      </c>
      <c r="J1603" t="s">
        <v>115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S1603" t="str">
        <f t="shared" si="480"/>
        <v>22:16:12.000</v>
      </c>
      <c r="T1603" t="str">
        <f t="shared" si="480"/>
        <v>22:16:12.000</v>
      </c>
      <c r="U1603" t="str">
        <f t="shared" si="481"/>
        <v>A9D71F</v>
      </c>
      <c r="V1603">
        <v>0</v>
      </c>
      <c r="W1603">
        <v>0</v>
      </c>
      <c r="X1603">
        <v>2</v>
      </c>
      <c r="Z1603">
        <v>1</v>
      </c>
      <c r="AA1603">
        <v>8</v>
      </c>
      <c r="AB1603">
        <v>3</v>
      </c>
      <c r="AC1603">
        <v>0</v>
      </c>
      <c r="AD1603">
        <v>9</v>
      </c>
      <c r="AE1603">
        <v>0</v>
      </c>
      <c r="AF1603">
        <v>3</v>
      </c>
      <c r="AG1603">
        <v>1</v>
      </c>
      <c r="AH1603">
        <v>0</v>
      </c>
      <c r="AI1603" t="s">
        <v>852</v>
      </c>
      <c r="AJ1603">
        <v>33.079146999999999</v>
      </c>
      <c r="AK1603" t="s">
        <v>853</v>
      </c>
      <c r="AL1603">
        <v>-97.677705000000003</v>
      </c>
      <c r="AM1603">
        <v>25</v>
      </c>
      <c r="AN1603">
        <v>3500</v>
      </c>
      <c r="AO1603" t="s">
        <v>118</v>
      </c>
      <c r="AP1603">
        <v>46</v>
      </c>
      <c r="AQ1603">
        <v>-112</v>
      </c>
      <c r="AR1603">
        <v>-448</v>
      </c>
      <c r="AZ1603">
        <v>1200</v>
      </c>
      <c r="BA1603">
        <v>1</v>
      </c>
      <c r="BB1603" t="str">
        <f t="shared" si="468"/>
        <v xml:space="preserve">N733KP  </v>
      </c>
      <c r="BC1603">
        <v>1</v>
      </c>
      <c r="BE1603">
        <v>0</v>
      </c>
      <c r="BF1603">
        <v>0</v>
      </c>
      <c r="BG1603">
        <v>0</v>
      </c>
      <c r="BH1603">
        <v>3475</v>
      </c>
      <c r="BI1603">
        <v>1</v>
      </c>
      <c r="BJ1603">
        <v>1</v>
      </c>
      <c r="BK1603">
        <v>0</v>
      </c>
      <c r="BL1603">
        <v>0</v>
      </c>
      <c r="BO1603">
        <v>0</v>
      </c>
      <c r="BP1603">
        <v>0</v>
      </c>
      <c r="BW1603" t="str">
        <f>"22:16:12.674"</f>
        <v>22:16:12.674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7</v>
      </c>
      <c r="CP1603" t="s">
        <v>119</v>
      </c>
      <c r="CQ1603">
        <v>364</v>
      </c>
      <c r="CR1603">
        <v>0</v>
      </c>
      <c r="CW1603">
        <v>1426722</v>
      </c>
      <c r="CY1603">
        <v>1</v>
      </c>
      <c r="CZ1603">
        <v>0</v>
      </c>
      <c r="DA1603">
        <v>1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"03/24/2022 22:16:12.861"</f>
        <v>03/24/2022 22:16:12.861</v>
      </c>
      <c r="C1604" t="str">
        <f t="shared" si="467"/>
        <v>FFDFD3C0</v>
      </c>
      <c r="D1604" t="s">
        <v>120</v>
      </c>
      <c r="E1604">
        <v>14</v>
      </c>
      <c r="F1604">
        <v>1014</v>
      </c>
      <c r="G1604" t="s">
        <v>121</v>
      </c>
      <c r="J1604" t="s">
        <v>122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S1604" t="str">
        <f t="shared" si="480"/>
        <v>22:16:12.000</v>
      </c>
      <c r="T1604" t="str">
        <f t="shared" si="480"/>
        <v>22:16:12.000</v>
      </c>
      <c r="U1604" t="str">
        <f t="shared" si="481"/>
        <v>A9D71F</v>
      </c>
      <c r="V1604">
        <v>0</v>
      </c>
      <c r="W1604">
        <v>0</v>
      </c>
      <c r="X1604">
        <v>2</v>
      </c>
      <c r="Z1604">
        <v>1</v>
      </c>
      <c r="AA1604">
        <v>8</v>
      </c>
      <c r="AB1604">
        <v>3</v>
      </c>
      <c r="AC1604">
        <v>0</v>
      </c>
      <c r="AD1604">
        <v>9</v>
      </c>
      <c r="AE1604">
        <v>0</v>
      </c>
      <c r="AF1604">
        <v>3</v>
      </c>
      <c r="AG1604">
        <v>1</v>
      </c>
      <c r="AH1604">
        <v>0</v>
      </c>
      <c r="AI1604" t="s">
        <v>852</v>
      </c>
      <c r="AJ1604">
        <v>33.079146999999999</v>
      </c>
      <c r="AK1604" t="s">
        <v>853</v>
      </c>
      <c r="AL1604">
        <v>-97.677705000000003</v>
      </c>
      <c r="AM1604">
        <v>25</v>
      </c>
      <c r="AN1604">
        <v>3500</v>
      </c>
      <c r="AO1604" t="s">
        <v>118</v>
      </c>
      <c r="AP1604">
        <v>46</v>
      </c>
      <c r="AQ1604">
        <v>-112</v>
      </c>
      <c r="AR1604">
        <v>-448</v>
      </c>
      <c r="AZ1604">
        <v>1200</v>
      </c>
      <c r="BA1604">
        <v>1</v>
      </c>
      <c r="BB1604" t="str">
        <f t="shared" si="468"/>
        <v xml:space="preserve">N733KP  </v>
      </c>
      <c r="BC1604">
        <v>1</v>
      </c>
      <c r="BE1604">
        <v>0</v>
      </c>
      <c r="BF1604">
        <v>0</v>
      </c>
      <c r="BG1604">
        <v>0</v>
      </c>
      <c r="BH1604">
        <v>3475</v>
      </c>
      <c r="BI1604">
        <v>1</v>
      </c>
      <c r="BJ1604">
        <v>1</v>
      </c>
      <c r="BK1604">
        <v>0</v>
      </c>
      <c r="BL1604">
        <v>0</v>
      </c>
      <c r="BO1604">
        <v>0</v>
      </c>
      <c r="BP1604">
        <v>0</v>
      </c>
      <c r="BW1604" t="str">
        <f>"22:16:12.674"</f>
        <v>22:16:12.674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7</v>
      </c>
      <c r="CP1604" t="s">
        <v>119</v>
      </c>
      <c r="CQ1604">
        <v>364</v>
      </c>
      <c r="CR1604">
        <v>0</v>
      </c>
      <c r="CW1604">
        <v>1426722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"03/24/2022 22:16:12.861"</f>
        <v>03/24/2022 22:16:12.861</v>
      </c>
      <c r="C1605" t="str">
        <f t="shared" si="467"/>
        <v>FFDFD3C0</v>
      </c>
      <c r="D1605" t="s">
        <v>123</v>
      </c>
      <c r="E1605">
        <v>8</v>
      </c>
      <c r="H1605">
        <v>31</v>
      </c>
      <c r="I1605" t="s">
        <v>124</v>
      </c>
      <c r="J1605" t="s">
        <v>125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S1605" t="str">
        <f t="shared" si="480"/>
        <v>22:16:12.000</v>
      </c>
      <c r="T1605" t="str">
        <f t="shared" si="480"/>
        <v>22:16:12.000</v>
      </c>
      <c r="U1605" t="str">
        <f t="shared" si="481"/>
        <v>A9D71F</v>
      </c>
      <c r="V1605">
        <v>0</v>
      </c>
      <c r="W1605">
        <v>0</v>
      </c>
      <c r="X1605">
        <v>2</v>
      </c>
      <c r="Z1605">
        <v>1</v>
      </c>
      <c r="AA1605">
        <v>8</v>
      </c>
      <c r="AB1605">
        <v>3</v>
      </c>
      <c r="AC1605">
        <v>0</v>
      </c>
      <c r="AD1605">
        <v>9</v>
      </c>
      <c r="AE1605">
        <v>0</v>
      </c>
      <c r="AF1605">
        <v>3</v>
      </c>
      <c r="AG1605">
        <v>1</v>
      </c>
      <c r="AH1605">
        <v>0</v>
      </c>
      <c r="AI1605" t="s">
        <v>852</v>
      </c>
      <c r="AJ1605">
        <v>33.079146999999999</v>
      </c>
      <c r="AK1605" t="s">
        <v>853</v>
      </c>
      <c r="AL1605">
        <v>-97.677705000000003</v>
      </c>
      <c r="AM1605">
        <v>25</v>
      </c>
      <c r="AN1605">
        <v>3500</v>
      </c>
      <c r="AO1605" t="s">
        <v>118</v>
      </c>
      <c r="AP1605">
        <v>46</v>
      </c>
      <c r="AQ1605">
        <v>-112</v>
      </c>
      <c r="AR1605">
        <v>-448</v>
      </c>
      <c r="AZ1605">
        <v>1200</v>
      </c>
      <c r="BA1605">
        <v>1</v>
      </c>
      <c r="BB1605" t="str">
        <f t="shared" si="468"/>
        <v xml:space="preserve">N733KP  </v>
      </c>
      <c r="BC1605">
        <v>1</v>
      </c>
      <c r="BE1605">
        <v>0</v>
      </c>
      <c r="BF1605">
        <v>0</v>
      </c>
      <c r="BG1605">
        <v>0</v>
      </c>
      <c r="BH1605">
        <v>3475</v>
      </c>
      <c r="BI1605">
        <v>1</v>
      </c>
      <c r="BJ1605">
        <v>1</v>
      </c>
      <c r="BK1605">
        <v>0</v>
      </c>
      <c r="BL1605">
        <v>0</v>
      </c>
      <c r="BO1605">
        <v>0</v>
      </c>
      <c r="BP1605">
        <v>0</v>
      </c>
      <c r="BW1605" t="str">
        <f>"22:16:12.674"</f>
        <v>22:16:12.674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7</v>
      </c>
      <c r="CP1605" t="s">
        <v>119</v>
      </c>
      <c r="CQ1605">
        <v>364</v>
      </c>
      <c r="CR1605">
        <v>0</v>
      </c>
      <c r="CW1605">
        <v>1426722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"03/24/2022 22:16:13.941"</f>
        <v>03/24/2022 22:16:13.941</v>
      </c>
      <c r="C1606" t="str">
        <f t="shared" si="467"/>
        <v>FFDFD3C0</v>
      </c>
      <c r="D1606" t="s">
        <v>113</v>
      </c>
      <c r="E1606">
        <v>24</v>
      </c>
      <c r="F1606">
        <v>2024</v>
      </c>
      <c r="G1606" t="s">
        <v>114</v>
      </c>
      <c r="J1606" t="s">
        <v>115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S1606" t="str">
        <f t="shared" ref="S1606:T1609" si="482">"22:16:13.000"</f>
        <v>22:16:13.000</v>
      </c>
      <c r="T1606" t="str">
        <f t="shared" si="482"/>
        <v>22:16:13.000</v>
      </c>
      <c r="U1606" t="str">
        <f t="shared" si="481"/>
        <v>A9D71F</v>
      </c>
      <c r="V1606">
        <v>0</v>
      </c>
      <c r="W1606">
        <v>0</v>
      </c>
      <c r="X1606">
        <v>2</v>
      </c>
      <c r="Z1606">
        <v>1</v>
      </c>
      <c r="AA1606">
        <v>8</v>
      </c>
      <c r="AB1606">
        <v>3</v>
      </c>
      <c r="AC1606">
        <v>0</v>
      </c>
      <c r="AD1606">
        <v>9</v>
      </c>
      <c r="AE1606">
        <v>0</v>
      </c>
      <c r="AF1606">
        <v>3</v>
      </c>
      <c r="AG1606">
        <v>1</v>
      </c>
      <c r="AH1606">
        <v>0</v>
      </c>
      <c r="AI1606" t="s">
        <v>854</v>
      </c>
      <c r="AJ1606">
        <v>33.078631999999999</v>
      </c>
      <c r="AK1606" t="s">
        <v>855</v>
      </c>
      <c r="AL1606">
        <v>-97.677447999999998</v>
      </c>
      <c r="AM1606">
        <v>25</v>
      </c>
      <c r="AN1606">
        <v>3500</v>
      </c>
      <c r="AO1606" t="s">
        <v>118</v>
      </c>
      <c r="AP1606">
        <v>46</v>
      </c>
      <c r="AQ1606">
        <v>-112</v>
      </c>
      <c r="AR1606">
        <v>-384</v>
      </c>
      <c r="AZ1606">
        <v>1200</v>
      </c>
      <c r="BA1606">
        <v>1</v>
      </c>
      <c r="BB1606" t="str">
        <f t="shared" si="468"/>
        <v xml:space="preserve">N733KP  </v>
      </c>
      <c r="BC1606">
        <v>1</v>
      </c>
      <c r="BE1606">
        <v>0</v>
      </c>
      <c r="BF1606">
        <v>0</v>
      </c>
      <c r="BG1606">
        <v>0</v>
      </c>
      <c r="BH1606">
        <v>3475</v>
      </c>
      <c r="BI1606">
        <v>1</v>
      </c>
      <c r="BJ1606">
        <v>1</v>
      </c>
      <c r="BK1606">
        <v>0</v>
      </c>
      <c r="BL1606">
        <v>0</v>
      </c>
      <c r="BO1606">
        <v>0</v>
      </c>
      <c r="BP1606">
        <v>0</v>
      </c>
      <c r="BW1606" t="str">
        <f>"22:16:13.737"</f>
        <v>22:16:13.737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7</v>
      </c>
      <c r="CP1606" t="s">
        <v>119</v>
      </c>
      <c r="CQ1606">
        <v>364</v>
      </c>
      <c r="CR1606">
        <v>0</v>
      </c>
      <c r="CW1606">
        <v>1426891</v>
      </c>
      <c r="CY1606">
        <v>1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"03/24/2022 22:16:13.941"</f>
        <v>03/24/2022 22:16:13.941</v>
      </c>
      <c r="C1607" t="str">
        <f t="shared" si="467"/>
        <v>FFDFD3C0</v>
      </c>
      <c r="D1607" t="s">
        <v>126</v>
      </c>
      <c r="E1607">
        <v>3</v>
      </c>
      <c r="H1607">
        <v>160</v>
      </c>
      <c r="I1607" t="s">
        <v>121</v>
      </c>
      <c r="J1607" t="s">
        <v>127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S1607" t="str">
        <f t="shared" si="482"/>
        <v>22:16:13.000</v>
      </c>
      <c r="T1607" t="str">
        <f t="shared" si="482"/>
        <v>22:16:13.000</v>
      </c>
      <c r="U1607" t="str">
        <f t="shared" si="481"/>
        <v>A9D71F</v>
      </c>
      <c r="V1607">
        <v>0</v>
      </c>
      <c r="W1607">
        <v>0</v>
      </c>
      <c r="X1607">
        <v>2</v>
      </c>
      <c r="Z1607">
        <v>1</v>
      </c>
      <c r="AA1607">
        <v>8</v>
      </c>
      <c r="AB1607">
        <v>3</v>
      </c>
      <c r="AC1607">
        <v>0</v>
      </c>
      <c r="AD1607">
        <v>9</v>
      </c>
      <c r="AE1607">
        <v>0</v>
      </c>
      <c r="AF1607">
        <v>3</v>
      </c>
      <c r="AG1607">
        <v>1</v>
      </c>
      <c r="AH1607">
        <v>0</v>
      </c>
      <c r="AI1607" t="s">
        <v>854</v>
      </c>
      <c r="AJ1607">
        <v>33.078631999999999</v>
      </c>
      <c r="AK1607" t="s">
        <v>855</v>
      </c>
      <c r="AL1607">
        <v>-97.677447999999998</v>
      </c>
      <c r="AM1607">
        <v>25</v>
      </c>
      <c r="AN1607">
        <v>3500</v>
      </c>
      <c r="AO1607" t="s">
        <v>118</v>
      </c>
      <c r="AP1607">
        <v>46</v>
      </c>
      <c r="AQ1607">
        <v>-112</v>
      </c>
      <c r="AR1607">
        <v>-384</v>
      </c>
      <c r="AZ1607">
        <v>1200</v>
      </c>
      <c r="BA1607">
        <v>1</v>
      </c>
      <c r="BB1607" t="str">
        <f t="shared" si="468"/>
        <v xml:space="preserve">N733KP  </v>
      </c>
      <c r="BC1607">
        <v>1</v>
      </c>
      <c r="BE1607">
        <v>0</v>
      </c>
      <c r="BF1607">
        <v>0</v>
      </c>
      <c r="BG1607">
        <v>0</v>
      </c>
      <c r="BH1607">
        <v>3475</v>
      </c>
      <c r="BI1607">
        <v>1</v>
      </c>
      <c r="BJ1607">
        <v>1</v>
      </c>
      <c r="BK1607">
        <v>0</v>
      </c>
      <c r="BL1607">
        <v>0</v>
      </c>
      <c r="BO1607">
        <v>0</v>
      </c>
      <c r="BP1607">
        <v>0</v>
      </c>
      <c r="BW1607" t="str">
        <f>"22:16:13.737"</f>
        <v>22:16:13.737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119</v>
      </c>
      <c r="CQ1607">
        <v>364</v>
      </c>
      <c r="CR1607">
        <v>0</v>
      </c>
      <c r="CW1607">
        <v>1426891</v>
      </c>
      <c r="CY1607">
        <v>1</v>
      </c>
      <c r="CZ1607">
        <v>0</v>
      </c>
      <c r="DA1607">
        <v>1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"03/24/2022 22:16:13.973"</f>
        <v>03/24/2022 22:16:13.973</v>
      </c>
      <c r="C1608" t="str">
        <f t="shared" si="467"/>
        <v>FFDFD3C0</v>
      </c>
      <c r="D1608" t="s">
        <v>120</v>
      </c>
      <c r="E1608">
        <v>14</v>
      </c>
      <c r="F1608">
        <v>1014</v>
      </c>
      <c r="G1608" t="s">
        <v>121</v>
      </c>
      <c r="J1608" t="s">
        <v>122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S1608" t="str">
        <f t="shared" si="482"/>
        <v>22:16:13.000</v>
      </c>
      <c r="T1608" t="str">
        <f t="shared" si="482"/>
        <v>22:16:13.000</v>
      </c>
      <c r="U1608" t="str">
        <f t="shared" si="481"/>
        <v>A9D71F</v>
      </c>
      <c r="V1608">
        <v>0</v>
      </c>
      <c r="W1608">
        <v>0</v>
      </c>
      <c r="X1608">
        <v>2</v>
      </c>
      <c r="Z1608">
        <v>1</v>
      </c>
      <c r="AA1608">
        <v>8</v>
      </c>
      <c r="AB1608">
        <v>3</v>
      </c>
      <c r="AC1608">
        <v>0</v>
      </c>
      <c r="AD1608">
        <v>9</v>
      </c>
      <c r="AE1608">
        <v>0</v>
      </c>
      <c r="AF1608">
        <v>3</v>
      </c>
      <c r="AG1608">
        <v>1</v>
      </c>
      <c r="AH1608">
        <v>0</v>
      </c>
      <c r="AI1608" t="s">
        <v>854</v>
      </c>
      <c r="AJ1608">
        <v>33.078631999999999</v>
      </c>
      <c r="AK1608" t="s">
        <v>855</v>
      </c>
      <c r="AL1608">
        <v>-97.677447999999998</v>
      </c>
      <c r="AM1608">
        <v>25</v>
      </c>
      <c r="AN1608">
        <v>3500</v>
      </c>
      <c r="AO1608" t="s">
        <v>118</v>
      </c>
      <c r="AP1608">
        <v>46</v>
      </c>
      <c r="AQ1608">
        <v>-112</v>
      </c>
      <c r="AR1608">
        <v>-384</v>
      </c>
      <c r="AZ1608">
        <v>1200</v>
      </c>
      <c r="BA1608">
        <v>1</v>
      </c>
      <c r="BB1608" t="str">
        <f t="shared" si="468"/>
        <v xml:space="preserve">N733KP  </v>
      </c>
      <c r="BC1608">
        <v>1</v>
      </c>
      <c r="BE1608">
        <v>0</v>
      </c>
      <c r="BF1608">
        <v>0</v>
      </c>
      <c r="BG1608">
        <v>0</v>
      </c>
      <c r="BH1608">
        <v>3475</v>
      </c>
      <c r="BI1608">
        <v>1</v>
      </c>
      <c r="BJ1608">
        <v>1</v>
      </c>
      <c r="BK1608">
        <v>0</v>
      </c>
      <c r="BL1608">
        <v>0</v>
      </c>
      <c r="BO1608">
        <v>0</v>
      </c>
      <c r="BP1608">
        <v>0</v>
      </c>
      <c r="BW1608" t="str">
        <f>"22:16:13.737"</f>
        <v>22:16:13.737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364</v>
      </c>
      <c r="CR1608">
        <v>0</v>
      </c>
      <c r="CW1608">
        <v>1426891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"03/24/2022 22:16:13.973"</f>
        <v>03/24/2022 22:16:13.973</v>
      </c>
      <c r="C1609" t="str">
        <f t="shared" si="467"/>
        <v>FFDFD3C0</v>
      </c>
      <c r="D1609" t="s">
        <v>123</v>
      </c>
      <c r="E1609">
        <v>8</v>
      </c>
      <c r="H1609">
        <v>31</v>
      </c>
      <c r="I1609" t="s">
        <v>124</v>
      </c>
      <c r="J1609" t="s">
        <v>125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S1609" t="str">
        <f t="shared" si="482"/>
        <v>22:16:13.000</v>
      </c>
      <c r="T1609" t="str">
        <f t="shared" si="482"/>
        <v>22:16:13.000</v>
      </c>
      <c r="U1609" t="str">
        <f t="shared" si="481"/>
        <v>A9D71F</v>
      </c>
      <c r="V1609">
        <v>0</v>
      </c>
      <c r="W1609">
        <v>0</v>
      </c>
      <c r="X1609">
        <v>2</v>
      </c>
      <c r="Z1609">
        <v>1</v>
      </c>
      <c r="AA1609">
        <v>8</v>
      </c>
      <c r="AB1609">
        <v>3</v>
      </c>
      <c r="AC1609">
        <v>0</v>
      </c>
      <c r="AD1609">
        <v>9</v>
      </c>
      <c r="AE1609">
        <v>0</v>
      </c>
      <c r="AF1609">
        <v>3</v>
      </c>
      <c r="AG1609">
        <v>1</v>
      </c>
      <c r="AH1609">
        <v>0</v>
      </c>
      <c r="AI1609" t="s">
        <v>854</v>
      </c>
      <c r="AJ1609">
        <v>33.078631999999999</v>
      </c>
      <c r="AK1609" t="s">
        <v>855</v>
      </c>
      <c r="AL1609">
        <v>-97.677447999999998</v>
      </c>
      <c r="AM1609">
        <v>25</v>
      </c>
      <c r="AN1609">
        <v>3500</v>
      </c>
      <c r="AO1609" t="s">
        <v>118</v>
      </c>
      <c r="AP1609">
        <v>46</v>
      </c>
      <c r="AQ1609">
        <v>-112</v>
      </c>
      <c r="AR1609">
        <v>-384</v>
      </c>
      <c r="AZ1609">
        <v>1200</v>
      </c>
      <c r="BA1609">
        <v>1</v>
      </c>
      <c r="BB1609" t="str">
        <f t="shared" si="468"/>
        <v xml:space="preserve">N733KP  </v>
      </c>
      <c r="BC1609">
        <v>1</v>
      </c>
      <c r="BE1609">
        <v>0</v>
      </c>
      <c r="BF1609">
        <v>0</v>
      </c>
      <c r="BG1609">
        <v>0</v>
      </c>
      <c r="BH1609">
        <v>3475</v>
      </c>
      <c r="BI1609">
        <v>1</v>
      </c>
      <c r="BJ1609">
        <v>1</v>
      </c>
      <c r="BK1609">
        <v>0</v>
      </c>
      <c r="BL1609">
        <v>0</v>
      </c>
      <c r="BO1609">
        <v>0</v>
      </c>
      <c r="BP1609">
        <v>0</v>
      </c>
      <c r="BW1609" t="str">
        <f>"22:16:13.737"</f>
        <v>22:16:13.737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364</v>
      </c>
      <c r="CR1609">
        <v>0</v>
      </c>
      <c r="CW1609">
        <v>1426891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"03/24/2022 22:16:14.693"</f>
        <v>03/24/2022 22:16:14.693</v>
      </c>
      <c r="C1610" t="str">
        <f t="shared" si="467"/>
        <v>FFDFD3C0</v>
      </c>
      <c r="D1610" t="s">
        <v>126</v>
      </c>
      <c r="E1610">
        <v>3</v>
      </c>
      <c r="H1610">
        <v>160</v>
      </c>
      <c r="I1610" t="s">
        <v>121</v>
      </c>
      <c r="J1610" t="s">
        <v>127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S1610" t="str">
        <f t="shared" ref="S1610:T1613" si="483">"22:16:14.000"</f>
        <v>22:16:14.000</v>
      </c>
      <c r="T1610" t="str">
        <f t="shared" si="483"/>
        <v>22:16:14.000</v>
      </c>
      <c r="U1610" t="str">
        <f t="shared" si="481"/>
        <v>A9D71F</v>
      </c>
      <c r="V1610">
        <v>0</v>
      </c>
      <c r="W1610">
        <v>0</v>
      </c>
      <c r="X1610">
        <v>2</v>
      </c>
      <c r="Z1610">
        <v>1</v>
      </c>
      <c r="AA1610">
        <v>8</v>
      </c>
      <c r="AB1610">
        <v>3</v>
      </c>
      <c r="AC1610">
        <v>0</v>
      </c>
      <c r="AD1610">
        <v>9</v>
      </c>
      <c r="AE1610">
        <v>0</v>
      </c>
      <c r="AF1610">
        <v>3</v>
      </c>
      <c r="AG1610">
        <v>1</v>
      </c>
      <c r="AH1610">
        <v>0</v>
      </c>
      <c r="AI1610" t="s">
        <v>856</v>
      </c>
      <c r="AJ1610">
        <v>33.078096000000002</v>
      </c>
      <c r="AK1610" t="s">
        <v>857</v>
      </c>
      <c r="AL1610">
        <v>-97.677189999999996</v>
      </c>
      <c r="AM1610">
        <v>25</v>
      </c>
      <c r="AN1610">
        <v>3500</v>
      </c>
      <c r="AO1610" t="s">
        <v>118</v>
      </c>
      <c r="AP1610">
        <v>45</v>
      </c>
      <c r="AQ1610">
        <v>-111</v>
      </c>
      <c r="AR1610">
        <v>-256</v>
      </c>
      <c r="AZ1610">
        <v>1200</v>
      </c>
      <c r="BA1610">
        <v>1</v>
      </c>
      <c r="BB1610" t="str">
        <f t="shared" si="468"/>
        <v xml:space="preserve">N733KP  </v>
      </c>
      <c r="BC1610">
        <v>1</v>
      </c>
      <c r="BE1610">
        <v>0</v>
      </c>
      <c r="BF1610">
        <v>0</v>
      </c>
      <c r="BG1610">
        <v>0</v>
      </c>
      <c r="BH1610">
        <v>3450</v>
      </c>
      <c r="BI1610">
        <v>1</v>
      </c>
      <c r="BJ1610">
        <v>1</v>
      </c>
      <c r="BK1610">
        <v>0</v>
      </c>
      <c r="BL1610">
        <v>0</v>
      </c>
      <c r="BO1610">
        <v>0</v>
      </c>
      <c r="BP1610">
        <v>0</v>
      </c>
      <c r="BW1610" t="str">
        <f>"22:16:14.501"</f>
        <v>22:16:14.501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3</v>
      </c>
      <c r="CP1610" t="s">
        <v>119</v>
      </c>
      <c r="CQ1610">
        <v>438</v>
      </c>
      <c r="CR1610">
        <v>0</v>
      </c>
      <c r="CW1610">
        <v>11606182</v>
      </c>
      <c r="CY1610">
        <v>1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"03/24/2022 22:16:14.724"</f>
        <v>03/24/2022 22:16:14.724</v>
      </c>
      <c r="C1611" t="str">
        <f t="shared" si="467"/>
        <v>FFDFD3C0</v>
      </c>
      <c r="D1611" t="s">
        <v>113</v>
      </c>
      <c r="E1611">
        <v>24</v>
      </c>
      <c r="F1611">
        <v>2024</v>
      </c>
      <c r="G1611" t="s">
        <v>114</v>
      </c>
      <c r="J1611" t="s">
        <v>115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S1611" t="str">
        <f t="shared" si="483"/>
        <v>22:16:14.000</v>
      </c>
      <c r="T1611" t="str">
        <f t="shared" si="483"/>
        <v>22:16:14.000</v>
      </c>
      <c r="U1611" t="str">
        <f t="shared" si="481"/>
        <v>A9D71F</v>
      </c>
      <c r="V1611">
        <v>0</v>
      </c>
      <c r="W1611">
        <v>0</v>
      </c>
      <c r="X1611">
        <v>2</v>
      </c>
      <c r="Z1611">
        <v>1</v>
      </c>
      <c r="AA1611">
        <v>8</v>
      </c>
      <c r="AB1611">
        <v>3</v>
      </c>
      <c r="AC1611">
        <v>0</v>
      </c>
      <c r="AD1611">
        <v>9</v>
      </c>
      <c r="AE1611">
        <v>0</v>
      </c>
      <c r="AF1611">
        <v>3</v>
      </c>
      <c r="AG1611">
        <v>1</v>
      </c>
      <c r="AH1611">
        <v>0</v>
      </c>
      <c r="AI1611" t="s">
        <v>856</v>
      </c>
      <c r="AJ1611">
        <v>33.078096000000002</v>
      </c>
      <c r="AK1611" t="s">
        <v>857</v>
      </c>
      <c r="AL1611">
        <v>-97.677189999999996</v>
      </c>
      <c r="AM1611">
        <v>25</v>
      </c>
      <c r="AN1611">
        <v>3500</v>
      </c>
      <c r="AO1611" t="s">
        <v>118</v>
      </c>
      <c r="AP1611">
        <v>45</v>
      </c>
      <c r="AQ1611">
        <v>-111</v>
      </c>
      <c r="AR1611">
        <v>-256</v>
      </c>
      <c r="AZ1611">
        <v>1200</v>
      </c>
      <c r="BA1611">
        <v>1</v>
      </c>
      <c r="BB1611" t="str">
        <f t="shared" si="468"/>
        <v xml:space="preserve">N733KP  </v>
      </c>
      <c r="BC1611">
        <v>1</v>
      </c>
      <c r="BE1611">
        <v>0</v>
      </c>
      <c r="BF1611">
        <v>0</v>
      </c>
      <c r="BG1611">
        <v>0</v>
      </c>
      <c r="BH1611">
        <v>3450</v>
      </c>
      <c r="BI1611">
        <v>1</v>
      </c>
      <c r="BJ1611">
        <v>1</v>
      </c>
      <c r="BK1611">
        <v>0</v>
      </c>
      <c r="BL1611">
        <v>0</v>
      </c>
      <c r="BO1611">
        <v>0</v>
      </c>
      <c r="BP1611">
        <v>0</v>
      </c>
      <c r="BW1611" t="str">
        <f>"22:16:14.501"</f>
        <v>22:16:14.501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3</v>
      </c>
      <c r="CP1611" t="s">
        <v>119</v>
      </c>
      <c r="CQ1611">
        <v>438</v>
      </c>
      <c r="CR1611">
        <v>0</v>
      </c>
      <c r="CW1611">
        <v>11606182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"03/24/2022 22:16:14.724"</f>
        <v>03/24/2022 22:16:14.724</v>
      </c>
      <c r="C1612" t="str">
        <f t="shared" si="467"/>
        <v>FFDFD3C0</v>
      </c>
      <c r="D1612" t="s">
        <v>120</v>
      </c>
      <c r="E1612">
        <v>14</v>
      </c>
      <c r="F1612">
        <v>1014</v>
      </c>
      <c r="G1612" t="s">
        <v>121</v>
      </c>
      <c r="J1612" t="s">
        <v>122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S1612" t="str">
        <f t="shared" si="483"/>
        <v>22:16:14.000</v>
      </c>
      <c r="T1612" t="str">
        <f t="shared" si="483"/>
        <v>22:16:14.000</v>
      </c>
      <c r="U1612" t="str">
        <f t="shared" si="481"/>
        <v>A9D71F</v>
      </c>
      <c r="V1612">
        <v>0</v>
      </c>
      <c r="W1612">
        <v>0</v>
      </c>
      <c r="X1612">
        <v>2</v>
      </c>
      <c r="Z1612">
        <v>1</v>
      </c>
      <c r="AA1612">
        <v>8</v>
      </c>
      <c r="AB1612">
        <v>3</v>
      </c>
      <c r="AC1612">
        <v>0</v>
      </c>
      <c r="AD1612">
        <v>9</v>
      </c>
      <c r="AE1612">
        <v>0</v>
      </c>
      <c r="AF1612">
        <v>3</v>
      </c>
      <c r="AG1612">
        <v>1</v>
      </c>
      <c r="AH1612">
        <v>0</v>
      </c>
      <c r="AI1612" t="s">
        <v>856</v>
      </c>
      <c r="AJ1612">
        <v>33.078096000000002</v>
      </c>
      <c r="AK1612" t="s">
        <v>857</v>
      </c>
      <c r="AL1612">
        <v>-97.677189999999996</v>
      </c>
      <c r="AM1612">
        <v>25</v>
      </c>
      <c r="AN1612">
        <v>3500</v>
      </c>
      <c r="AO1612" t="s">
        <v>118</v>
      </c>
      <c r="AP1612">
        <v>45</v>
      </c>
      <c r="AQ1612">
        <v>-111</v>
      </c>
      <c r="AR1612">
        <v>-256</v>
      </c>
      <c r="AZ1612">
        <v>1200</v>
      </c>
      <c r="BA1612">
        <v>1</v>
      </c>
      <c r="BB1612" t="str">
        <f t="shared" si="468"/>
        <v xml:space="preserve">N733KP  </v>
      </c>
      <c r="BC1612">
        <v>1</v>
      </c>
      <c r="BE1612">
        <v>0</v>
      </c>
      <c r="BF1612">
        <v>0</v>
      </c>
      <c r="BG1612">
        <v>0</v>
      </c>
      <c r="BH1612">
        <v>3450</v>
      </c>
      <c r="BI1612">
        <v>1</v>
      </c>
      <c r="BJ1612">
        <v>1</v>
      </c>
      <c r="BK1612">
        <v>0</v>
      </c>
      <c r="BL1612">
        <v>0</v>
      </c>
      <c r="BO1612">
        <v>0</v>
      </c>
      <c r="BP1612">
        <v>0</v>
      </c>
      <c r="BW1612" t="str">
        <f>"22:16:14.501"</f>
        <v>22:16:14.501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3</v>
      </c>
      <c r="CP1612" t="s">
        <v>119</v>
      </c>
      <c r="CQ1612">
        <v>438</v>
      </c>
      <c r="CR1612">
        <v>0</v>
      </c>
      <c r="CW1612">
        <v>11606182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"03/24/2022 22:16:14.724"</f>
        <v>03/24/2022 22:16:14.724</v>
      </c>
      <c r="C1613" t="str">
        <f t="shared" si="467"/>
        <v>FFDFD3C0</v>
      </c>
      <c r="D1613" t="s">
        <v>123</v>
      </c>
      <c r="E1613">
        <v>8</v>
      </c>
      <c r="H1613">
        <v>31</v>
      </c>
      <c r="I1613" t="s">
        <v>124</v>
      </c>
      <c r="J1613" t="s">
        <v>125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S1613" t="str">
        <f t="shared" si="483"/>
        <v>22:16:14.000</v>
      </c>
      <c r="T1613" t="str">
        <f t="shared" si="483"/>
        <v>22:16:14.000</v>
      </c>
      <c r="U1613" t="str">
        <f t="shared" si="481"/>
        <v>A9D71F</v>
      </c>
      <c r="V1613">
        <v>0</v>
      </c>
      <c r="W1613">
        <v>0</v>
      </c>
      <c r="X1613">
        <v>2</v>
      </c>
      <c r="Z1613">
        <v>1</v>
      </c>
      <c r="AA1613">
        <v>8</v>
      </c>
      <c r="AB1613">
        <v>3</v>
      </c>
      <c r="AC1613">
        <v>0</v>
      </c>
      <c r="AD1613">
        <v>9</v>
      </c>
      <c r="AE1613">
        <v>0</v>
      </c>
      <c r="AF1613">
        <v>3</v>
      </c>
      <c r="AG1613">
        <v>1</v>
      </c>
      <c r="AH1613">
        <v>0</v>
      </c>
      <c r="AI1613" t="s">
        <v>856</v>
      </c>
      <c r="AJ1613">
        <v>33.078096000000002</v>
      </c>
      <c r="AK1613" t="s">
        <v>857</v>
      </c>
      <c r="AL1613">
        <v>-97.677189999999996</v>
      </c>
      <c r="AM1613">
        <v>25</v>
      </c>
      <c r="AN1613">
        <v>3500</v>
      </c>
      <c r="AO1613" t="s">
        <v>118</v>
      </c>
      <c r="AP1613">
        <v>45</v>
      </c>
      <c r="AQ1613">
        <v>-111</v>
      </c>
      <c r="AR1613">
        <v>-256</v>
      </c>
      <c r="AZ1613">
        <v>1200</v>
      </c>
      <c r="BA1613">
        <v>1</v>
      </c>
      <c r="BB1613" t="str">
        <f t="shared" si="468"/>
        <v xml:space="preserve">N733KP  </v>
      </c>
      <c r="BC1613">
        <v>1</v>
      </c>
      <c r="BE1613">
        <v>0</v>
      </c>
      <c r="BF1613">
        <v>0</v>
      </c>
      <c r="BG1613">
        <v>0</v>
      </c>
      <c r="BH1613">
        <v>3450</v>
      </c>
      <c r="BI1613">
        <v>1</v>
      </c>
      <c r="BJ1613">
        <v>1</v>
      </c>
      <c r="BK1613">
        <v>0</v>
      </c>
      <c r="BL1613">
        <v>0</v>
      </c>
      <c r="BO1613">
        <v>0</v>
      </c>
      <c r="BP1613">
        <v>0</v>
      </c>
      <c r="BW1613" t="str">
        <f>"22:16:14.501"</f>
        <v>22:16:14.501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0</v>
      </c>
      <c r="CP1613" t="s">
        <v>119</v>
      </c>
      <c r="CQ1613">
        <v>352</v>
      </c>
      <c r="CR1613">
        <v>0</v>
      </c>
      <c r="CW1613">
        <v>11252928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>"03/24/2022 22:16:15.554"</f>
        <v>03/24/2022 22:16:15.554</v>
      </c>
      <c r="C1614" t="str">
        <f t="shared" si="467"/>
        <v>FFDFD3C0</v>
      </c>
      <c r="D1614" t="s">
        <v>120</v>
      </c>
      <c r="E1614">
        <v>14</v>
      </c>
      <c r="F1614">
        <v>1014</v>
      </c>
      <c r="G1614" t="s">
        <v>121</v>
      </c>
      <c r="J1614" t="s">
        <v>122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S1614" t="str">
        <f t="shared" ref="S1614:T1617" si="484">"22:16:15.000"</f>
        <v>22:16:15.000</v>
      </c>
      <c r="T1614" t="str">
        <f t="shared" si="484"/>
        <v>22:16:15.000</v>
      </c>
      <c r="U1614" t="str">
        <f t="shared" si="481"/>
        <v>A9D71F</v>
      </c>
      <c r="V1614">
        <v>0</v>
      </c>
      <c r="W1614">
        <v>0</v>
      </c>
      <c r="X1614">
        <v>2</v>
      </c>
      <c r="Z1614">
        <v>1</v>
      </c>
      <c r="AA1614">
        <v>8</v>
      </c>
      <c r="AB1614">
        <v>3</v>
      </c>
      <c r="AC1614">
        <v>0</v>
      </c>
      <c r="AD1614">
        <v>9</v>
      </c>
      <c r="AE1614">
        <v>0</v>
      </c>
      <c r="AF1614">
        <v>3</v>
      </c>
      <c r="AG1614">
        <v>1</v>
      </c>
      <c r="AH1614">
        <v>0</v>
      </c>
      <c r="AI1614" t="s">
        <v>858</v>
      </c>
      <c r="AJ1614">
        <v>33.077581000000002</v>
      </c>
      <c r="AK1614" t="s">
        <v>859</v>
      </c>
      <c r="AL1614">
        <v>-97.676953999999995</v>
      </c>
      <c r="AM1614">
        <v>25</v>
      </c>
      <c r="AN1614">
        <v>3500</v>
      </c>
      <c r="AO1614" t="s">
        <v>118</v>
      </c>
      <c r="AP1614">
        <v>45</v>
      </c>
      <c r="AQ1614">
        <v>-112</v>
      </c>
      <c r="AR1614">
        <v>-256</v>
      </c>
      <c r="AZ1614">
        <v>1200</v>
      </c>
      <c r="BA1614">
        <v>1</v>
      </c>
      <c r="BB1614" t="str">
        <f t="shared" si="468"/>
        <v xml:space="preserve">N733KP  </v>
      </c>
      <c r="BC1614">
        <v>1</v>
      </c>
      <c r="BE1614">
        <v>0</v>
      </c>
      <c r="BF1614">
        <v>0</v>
      </c>
      <c r="BG1614">
        <v>0</v>
      </c>
      <c r="BH1614">
        <v>3450</v>
      </c>
      <c r="BI1614">
        <v>1</v>
      </c>
      <c r="BJ1614">
        <v>1</v>
      </c>
      <c r="BK1614">
        <v>0</v>
      </c>
      <c r="BL1614">
        <v>0</v>
      </c>
      <c r="BO1614">
        <v>0</v>
      </c>
      <c r="BP1614">
        <v>0</v>
      </c>
      <c r="BW1614" t="str">
        <f>"22:16:15.370"</f>
        <v>22:16:15.370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119</v>
      </c>
      <c r="CQ1614">
        <v>364</v>
      </c>
      <c r="CR1614">
        <v>0</v>
      </c>
      <c r="CW1614">
        <v>1427132</v>
      </c>
      <c r="CY1614">
        <v>1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>"03/24/2022 22:16:15.554"</f>
        <v>03/24/2022 22:16:15.554</v>
      </c>
      <c r="C1615" t="str">
        <f t="shared" si="467"/>
        <v>FFDFD3C0</v>
      </c>
      <c r="D1615" t="s">
        <v>123</v>
      </c>
      <c r="E1615">
        <v>8</v>
      </c>
      <c r="H1615">
        <v>31</v>
      </c>
      <c r="I1615" t="s">
        <v>124</v>
      </c>
      <c r="J1615" t="s">
        <v>125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S1615" t="str">
        <f t="shared" si="484"/>
        <v>22:16:15.000</v>
      </c>
      <c r="T1615" t="str">
        <f t="shared" si="484"/>
        <v>22:16:15.000</v>
      </c>
      <c r="U1615" t="str">
        <f t="shared" si="481"/>
        <v>A9D71F</v>
      </c>
      <c r="V1615">
        <v>0</v>
      </c>
      <c r="W1615">
        <v>0</v>
      </c>
      <c r="X1615">
        <v>2</v>
      </c>
      <c r="Z1615">
        <v>1</v>
      </c>
      <c r="AA1615">
        <v>8</v>
      </c>
      <c r="AB1615">
        <v>3</v>
      </c>
      <c r="AC1615">
        <v>0</v>
      </c>
      <c r="AD1615">
        <v>9</v>
      </c>
      <c r="AE1615">
        <v>0</v>
      </c>
      <c r="AF1615">
        <v>3</v>
      </c>
      <c r="AG1615">
        <v>1</v>
      </c>
      <c r="AH1615">
        <v>0</v>
      </c>
      <c r="AI1615" t="s">
        <v>858</v>
      </c>
      <c r="AJ1615">
        <v>33.077581000000002</v>
      </c>
      <c r="AK1615" t="s">
        <v>859</v>
      </c>
      <c r="AL1615">
        <v>-97.676953999999995</v>
      </c>
      <c r="AM1615">
        <v>25</v>
      </c>
      <c r="AN1615">
        <v>3500</v>
      </c>
      <c r="AO1615" t="s">
        <v>118</v>
      </c>
      <c r="AP1615">
        <v>45</v>
      </c>
      <c r="AQ1615">
        <v>-112</v>
      </c>
      <c r="AR1615">
        <v>-256</v>
      </c>
      <c r="AZ1615">
        <v>1200</v>
      </c>
      <c r="BA1615">
        <v>1</v>
      </c>
      <c r="BB1615" t="str">
        <f t="shared" si="468"/>
        <v xml:space="preserve">N733KP  </v>
      </c>
      <c r="BC1615">
        <v>1</v>
      </c>
      <c r="BE1615">
        <v>0</v>
      </c>
      <c r="BF1615">
        <v>0</v>
      </c>
      <c r="BG1615">
        <v>0</v>
      </c>
      <c r="BH1615">
        <v>3450</v>
      </c>
      <c r="BI1615">
        <v>1</v>
      </c>
      <c r="BJ1615">
        <v>1</v>
      </c>
      <c r="BK1615">
        <v>0</v>
      </c>
      <c r="BL1615">
        <v>0</v>
      </c>
      <c r="BO1615">
        <v>0</v>
      </c>
      <c r="BP1615">
        <v>0</v>
      </c>
      <c r="BW1615" t="str">
        <f>"22:16:15.370"</f>
        <v>22:16:15.370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7</v>
      </c>
      <c r="CP1615" t="s">
        <v>119</v>
      </c>
      <c r="CQ1615">
        <v>364</v>
      </c>
      <c r="CR1615">
        <v>0</v>
      </c>
      <c r="CW1615">
        <v>1427132</v>
      </c>
      <c r="CY1615">
        <v>1</v>
      </c>
      <c r="CZ1615">
        <v>0</v>
      </c>
      <c r="DA1615">
        <v>1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"03/24/2022 22:16:15.664"</f>
        <v>03/24/2022 22:16:15.664</v>
      </c>
      <c r="C1616" t="str">
        <f t="shared" si="467"/>
        <v>FFDFD3C0</v>
      </c>
      <c r="D1616" t="s">
        <v>126</v>
      </c>
      <c r="E1616">
        <v>3</v>
      </c>
      <c r="H1616">
        <v>160</v>
      </c>
      <c r="I1616" t="s">
        <v>121</v>
      </c>
      <c r="J1616" t="s">
        <v>127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S1616" t="str">
        <f t="shared" si="484"/>
        <v>22:16:15.000</v>
      </c>
      <c r="T1616" t="str">
        <f t="shared" si="484"/>
        <v>22:16:15.000</v>
      </c>
      <c r="U1616" t="str">
        <f t="shared" si="481"/>
        <v>A9D71F</v>
      </c>
      <c r="V1616">
        <v>0</v>
      </c>
      <c r="W1616">
        <v>0</v>
      </c>
      <c r="X1616">
        <v>2</v>
      </c>
      <c r="Z1616">
        <v>1</v>
      </c>
      <c r="AA1616">
        <v>8</v>
      </c>
      <c r="AB1616">
        <v>3</v>
      </c>
      <c r="AC1616">
        <v>0</v>
      </c>
      <c r="AD1616">
        <v>9</v>
      </c>
      <c r="AE1616">
        <v>0</v>
      </c>
      <c r="AF1616">
        <v>3</v>
      </c>
      <c r="AG1616">
        <v>1</v>
      </c>
      <c r="AH1616">
        <v>0</v>
      </c>
      <c r="AI1616" t="s">
        <v>858</v>
      </c>
      <c r="AJ1616">
        <v>33.077581000000002</v>
      </c>
      <c r="AK1616" t="s">
        <v>859</v>
      </c>
      <c r="AL1616">
        <v>-97.676953999999995</v>
      </c>
      <c r="AM1616">
        <v>25</v>
      </c>
      <c r="AN1616">
        <v>3500</v>
      </c>
      <c r="AO1616" t="s">
        <v>118</v>
      </c>
      <c r="AP1616">
        <v>45</v>
      </c>
      <c r="AQ1616">
        <v>-112</v>
      </c>
      <c r="AR1616">
        <v>-256</v>
      </c>
      <c r="AZ1616">
        <v>1200</v>
      </c>
      <c r="BA1616">
        <v>1</v>
      </c>
      <c r="BB1616" t="str">
        <f t="shared" si="468"/>
        <v xml:space="preserve">N733KP  </v>
      </c>
      <c r="BC1616">
        <v>1</v>
      </c>
      <c r="BE1616">
        <v>0</v>
      </c>
      <c r="BF1616">
        <v>0</v>
      </c>
      <c r="BG1616">
        <v>0</v>
      </c>
      <c r="BH1616">
        <v>3450</v>
      </c>
      <c r="BI1616">
        <v>1</v>
      </c>
      <c r="BJ1616">
        <v>1</v>
      </c>
      <c r="BK1616">
        <v>0</v>
      </c>
      <c r="BL1616">
        <v>0</v>
      </c>
      <c r="BO1616">
        <v>0</v>
      </c>
      <c r="BP1616">
        <v>0</v>
      </c>
      <c r="BW1616" t="str">
        <f>"22:16:15.370"</f>
        <v>22:16:15.370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7</v>
      </c>
      <c r="CP1616" t="s">
        <v>119</v>
      </c>
      <c r="CQ1616">
        <v>364</v>
      </c>
      <c r="CR1616">
        <v>0</v>
      </c>
      <c r="CW1616">
        <v>1427132</v>
      </c>
      <c r="CY1616">
        <v>1</v>
      </c>
      <c r="CZ1616">
        <v>0</v>
      </c>
      <c r="DA1616">
        <v>1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"03/24/2022 22:16:15.664"</f>
        <v>03/24/2022 22:16:15.664</v>
      </c>
      <c r="C1617" t="str">
        <f t="shared" si="467"/>
        <v>FFDFD3C0</v>
      </c>
      <c r="D1617" t="s">
        <v>113</v>
      </c>
      <c r="E1617">
        <v>24</v>
      </c>
      <c r="F1617">
        <v>2024</v>
      </c>
      <c r="G1617" t="s">
        <v>114</v>
      </c>
      <c r="J1617" t="s">
        <v>115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S1617" t="str">
        <f t="shared" si="484"/>
        <v>22:16:15.000</v>
      </c>
      <c r="T1617" t="str">
        <f t="shared" si="484"/>
        <v>22:16:15.000</v>
      </c>
      <c r="U1617" t="str">
        <f t="shared" si="481"/>
        <v>A9D71F</v>
      </c>
      <c r="V1617">
        <v>0</v>
      </c>
      <c r="W1617">
        <v>0</v>
      </c>
      <c r="X1617">
        <v>2</v>
      </c>
      <c r="Z1617">
        <v>1</v>
      </c>
      <c r="AA1617">
        <v>8</v>
      </c>
      <c r="AB1617">
        <v>3</v>
      </c>
      <c r="AC1617">
        <v>0</v>
      </c>
      <c r="AD1617">
        <v>9</v>
      </c>
      <c r="AE1617">
        <v>0</v>
      </c>
      <c r="AF1617">
        <v>3</v>
      </c>
      <c r="AG1617">
        <v>1</v>
      </c>
      <c r="AH1617">
        <v>0</v>
      </c>
      <c r="AI1617" t="s">
        <v>858</v>
      </c>
      <c r="AJ1617">
        <v>33.077581000000002</v>
      </c>
      <c r="AK1617" t="s">
        <v>859</v>
      </c>
      <c r="AL1617">
        <v>-97.676953999999995</v>
      </c>
      <c r="AM1617">
        <v>25</v>
      </c>
      <c r="AN1617">
        <v>3500</v>
      </c>
      <c r="AO1617" t="s">
        <v>118</v>
      </c>
      <c r="AP1617">
        <v>45</v>
      </c>
      <c r="AQ1617">
        <v>-112</v>
      </c>
      <c r="AR1617">
        <v>-256</v>
      </c>
      <c r="AZ1617">
        <v>1200</v>
      </c>
      <c r="BA1617">
        <v>1</v>
      </c>
      <c r="BB1617" t="str">
        <f t="shared" si="468"/>
        <v xml:space="preserve">N733KP  </v>
      </c>
      <c r="BC1617">
        <v>1</v>
      </c>
      <c r="BE1617">
        <v>0</v>
      </c>
      <c r="BF1617">
        <v>0</v>
      </c>
      <c r="BG1617">
        <v>0</v>
      </c>
      <c r="BH1617">
        <v>3450</v>
      </c>
      <c r="BI1617">
        <v>1</v>
      </c>
      <c r="BJ1617">
        <v>1</v>
      </c>
      <c r="BK1617">
        <v>0</v>
      </c>
      <c r="BL1617">
        <v>0</v>
      </c>
      <c r="BO1617">
        <v>0</v>
      </c>
      <c r="BP1617">
        <v>0</v>
      </c>
      <c r="BW1617" t="str">
        <f>"22:16:15.370"</f>
        <v>22:16:15.370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7</v>
      </c>
      <c r="CP1617" t="s">
        <v>119</v>
      </c>
      <c r="CQ1617">
        <v>364</v>
      </c>
      <c r="CR1617">
        <v>0</v>
      </c>
      <c r="CW1617">
        <v>1427132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"03/24/2022 22:16:16.915"</f>
        <v>03/24/2022 22:16:16.915</v>
      </c>
      <c r="C1618" t="str">
        <f t="shared" si="467"/>
        <v>FFDFD3C0</v>
      </c>
      <c r="D1618" t="s">
        <v>126</v>
      </c>
      <c r="E1618">
        <v>3</v>
      </c>
      <c r="H1618">
        <v>160</v>
      </c>
      <c r="I1618" t="s">
        <v>121</v>
      </c>
      <c r="J1618" t="s">
        <v>127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S1618" t="str">
        <f t="shared" ref="S1618:T1621" si="485">"22:16:16.000"</f>
        <v>22:16:16.000</v>
      </c>
      <c r="T1618" t="str">
        <f t="shared" si="485"/>
        <v>22:16:16.000</v>
      </c>
      <c r="U1618" t="str">
        <f t="shared" si="481"/>
        <v>A9D71F</v>
      </c>
      <c r="V1618">
        <v>0</v>
      </c>
      <c r="W1618">
        <v>0</v>
      </c>
      <c r="X1618">
        <v>2</v>
      </c>
      <c r="Z1618">
        <v>1</v>
      </c>
      <c r="AA1618">
        <v>8</v>
      </c>
      <c r="AB1618">
        <v>3</v>
      </c>
      <c r="AC1618">
        <v>0</v>
      </c>
      <c r="AD1618">
        <v>9</v>
      </c>
      <c r="AE1618">
        <v>0</v>
      </c>
      <c r="AF1618">
        <v>3</v>
      </c>
      <c r="AG1618">
        <v>1</v>
      </c>
      <c r="AH1618">
        <v>0</v>
      </c>
      <c r="AI1618" t="s">
        <v>860</v>
      </c>
      <c r="AJ1618">
        <v>33.077066000000002</v>
      </c>
      <c r="AK1618" t="s">
        <v>861</v>
      </c>
      <c r="AL1618">
        <v>-97.676697000000004</v>
      </c>
      <c r="AM1618">
        <v>25</v>
      </c>
      <c r="AN1618">
        <v>3500</v>
      </c>
      <c r="AO1618" t="s">
        <v>118</v>
      </c>
      <c r="AP1618">
        <v>44</v>
      </c>
      <c r="AQ1618">
        <v>-111</v>
      </c>
      <c r="AR1618">
        <v>-192</v>
      </c>
      <c r="AZ1618">
        <v>1200</v>
      </c>
      <c r="BA1618">
        <v>1</v>
      </c>
      <c r="BB1618" t="str">
        <f t="shared" si="468"/>
        <v xml:space="preserve">N733KP  </v>
      </c>
      <c r="BC1618">
        <v>1</v>
      </c>
      <c r="BE1618">
        <v>0</v>
      </c>
      <c r="BF1618">
        <v>0</v>
      </c>
      <c r="BG1618">
        <v>0</v>
      </c>
      <c r="BH1618">
        <v>3450</v>
      </c>
      <c r="BI1618">
        <v>1</v>
      </c>
      <c r="BJ1618">
        <v>1</v>
      </c>
      <c r="BK1618">
        <v>0</v>
      </c>
      <c r="BL1618">
        <v>0</v>
      </c>
      <c r="BO1618">
        <v>0</v>
      </c>
      <c r="BP1618">
        <v>0</v>
      </c>
      <c r="BW1618" t="str">
        <f>"22:16:16.722"</f>
        <v>22:16:16.722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7</v>
      </c>
      <c r="CP1618" t="s">
        <v>119</v>
      </c>
      <c r="CQ1618">
        <v>364</v>
      </c>
      <c r="CR1618">
        <v>0</v>
      </c>
      <c r="CW1618">
        <v>1427324</v>
      </c>
      <c r="CY1618">
        <v>1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"03/24/2022 22:16:16.915"</f>
        <v>03/24/2022 22:16:16.915</v>
      </c>
      <c r="C1619" t="str">
        <f t="shared" si="467"/>
        <v>FFDFD3C0</v>
      </c>
      <c r="D1619" t="s">
        <v>113</v>
      </c>
      <c r="E1619">
        <v>24</v>
      </c>
      <c r="F1619">
        <v>2024</v>
      </c>
      <c r="G1619" t="s">
        <v>114</v>
      </c>
      <c r="J1619" t="s">
        <v>115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S1619" t="str">
        <f t="shared" si="485"/>
        <v>22:16:16.000</v>
      </c>
      <c r="T1619" t="str">
        <f t="shared" si="485"/>
        <v>22:16:16.000</v>
      </c>
      <c r="U1619" t="str">
        <f t="shared" si="481"/>
        <v>A9D71F</v>
      </c>
      <c r="V1619">
        <v>0</v>
      </c>
      <c r="W1619">
        <v>0</v>
      </c>
      <c r="X1619">
        <v>2</v>
      </c>
      <c r="Z1619">
        <v>1</v>
      </c>
      <c r="AA1619">
        <v>8</v>
      </c>
      <c r="AB1619">
        <v>3</v>
      </c>
      <c r="AC1619">
        <v>0</v>
      </c>
      <c r="AD1619">
        <v>9</v>
      </c>
      <c r="AE1619">
        <v>0</v>
      </c>
      <c r="AF1619">
        <v>3</v>
      </c>
      <c r="AG1619">
        <v>1</v>
      </c>
      <c r="AH1619">
        <v>0</v>
      </c>
      <c r="AI1619" t="s">
        <v>860</v>
      </c>
      <c r="AJ1619">
        <v>33.077066000000002</v>
      </c>
      <c r="AK1619" t="s">
        <v>861</v>
      </c>
      <c r="AL1619">
        <v>-97.676697000000004</v>
      </c>
      <c r="AM1619">
        <v>25</v>
      </c>
      <c r="AN1619">
        <v>3500</v>
      </c>
      <c r="AO1619" t="s">
        <v>118</v>
      </c>
      <c r="AP1619">
        <v>44</v>
      </c>
      <c r="AQ1619">
        <v>-111</v>
      </c>
      <c r="AR1619">
        <v>-192</v>
      </c>
      <c r="AZ1619">
        <v>1200</v>
      </c>
      <c r="BA1619">
        <v>1</v>
      </c>
      <c r="BB1619" t="str">
        <f t="shared" si="468"/>
        <v xml:space="preserve">N733KP  </v>
      </c>
      <c r="BC1619">
        <v>1</v>
      </c>
      <c r="BE1619">
        <v>0</v>
      </c>
      <c r="BF1619">
        <v>0</v>
      </c>
      <c r="BG1619">
        <v>0</v>
      </c>
      <c r="BH1619">
        <v>3450</v>
      </c>
      <c r="BI1619">
        <v>1</v>
      </c>
      <c r="BJ1619">
        <v>1</v>
      </c>
      <c r="BK1619">
        <v>0</v>
      </c>
      <c r="BL1619">
        <v>0</v>
      </c>
      <c r="BO1619">
        <v>0</v>
      </c>
      <c r="BP1619">
        <v>0</v>
      </c>
      <c r="BW1619" t="str">
        <f>"22:16:16.722"</f>
        <v>22:16:16.722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7</v>
      </c>
      <c r="CP1619" t="s">
        <v>119</v>
      </c>
      <c r="CQ1619">
        <v>364</v>
      </c>
      <c r="CR1619">
        <v>0</v>
      </c>
      <c r="CW1619">
        <v>1427324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"03/24/2022 22:16:16.915"</f>
        <v>03/24/2022 22:16:16.915</v>
      </c>
      <c r="C1620" t="str">
        <f t="shared" si="467"/>
        <v>FFDFD3C0</v>
      </c>
      <c r="D1620" t="s">
        <v>120</v>
      </c>
      <c r="E1620">
        <v>14</v>
      </c>
      <c r="F1620">
        <v>1014</v>
      </c>
      <c r="G1620" t="s">
        <v>121</v>
      </c>
      <c r="J1620" t="s">
        <v>122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S1620" t="str">
        <f t="shared" si="485"/>
        <v>22:16:16.000</v>
      </c>
      <c r="T1620" t="str">
        <f t="shared" si="485"/>
        <v>22:16:16.000</v>
      </c>
      <c r="U1620" t="str">
        <f t="shared" si="481"/>
        <v>A9D71F</v>
      </c>
      <c r="V1620">
        <v>0</v>
      </c>
      <c r="W1620">
        <v>0</v>
      </c>
      <c r="X1620">
        <v>2</v>
      </c>
      <c r="Z1620">
        <v>1</v>
      </c>
      <c r="AA1620">
        <v>8</v>
      </c>
      <c r="AB1620">
        <v>3</v>
      </c>
      <c r="AC1620">
        <v>0</v>
      </c>
      <c r="AD1620">
        <v>9</v>
      </c>
      <c r="AE1620">
        <v>0</v>
      </c>
      <c r="AF1620">
        <v>3</v>
      </c>
      <c r="AG1620">
        <v>1</v>
      </c>
      <c r="AH1620">
        <v>0</v>
      </c>
      <c r="AI1620" t="s">
        <v>860</v>
      </c>
      <c r="AJ1620">
        <v>33.077066000000002</v>
      </c>
      <c r="AK1620" t="s">
        <v>861</v>
      </c>
      <c r="AL1620">
        <v>-97.676697000000004</v>
      </c>
      <c r="AM1620">
        <v>25</v>
      </c>
      <c r="AN1620">
        <v>3500</v>
      </c>
      <c r="AO1620" t="s">
        <v>118</v>
      </c>
      <c r="AP1620">
        <v>44</v>
      </c>
      <c r="AQ1620">
        <v>-111</v>
      </c>
      <c r="AR1620">
        <v>-192</v>
      </c>
      <c r="AZ1620">
        <v>1200</v>
      </c>
      <c r="BA1620">
        <v>1</v>
      </c>
      <c r="BB1620" t="str">
        <f t="shared" si="468"/>
        <v xml:space="preserve">N733KP  </v>
      </c>
      <c r="BC1620">
        <v>1</v>
      </c>
      <c r="BE1620">
        <v>0</v>
      </c>
      <c r="BF1620">
        <v>0</v>
      </c>
      <c r="BG1620">
        <v>0</v>
      </c>
      <c r="BH1620">
        <v>3450</v>
      </c>
      <c r="BI1620">
        <v>1</v>
      </c>
      <c r="BJ1620">
        <v>1</v>
      </c>
      <c r="BK1620">
        <v>0</v>
      </c>
      <c r="BL1620">
        <v>0</v>
      </c>
      <c r="BO1620">
        <v>0</v>
      </c>
      <c r="BP1620">
        <v>0</v>
      </c>
      <c r="BW1620" t="str">
        <f>"22:16:16.722"</f>
        <v>22:16:16.722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7</v>
      </c>
      <c r="CP1620" t="s">
        <v>119</v>
      </c>
      <c r="CQ1620">
        <v>364</v>
      </c>
      <c r="CR1620">
        <v>0</v>
      </c>
      <c r="CW1620">
        <v>1427324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"03/24/2022 22:16:16.915"</f>
        <v>03/24/2022 22:16:16.915</v>
      </c>
      <c r="C1621" t="str">
        <f t="shared" si="467"/>
        <v>FFDFD3C0</v>
      </c>
      <c r="D1621" t="s">
        <v>123</v>
      </c>
      <c r="E1621">
        <v>8</v>
      </c>
      <c r="H1621">
        <v>31</v>
      </c>
      <c r="I1621" t="s">
        <v>124</v>
      </c>
      <c r="J1621" t="s">
        <v>125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S1621" t="str">
        <f t="shared" si="485"/>
        <v>22:16:16.000</v>
      </c>
      <c r="T1621" t="str">
        <f t="shared" si="485"/>
        <v>22:16:16.000</v>
      </c>
      <c r="U1621" t="str">
        <f t="shared" si="481"/>
        <v>A9D71F</v>
      </c>
      <c r="V1621">
        <v>0</v>
      </c>
      <c r="W1621">
        <v>0</v>
      </c>
      <c r="X1621">
        <v>2</v>
      </c>
      <c r="Z1621">
        <v>1</v>
      </c>
      <c r="AA1621">
        <v>8</v>
      </c>
      <c r="AB1621">
        <v>3</v>
      </c>
      <c r="AC1621">
        <v>0</v>
      </c>
      <c r="AD1621">
        <v>9</v>
      </c>
      <c r="AE1621">
        <v>0</v>
      </c>
      <c r="AF1621">
        <v>3</v>
      </c>
      <c r="AG1621">
        <v>1</v>
      </c>
      <c r="AH1621">
        <v>0</v>
      </c>
      <c r="AI1621" t="s">
        <v>860</v>
      </c>
      <c r="AJ1621">
        <v>33.077066000000002</v>
      </c>
      <c r="AK1621" t="s">
        <v>861</v>
      </c>
      <c r="AL1621">
        <v>-97.676697000000004</v>
      </c>
      <c r="AM1621">
        <v>25</v>
      </c>
      <c r="AN1621">
        <v>3500</v>
      </c>
      <c r="AO1621" t="s">
        <v>118</v>
      </c>
      <c r="AP1621">
        <v>44</v>
      </c>
      <c r="AQ1621">
        <v>-111</v>
      </c>
      <c r="AR1621">
        <v>-192</v>
      </c>
      <c r="AZ1621">
        <v>1200</v>
      </c>
      <c r="BA1621">
        <v>1</v>
      </c>
      <c r="BB1621" t="str">
        <f t="shared" si="468"/>
        <v xml:space="preserve">N733KP  </v>
      </c>
      <c r="BC1621">
        <v>1</v>
      </c>
      <c r="BE1621">
        <v>0</v>
      </c>
      <c r="BF1621">
        <v>0</v>
      </c>
      <c r="BG1621">
        <v>0</v>
      </c>
      <c r="BH1621">
        <v>3450</v>
      </c>
      <c r="BI1621">
        <v>1</v>
      </c>
      <c r="BJ1621">
        <v>1</v>
      </c>
      <c r="BK1621">
        <v>0</v>
      </c>
      <c r="BL1621">
        <v>0</v>
      </c>
      <c r="BO1621">
        <v>0</v>
      </c>
      <c r="BP1621">
        <v>0</v>
      </c>
      <c r="BW1621" t="str">
        <f>"22:16:16.722"</f>
        <v>22:16:16.722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7</v>
      </c>
      <c r="CP1621" t="s">
        <v>119</v>
      </c>
      <c r="CQ1621">
        <v>364</v>
      </c>
      <c r="CR1621">
        <v>0</v>
      </c>
      <c r="CW1621">
        <v>1427324</v>
      </c>
      <c r="CY1621">
        <v>1</v>
      </c>
      <c r="CZ1621">
        <v>0</v>
      </c>
      <c r="DA1621">
        <v>1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"03/24/2022 22:16:17.556"</f>
        <v>03/24/2022 22:16:17.556</v>
      </c>
      <c r="C1622" t="str">
        <f t="shared" ref="C1622:C1685" si="486">"FFDFD3C0"</f>
        <v>FFDFD3C0</v>
      </c>
      <c r="D1622" t="s">
        <v>126</v>
      </c>
      <c r="E1622">
        <v>3</v>
      </c>
      <c r="H1622">
        <v>160</v>
      </c>
      <c r="I1622" t="s">
        <v>121</v>
      </c>
      <c r="J1622" t="s">
        <v>127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S1622" t="str">
        <f t="shared" ref="S1622:T1625" si="487">"22:16:17.000"</f>
        <v>22:16:17.000</v>
      </c>
      <c r="T1622" t="str">
        <f t="shared" si="487"/>
        <v>22:16:17.000</v>
      </c>
      <c r="U1622" t="str">
        <f t="shared" si="481"/>
        <v>A9D71F</v>
      </c>
      <c r="V1622">
        <v>0</v>
      </c>
      <c r="W1622">
        <v>0</v>
      </c>
      <c r="X1622">
        <v>2</v>
      </c>
      <c r="Z1622">
        <v>1</v>
      </c>
      <c r="AA1622">
        <v>8</v>
      </c>
      <c r="AB1622">
        <v>3</v>
      </c>
      <c r="AC1622">
        <v>0</v>
      </c>
      <c r="AD1622">
        <v>9</v>
      </c>
      <c r="AE1622">
        <v>0</v>
      </c>
      <c r="AF1622">
        <v>3</v>
      </c>
      <c r="AG1622">
        <v>1</v>
      </c>
      <c r="AH1622">
        <v>0</v>
      </c>
      <c r="AI1622" t="s">
        <v>862</v>
      </c>
      <c r="AJ1622">
        <v>33.076551000000002</v>
      </c>
      <c r="AK1622" t="s">
        <v>863</v>
      </c>
      <c r="AL1622">
        <v>-97.676461000000003</v>
      </c>
      <c r="AM1622">
        <v>25</v>
      </c>
      <c r="AN1622">
        <v>3500</v>
      </c>
      <c r="AO1622" t="s">
        <v>118</v>
      </c>
      <c r="AP1622">
        <v>44</v>
      </c>
      <c r="AQ1622">
        <v>-111</v>
      </c>
      <c r="AR1622">
        <v>-128</v>
      </c>
      <c r="AZ1622">
        <v>1200</v>
      </c>
      <c r="BA1622">
        <v>1</v>
      </c>
      <c r="BB1622" t="str">
        <f t="shared" ref="BB1622:BB1685" si="488">"N733KP  "</f>
        <v xml:space="preserve">N733KP  </v>
      </c>
      <c r="BC1622">
        <v>1</v>
      </c>
      <c r="BE1622">
        <v>0</v>
      </c>
      <c r="BF1622">
        <v>0</v>
      </c>
      <c r="BG1622">
        <v>0</v>
      </c>
      <c r="BH1622">
        <v>3425</v>
      </c>
      <c r="BI1622">
        <v>1</v>
      </c>
      <c r="BJ1622">
        <v>1</v>
      </c>
      <c r="BK1622">
        <v>0</v>
      </c>
      <c r="BL1622">
        <v>0</v>
      </c>
      <c r="BO1622">
        <v>0</v>
      </c>
      <c r="BP1622">
        <v>0</v>
      </c>
      <c r="BW1622" t="str">
        <f>"22:16:17.397"</f>
        <v>22:16:17.397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7</v>
      </c>
      <c r="CP1622" t="s">
        <v>119</v>
      </c>
      <c r="CQ1622">
        <v>364</v>
      </c>
      <c r="CR1622">
        <v>0</v>
      </c>
      <c r="CW1622">
        <v>1427415</v>
      </c>
      <c r="CY1622">
        <v>1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"03/24/2022 22:16:17.556"</f>
        <v>03/24/2022 22:16:17.556</v>
      </c>
      <c r="C1623" t="str">
        <f t="shared" si="486"/>
        <v>FFDFD3C0</v>
      </c>
      <c r="D1623" t="s">
        <v>113</v>
      </c>
      <c r="E1623">
        <v>24</v>
      </c>
      <c r="F1623">
        <v>2024</v>
      </c>
      <c r="G1623" t="s">
        <v>114</v>
      </c>
      <c r="J1623" t="s">
        <v>115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S1623" t="str">
        <f t="shared" si="487"/>
        <v>22:16:17.000</v>
      </c>
      <c r="T1623" t="str">
        <f t="shared" si="487"/>
        <v>22:16:17.000</v>
      </c>
      <c r="U1623" t="str">
        <f t="shared" si="481"/>
        <v>A9D71F</v>
      </c>
      <c r="V1623">
        <v>0</v>
      </c>
      <c r="W1623">
        <v>0</v>
      </c>
      <c r="X1623">
        <v>2</v>
      </c>
      <c r="Z1623">
        <v>1</v>
      </c>
      <c r="AA1623">
        <v>8</v>
      </c>
      <c r="AB1623">
        <v>3</v>
      </c>
      <c r="AC1623">
        <v>0</v>
      </c>
      <c r="AD1623">
        <v>9</v>
      </c>
      <c r="AE1623">
        <v>0</v>
      </c>
      <c r="AF1623">
        <v>3</v>
      </c>
      <c r="AG1623">
        <v>1</v>
      </c>
      <c r="AH1623">
        <v>0</v>
      </c>
      <c r="AI1623" t="s">
        <v>862</v>
      </c>
      <c r="AJ1623">
        <v>33.076551000000002</v>
      </c>
      <c r="AK1623" t="s">
        <v>863</v>
      </c>
      <c r="AL1623">
        <v>-97.676461000000003</v>
      </c>
      <c r="AM1623">
        <v>25</v>
      </c>
      <c r="AN1623">
        <v>3500</v>
      </c>
      <c r="AO1623" t="s">
        <v>118</v>
      </c>
      <c r="AP1623">
        <v>44</v>
      </c>
      <c r="AQ1623">
        <v>-111</v>
      </c>
      <c r="AR1623">
        <v>-128</v>
      </c>
      <c r="AZ1623">
        <v>1200</v>
      </c>
      <c r="BA1623">
        <v>1</v>
      </c>
      <c r="BB1623" t="str">
        <f t="shared" si="488"/>
        <v xml:space="preserve">N733KP  </v>
      </c>
      <c r="BC1623">
        <v>1</v>
      </c>
      <c r="BE1623">
        <v>0</v>
      </c>
      <c r="BF1623">
        <v>0</v>
      </c>
      <c r="BG1623">
        <v>0</v>
      </c>
      <c r="BH1623">
        <v>3425</v>
      </c>
      <c r="BI1623">
        <v>1</v>
      </c>
      <c r="BJ1623">
        <v>1</v>
      </c>
      <c r="BK1623">
        <v>0</v>
      </c>
      <c r="BL1623">
        <v>0</v>
      </c>
      <c r="BO1623">
        <v>0</v>
      </c>
      <c r="BP1623">
        <v>0</v>
      </c>
      <c r="BW1623" t="str">
        <f>"22:16:17.397"</f>
        <v>22:16:17.397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7</v>
      </c>
      <c r="CP1623" t="s">
        <v>119</v>
      </c>
      <c r="CQ1623">
        <v>364</v>
      </c>
      <c r="CR1623">
        <v>0</v>
      </c>
      <c r="CW1623">
        <v>1427415</v>
      </c>
      <c r="CY1623">
        <v>1</v>
      </c>
      <c r="CZ1623">
        <v>0</v>
      </c>
      <c r="DA1623">
        <v>1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"03/24/2022 22:16:17.619"</f>
        <v>03/24/2022 22:16:17.619</v>
      </c>
      <c r="C1624" t="str">
        <f t="shared" si="486"/>
        <v>FFDFD3C0</v>
      </c>
      <c r="D1624" t="s">
        <v>123</v>
      </c>
      <c r="E1624">
        <v>8</v>
      </c>
      <c r="H1624">
        <v>31</v>
      </c>
      <c r="I1624" t="s">
        <v>124</v>
      </c>
      <c r="J1624" t="s">
        <v>125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S1624" t="str">
        <f t="shared" si="487"/>
        <v>22:16:17.000</v>
      </c>
      <c r="T1624" t="str">
        <f t="shared" si="487"/>
        <v>22:16:17.000</v>
      </c>
      <c r="U1624" t="str">
        <f t="shared" si="481"/>
        <v>A9D71F</v>
      </c>
      <c r="V1624">
        <v>0</v>
      </c>
      <c r="W1624">
        <v>0</v>
      </c>
      <c r="X1624">
        <v>2</v>
      </c>
      <c r="Z1624">
        <v>1</v>
      </c>
      <c r="AA1624">
        <v>8</v>
      </c>
      <c r="AB1624">
        <v>3</v>
      </c>
      <c r="AC1624">
        <v>0</v>
      </c>
      <c r="AD1624">
        <v>9</v>
      </c>
      <c r="AE1624">
        <v>0</v>
      </c>
      <c r="AF1624">
        <v>3</v>
      </c>
      <c r="AG1624">
        <v>1</v>
      </c>
      <c r="AH1624">
        <v>0</v>
      </c>
      <c r="AI1624" t="s">
        <v>862</v>
      </c>
      <c r="AJ1624">
        <v>33.076551000000002</v>
      </c>
      <c r="AK1624" t="s">
        <v>863</v>
      </c>
      <c r="AL1624">
        <v>-97.676461000000003</v>
      </c>
      <c r="AM1624">
        <v>25</v>
      </c>
      <c r="AN1624">
        <v>3500</v>
      </c>
      <c r="AO1624" t="s">
        <v>118</v>
      </c>
      <c r="AP1624">
        <v>44</v>
      </c>
      <c r="AQ1624">
        <v>-111</v>
      </c>
      <c r="AR1624">
        <v>-128</v>
      </c>
      <c r="AZ1624">
        <v>1200</v>
      </c>
      <c r="BA1624">
        <v>1</v>
      </c>
      <c r="BB1624" t="str">
        <f t="shared" si="488"/>
        <v xml:space="preserve">N733KP  </v>
      </c>
      <c r="BC1624">
        <v>1</v>
      </c>
      <c r="BE1624">
        <v>0</v>
      </c>
      <c r="BF1624">
        <v>0</v>
      </c>
      <c r="BG1624">
        <v>0</v>
      </c>
      <c r="BH1624">
        <v>3425</v>
      </c>
      <c r="BI1624">
        <v>1</v>
      </c>
      <c r="BJ1624">
        <v>1</v>
      </c>
      <c r="BK1624">
        <v>0</v>
      </c>
      <c r="BL1624">
        <v>0</v>
      </c>
      <c r="BO1624">
        <v>0</v>
      </c>
      <c r="BP1624">
        <v>0</v>
      </c>
      <c r="BW1624" t="str">
        <f>"22:16:17.397"</f>
        <v>22:16:17.397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7</v>
      </c>
      <c r="CP1624" t="s">
        <v>119</v>
      </c>
      <c r="CQ1624">
        <v>364</v>
      </c>
      <c r="CR1624">
        <v>0</v>
      </c>
      <c r="CW1624">
        <v>1427415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>"03/24/2022 22:16:17.619"</f>
        <v>03/24/2022 22:16:17.619</v>
      </c>
      <c r="C1625" t="str">
        <f t="shared" si="486"/>
        <v>FFDFD3C0</v>
      </c>
      <c r="D1625" t="s">
        <v>120</v>
      </c>
      <c r="E1625">
        <v>14</v>
      </c>
      <c r="F1625">
        <v>1014</v>
      </c>
      <c r="G1625" t="s">
        <v>121</v>
      </c>
      <c r="J1625" t="s">
        <v>122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S1625" t="str">
        <f t="shared" si="487"/>
        <v>22:16:17.000</v>
      </c>
      <c r="T1625" t="str">
        <f t="shared" si="487"/>
        <v>22:16:17.000</v>
      </c>
      <c r="U1625" t="str">
        <f t="shared" si="481"/>
        <v>A9D71F</v>
      </c>
      <c r="V1625">
        <v>0</v>
      </c>
      <c r="W1625">
        <v>0</v>
      </c>
      <c r="X1625">
        <v>2</v>
      </c>
      <c r="Z1625">
        <v>1</v>
      </c>
      <c r="AA1625">
        <v>8</v>
      </c>
      <c r="AB1625">
        <v>3</v>
      </c>
      <c r="AC1625">
        <v>0</v>
      </c>
      <c r="AD1625">
        <v>9</v>
      </c>
      <c r="AE1625">
        <v>0</v>
      </c>
      <c r="AF1625">
        <v>3</v>
      </c>
      <c r="AG1625">
        <v>1</v>
      </c>
      <c r="AH1625">
        <v>0</v>
      </c>
      <c r="AI1625" t="s">
        <v>862</v>
      </c>
      <c r="AJ1625">
        <v>33.076551000000002</v>
      </c>
      <c r="AK1625" t="s">
        <v>863</v>
      </c>
      <c r="AL1625">
        <v>-97.676461000000003</v>
      </c>
      <c r="AM1625">
        <v>25</v>
      </c>
      <c r="AN1625">
        <v>3500</v>
      </c>
      <c r="AO1625" t="s">
        <v>118</v>
      </c>
      <c r="AP1625">
        <v>44</v>
      </c>
      <c r="AQ1625">
        <v>-111</v>
      </c>
      <c r="AR1625">
        <v>-128</v>
      </c>
      <c r="AZ1625">
        <v>1200</v>
      </c>
      <c r="BA1625">
        <v>1</v>
      </c>
      <c r="BB1625" t="str">
        <f t="shared" si="488"/>
        <v xml:space="preserve">N733KP  </v>
      </c>
      <c r="BC1625">
        <v>1</v>
      </c>
      <c r="BE1625">
        <v>0</v>
      </c>
      <c r="BF1625">
        <v>0</v>
      </c>
      <c r="BG1625">
        <v>0</v>
      </c>
      <c r="BH1625">
        <v>3425</v>
      </c>
      <c r="BI1625">
        <v>1</v>
      </c>
      <c r="BJ1625">
        <v>1</v>
      </c>
      <c r="BK1625">
        <v>0</v>
      </c>
      <c r="BL1625">
        <v>0</v>
      </c>
      <c r="BO1625">
        <v>0</v>
      </c>
      <c r="BP1625">
        <v>0</v>
      </c>
      <c r="BW1625" t="str">
        <f>"22:16:17.397"</f>
        <v>22:16:17.397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7</v>
      </c>
      <c r="CP1625" t="s">
        <v>119</v>
      </c>
      <c r="CQ1625">
        <v>364</v>
      </c>
      <c r="CR1625">
        <v>0</v>
      </c>
      <c r="CW1625">
        <v>1427415</v>
      </c>
      <c r="CY1625">
        <v>1</v>
      </c>
      <c r="CZ1625">
        <v>0</v>
      </c>
      <c r="DA1625">
        <v>1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>"03/24/2022 22:16:18.527"</f>
        <v>03/24/2022 22:16:18.527</v>
      </c>
      <c r="C1626" t="str">
        <f t="shared" si="486"/>
        <v>FFDFD3C0</v>
      </c>
      <c r="D1626" t="s">
        <v>113</v>
      </c>
      <c r="E1626">
        <v>24</v>
      </c>
      <c r="F1626">
        <v>2024</v>
      </c>
      <c r="G1626" t="s">
        <v>114</v>
      </c>
      <c r="J1626" t="s">
        <v>115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S1626" t="str">
        <f t="shared" ref="S1626:T1629" si="489">"22:16:18.000"</f>
        <v>22:16:18.000</v>
      </c>
      <c r="T1626" t="str">
        <f t="shared" si="489"/>
        <v>22:16:18.000</v>
      </c>
      <c r="U1626" t="str">
        <f t="shared" si="481"/>
        <v>A9D71F</v>
      </c>
      <c r="V1626">
        <v>0</v>
      </c>
      <c r="W1626">
        <v>0</v>
      </c>
      <c r="X1626">
        <v>2</v>
      </c>
      <c r="Z1626">
        <v>1</v>
      </c>
      <c r="AA1626">
        <v>8</v>
      </c>
      <c r="AB1626">
        <v>3</v>
      </c>
      <c r="AC1626">
        <v>0</v>
      </c>
      <c r="AD1626">
        <v>9</v>
      </c>
      <c r="AE1626">
        <v>0</v>
      </c>
      <c r="AF1626">
        <v>3</v>
      </c>
      <c r="AG1626">
        <v>1</v>
      </c>
      <c r="AH1626">
        <v>0</v>
      </c>
      <c r="AI1626" t="s">
        <v>864</v>
      </c>
      <c r="AJ1626">
        <v>33.076036000000002</v>
      </c>
      <c r="AK1626" t="s">
        <v>865</v>
      </c>
      <c r="AL1626">
        <v>-97.676225000000002</v>
      </c>
      <c r="AM1626">
        <v>25</v>
      </c>
      <c r="AN1626">
        <v>3500</v>
      </c>
      <c r="AO1626" t="s">
        <v>118</v>
      </c>
      <c r="AP1626">
        <v>44</v>
      </c>
      <c r="AQ1626">
        <v>-111</v>
      </c>
      <c r="AR1626">
        <v>-192</v>
      </c>
      <c r="AZ1626">
        <v>1200</v>
      </c>
      <c r="BA1626">
        <v>1</v>
      </c>
      <c r="BB1626" t="str">
        <f t="shared" si="488"/>
        <v xml:space="preserve">N733KP  </v>
      </c>
      <c r="BC1626">
        <v>1</v>
      </c>
      <c r="BE1626">
        <v>0</v>
      </c>
      <c r="BF1626">
        <v>0</v>
      </c>
      <c r="BG1626">
        <v>0</v>
      </c>
      <c r="BH1626">
        <v>3425</v>
      </c>
      <c r="BI1626">
        <v>1</v>
      </c>
      <c r="BJ1626">
        <v>1</v>
      </c>
      <c r="BK1626">
        <v>0</v>
      </c>
      <c r="BL1626">
        <v>0</v>
      </c>
      <c r="BO1626">
        <v>0</v>
      </c>
      <c r="BP1626">
        <v>0</v>
      </c>
      <c r="BW1626" t="str">
        <f>"22:16:18.336"</f>
        <v>22:16:18.336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119</v>
      </c>
      <c r="CQ1626">
        <v>364</v>
      </c>
      <c r="CR1626">
        <v>0</v>
      </c>
      <c r="CW1626">
        <v>1427545</v>
      </c>
      <c r="CY1626">
        <v>1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>"03/24/2022 22:16:18.527"</f>
        <v>03/24/2022 22:16:18.527</v>
      </c>
      <c r="C1627" t="str">
        <f t="shared" si="486"/>
        <v>FFDFD3C0</v>
      </c>
      <c r="D1627" t="s">
        <v>123</v>
      </c>
      <c r="E1627">
        <v>8</v>
      </c>
      <c r="H1627">
        <v>31</v>
      </c>
      <c r="I1627" t="s">
        <v>124</v>
      </c>
      <c r="J1627" t="s">
        <v>125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S1627" t="str">
        <f t="shared" si="489"/>
        <v>22:16:18.000</v>
      </c>
      <c r="T1627" t="str">
        <f t="shared" si="489"/>
        <v>22:16:18.000</v>
      </c>
      <c r="U1627" t="str">
        <f t="shared" si="481"/>
        <v>A9D71F</v>
      </c>
      <c r="V1627">
        <v>0</v>
      </c>
      <c r="W1627">
        <v>0</v>
      </c>
      <c r="X1627">
        <v>2</v>
      </c>
      <c r="Z1627">
        <v>1</v>
      </c>
      <c r="AA1627">
        <v>8</v>
      </c>
      <c r="AB1627">
        <v>3</v>
      </c>
      <c r="AC1627">
        <v>0</v>
      </c>
      <c r="AD1627">
        <v>9</v>
      </c>
      <c r="AE1627">
        <v>0</v>
      </c>
      <c r="AF1627">
        <v>3</v>
      </c>
      <c r="AG1627">
        <v>1</v>
      </c>
      <c r="AH1627">
        <v>0</v>
      </c>
      <c r="AI1627" t="s">
        <v>864</v>
      </c>
      <c r="AJ1627">
        <v>33.076036000000002</v>
      </c>
      <c r="AK1627" t="s">
        <v>865</v>
      </c>
      <c r="AL1627">
        <v>-97.676225000000002</v>
      </c>
      <c r="AM1627">
        <v>25</v>
      </c>
      <c r="AN1627">
        <v>3500</v>
      </c>
      <c r="AO1627" t="s">
        <v>118</v>
      </c>
      <c r="AP1627">
        <v>44</v>
      </c>
      <c r="AQ1627">
        <v>-111</v>
      </c>
      <c r="AR1627">
        <v>-192</v>
      </c>
      <c r="AZ1627">
        <v>1200</v>
      </c>
      <c r="BA1627">
        <v>1</v>
      </c>
      <c r="BB1627" t="str">
        <f t="shared" si="488"/>
        <v xml:space="preserve">N733KP  </v>
      </c>
      <c r="BC1627">
        <v>1</v>
      </c>
      <c r="BE1627">
        <v>0</v>
      </c>
      <c r="BF1627">
        <v>0</v>
      </c>
      <c r="BG1627">
        <v>0</v>
      </c>
      <c r="BH1627">
        <v>3425</v>
      </c>
      <c r="BI1627">
        <v>1</v>
      </c>
      <c r="BJ1627">
        <v>1</v>
      </c>
      <c r="BK1627">
        <v>0</v>
      </c>
      <c r="BL1627">
        <v>0</v>
      </c>
      <c r="BO1627">
        <v>0</v>
      </c>
      <c r="BP1627">
        <v>0</v>
      </c>
      <c r="BW1627" t="str">
        <f>"22:16:18.336"</f>
        <v>22:16:18.336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7</v>
      </c>
      <c r="CP1627" t="s">
        <v>119</v>
      </c>
      <c r="CQ1627">
        <v>364</v>
      </c>
      <c r="CR1627">
        <v>0</v>
      </c>
      <c r="CW1627">
        <v>1427545</v>
      </c>
      <c r="CY1627">
        <v>1</v>
      </c>
      <c r="CZ1627">
        <v>0</v>
      </c>
      <c r="DA1627">
        <v>1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>"03/24/2022 22:16:18.527"</f>
        <v>03/24/2022 22:16:18.527</v>
      </c>
      <c r="C1628" t="str">
        <f t="shared" si="486"/>
        <v>FFDFD3C0</v>
      </c>
      <c r="D1628" t="s">
        <v>120</v>
      </c>
      <c r="E1628">
        <v>14</v>
      </c>
      <c r="F1628">
        <v>1014</v>
      </c>
      <c r="G1628" t="s">
        <v>121</v>
      </c>
      <c r="J1628" t="s">
        <v>122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S1628" t="str">
        <f t="shared" si="489"/>
        <v>22:16:18.000</v>
      </c>
      <c r="T1628" t="str">
        <f t="shared" si="489"/>
        <v>22:16:18.000</v>
      </c>
      <c r="U1628" t="str">
        <f t="shared" si="481"/>
        <v>A9D71F</v>
      </c>
      <c r="V1628">
        <v>0</v>
      </c>
      <c r="W1628">
        <v>0</v>
      </c>
      <c r="X1628">
        <v>2</v>
      </c>
      <c r="Z1628">
        <v>1</v>
      </c>
      <c r="AA1628">
        <v>8</v>
      </c>
      <c r="AB1628">
        <v>3</v>
      </c>
      <c r="AC1628">
        <v>0</v>
      </c>
      <c r="AD1628">
        <v>9</v>
      </c>
      <c r="AE1628">
        <v>0</v>
      </c>
      <c r="AF1628">
        <v>3</v>
      </c>
      <c r="AG1628">
        <v>1</v>
      </c>
      <c r="AH1628">
        <v>0</v>
      </c>
      <c r="AI1628" t="s">
        <v>864</v>
      </c>
      <c r="AJ1628">
        <v>33.076036000000002</v>
      </c>
      <c r="AK1628" t="s">
        <v>865</v>
      </c>
      <c r="AL1628">
        <v>-97.676225000000002</v>
      </c>
      <c r="AM1628">
        <v>25</v>
      </c>
      <c r="AN1628">
        <v>3500</v>
      </c>
      <c r="AO1628" t="s">
        <v>118</v>
      </c>
      <c r="AP1628">
        <v>44</v>
      </c>
      <c r="AQ1628">
        <v>-111</v>
      </c>
      <c r="AR1628">
        <v>-192</v>
      </c>
      <c r="AZ1628">
        <v>1200</v>
      </c>
      <c r="BA1628">
        <v>1</v>
      </c>
      <c r="BB1628" t="str">
        <f t="shared" si="488"/>
        <v xml:space="preserve">N733KP  </v>
      </c>
      <c r="BC1628">
        <v>1</v>
      </c>
      <c r="BE1628">
        <v>0</v>
      </c>
      <c r="BF1628">
        <v>0</v>
      </c>
      <c r="BG1628">
        <v>0</v>
      </c>
      <c r="BH1628">
        <v>3425</v>
      </c>
      <c r="BI1628">
        <v>1</v>
      </c>
      <c r="BJ1628">
        <v>1</v>
      </c>
      <c r="BK1628">
        <v>0</v>
      </c>
      <c r="BL1628">
        <v>0</v>
      </c>
      <c r="BO1628">
        <v>0</v>
      </c>
      <c r="BP1628">
        <v>0</v>
      </c>
      <c r="BW1628" t="str">
        <f>"22:16:18.336"</f>
        <v>22:16:18.336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7</v>
      </c>
      <c r="CP1628" t="s">
        <v>119</v>
      </c>
      <c r="CQ1628">
        <v>364</v>
      </c>
      <c r="CR1628">
        <v>0</v>
      </c>
      <c r="CW1628">
        <v>1427545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>"03/24/2022 22:16:18.559"</f>
        <v>03/24/2022 22:16:18.559</v>
      </c>
      <c r="C1629" t="str">
        <f t="shared" si="486"/>
        <v>FFDFD3C0</v>
      </c>
      <c r="D1629" t="s">
        <v>126</v>
      </c>
      <c r="E1629">
        <v>3</v>
      </c>
      <c r="H1629">
        <v>160</v>
      </c>
      <c r="I1629" t="s">
        <v>121</v>
      </c>
      <c r="J1629" t="s">
        <v>127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S1629" t="str">
        <f t="shared" si="489"/>
        <v>22:16:18.000</v>
      </c>
      <c r="T1629" t="str">
        <f t="shared" si="489"/>
        <v>22:16:18.000</v>
      </c>
      <c r="U1629" t="str">
        <f t="shared" si="481"/>
        <v>A9D71F</v>
      </c>
      <c r="V1629">
        <v>0</v>
      </c>
      <c r="W1629">
        <v>0</v>
      </c>
      <c r="X1629">
        <v>2</v>
      </c>
      <c r="Z1629">
        <v>1</v>
      </c>
      <c r="AA1629">
        <v>8</v>
      </c>
      <c r="AB1629">
        <v>3</v>
      </c>
      <c r="AC1629">
        <v>0</v>
      </c>
      <c r="AD1629">
        <v>9</v>
      </c>
      <c r="AE1629">
        <v>0</v>
      </c>
      <c r="AF1629">
        <v>3</v>
      </c>
      <c r="AG1629">
        <v>1</v>
      </c>
      <c r="AH1629">
        <v>0</v>
      </c>
      <c r="AI1629" t="s">
        <v>864</v>
      </c>
      <c r="AJ1629">
        <v>33.076036000000002</v>
      </c>
      <c r="AK1629" t="s">
        <v>865</v>
      </c>
      <c r="AL1629">
        <v>-97.676225000000002</v>
      </c>
      <c r="AM1629">
        <v>25</v>
      </c>
      <c r="AN1629">
        <v>3500</v>
      </c>
      <c r="AO1629" t="s">
        <v>118</v>
      </c>
      <c r="AP1629">
        <v>44</v>
      </c>
      <c r="AQ1629">
        <v>-111</v>
      </c>
      <c r="AR1629">
        <v>-192</v>
      </c>
      <c r="AZ1629">
        <v>1200</v>
      </c>
      <c r="BA1629">
        <v>1</v>
      </c>
      <c r="BB1629" t="str">
        <f t="shared" si="488"/>
        <v xml:space="preserve">N733KP  </v>
      </c>
      <c r="BC1629">
        <v>1</v>
      </c>
      <c r="BE1629">
        <v>0</v>
      </c>
      <c r="BF1629">
        <v>0</v>
      </c>
      <c r="BG1629">
        <v>0</v>
      </c>
      <c r="BH1629">
        <v>3425</v>
      </c>
      <c r="BI1629">
        <v>1</v>
      </c>
      <c r="BJ1629">
        <v>1</v>
      </c>
      <c r="BK1629">
        <v>0</v>
      </c>
      <c r="BL1629">
        <v>0</v>
      </c>
      <c r="BO1629">
        <v>0</v>
      </c>
      <c r="BP1629">
        <v>0</v>
      </c>
      <c r="BW1629" t="str">
        <f>"22:16:18.336"</f>
        <v>22:16:18.336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7</v>
      </c>
      <c r="CP1629" t="s">
        <v>119</v>
      </c>
      <c r="CQ1629">
        <v>364</v>
      </c>
      <c r="CR1629">
        <v>0</v>
      </c>
      <c r="CW1629">
        <v>1427545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>"03/24/2022 22:16:19.418"</f>
        <v>03/24/2022 22:16:19.418</v>
      </c>
      <c r="C1630" t="str">
        <f t="shared" si="486"/>
        <v>FFDFD3C0</v>
      </c>
      <c r="D1630" t="s">
        <v>113</v>
      </c>
      <c r="E1630">
        <v>24</v>
      </c>
      <c r="F1630">
        <v>2024</v>
      </c>
      <c r="G1630" t="s">
        <v>114</v>
      </c>
      <c r="J1630" t="s">
        <v>115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S1630" t="str">
        <f t="shared" ref="S1630:T1633" si="490">"22:16:19.000"</f>
        <v>22:16:19.000</v>
      </c>
      <c r="T1630" t="str">
        <f t="shared" si="490"/>
        <v>22:16:19.000</v>
      </c>
      <c r="U1630" t="str">
        <f t="shared" si="481"/>
        <v>A9D71F</v>
      </c>
      <c r="V1630">
        <v>0</v>
      </c>
      <c r="W1630">
        <v>0</v>
      </c>
      <c r="X1630">
        <v>2</v>
      </c>
      <c r="Z1630">
        <v>1</v>
      </c>
      <c r="AA1630">
        <v>8</v>
      </c>
      <c r="AB1630">
        <v>3</v>
      </c>
      <c r="AC1630">
        <v>0</v>
      </c>
      <c r="AD1630">
        <v>9</v>
      </c>
      <c r="AE1630">
        <v>0</v>
      </c>
      <c r="AF1630">
        <v>3</v>
      </c>
      <c r="AG1630">
        <v>1</v>
      </c>
      <c r="AH1630">
        <v>0</v>
      </c>
      <c r="AI1630" t="s">
        <v>866</v>
      </c>
      <c r="AJ1630">
        <v>33.075499999999998</v>
      </c>
      <c r="AK1630" t="s">
        <v>867</v>
      </c>
      <c r="AL1630">
        <v>-97.675989000000001</v>
      </c>
      <c r="AM1630">
        <v>25</v>
      </c>
      <c r="AN1630">
        <v>3500</v>
      </c>
      <c r="AO1630" t="s">
        <v>118</v>
      </c>
      <c r="AP1630">
        <v>44</v>
      </c>
      <c r="AQ1630">
        <v>-111</v>
      </c>
      <c r="AR1630">
        <v>-192</v>
      </c>
      <c r="AZ1630">
        <v>1200</v>
      </c>
      <c r="BA1630">
        <v>1</v>
      </c>
      <c r="BB1630" t="str">
        <f t="shared" si="488"/>
        <v xml:space="preserve">N733KP  </v>
      </c>
      <c r="BC1630">
        <v>1</v>
      </c>
      <c r="BE1630">
        <v>0</v>
      </c>
      <c r="BF1630">
        <v>0</v>
      </c>
      <c r="BG1630">
        <v>0</v>
      </c>
      <c r="BH1630">
        <v>3425</v>
      </c>
      <c r="BI1630">
        <v>1</v>
      </c>
      <c r="BJ1630">
        <v>1</v>
      </c>
      <c r="BK1630">
        <v>0</v>
      </c>
      <c r="BL1630">
        <v>0</v>
      </c>
      <c r="BO1630">
        <v>0</v>
      </c>
      <c r="BP1630">
        <v>0</v>
      </c>
      <c r="BW1630" t="str">
        <f>"22:16:19.216"</f>
        <v>22:16:19.216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7</v>
      </c>
      <c r="CP1630" t="s">
        <v>119</v>
      </c>
      <c r="CQ1630">
        <v>364</v>
      </c>
      <c r="CR1630">
        <v>0</v>
      </c>
      <c r="CW1630">
        <v>1427674</v>
      </c>
      <c r="CY1630">
        <v>1</v>
      </c>
      <c r="CZ1630">
        <v>0</v>
      </c>
      <c r="DA1630">
        <v>0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"03/24/2022 22:16:19.418"</f>
        <v>03/24/2022 22:16:19.418</v>
      </c>
      <c r="C1631" t="str">
        <f t="shared" si="486"/>
        <v>FFDFD3C0</v>
      </c>
      <c r="D1631" t="s">
        <v>123</v>
      </c>
      <c r="E1631">
        <v>8</v>
      </c>
      <c r="H1631">
        <v>31</v>
      </c>
      <c r="I1631" t="s">
        <v>124</v>
      </c>
      <c r="J1631" t="s">
        <v>125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S1631" t="str">
        <f t="shared" si="490"/>
        <v>22:16:19.000</v>
      </c>
      <c r="T1631" t="str">
        <f t="shared" si="490"/>
        <v>22:16:19.000</v>
      </c>
      <c r="U1631" t="str">
        <f t="shared" si="481"/>
        <v>A9D71F</v>
      </c>
      <c r="V1631">
        <v>0</v>
      </c>
      <c r="W1631">
        <v>0</v>
      </c>
      <c r="X1631">
        <v>2</v>
      </c>
      <c r="Z1631">
        <v>1</v>
      </c>
      <c r="AA1631">
        <v>8</v>
      </c>
      <c r="AB1631">
        <v>3</v>
      </c>
      <c r="AC1631">
        <v>0</v>
      </c>
      <c r="AD1631">
        <v>9</v>
      </c>
      <c r="AE1631">
        <v>0</v>
      </c>
      <c r="AF1631">
        <v>3</v>
      </c>
      <c r="AG1631">
        <v>1</v>
      </c>
      <c r="AH1631">
        <v>0</v>
      </c>
      <c r="AI1631" t="s">
        <v>866</v>
      </c>
      <c r="AJ1631">
        <v>33.075499999999998</v>
      </c>
      <c r="AK1631" t="s">
        <v>867</v>
      </c>
      <c r="AL1631">
        <v>-97.675989000000001</v>
      </c>
      <c r="AM1631">
        <v>25</v>
      </c>
      <c r="AN1631">
        <v>3500</v>
      </c>
      <c r="AO1631" t="s">
        <v>118</v>
      </c>
      <c r="AP1631">
        <v>44</v>
      </c>
      <c r="AQ1631">
        <v>-111</v>
      </c>
      <c r="AR1631">
        <v>-192</v>
      </c>
      <c r="AZ1631">
        <v>1200</v>
      </c>
      <c r="BA1631">
        <v>1</v>
      </c>
      <c r="BB1631" t="str">
        <f t="shared" si="488"/>
        <v xml:space="preserve">N733KP  </v>
      </c>
      <c r="BC1631">
        <v>1</v>
      </c>
      <c r="BE1631">
        <v>0</v>
      </c>
      <c r="BF1631">
        <v>0</v>
      </c>
      <c r="BG1631">
        <v>0</v>
      </c>
      <c r="BH1631">
        <v>3425</v>
      </c>
      <c r="BI1631">
        <v>1</v>
      </c>
      <c r="BJ1631">
        <v>1</v>
      </c>
      <c r="BK1631">
        <v>0</v>
      </c>
      <c r="BL1631">
        <v>0</v>
      </c>
      <c r="BO1631">
        <v>0</v>
      </c>
      <c r="BP1631">
        <v>0</v>
      </c>
      <c r="BW1631" t="str">
        <f>"22:16:19.216"</f>
        <v>22:16:19.216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7</v>
      </c>
      <c r="CP1631" t="s">
        <v>119</v>
      </c>
      <c r="CQ1631">
        <v>364</v>
      </c>
      <c r="CR1631">
        <v>0</v>
      </c>
      <c r="CW1631">
        <v>1427674</v>
      </c>
      <c r="CY1631">
        <v>1</v>
      </c>
      <c r="CZ1631">
        <v>0</v>
      </c>
      <c r="DA1631">
        <v>1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"03/24/2022 22:16:19.418"</f>
        <v>03/24/2022 22:16:19.418</v>
      </c>
      <c r="C1632" t="str">
        <f t="shared" si="486"/>
        <v>FFDFD3C0</v>
      </c>
      <c r="D1632" t="s">
        <v>120</v>
      </c>
      <c r="E1632">
        <v>14</v>
      </c>
      <c r="F1632">
        <v>1014</v>
      </c>
      <c r="G1632" t="s">
        <v>121</v>
      </c>
      <c r="J1632" t="s">
        <v>122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S1632" t="str">
        <f t="shared" si="490"/>
        <v>22:16:19.000</v>
      </c>
      <c r="T1632" t="str">
        <f t="shared" si="490"/>
        <v>22:16:19.000</v>
      </c>
      <c r="U1632" t="str">
        <f t="shared" si="481"/>
        <v>A9D71F</v>
      </c>
      <c r="V1632">
        <v>0</v>
      </c>
      <c r="W1632">
        <v>0</v>
      </c>
      <c r="X1632">
        <v>2</v>
      </c>
      <c r="Z1632">
        <v>1</v>
      </c>
      <c r="AA1632">
        <v>8</v>
      </c>
      <c r="AB1632">
        <v>3</v>
      </c>
      <c r="AC1632">
        <v>0</v>
      </c>
      <c r="AD1632">
        <v>9</v>
      </c>
      <c r="AE1632">
        <v>0</v>
      </c>
      <c r="AF1632">
        <v>3</v>
      </c>
      <c r="AG1632">
        <v>1</v>
      </c>
      <c r="AH1632">
        <v>0</v>
      </c>
      <c r="AI1632" t="s">
        <v>866</v>
      </c>
      <c r="AJ1632">
        <v>33.075499999999998</v>
      </c>
      <c r="AK1632" t="s">
        <v>867</v>
      </c>
      <c r="AL1632">
        <v>-97.675989000000001</v>
      </c>
      <c r="AM1632">
        <v>25</v>
      </c>
      <c r="AN1632">
        <v>3500</v>
      </c>
      <c r="AO1632" t="s">
        <v>118</v>
      </c>
      <c r="AP1632">
        <v>44</v>
      </c>
      <c r="AQ1632">
        <v>-111</v>
      </c>
      <c r="AR1632">
        <v>-192</v>
      </c>
      <c r="AZ1632">
        <v>1200</v>
      </c>
      <c r="BA1632">
        <v>1</v>
      </c>
      <c r="BB1632" t="str">
        <f t="shared" si="488"/>
        <v xml:space="preserve">N733KP  </v>
      </c>
      <c r="BC1632">
        <v>1</v>
      </c>
      <c r="BE1632">
        <v>0</v>
      </c>
      <c r="BF1632">
        <v>0</v>
      </c>
      <c r="BG1632">
        <v>0</v>
      </c>
      <c r="BH1632">
        <v>3425</v>
      </c>
      <c r="BI1632">
        <v>1</v>
      </c>
      <c r="BJ1632">
        <v>1</v>
      </c>
      <c r="BK1632">
        <v>0</v>
      </c>
      <c r="BL1632">
        <v>0</v>
      </c>
      <c r="BO1632">
        <v>0</v>
      </c>
      <c r="BP1632">
        <v>0</v>
      </c>
      <c r="BW1632" t="str">
        <f>"22:16:19.216"</f>
        <v>22:16:19.216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7</v>
      </c>
      <c r="CP1632" t="s">
        <v>119</v>
      </c>
      <c r="CQ1632">
        <v>364</v>
      </c>
      <c r="CR1632">
        <v>0</v>
      </c>
      <c r="CW1632">
        <v>1427674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>"03/24/2022 22:16:19.418"</f>
        <v>03/24/2022 22:16:19.418</v>
      </c>
      <c r="C1633" t="str">
        <f t="shared" si="486"/>
        <v>FFDFD3C0</v>
      </c>
      <c r="D1633" t="s">
        <v>126</v>
      </c>
      <c r="E1633">
        <v>3</v>
      </c>
      <c r="H1633">
        <v>160</v>
      </c>
      <c r="I1633" t="s">
        <v>121</v>
      </c>
      <c r="J1633" t="s">
        <v>127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S1633" t="str">
        <f t="shared" si="490"/>
        <v>22:16:19.000</v>
      </c>
      <c r="T1633" t="str">
        <f t="shared" si="490"/>
        <v>22:16:19.000</v>
      </c>
      <c r="U1633" t="str">
        <f t="shared" si="481"/>
        <v>A9D71F</v>
      </c>
      <c r="V1633">
        <v>0</v>
      </c>
      <c r="W1633">
        <v>0</v>
      </c>
      <c r="X1633">
        <v>2</v>
      </c>
      <c r="Z1633">
        <v>1</v>
      </c>
      <c r="AA1633">
        <v>8</v>
      </c>
      <c r="AB1633">
        <v>3</v>
      </c>
      <c r="AC1633">
        <v>0</v>
      </c>
      <c r="AD1633">
        <v>9</v>
      </c>
      <c r="AE1633">
        <v>0</v>
      </c>
      <c r="AF1633">
        <v>3</v>
      </c>
      <c r="AG1633">
        <v>1</v>
      </c>
      <c r="AH1633">
        <v>0</v>
      </c>
      <c r="AI1633" t="s">
        <v>866</v>
      </c>
      <c r="AJ1633">
        <v>33.075499999999998</v>
      </c>
      <c r="AK1633" t="s">
        <v>867</v>
      </c>
      <c r="AL1633">
        <v>-97.675989000000001</v>
      </c>
      <c r="AM1633">
        <v>25</v>
      </c>
      <c r="AN1633">
        <v>3500</v>
      </c>
      <c r="AO1633" t="s">
        <v>118</v>
      </c>
      <c r="AP1633">
        <v>44</v>
      </c>
      <c r="AQ1633">
        <v>-111</v>
      </c>
      <c r="AR1633">
        <v>-192</v>
      </c>
      <c r="AZ1633">
        <v>1200</v>
      </c>
      <c r="BA1633">
        <v>1</v>
      </c>
      <c r="BB1633" t="str">
        <f t="shared" si="488"/>
        <v xml:space="preserve">N733KP  </v>
      </c>
      <c r="BC1633">
        <v>1</v>
      </c>
      <c r="BE1633">
        <v>0</v>
      </c>
      <c r="BF1633">
        <v>0</v>
      </c>
      <c r="BG1633">
        <v>0</v>
      </c>
      <c r="BH1633">
        <v>3425</v>
      </c>
      <c r="BI1633">
        <v>1</v>
      </c>
      <c r="BJ1633">
        <v>1</v>
      </c>
      <c r="BK1633">
        <v>0</v>
      </c>
      <c r="BL1633">
        <v>0</v>
      </c>
      <c r="BO1633">
        <v>0</v>
      </c>
      <c r="BP1633">
        <v>0</v>
      </c>
      <c r="BW1633" t="str">
        <f>"22:16:19.216"</f>
        <v>22:16:19.216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7</v>
      </c>
      <c r="CP1633" t="s">
        <v>119</v>
      </c>
      <c r="CQ1633">
        <v>364</v>
      </c>
      <c r="CR1633">
        <v>0</v>
      </c>
      <c r="CW1633">
        <v>1427674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>"03/24/2022 22:16:20.903"</f>
        <v>03/24/2022 22:16:20.903</v>
      </c>
      <c r="C1634" t="str">
        <f t="shared" si="486"/>
        <v>FFDFD3C0</v>
      </c>
      <c r="D1634" t="s">
        <v>113</v>
      </c>
      <c r="E1634">
        <v>24</v>
      </c>
      <c r="F1634">
        <v>2024</v>
      </c>
      <c r="G1634" t="s">
        <v>114</v>
      </c>
      <c r="J1634" t="s">
        <v>115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S1634" t="str">
        <f t="shared" ref="S1634:T1637" si="491">"22:16:20.000"</f>
        <v>22:16:20.000</v>
      </c>
      <c r="T1634" t="str">
        <f t="shared" si="491"/>
        <v>22:16:20.000</v>
      </c>
      <c r="U1634" t="str">
        <f t="shared" si="481"/>
        <v>A9D71F</v>
      </c>
      <c r="V1634">
        <v>0</v>
      </c>
      <c r="W1634">
        <v>0</v>
      </c>
      <c r="X1634">
        <v>2</v>
      </c>
      <c r="Z1634">
        <v>1</v>
      </c>
      <c r="AA1634">
        <v>8</v>
      </c>
      <c r="AB1634">
        <v>3</v>
      </c>
      <c r="AC1634">
        <v>0</v>
      </c>
      <c r="AD1634">
        <v>9</v>
      </c>
      <c r="AE1634">
        <v>0</v>
      </c>
      <c r="AF1634">
        <v>3</v>
      </c>
      <c r="AG1634">
        <v>1</v>
      </c>
      <c r="AH1634">
        <v>0</v>
      </c>
      <c r="AI1634" t="s">
        <v>868</v>
      </c>
      <c r="AJ1634">
        <v>33.074984999999998</v>
      </c>
      <c r="AK1634" t="s">
        <v>869</v>
      </c>
      <c r="AL1634">
        <v>-97.675730999999999</v>
      </c>
      <c r="AM1634">
        <v>25</v>
      </c>
      <c r="AN1634">
        <v>3500</v>
      </c>
      <c r="AO1634" t="s">
        <v>118</v>
      </c>
      <c r="AP1634">
        <v>45</v>
      </c>
      <c r="AQ1634">
        <v>-111</v>
      </c>
      <c r="AR1634">
        <v>-192</v>
      </c>
      <c r="AZ1634">
        <v>1200</v>
      </c>
      <c r="BA1634">
        <v>1</v>
      </c>
      <c r="BB1634" t="str">
        <f t="shared" si="488"/>
        <v xml:space="preserve">N733KP  </v>
      </c>
      <c r="BC1634">
        <v>1</v>
      </c>
      <c r="BE1634">
        <v>0</v>
      </c>
      <c r="BF1634">
        <v>0</v>
      </c>
      <c r="BG1634">
        <v>0</v>
      </c>
      <c r="BH1634">
        <v>3425</v>
      </c>
      <c r="BI1634">
        <v>1</v>
      </c>
      <c r="BJ1634">
        <v>1</v>
      </c>
      <c r="BK1634">
        <v>0</v>
      </c>
      <c r="BL1634">
        <v>0</v>
      </c>
      <c r="BO1634">
        <v>0</v>
      </c>
      <c r="BP1634">
        <v>0</v>
      </c>
      <c r="BW1634" t="str">
        <f>"22:16:20.744"</f>
        <v>22:16:20.744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5</v>
      </c>
      <c r="CP1634" t="s">
        <v>119</v>
      </c>
      <c r="CQ1634">
        <v>365</v>
      </c>
      <c r="CR1634">
        <v>0</v>
      </c>
      <c r="CW1634">
        <v>11488283</v>
      </c>
      <c r="CY1634">
        <v>1</v>
      </c>
      <c r="CZ1634">
        <v>0</v>
      </c>
      <c r="DA1634">
        <v>0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>"03/24/2022 22:16:20.903"</f>
        <v>03/24/2022 22:16:20.903</v>
      </c>
      <c r="C1635" t="str">
        <f t="shared" si="486"/>
        <v>FFDFD3C0</v>
      </c>
      <c r="D1635" t="s">
        <v>123</v>
      </c>
      <c r="E1635">
        <v>8</v>
      </c>
      <c r="H1635">
        <v>31</v>
      </c>
      <c r="I1635" t="s">
        <v>124</v>
      </c>
      <c r="J1635" t="s">
        <v>125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S1635" t="str">
        <f t="shared" si="491"/>
        <v>22:16:20.000</v>
      </c>
      <c r="T1635" t="str">
        <f t="shared" si="491"/>
        <v>22:16:20.000</v>
      </c>
      <c r="U1635" t="str">
        <f t="shared" si="481"/>
        <v>A9D71F</v>
      </c>
      <c r="V1635">
        <v>0</v>
      </c>
      <c r="W1635">
        <v>0</v>
      </c>
      <c r="X1635">
        <v>2</v>
      </c>
      <c r="Z1635">
        <v>1</v>
      </c>
      <c r="AA1635">
        <v>8</v>
      </c>
      <c r="AB1635">
        <v>3</v>
      </c>
      <c r="AC1635">
        <v>0</v>
      </c>
      <c r="AD1635">
        <v>9</v>
      </c>
      <c r="AE1635">
        <v>0</v>
      </c>
      <c r="AF1635">
        <v>3</v>
      </c>
      <c r="AG1635">
        <v>1</v>
      </c>
      <c r="AH1635">
        <v>0</v>
      </c>
      <c r="AI1635" t="s">
        <v>868</v>
      </c>
      <c r="AJ1635">
        <v>33.074984999999998</v>
      </c>
      <c r="AK1635" t="s">
        <v>869</v>
      </c>
      <c r="AL1635">
        <v>-97.675730999999999</v>
      </c>
      <c r="AM1635">
        <v>25</v>
      </c>
      <c r="AN1635">
        <v>3500</v>
      </c>
      <c r="AO1635" t="s">
        <v>118</v>
      </c>
      <c r="AP1635">
        <v>45</v>
      </c>
      <c r="AQ1635">
        <v>-111</v>
      </c>
      <c r="AR1635">
        <v>-192</v>
      </c>
      <c r="AZ1635">
        <v>1200</v>
      </c>
      <c r="BA1635">
        <v>1</v>
      </c>
      <c r="BB1635" t="str">
        <f t="shared" si="488"/>
        <v xml:space="preserve">N733KP  </v>
      </c>
      <c r="BC1635">
        <v>1</v>
      </c>
      <c r="BE1635">
        <v>0</v>
      </c>
      <c r="BF1635">
        <v>0</v>
      </c>
      <c r="BG1635">
        <v>0</v>
      </c>
      <c r="BH1635">
        <v>3425</v>
      </c>
      <c r="BI1635">
        <v>1</v>
      </c>
      <c r="BJ1635">
        <v>1</v>
      </c>
      <c r="BK1635">
        <v>0</v>
      </c>
      <c r="BL1635">
        <v>0</v>
      </c>
      <c r="BO1635">
        <v>0</v>
      </c>
      <c r="BP1635">
        <v>0</v>
      </c>
      <c r="BW1635" t="str">
        <f>"22:16:20.744"</f>
        <v>22:16:20.744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5</v>
      </c>
      <c r="CP1635" t="s">
        <v>119</v>
      </c>
      <c r="CQ1635">
        <v>365</v>
      </c>
      <c r="CR1635">
        <v>0</v>
      </c>
      <c r="CW1635">
        <v>11488283</v>
      </c>
      <c r="CY1635">
        <v>1</v>
      </c>
      <c r="CZ1635">
        <v>0</v>
      </c>
      <c r="DA1635">
        <v>1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>"03/24/2022 22:16:20.950"</f>
        <v>03/24/2022 22:16:20.950</v>
      </c>
      <c r="C1636" t="str">
        <f t="shared" si="486"/>
        <v>FFDFD3C0</v>
      </c>
      <c r="D1636" t="s">
        <v>120</v>
      </c>
      <c r="E1636">
        <v>14</v>
      </c>
      <c r="F1636">
        <v>1014</v>
      </c>
      <c r="G1636" t="s">
        <v>121</v>
      </c>
      <c r="J1636" t="s">
        <v>122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S1636" t="str">
        <f t="shared" si="491"/>
        <v>22:16:20.000</v>
      </c>
      <c r="T1636" t="str">
        <f t="shared" si="491"/>
        <v>22:16:20.000</v>
      </c>
      <c r="U1636" t="str">
        <f t="shared" si="481"/>
        <v>A9D71F</v>
      </c>
      <c r="V1636">
        <v>0</v>
      </c>
      <c r="W1636">
        <v>0</v>
      </c>
      <c r="X1636">
        <v>2</v>
      </c>
      <c r="Z1636">
        <v>1</v>
      </c>
      <c r="AA1636">
        <v>8</v>
      </c>
      <c r="AB1636">
        <v>3</v>
      </c>
      <c r="AC1636">
        <v>0</v>
      </c>
      <c r="AD1636">
        <v>9</v>
      </c>
      <c r="AE1636">
        <v>0</v>
      </c>
      <c r="AF1636">
        <v>3</v>
      </c>
      <c r="AG1636">
        <v>1</v>
      </c>
      <c r="AH1636">
        <v>0</v>
      </c>
      <c r="AI1636" t="s">
        <v>868</v>
      </c>
      <c r="AJ1636">
        <v>33.074984999999998</v>
      </c>
      <c r="AK1636" t="s">
        <v>869</v>
      </c>
      <c r="AL1636">
        <v>-97.675730999999999</v>
      </c>
      <c r="AM1636">
        <v>25</v>
      </c>
      <c r="AN1636">
        <v>3500</v>
      </c>
      <c r="AO1636" t="s">
        <v>118</v>
      </c>
      <c r="AP1636">
        <v>45</v>
      </c>
      <c r="AQ1636">
        <v>-111</v>
      </c>
      <c r="AR1636">
        <v>-192</v>
      </c>
      <c r="AZ1636">
        <v>1200</v>
      </c>
      <c r="BA1636">
        <v>1</v>
      </c>
      <c r="BB1636" t="str">
        <f t="shared" si="488"/>
        <v xml:space="preserve">N733KP  </v>
      </c>
      <c r="BC1636">
        <v>1</v>
      </c>
      <c r="BE1636">
        <v>0</v>
      </c>
      <c r="BF1636">
        <v>0</v>
      </c>
      <c r="BG1636">
        <v>0</v>
      </c>
      <c r="BH1636">
        <v>3425</v>
      </c>
      <c r="BI1636">
        <v>1</v>
      </c>
      <c r="BJ1636">
        <v>1</v>
      </c>
      <c r="BK1636">
        <v>0</v>
      </c>
      <c r="BL1636">
        <v>0</v>
      </c>
      <c r="BO1636">
        <v>0</v>
      </c>
      <c r="BP1636">
        <v>0</v>
      </c>
      <c r="BW1636" t="str">
        <f>"22:16:20.744"</f>
        <v>22:16:20.744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5</v>
      </c>
      <c r="CP1636" t="s">
        <v>119</v>
      </c>
      <c r="CQ1636">
        <v>365</v>
      </c>
      <c r="CR1636">
        <v>0</v>
      </c>
      <c r="CW1636">
        <v>11488283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"03/24/2022 22:16:20.950"</f>
        <v>03/24/2022 22:16:20.950</v>
      </c>
      <c r="C1637" t="str">
        <f t="shared" si="486"/>
        <v>FFDFD3C0</v>
      </c>
      <c r="D1637" t="s">
        <v>126</v>
      </c>
      <c r="E1637">
        <v>3</v>
      </c>
      <c r="H1637">
        <v>160</v>
      </c>
      <c r="I1637" t="s">
        <v>121</v>
      </c>
      <c r="J1637" t="s">
        <v>127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S1637" t="str">
        <f t="shared" si="491"/>
        <v>22:16:20.000</v>
      </c>
      <c r="T1637" t="str">
        <f t="shared" si="491"/>
        <v>22:16:20.000</v>
      </c>
      <c r="U1637" t="str">
        <f t="shared" si="481"/>
        <v>A9D71F</v>
      </c>
      <c r="V1637">
        <v>0</v>
      </c>
      <c r="W1637">
        <v>0</v>
      </c>
      <c r="X1637">
        <v>2</v>
      </c>
      <c r="Z1637">
        <v>1</v>
      </c>
      <c r="AA1637">
        <v>8</v>
      </c>
      <c r="AB1637">
        <v>3</v>
      </c>
      <c r="AC1637">
        <v>0</v>
      </c>
      <c r="AD1637">
        <v>9</v>
      </c>
      <c r="AE1637">
        <v>0</v>
      </c>
      <c r="AF1637">
        <v>3</v>
      </c>
      <c r="AG1637">
        <v>1</v>
      </c>
      <c r="AH1637">
        <v>0</v>
      </c>
      <c r="AI1637" t="s">
        <v>868</v>
      </c>
      <c r="AJ1637">
        <v>33.074984999999998</v>
      </c>
      <c r="AK1637" t="s">
        <v>869</v>
      </c>
      <c r="AL1637">
        <v>-97.675730999999999</v>
      </c>
      <c r="AM1637">
        <v>25</v>
      </c>
      <c r="AN1637">
        <v>3500</v>
      </c>
      <c r="AO1637" t="s">
        <v>118</v>
      </c>
      <c r="AP1637">
        <v>45</v>
      </c>
      <c r="AQ1637">
        <v>-111</v>
      </c>
      <c r="AR1637">
        <v>-192</v>
      </c>
      <c r="AZ1637">
        <v>1200</v>
      </c>
      <c r="BA1637">
        <v>1</v>
      </c>
      <c r="BB1637" t="str">
        <f t="shared" si="488"/>
        <v xml:space="preserve">N733KP  </v>
      </c>
      <c r="BC1637">
        <v>1</v>
      </c>
      <c r="BE1637">
        <v>0</v>
      </c>
      <c r="BF1637">
        <v>0</v>
      </c>
      <c r="BG1637">
        <v>0</v>
      </c>
      <c r="BH1637">
        <v>3425</v>
      </c>
      <c r="BI1637">
        <v>1</v>
      </c>
      <c r="BJ1637">
        <v>1</v>
      </c>
      <c r="BK1637">
        <v>0</v>
      </c>
      <c r="BL1637">
        <v>0</v>
      </c>
      <c r="BO1637">
        <v>0</v>
      </c>
      <c r="BP1637">
        <v>0</v>
      </c>
      <c r="BW1637" t="str">
        <f>"22:16:20.744"</f>
        <v>22:16:20.744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5</v>
      </c>
      <c r="CP1637" t="s">
        <v>119</v>
      </c>
      <c r="CQ1637">
        <v>365</v>
      </c>
      <c r="CR1637">
        <v>0</v>
      </c>
      <c r="CW1637">
        <v>11488283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"03/24/2022 22:16:21.621"</f>
        <v>03/24/2022 22:16:21.621</v>
      </c>
      <c r="C1638" t="str">
        <f t="shared" si="486"/>
        <v>FFDFD3C0</v>
      </c>
      <c r="D1638" t="s">
        <v>113</v>
      </c>
      <c r="E1638">
        <v>24</v>
      </c>
      <c r="F1638">
        <v>2024</v>
      </c>
      <c r="G1638" t="s">
        <v>114</v>
      </c>
      <c r="J1638" t="s">
        <v>115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S1638" t="str">
        <f t="shared" ref="S1638:T1641" si="492">"22:16:21.000"</f>
        <v>22:16:21.000</v>
      </c>
      <c r="T1638" t="str">
        <f t="shared" si="492"/>
        <v>22:16:21.000</v>
      </c>
      <c r="U1638" t="str">
        <f t="shared" si="481"/>
        <v>A9D71F</v>
      </c>
      <c r="V1638">
        <v>0</v>
      </c>
      <c r="W1638">
        <v>0</v>
      </c>
      <c r="X1638">
        <v>2</v>
      </c>
      <c r="Z1638">
        <v>1</v>
      </c>
      <c r="AA1638">
        <v>8</v>
      </c>
      <c r="AB1638">
        <v>3</v>
      </c>
      <c r="AC1638">
        <v>0</v>
      </c>
      <c r="AD1638">
        <v>9</v>
      </c>
      <c r="AE1638">
        <v>0</v>
      </c>
      <c r="AF1638">
        <v>3</v>
      </c>
      <c r="AG1638">
        <v>1</v>
      </c>
      <c r="AH1638">
        <v>0</v>
      </c>
      <c r="AI1638" t="s">
        <v>870</v>
      </c>
      <c r="AJ1638">
        <v>33.074491000000002</v>
      </c>
      <c r="AK1638" t="s">
        <v>871</v>
      </c>
      <c r="AL1638">
        <v>-97.675494999999998</v>
      </c>
      <c r="AM1638">
        <v>25</v>
      </c>
      <c r="AN1638">
        <v>3500</v>
      </c>
      <c r="AO1638" t="s">
        <v>118</v>
      </c>
      <c r="AP1638">
        <v>46</v>
      </c>
      <c r="AQ1638">
        <v>-111</v>
      </c>
      <c r="AR1638">
        <v>-192</v>
      </c>
      <c r="AZ1638">
        <v>1200</v>
      </c>
      <c r="BA1638">
        <v>1</v>
      </c>
      <c r="BB1638" t="str">
        <f t="shared" si="488"/>
        <v xml:space="preserve">N733KP  </v>
      </c>
      <c r="BC1638">
        <v>1</v>
      </c>
      <c r="BE1638">
        <v>0</v>
      </c>
      <c r="BF1638">
        <v>0</v>
      </c>
      <c r="BG1638">
        <v>0</v>
      </c>
      <c r="BH1638">
        <v>3425</v>
      </c>
      <c r="BI1638">
        <v>1</v>
      </c>
      <c r="BJ1638">
        <v>1</v>
      </c>
      <c r="BK1638">
        <v>0</v>
      </c>
      <c r="BL1638">
        <v>0</v>
      </c>
      <c r="BO1638">
        <v>0</v>
      </c>
      <c r="BP1638">
        <v>0</v>
      </c>
      <c r="BW1638" t="str">
        <f>"22:16:21.430"</f>
        <v>22:16:21.430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7</v>
      </c>
      <c r="CP1638" t="s">
        <v>119</v>
      </c>
      <c r="CQ1638">
        <v>364</v>
      </c>
      <c r="CR1638">
        <v>0</v>
      </c>
      <c r="CW1638">
        <v>1428035</v>
      </c>
      <c r="CY1638">
        <v>1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"03/24/2022 22:16:21.637"</f>
        <v>03/24/2022 22:16:21.637</v>
      </c>
      <c r="C1639" t="str">
        <f t="shared" si="486"/>
        <v>FFDFD3C0</v>
      </c>
      <c r="D1639" t="s">
        <v>123</v>
      </c>
      <c r="E1639">
        <v>8</v>
      </c>
      <c r="H1639">
        <v>31</v>
      </c>
      <c r="I1639" t="s">
        <v>124</v>
      </c>
      <c r="J1639" t="s">
        <v>125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S1639" t="str">
        <f t="shared" si="492"/>
        <v>22:16:21.000</v>
      </c>
      <c r="T1639" t="str">
        <f t="shared" si="492"/>
        <v>22:16:21.000</v>
      </c>
      <c r="U1639" t="str">
        <f t="shared" si="481"/>
        <v>A9D71F</v>
      </c>
      <c r="V1639">
        <v>0</v>
      </c>
      <c r="W1639">
        <v>0</v>
      </c>
      <c r="X1639">
        <v>2</v>
      </c>
      <c r="Z1639">
        <v>1</v>
      </c>
      <c r="AA1639">
        <v>8</v>
      </c>
      <c r="AB1639">
        <v>3</v>
      </c>
      <c r="AC1639">
        <v>0</v>
      </c>
      <c r="AD1639">
        <v>9</v>
      </c>
      <c r="AE1639">
        <v>0</v>
      </c>
      <c r="AF1639">
        <v>3</v>
      </c>
      <c r="AG1639">
        <v>1</v>
      </c>
      <c r="AH1639">
        <v>0</v>
      </c>
      <c r="AI1639" t="s">
        <v>870</v>
      </c>
      <c r="AJ1639">
        <v>33.074491000000002</v>
      </c>
      <c r="AK1639" t="s">
        <v>871</v>
      </c>
      <c r="AL1639">
        <v>-97.675494999999998</v>
      </c>
      <c r="AM1639">
        <v>25</v>
      </c>
      <c r="AN1639">
        <v>3500</v>
      </c>
      <c r="AO1639" t="s">
        <v>118</v>
      </c>
      <c r="AP1639">
        <v>46</v>
      </c>
      <c r="AQ1639">
        <v>-111</v>
      </c>
      <c r="AR1639">
        <v>-192</v>
      </c>
      <c r="AZ1639">
        <v>1200</v>
      </c>
      <c r="BA1639">
        <v>1</v>
      </c>
      <c r="BB1639" t="str">
        <f t="shared" si="488"/>
        <v xml:space="preserve">N733KP  </v>
      </c>
      <c r="BC1639">
        <v>1</v>
      </c>
      <c r="BE1639">
        <v>0</v>
      </c>
      <c r="BF1639">
        <v>0</v>
      </c>
      <c r="BG1639">
        <v>0</v>
      </c>
      <c r="BH1639">
        <v>3425</v>
      </c>
      <c r="BI1639">
        <v>1</v>
      </c>
      <c r="BJ1639">
        <v>1</v>
      </c>
      <c r="BK1639">
        <v>0</v>
      </c>
      <c r="BL1639">
        <v>0</v>
      </c>
      <c r="BO1639">
        <v>0</v>
      </c>
      <c r="BP1639">
        <v>0</v>
      </c>
      <c r="BW1639" t="str">
        <f>"22:16:21.430"</f>
        <v>22:16:21.430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7</v>
      </c>
      <c r="CP1639" t="s">
        <v>119</v>
      </c>
      <c r="CQ1639">
        <v>364</v>
      </c>
      <c r="CR1639">
        <v>0</v>
      </c>
      <c r="CW1639">
        <v>1428035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"03/24/2022 22:16:21.637"</f>
        <v>03/24/2022 22:16:21.637</v>
      </c>
      <c r="C1640" t="str">
        <f t="shared" si="486"/>
        <v>FFDFD3C0</v>
      </c>
      <c r="D1640" t="s">
        <v>120</v>
      </c>
      <c r="E1640">
        <v>14</v>
      </c>
      <c r="F1640">
        <v>1014</v>
      </c>
      <c r="G1640" t="s">
        <v>121</v>
      </c>
      <c r="J1640" t="s">
        <v>122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S1640" t="str">
        <f t="shared" si="492"/>
        <v>22:16:21.000</v>
      </c>
      <c r="T1640" t="str">
        <f t="shared" si="492"/>
        <v>22:16:21.000</v>
      </c>
      <c r="U1640" t="str">
        <f t="shared" si="481"/>
        <v>A9D71F</v>
      </c>
      <c r="V1640">
        <v>0</v>
      </c>
      <c r="W1640">
        <v>0</v>
      </c>
      <c r="X1640">
        <v>2</v>
      </c>
      <c r="Z1640">
        <v>1</v>
      </c>
      <c r="AA1640">
        <v>8</v>
      </c>
      <c r="AB1640">
        <v>3</v>
      </c>
      <c r="AC1640">
        <v>0</v>
      </c>
      <c r="AD1640">
        <v>9</v>
      </c>
      <c r="AE1640">
        <v>0</v>
      </c>
      <c r="AF1640">
        <v>3</v>
      </c>
      <c r="AG1640">
        <v>1</v>
      </c>
      <c r="AH1640">
        <v>0</v>
      </c>
      <c r="AI1640" t="s">
        <v>870</v>
      </c>
      <c r="AJ1640">
        <v>33.074491000000002</v>
      </c>
      <c r="AK1640" t="s">
        <v>871</v>
      </c>
      <c r="AL1640">
        <v>-97.675494999999998</v>
      </c>
      <c r="AM1640">
        <v>25</v>
      </c>
      <c r="AN1640">
        <v>3500</v>
      </c>
      <c r="AO1640" t="s">
        <v>118</v>
      </c>
      <c r="AP1640">
        <v>46</v>
      </c>
      <c r="AQ1640">
        <v>-111</v>
      </c>
      <c r="AR1640">
        <v>-192</v>
      </c>
      <c r="AZ1640">
        <v>1200</v>
      </c>
      <c r="BA1640">
        <v>1</v>
      </c>
      <c r="BB1640" t="str">
        <f t="shared" si="488"/>
        <v xml:space="preserve">N733KP  </v>
      </c>
      <c r="BC1640">
        <v>1</v>
      </c>
      <c r="BE1640">
        <v>0</v>
      </c>
      <c r="BF1640">
        <v>0</v>
      </c>
      <c r="BG1640">
        <v>0</v>
      </c>
      <c r="BH1640">
        <v>3425</v>
      </c>
      <c r="BI1640">
        <v>1</v>
      </c>
      <c r="BJ1640">
        <v>1</v>
      </c>
      <c r="BK1640">
        <v>0</v>
      </c>
      <c r="BL1640">
        <v>0</v>
      </c>
      <c r="BO1640">
        <v>0</v>
      </c>
      <c r="BP1640">
        <v>0</v>
      </c>
      <c r="BW1640" t="str">
        <f>"22:16:21.430"</f>
        <v>22:16:21.430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7</v>
      </c>
      <c r="CP1640" t="s">
        <v>119</v>
      </c>
      <c r="CQ1640">
        <v>364</v>
      </c>
      <c r="CR1640">
        <v>0</v>
      </c>
      <c r="CW1640">
        <v>1428035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"03/24/2022 22:16:21.637"</f>
        <v>03/24/2022 22:16:21.637</v>
      </c>
      <c r="C1641" t="str">
        <f t="shared" si="486"/>
        <v>FFDFD3C0</v>
      </c>
      <c r="D1641" t="s">
        <v>126</v>
      </c>
      <c r="E1641">
        <v>3</v>
      </c>
      <c r="H1641">
        <v>160</v>
      </c>
      <c r="I1641" t="s">
        <v>121</v>
      </c>
      <c r="J1641" t="s">
        <v>127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S1641" t="str">
        <f t="shared" si="492"/>
        <v>22:16:21.000</v>
      </c>
      <c r="T1641" t="str">
        <f t="shared" si="492"/>
        <v>22:16:21.000</v>
      </c>
      <c r="U1641" t="str">
        <f t="shared" si="481"/>
        <v>A9D71F</v>
      </c>
      <c r="V1641">
        <v>0</v>
      </c>
      <c r="W1641">
        <v>0</v>
      </c>
      <c r="X1641">
        <v>2</v>
      </c>
      <c r="Z1641">
        <v>1</v>
      </c>
      <c r="AA1641">
        <v>8</v>
      </c>
      <c r="AB1641">
        <v>3</v>
      </c>
      <c r="AC1641">
        <v>0</v>
      </c>
      <c r="AD1641">
        <v>9</v>
      </c>
      <c r="AE1641">
        <v>0</v>
      </c>
      <c r="AF1641">
        <v>3</v>
      </c>
      <c r="AG1641">
        <v>1</v>
      </c>
      <c r="AH1641">
        <v>0</v>
      </c>
      <c r="AI1641" t="s">
        <v>870</v>
      </c>
      <c r="AJ1641">
        <v>33.074491000000002</v>
      </c>
      <c r="AK1641" t="s">
        <v>871</v>
      </c>
      <c r="AL1641">
        <v>-97.675494999999998</v>
      </c>
      <c r="AM1641">
        <v>25</v>
      </c>
      <c r="AN1641">
        <v>3500</v>
      </c>
      <c r="AO1641" t="s">
        <v>118</v>
      </c>
      <c r="AP1641">
        <v>46</v>
      </c>
      <c r="AQ1641">
        <v>-111</v>
      </c>
      <c r="AR1641">
        <v>-192</v>
      </c>
      <c r="AZ1641">
        <v>1200</v>
      </c>
      <c r="BA1641">
        <v>1</v>
      </c>
      <c r="BB1641" t="str">
        <f t="shared" si="488"/>
        <v xml:space="preserve">N733KP  </v>
      </c>
      <c r="BC1641">
        <v>1</v>
      </c>
      <c r="BE1641">
        <v>0</v>
      </c>
      <c r="BF1641">
        <v>0</v>
      </c>
      <c r="BG1641">
        <v>0</v>
      </c>
      <c r="BH1641">
        <v>3425</v>
      </c>
      <c r="BI1641">
        <v>1</v>
      </c>
      <c r="BJ1641">
        <v>1</v>
      </c>
      <c r="BK1641">
        <v>0</v>
      </c>
      <c r="BL1641">
        <v>0</v>
      </c>
      <c r="BO1641">
        <v>0</v>
      </c>
      <c r="BP1641">
        <v>0</v>
      </c>
      <c r="BW1641" t="str">
        <f>"22:16:21.430"</f>
        <v>22:16:21.430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7</v>
      </c>
      <c r="CP1641" t="s">
        <v>119</v>
      </c>
      <c r="CQ1641">
        <v>364</v>
      </c>
      <c r="CR1641">
        <v>0</v>
      </c>
      <c r="CW1641">
        <v>1428035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"03/24/2022 22:16:22.716"</f>
        <v>03/24/2022 22:16:22.716</v>
      </c>
      <c r="C1642" t="str">
        <f t="shared" si="486"/>
        <v>FFDFD3C0</v>
      </c>
      <c r="D1642" t="s">
        <v>126</v>
      </c>
      <c r="E1642">
        <v>3</v>
      </c>
      <c r="H1642">
        <v>160</v>
      </c>
      <c r="I1642" t="s">
        <v>121</v>
      </c>
      <c r="J1642" t="s">
        <v>127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S1642" t="str">
        <f t="shared" ref="S1642:T1645" si="493">"22:16:22.000"</f>
        <v>22:16:22.000</v>
      </c>
      <c r="T1642" t="str">
        <f t="shared" si="493"/>
        <v>22:16:22.000</v>
      </c>
      <c r="U1642" t="str">
        <f t="shared" si="481"/>
        <v>A9D71F</v>
      </c>
      <c r="V1642">
        <v>0</v>
      </c>
      <c r="W1642">
        <v>0</v>
      </c>
      <c r="X1642">
        <v>2</v>
      </c>
      <c r="Z1642">
        <v>1</v>
      </c>
      <c r="AA1642">
        <v>8</v>
      </c>
      <c r="AB1642">
        <v>3</v>
      </c>
      <c r="AC1642">
        <v>0</v>
      </c>
      <c r="AD1642">
        <v>9</v>
      </c>
      <c r="AE1642">
        <v>0</v>
      </c>
      <c r="AF1642">
        <v>3</v>
      </c>
      <c r="AG1642">
        <v>1</v>
      </c>
      <c r="AH1642">
        <v>0</v>
      </c>
      <c r="AI1642" t="s">
        <v>872</v>
      </c>
      <c r="AJ1642">
        <v>33.073954999999998</v>
      </c>
      <c r="AK1642" t="s">
        <v>873</v>
      </c>
      <c r="AL1642">
        <v>-97.675237999999993</v>
      </c>
      <c r="AM1642">
        <v>25</v>
      </c>
      <c r="AN1642">
        <v>3500</v>
      </c>
      <c r="AO1642" t="s">
        <v>118</v>
      </c>
      <c r="AP1642">
        <v>45</v>
      </c>
      <c r="AQ1642">
        <v>-110</v>
      </c>
      <c r="AR1642">
        <v>-128</v>
      </c>
      <c r="AZ1642">
        <v>1200</v>
      </c>
      <c r="BA1642">
        <v>1</v>
      </c>
      <c r="BB1642" t="str">
        <f t="shared" si="488"/>
        <v xml:space="preserve">N733KP  </v>
      </c>
      <c r="BC1642">
        <v>1</v>
      </c>
      <c r="BE1642">
        <v>0</v>
      </c>
      <c r="BF1642">
        <v>0</v>
      </c>
      <c r="BG1642">
        <v>0</v>
      </c>
      <c r="BH1642">
        <v>3425</v>
      </c>
      <c r="BI1642">
        <v>1</v>
      </c>
      <c r="BJ1642">
        <v>1</v>
      </c>
      <c r="BK1642">
        <v>0</v>
      </c>
      <c r="BL1642">
        <v>0</v>
      </c>
      <c r="BO1642">
        <v>0</v>
      </c>
      <c r="BP1642">
        <v>0</v>
      </c>
      <c r="BW1642" t="str">
        <f>"22:16:22.545"</f>
        <v>22:16:22.545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7</v>
      </c>
      <c r="CP1642" t="s">
        <v>119</v>
      </c>
      <c r="CQ1642">
        <v>364</v>
      </c>
      <c r="CR1642">
        <v>0</v>
      </c>
      <c r="CW1642">
        <v>1428192</v>
      </c>
      <c r="CY1642">
        <v>1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"03/24/2022 22:16:22.716"</f>
        <v>03/24/2022 22:16:22.716</v>
      </c>
      <c r="C1643" t="str">
        <f t="shared" si="486"/>
        <v>FFDFD3C0</v>
      </c>
      <c r="D1643" t="s">
        <v>113</v>
      </c>
      <c r="E1643">
        <v>24</v>
      </c>
      <c r="F1643">
        <v>2024</v>
      </c>
      <c r="G1643" t="s">
        <v>114</v>
      </c>
      <c r="J1643" t="s">
        <v>115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S1643" t="str">
        <f t="shared" si="493"/>
        <v>22:16:22.000</v>
      </c>
      <c r="T1643" t="str">
        <f t="shared" si="493"/>
        <v>22:16:22.000</v>
      </c>
      <c r="U1643" t="str">
        <f t="shared" si="481"/>
        <v>A9D71F</v>
      </c>
      <c r="V1643">
        <v>0</v>
      </c>
      <c r="W1643">
        <v>0</v>
      </c>
      <c r="X1643">
        <v>2</v>
      </c>
      <c r="Z1643">
        <v>1</v>
      </c>
      <c r="AA1643">
        <v>8</v>
      </c>
      <c r="AB1643">
        <v>3</v>
      </c>
      <c r="AC1643">
        <v>0</v>
      </c>
      <c r="AD1643">
        <v>9</v>
      </c>
      <c r="AE1643">
        <v>0</v>
      </c>
      <c r="AF1643">
        <v>3</v>
      </c>
      <c r="AG1643">
        <v>1</v>
      </c>
      <c r="AH1643">
        <v>0</v>
      </c>
      <c r="AI1643" t="s">
        <v>872</v>
      </c>
      <c r="AJ1643">
        <v>33.073954999999998</v>
      </c>
      <c r="AK1643" t="s">
        <v>873</v>
      </c>
      <c r="AL1643">
        <v>-97.675237999999993</v>
      </c>
      <c r="AM1643">
        <v>25</v>
      </c>
      <c r="AN1643">
        <v>3500</v>
      </c>
      <c r="AO1643" t="s">
        <v>118</v>
      </c>
      <c r="AP1643">
        <v>45</v>
      </c>
      <c r="AQ1643">
        <v>-110</v>
      </c>
      <c r="AR1643">
        <v>-128</v>
      </c>
      <c r="AZ1643">
        <v>1200</v>
      </c>
      <c r="BA1643">
        <v>1</v>
      </c>
      <c r="BB1643" t="str">
        <f t="shared" si="488"/>
        <v xml:space="preserve">N733KP  </v>
      </c>
      <c r="BC1643">
        <v>1</v>
      </c>
      <c r="BE1643">
        <v>0</v>
      </c>
      <c r="BF1643">
        <v>0</v>
      </c>
      <c r="BG1643">
        <v>0</v>
      </c>
      <c r="BH1643">
        <v>3425</v>
      </c>
      <c r="BI1643">
        <v>1</v>
      </c>
      <c r="BJ1643">
        <v>1</v>
      </c>
      <c r="BK1643">
        <v>0</v>
      </c>
      <c r="BL1643">
        <v>0</v>
      </c>
      <c r="BO1643">
        <v>0</v>
      </c>
      <c r="BP1643">
        <v>0</v>
      </c>
      <c r="BW1643" t="str">
        <f>"22:16:22.545"</f>
        <v>22:16:22.545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7</v>
      </c>
      <c r="CP1643" t="s">
        <v>119</v>
      </c>
      <c r="CQ1643">
        <v>364</v>
      </c>
      <c r="CR1643">
        <v>0</v>
      </c>
      <c r="CW1643">
        <v>1428192</v>
      </c>
      <c r="CY1643">
        <v>1</v>
      </c>
      <c r="CZ1643">
        <v>0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"03/24/2022 22:16:22.716"</f>
        <v>03/24/2022 22:16:22.716</v>
      </c>
      <c r="C1644" t="str">
        <f t="shared" si="486"/>
        <v>FFDFD3C0</v>
      </c>
      <c r="D1644" t="s">
        <v>123</v>
      </c>
      <c r="E1644">
        <v>8</v>
      </c>
      <c r="H1644">
        <v>31</v>
      </c>
      <c r="I1644" t="s">
        <v>124</v>
      </c>
      <c r="J1644" t="s">
        <v>125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S1644" t="str">
        <f t="shared" si="493"/>
        <v>22:16:22.000</v>
      </c>
      <c r="T1644" t="str">
        <f t="shared" si="493"/>
        <v>22:16:22.000</v>
      </c>
      <c r="U1644" t="str">
        <f t="shared" si="481"/>
        <v>A9D71F</v>
      </c>
      <c r="V1644">
        <v>0</v>
      </c>
      <c r="W1644">
        <v>0</v>
      </c>
      <c r="X1644">
        <v>2</v>
      </c>
      <c r="Z1644">
        <v>1</v>
      </c>
      <c r="AA1644">
        <v>8</v>
      </c>
      <c r="AB1644">
        <v>3</v>
      </c>
      <c r="AC1644">
        <v>0</v>
      </c>
      <c r="AD1644">
        <v>9</v>
      </c>
      <c r="AE1644">
        <v>0</v>
      </c>
      <c r="AF1644">
        <v>3</v>
      </c>
      <c r="AG1644">
        <v>1</v>
      </c>
      <c r="AH1644">
        <v>0</v>
      </c>
      <c r="AI1644" t="s">
        <v>872</v>
      </c>
      <c r="AJ1644">
        <v>33.073954999999998</v>
      </c>
      <c r="AK1644" t="s">
        <v>873</v>
      </c>
      <c r="AL1644">
        <v>-97.675237999999993</v>
      </c>
      <c r="AM1644">
        <v>25</v>
      </c>
      <c r="AN1644">
        <v>3500</v>
      </c>
      <c r="AO1644" t="s">
        <v>118</v>
      </c>
      <c r="AP1644">
        <v>45</v>
      </c>
      <c r="AQ1644">
        <v>-110</v>
      </c>
      <c r="AR1644">
        <v>-128</v>
      </c>
      <c r="AZ1644">
        <v>1200</v>
      </c>
      <c r="BA1644">
        <v>1</v>
      </c>
      <c r="BB1644" t="str">
        <f t="shared" si="488"/>
        <v xml:space="preserve">N733KP  </v>
      </c>
      <c r="BC1644">
        <v>1</v>
      </c>
      <c r="BE1644">
        <v>0</v>
      </c>
      <c r="BF1644">
        <v>0</v>
      </c>
      <c r="BG1644">
        <v>0</v>
      </c>
      <c r="BH1644">
        <v>3425</v>
      </c>
      <c r="BI1644">
        <v>1</v>
      </c>
      <c r="BJ1644">
        <v>1</v>
      </c>
      <c r="BK1644">
        <v>0</v>
      </c>
      <c r="BL1644">
        <v>0</v>
      </c>
      <c r="BO1644">
        <v>0</v>
      </c>
      <c r="BP1644">
        <v>0</v>
      </c>
      <c r="BW1644" t="str">
        <f>"22:16:22.545"</f>
        <v>22:16:22.545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7</v>
      </c>
      <c r="CP1644" t="s">
        <v>119</v>
      </c>
      <c r="CQ1644">
        <v>364</v>
      </c>
      <c r="CR1644">
        <v>0</v>
      </c>
      <c r="CW1644">
        <v>1428192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"03/24/2022 22:16:22.763"</f>
        <v>03/24/2022 22:16:22.763</v>
      </c>
      <c r="C1645" t="str">
        <f t="shared" si="486"/>
        <v>FFDFD3C0</v>
      </c>
      <c r="D1645" t="s">
        <v>120</v>
      </c>
      <c r="E1645">
        <v>14</v>
      </c>
      <c r="F1645">
        <v>1014</v>
      </c>
      <c r="G1645" t="s">
        <v>121</v>
      </c>
      <c r="J1645" t="s">
        <v>122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S1645" t="str">
        <f t="shared" si="493"/>
        <v>22:16:22.000</v>
      </c>
      <c r="T1645" t="str">
        <f t="shared" si="493"/>
        <v>22:16:22.000</v>
      </c>
      <c r="U1645" t="str">
        <f t="shared" si="481"/>
        <v>A9D71F</v>
      </c>
      <c r="V1645">
        <v>0</v>
      </c>
      <c r="W1645">
        <v>0</v>
      </c>
      <c r="X1645">
        <v>2</v>
      </c>
      <c r="Z1645">
        <v>1</v>
      </c>
      <c r="AA1645">
        <v>8</v>
      </c>
      <c r="AB1645">
        <v>3</v>
      </c>
      <c r="AC1645">
        <v>0</v>
      </c>
      <c r="AD1645">
        <v>9</v>
      </c>
      <c r="AE1645">
        <v>0</v>
      </c>
      <c r="AF1645">
        <v>3</v>
      </c>
      <c r="AG1645">
        <v>1</v>
      </c>
      <c r="AH1645">
        <v>0</v>
      </c>
      <c r="AI1645" t="s">
        <v>872</v>
      </c>
      <c r="AJ1645">
        <v>33.073954999999998</v>
      </c>
      <c r="AK1645" t="s">
        <v>873</v>
      </c>
      <c r="AL1645">
        <v>-97.675237999999993</v>
      </c>
      <c r="AM1645">
        <v>25</v>
      </c>
      <c r="AN1645">
        <v>3500</v>
      </c>
      <c r="AO1645" t="s">
        <v>118</v>
      </c>
      <c r="AP1645">
        <v>45</v>
      </c>
      <c r="AQ1645">
        <v>-110</v>
      </c>
      <c r="AR1645">
        <v>-128</v>
      </c>
      <c r="AZ1645">
        <v>1200</v>
      </c>
      <c r="BA1645">
        <v>1</v>
      </c>
      <c r="BB1645" t="str">
        <f t="shared" si="488"/>
        <v xml:space="preserve">N733KP  </v>
      </c>
      <c r="BC1645">
        <v>1</v>
      </c>
      <c r="BE1645">
        <v>0</v>
      </c>
      <c r="BF1645">
        <v>0</v>
      </c>
      <c r="BG1645">
        <v>0</v>
      </c>
      <c r="BH1645">
        <v>3425</v>
      </c>
      <c r="BI1645">
        <v>1</v>
      </c>
      <c r="BJ1645">
        <v>1</v>
      </c>
      <c r="BK1645">
        <v>0</v>
      </c>
      <c r="BL1645">
        <v>0</v>
      </c>
      <c r="BO1645">
        <v>0</v>
      </c>
      <c r="BP1645">
        <v>0</v>
      </c>
      <c r="BW1645" t="str">
        <f>"22:16:22.545"</f>
        <v>22:16:22.545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7</v>
      </c>
      <c r="CP1645" t="s">
        <v>119</v>
      </c>
      <c r="CQ1645">
        <v>364</v>
      </c>
      <c r="CR1645">
        <v>0</v>
      </c>
      <c r="CW1645">
        <v>1428192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"03/24/2022 22:16:23.781"</f>
        <v>03/24/2022 22:16:23.781</v>
      </c>
      <c r="C1646" t="str">
        <f t="shared" si="486"/>
        <v>FFDFD3C0</v>
      </c>
      <c r="D1646" t="s">
        <v>123</v>
      </c>
      <c r="E1646">
        <v>8</v>
      </c>
      <c r="H1646">
        <v>31</v>
      </c>
      <c r="I1646" t="s">
        <v>124</v>
      </c>
      <c r="J1646" t="s">
        <v>125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S1646" t="str">
        <f t="shared" ref="S1646:T1649" si="494">"22:16:23.000"</f>
        <v>22:16:23.000</v>
      </c>
      <c r="T1646" t="str">
        <f t="shared" si="494"/>
        <v>22:16:23.000</v>
      </c>
      <c r="U1646" t="str">
        <f t="shared" si="481"/>
        <v>A9D71F</v>
      </c>
      <c r="V1646">
        <v>0</v>
      </c>
      <c r="W1646">
        <v>0</v>
      </c>
      <c r="X1646">
        <v>2</v>
      </c>
      <c r="Z1646">
        <v>1</v>
      </c>
      <c r="AA1646">
        <v>8</v>
      </c>
      <c r="AB1646">
        <v>3</v>
      </c>
      <c r="AC1646">
        <v>0</v>
      </c>
      <c r="AD1646">
        <v>9</v>
      </c>
      <c r="AE1646">
        <v>0</v>
      </c>
      <c r="AF1646">
        <v>3</v>
      </c>
      <c r="AG1646">
        <v>1</v>
      </c>
      <c r="AH1646">
        <v>0</v>
      </c>
      <c r="AI1646" t="s">
        <v>874</v>
      </c>
      <c r="AJ1646">
        <v>33.073461000000002</v>
      </c>
      <c r="AK1646" t="s">
        <v>875</v>
      </c>
      <c r="AL1646">
        <v>-97.675002000000006</v>
      </c>
      <c r="AM1646">
        <v>25</v>
      </c>
      <c r="AN1646">
        <v>3500</v>
      </c>
      <c r="AO1646" t="s">
        <v>118</v>
      </c>
      <c r="AP1646">
        <v>45</v>
      </c>
      <c r="AQ1646">
        <v>-111</v>
      </c>
      <c r="AR1646">
        <v>-64</v>
      </c>
      <c r="AZ1646">
        <v>1200</v>
      </c>
      <c r="BA1646">
        <v>1</v>
      </c>
      <c r="BB1646" t="str">
        <f t="shared" si="488"/>
        <v xml:space="preserve">N733KP  </v>
      </c>
      <c r="BC1646">
        <v>1</v>
      </c>
      <c r="BE1646">
        <v>0</v>
      </c>
      <c r="BF1646">
        <v>0</v>
      </c>
      <c r="BG1646">
        <v>0</v>
      </c>
      <c r="BH1646">
        <v>3425</v>
      </c>
      <c r="BI1646">
        <v>1</v>
      </c>
      <c r="BJ1646">
        <v>1</v>
      </c>
      <c r="BK1646">
        <v>0</v>
      </c>
      <c r="BL1646">
        <v>0</v>
      </c>
      <c r="BO1646">
        <v>0</v>
      </c>
      <c r="BP1646">
        <v>0</v>
      </c>
      <c r="BW1646" t="str">
        <f>"22:16:23.637"</f>
        <v>22:16:23.637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6</v>
      </c>
      <c r="CP1646" t="s">
        <v>119</v>
      </c>
      <c r="CQ1646">
        <v>364</v>
      </c>
      <c r="CR1646">
        <v>0</v>
      </c>
      <c r="CW1646">
        <v>1428346</v>
      </c>
      <c r="CY1646">
        <v>1</v>
      </c>
      <c r="CZ1646">
        <v>0</v>
      </c>
      <c r="DA1646">
        <v>0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"03/24/2022 22:16:23.812"</f>
        <v>03/24/2022 22:16:23.812</v>
      </c>
      <c r="C1647" t="str">
        <f t="shared" si="486"/>
        <v>FFDFD3C0</v>
      </c>
      <c r="D1647" t="s">
        <v>120</v>
      </c>
      <c r="E1647">
        <v>14</v>
      </c>
      <c r="F1647">
        <v>1014</v>
      </c>
      <c r="G1647" t="s">
        <v>121</v>
      </c>
      <c r="J1647" t="s">
        <v>122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S1647" t="str">
        <f t="shared" si="494"/>
        <v>22:16:23.000</v>
      </c>
      <c r="T1647" t="str">
        <f t="shared" si="494"/>
        <v>22:16:23.000</v>
      </c>
      <c r="U1647" t="str">
        <f t="shared" si="481"/>
        <v>A9D71F</v>
      </c>
      <c r="V1647">
        <v>0</v>
      </c>
      <c r="W1647">
        <v>0</v>
      </c>
      <c r="X1647">
        <v>2</v>
      </c>
      <c r="Z1647">
        <v>1</v>
      </c>
      <c r="AA1647">
        <v>8</v>
      </c>
      <c r="AB1647">
        <v>3</v>
      </c>
      <c r="AC1647">
        <v>0</v>
      </c>
      <c r="AD1647">
        <v>9</v>
      </c>
      <c r="AE1647">
        <v>0</v>
      </c>
      <c r="AF1647">
        <v>3</v>
      </c>
      <c r="AG1647">
        <v>1</v>
      </c>
      <c r="AH1647">
        <v>0</v>
      </c>
      <c r="AI1647" t="s">
        <v>874</v>
      </c>
      <c r="AJ1647">
        <v>33.073461000000002</v>
      </c>
      <c r="AK1647" t="s">
        <v>875</v>
      </c>
      <c r="AL1647">
        <v>-97.675002000000006</v>
      </c>
      <c r="AM1647">
        <v>25</v>
      </c>
      <c r="AN1647">
        <v>3500</v>
      </c>
      <c r="AO1647" t="s">
        <v>118</v>
      </c>
      <c r="AP1647">
        <v>45</v>
      </c>
      <c r="AQ1647">
        <v>-111</v>
      </c>
      <c r="AR1647">
        <v>-64</v>
      </c>
      <c r="AZ1647">
        <v>1200</v>
      </c>
      <c r="BA1647">
        <v>1</v>
      </c>
      <c r="BB1647" t="str">
        <f t="shared" si="488"/>
        <v xml:space="preserve">N733KP  </v>
      </c>
      <c r="BC1647">
        <v>1</v>
      </c>
      <c r="BE1647">
        <v>0</v>
      </c>
      <c r="BF1647">
        <v>0</v>
      </c>
      <c r="BG1647">
        <v>0</v>
      </c>
      <c r="BH1647">
        <v>3425</v>
      </c>
      <c r="BI1647">
        <v>1</v>
      </c>
      <c r="BJ1647">
        <v>1</v>
      </c>
      <c r="BK1647">
        <v>0</v>
      </c>
      <c r="BL1647">
        <v>0</v>
      </c>
      <c r="BO1647">
        <v>0</v>
      </c>
      <c r="BP1647">
        <v>0</v>
      </c>
      <c r="BW1647" t="str">
        <f>"22:16:23.637"</f>
        <v>22:16:23.637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6</v>
      </c>
      <c r="CP1647" t="s">
        <v>119</v>
      </c>
      <c r="CQ1647">
        <v>364</v>
      </c>
      <c r="CR1647">
        <v>0</v>
      </c>
      <c r="CW1647">
        <v>1428346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"03/24/2022 22:16:23.812"</f>
        <v>03/24/2022 22:16:23.812</v>
      </c>
      <c r="C1648" t="str">
        <f t="shared" si="486"/>
        <v>FFDFD3C0</v>
      </c>
      <c r="D1648" t="s">
        <v>126</v>
      </c>
      <c r="E1648">
        <v>3</v>
      </c>
      <c r="H1648">
        <v>160</v>
      </c>
      <c r="I1648" t="s">
        <v>121</v>
      </c>
      <c r="J1648" t="s">
        <v>127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S1648" t="str">
        <f t="shared" si="494"/>
        <v>22:16:23.000</v>
      </c>
      <c r="T1648" t="str">
        <f t="shared" si="494"/>
        <v>22:16:23.000</v>
      </c>
      <c r="U1648" t="str">
        <f t="shared" si="481"/>
        <v>A9D71F</v>
      </c>
      <c r="V1648">
        <v>0</v>
      </c>
      <c r="W1648">
        <v>0</v>
      </c>
      <c r="X1648">
        <v>2</v>
      </c>
      <c r="Z1648">
        <v>1</v>
      </c>
      <c r="AA1648">
        <v>8</v>
      </c>
      <c r="AB1648">
        <v>3</v>
      </c>
      <c r="AC1648">
        <v>0</v>
      </c>
      <c r="AD1648">
        <v>9</v>
      </c>
      <c r="AE1648">
        <v>0</v>
      </c>
      <c r="AF1648">
        <v>3</v>
      </c>
      <c r="AG1648">
        <v>1</v>
      </c>
      <c r="AH1648">
        <v>0</v>
      </c>
      <c r="AI1648" t="s">
        <v>874</v>
      </c>
      <c r="AJ1648">
        <v>33.073461000000002</v>
      </c>
      <c r="AK1648" t="s">
        <v>875</v>
      </c>
      <c r="AL1648">
        <v>-97.675002000000006</v>
      </c>
      <c r="AM1648">
        <v>25</v>
      </c>
      <c r="AN1648">
        <v>3500</v>
      </c>
      <c r="AO1648" t="s">
        <v>118</v>
      </c>
      <c r="AP1648">
        <v>45</v>
      </c>
      <c r="AQ1648">
        <v>-111</v>
      </c>
      <c r="AR1648">
        <v>-64</v>
      </c>
      <c r="AZ1648">
        <v>1200</v>
      </c>
      <c r="BA1648">
        <v>1</v>
      </c>
      <c r="BB1648" t="str">
        <f t="shared" si="488"/>
        <v xml:space="preserve">N733KP  </v>
      </c>
      <c r="BC1648">
        <v>1</v>
      </c>
      <c r="BE1648">
        <v>0</v>
      </c>
      <c r="BF1648">
        <v>0</v>
      </c>
      <c r="BG1648">
        <v>0</v>
      </c>
      <c r="BH1648">
        <v>3425</v>
      </c>
      <c r="BI1648">
        <v>1</v>
      </c>
      <c r="BJ1648">
        <v>1</v>
      </c>
      <c r="BK1648">
        <v>0</v>
      </c>
      <c r="BL1648">
        <v>0</v>
      </c>
      <c r="BO1648">
        <v>0</v>
      </c>
      <c r="BP1648">
        <v>0</v>
      </c>
      <c r="BW1648" t="str">
        <f>"22:16:23.637"</f>
        <v>22:16:23.637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6</v>
      </c>
      <c r="CP1648" t="s">
        <v>119</v>
      </c>
      <c r="CQ1648">
        <v>364</v>
      </c>
      <c r="CR1648">
        <v>0</v>
      </c>
      <c r="CW1648">
        <v>1428346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>"03/24/2022 22:16:23.828"</f>
        <v>03/24/2022 22:16:23.828</v>
      </c>
      <c r="C1649" t="str">
        <f t="shared" si="486"/>
        <v>FFDFD3C0</v>
      </c>
      <c r="D1649" t="s">
        <v>113</v>
      </c>
      <c r="E1649">
        <v>24</v>
      </c>
      <c r="F1649">
        <v>2024</v>
      </c>
      <c r="G1649" t="s">
        <v>114</v>
      </c>
      <c r="J1649" t="s">
        <v>115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S1649" t="str">
        <f t="shared" si="494"/>
        <v>22:16:23.000</v>
      </c>
      <c r="T1649" t="str">
        <f t="shared" si="494"/>
        <v>22:16:23.000</v>
      </c>
      <c r="U1649" t="str">
        <f t="shared" si="481"/>
        <v>A9D71F</v>
      </c>
      <c r="V1649">
        <v>0</v>
      </c>
      <c r="W1649">
        <v>0</v>
      </c>
      <c r="X1649">
        <v>2</v>
      </c>
      <c r="Z1649">
        <v>1</v>
      </c>
      <c r="AA1649">
        <v>8</v>
      </c>
      <c r="AB1649">
        <v>3</v>
      </c>
      <c r="AC1649">
        <v>0</v>
      </c>
      <c r="AD1649">
        <v>9</v>
      </c>
      <c r="AE1649">
        <v>0</v>
      </c>
      <c r="AF1649">
        <v>3</v>
      </c>
      <c r="AG1649">
        <v>1</v>
      </c>
      <c r="AH1649">
        <v>0</v>
      </c>
      <c r="AI1649" t="s">
        <v>874</v>
      </c>
      <c r="AJ1649">
        <v>33.073461000000002</v>
      </c>
      <c r="AK1649" t="s">
        <v>875</v>
      </c>
      <c r="AL1649">
        <v>-97.675002000000006</v>
      </c>
      <c r="AM1649">
        <v>25</v>
      </c>
      <c r="AN1649">
        <v>3500</v>
      </c>
      <c r="AO1649" t="s">
        <v>118</v>
      </c>
      <c r="AP1649">
        <v>45</v>
      </c>
      <c r="AQ1649">
        <v>-111</v>
      </c>
      <c r="AR1649">
        <v>-64</v>
      </c>
      <c r="AZ1649">
        <v>1200</v>
      </c>
      <c r="BA1649">
        <v>1</v>
      </c>
      <c r="BB1649" t="str">
        <f t="shared" si="488"/>
        <v xml:space="preserve">N733KP  </v>
      </c>
      <c r="BC1649">
        <v>1</v>
      </c>
      <c r="BE1649">
        <v>0</v>
      </c>
      <c r="BF1649">
        <v>0</v>
      </c>
      <c r="BG1649">
        <v>0</v>
      </c>
      <c r="BH1649">
        <v>3425</v>
      </c>
      <c r="BI1649">
        <v>1</v>
      </c>
      <c r="BJ1649">
        <v>1</v>
      </c>
      <c r="BK1649">
        <v>0</v>
      </c>
      <c r="BL1649">
        <v>0</v>
      </c>
      <c r="BO1649">
        <v>0</v>
      </c>
      <c r="BP1649">
        <v>0</v>
      </c>
      <c r="BW1649" t="str">
        <f>"22:16:23.637"</f>
        <v>22:16:23.637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6</v>
      </c>
      <c r="CP1649" t="s">
        <v>119</v>
      </c>
      <c r="CQ1649">
        <v>364</v>
      </c>
      <c r="CR1649">
        <v>0</v>
      </c>
      <c r="CW1649">
        <v>1428346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>"03/24/2022 22:16:25.125"</f>
        <v>03/24/2022 22:16:25.125</v>
      </c>
      <c r="C1650" t="str">
        <f t="shared" si="486"/>
        <v>FFDFD3C0</v>
      </c>
      <c r="D1650" t="s">
        <v>113</v>
      </c>
      <c r="E1650">
        <v>24</v>
      </c>
      <c r="F1650">
        <v>2024</v>
      </c>
      <c r="G1650" t="s">
        <v>114</v>
      </c>
      <c r="J1650" t="s">
        <v>115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S1650" t="str">
        <f t="shared" ref="S1650:T1653" si="495">"22:16:24.000"</f>
        <v>22:16:24.000</v>
      </c>
      <c r="T1650" t="str">
        <f t="shared" si="495"/>
        <v>22:16:24.000</v>
      </c>
      <c r="U1650" t="str">
        <f t="shared" si="481"/>
        <v>A9D71F</v>
      </c>
      <c r="V1650">
        <v>0</v>
      </c>
      <c r="W1650">
        <v>0</v>
      </c>
      <c r="X1650">
        <v>2</v>
      </c>
      <c r="Z1650">
        <v>1</v>
      </c>
      <c r="AA1650">
        <v>8</v>
      </c>
      <c r="AB1650">
        <v>3</v>
      </c>
      <c r="AC1650">
        <v>0</v>
      </c>
      <c r="AD1650">
        <v>9</v>
      </c>
      <c r="AE1650">
        <v>0</v>
      </c>
      <c r="AF1650">
        <v>3</v>
      </c>
      <c r="AG1650">
        <v>1</v>
      </c>
      <c r="AH1650">
        <v>0</v>
      </c>
      <c r="AI1650" t="s">
        <v>876</v>
      </c>
      <c r="AJ1650">
        <v>33.072924999999998</v>
      </c>
      <c r="AK1650" t="s">
        <v>877</v>
      </c>
      <c r="AL1650">
        <v>-97.674744000000004</v>
      </c>
      <c r="AM1650">
        <v>25</v>
      </c>
      <c r="AN1650">
        <v>3400</v>
      </c>
      <c r="AO1650" t="s">
        <v>118</v>
      </c>
      <c r="AP1650">
        <v>44</v>
      </c>
      <c r="AQ1650">
        <v>-110</v>
      </c>
      <c r="AR1650">
        <v>-64</v>
      </c>
      <c r="AZ1650">
        <v>1200</v>
      </c>
      <c r="BA1650">
        <v>1</v>
      </c>
      <c r="BB1650" t="str">
        <f t="shared" si="488"/>
        <v xml:space="preserve">N733KP  </v>
      </c>
      <c r="BC1650">
        <v>1</v>
      </c>
      <c r="BE1650">
        <v>0</v>
      </c>
      <c r="BF1650">
        <v>0</v>
      </c>
      <c r="BG1650">
        <v>0</v>
      </c>
      <c r="BH1650">
        <v>3425</v>
      </c>
      <c r="BI1650">
        <v>1</v>
      </c>
      <c r="BJ1650">
        <v>1</v>
      </c>
      <c r="BK1650">
        <v>0</v>
      </c>
      <c r="BL1650">
        <v>0</v>
      </c>
      <c r="BO1650">
        <v>0</v>
      </c>
      <c r="BP1650">
        <v>0</v>
      </c>
      <c r="BW1650" t="str">
        <f>"22:16:24.941"</f>
        <v>22:16:24.941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364</v>
      </c>
      <c r="CR1650">
        <v>0</v>
      </c>
      <c r="CW1650">
        <v>1428550</v>
      </c>
      <c r="CY1650">
        <v>1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>"03/24/2022 22:16:25.125"</f>
        <v>03/24/2022 22:16:25.125</v>
      </c>
      <c r="C1651" t="str">
        <f t="shared" si="486"/>
        <v>FFDFD3C0</v>
      </c>
      <c r="D1651" t="s">
        <v>123</v>
      </c>
      <c r="E1651">
        <v>8</v>
      </c>
      <c r="H1651">
        <v>31</v>
      </c>
      <c r="I1651" t="s">
        <v>124</v>
      </c>
      <c r="J1651" t="s">
        <v>125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S1651" t="str">
        <f t="shared" si="495"/>
        <v>22:16:24.000</v>
      </c>
      <c r="T1651" t="str">
        <f t="shared" si="495"/>
        <v>22:16:24.000</v>
      </c>
      <c r="U1651" t="str">
        <f t="shared" si="481"/>
        <v>A9D71F</v>
      </c>
      <c r="V1651">
        <v>0</v>
      </c>
      <c r="W1651">
        <v>0</v>
      </c>
      <c r="X1651">
        <v>2</v>
      </c>
      <c r="Z1651">
        <v>1</v>
      </c>
      <c r="AA1651">
        <v>8</v>
      </c>
      <c r="AB1651">
        <v>3</v>
      </c>
      <c r="AC1651">
        <v>0</v>
      </c>
      <c r="AD1651">
        <v>9</v>
      </c>
      <c r="AE1651">
        <v>0</v>
      </c>
      <c r="AF1651">
        <v>3</v>
      </c>
      <c r="AG1651">
        <v>1</v>
      </c>
      <c r="AH1651">
        <v>0</v>
      </c>
      <c r="AI1651" t="s">
        <v>876</v>
      </c>
      <c r="AJ1651">
        <v>33.072924999999998</v>
      </c>
      <c r="AK1651" t="s">
        <v>877</v>
      </c>
      <c r="AL1651">
        <v>-97.674744000000004</v>
      </c>
      <c r="AM1651">
        <v>25</v>
      </c>
      <c r="AN1651">
        <v>3400</v>
      </c>
      <c r="AO1651" t="s">
        <v>118</v>
      </c>
      <c r="AP1651">
        <v>44</v>
      </c>
      <c r="AQ1651">
        <v>-110</v>
      </c>
      <c r="AR1651">
        <v>-64</v>
      </c>
      <c r="AZ1651">
        <v>1200</v>
      </c>
      <c r="BA1651">
        <v>1</v>
      </c>
      <c r="BB1651" t="str">
        <f t="shared" si="488"/>
        <v xml:space="preserve">N733KP  </v>
      </c>
      <c r="BC1651">
        <v>1</v>
      </c>
      <c r="BE1651">
        <v>0</v>
      </c>
      <c r="BF1651">
        <v>0</v>
      </c>
      <c r="BG1651">
        <v>0</v>
      </c>
      <c r="BH1651">
        <v>3425</v>
      </c>
      <c r="BI1651">
        <v>1</v>
      </c>
      <c r="BJ1651">
        <v>1</v>
      </c>
      <c r="BK1651">
        <v>0</v>
      </c>
      <c r="BL1651">
        <v>0</v>
      </c>
      <c r="BO1651">
        <v>0</v>
      </c>
      <c r="BP1651">
        <v>0</v>
      </c>
      <c r="BW1651" t="str">
        <f>"22:16:24.941"</f>
        <v>22:16:24.941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7</v>
      </c>
      <c r="CP1651" t="s">
        <v>119</v>
      </c>
      <c r="CQ1651">
        <v>364</v>
      </c>
      <c r="CR1651">
        <v>0</v>
      </c>
      <c r="CW1651">
        <v>1428550</v>
      </c>
      <c r="CY1651">
        <v>1</v>
      </c>
      <c r="CZ1651">
        <v>0</v>
      </c>
      <c r="DA1651">
        <v>1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>"03/24/2022 22:16:25.125"</f>
        <v>03/24/2022 22:16:25.125</v>
      </c>
      <c r="C1652" t="str">
        <f t="shared" si="486"/>
        <v>FFDFD3C0</v>
      </c>
      <c r="D1652" t="s">
        <v>120</v>
      </c>
      <c r="E1652">
        <v>14</v>
      </c>
      <c r="F1652">
        <v>1014</v>
      </c>
      <c r="G1652" t="s">
        <v>121</v>
      </c>
      <c r="J1652" t="s">
        <v>122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S1652" t="str">
        <f t="shared" si="495"/>
        <v>22:16:24.000</v>
      </c>
      <c r="T1652" t="str">
        <f t="shared" si="495"/>
        <v>22:16:24.000</v>
      </c>
      <c r="U1652" t="str">
        <f t="shared" si="481"/>
        <v>A9D71F</v>
      </c>
      <c r="V1652">
        <v>0</v>
      </c>
      <c r="W1652">
        <v>0</v>
      </c>
      <c r="X1652">
        <v>2</v>
      </c>
      <c r="Z1652">
        <v>1</v>
      </c>
      <c r="AA1652">
        <v>8</v>
      </c>
      <c r="AB1652">
        <v>3</v>
      </c>
      <c r="AC1652">
        <v>0</v>
      </c>
      <c r="AD1652">
        <v>9</v>
      </c>
      <c r="AE1652">
        <v>0</v>
      </c>
      <c r="AF1652">
        <v>3</v>
      </c>
      <c r="AG1652">
        <v>1</v>
      </c>
      <c r="AH1652">
        <v>0</v>
      </c>
      <c r="AI1652" t="s">
        <v>876</v>
      </c>
      <c r="AJ1652">
        <v>33.072924999999998</v>
      </c>
      <c r="AK1652" t="s">
        <v>877</v>
      </c>
      <c r="AL1652">
        <v>-97.674744000000004</v>
      </c>
      <c r="AM1652">
        <v>25</v>
      </c>
      <c r="AN1652">
        <v>3400</v>
      </c>
      <c r="AO1652" t="s">
        <v>118</v>
      </c>
      <c r="AP1652">
        <v>44</v>
      </c>
      <c r="AQ1652">
        <v>-110</v>
      </c>
      <c r="AR1652">
        <v>-64</v>
      </c>
      <c r="AZ1652">
        <v>1200</v>
      </c>
      <c r="BA1652">
        <v>1</v>
      </c>
      <c r="BB1652" t="str">
        <f t="shared" si="488"/>
        <v xml:space="preserve">N733KP  </v>
      </c>
      <c r="BC1652">
        <v>1</v>
      </c>
      <c r="BE1652">
        <v>0</v>
      </c>
      <c r="BF1652">
        <v>0</v>
      </c>
      <c r="BG1652">
        <v>0</v>
      </c>
      <c r="BH1652">
        <v>3425</v>
      </c>
      <c r="BI1652">
        <v>1</v>
      </c>
      <c r="BJ1652">
        <v>1</v>
      </c>
      <c r="BK1652">
        <v>0</v>
      </c>
      <c r="BL1652">
        <v>0</v>
      </c>
      <c r="BO1652">
        <v>0</v>
      </c>
      <c r="BP1652">
        <v>0</v>
      </c>
      <c r="BW1652" t="str">
        <f>"22:16:24.941"</f>
        <v>22:16:24.941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364</v>
      </c>
      <c r="CR1652">
        <v>0</v>
      </c>
      <c r="CW1652">
        <v>1428550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>"03/24/2022 22:16:25.125"</f>
        <v>03/24/2022 22:16:25.125</v>
      </c>
      <c r="C1653" t="str">
        <f t="shared" si="486"/>
        <v>FFDFD3C0</v>
      </c>
      <c r="D1653" t="s">
        <v>126</v>
      </c>
      <c r="E1653">
        <v>3</v>
      </c>
      <c r="H1653">
        <v>160</v>
      </c>
      <c r="I1653" t="s">
        <v>121</v>
      </c>
      <c r="J1653" t="s">
        <v>127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S1653" t="str">
        <f t="shared" si="495"/>
        <v>22:16:24.000</v>
      </c>
      <c r="T1653" t="str">
        <f t="shared" si="495"/>
        <v>22:16:24.000</v>
      </c>
      <c r="U1653" t="str">
        <f t="shared" si="481"/>
        <v>A9D71F</v>
      </c>
      <c r="V1653">
        <v>0</v>
      </c>
      <c r="W1653">
        <v>0</v>
      </c>
      <c r="X1653">
        <v>2</v>
      </c>
      <c r="Z1653">
        <v>1</v>
      </c>
      <c r="AA1653">
        <v>8</v>
      </c>
      <c r="AB1653">
        <v>3</v>
      </c>
      <c r="AC1653">
        <v>0</v>
      </c>
      <c r="AD1653">
        <v>9</v>
      </c>
      <c r="AE1653">
        <v>0</v>
      </c>
      <c r="AF1653">
        <v>3</v>
      </c>
      <c r="AG1653">
        <v>1</v>
      </c>
      <c r="AH1653">
        <v>0</v>
      </c>
      <c r="AI1653" t="s">
        <v>876</v>
      </c>
      <c r="AJ1653">
        <v>33.072924999999998</v>
      </c>
      <c r="AK1653" t="s">
        <v>877</v>
      </c>
      <c r="AL1653">
        <v>-97.674744000000004</v>
      </c>
      <c r="AM1653">
        <v>25</v>
      </c>
      <c r="AN1653">
        <v>3400</v>
      </c>
      <c r="AO1653" t="s">
        <v>118</v>
      </c>
      <c r="AP1653">
        <v>44</v>
      </c>
      <c r="AQ1653">
        <v>-110</v>
      </c>
      <c r="AR1653">
        <v>-64</v>
      </c>
      <c r="AZ1653">
        <v>1200</v>
      </c>
      <c r="BA1653">
        <v>1</v>
      </c>
      <c r="BB1653" t="str">
        <f t="shared" si="488"/>
        <v xml:space="preserve">N733KP  </v>
      </c>
      <c r="BC1653">
        <v>1</v>
      </c>
      <c r="BE1653">
        <v>0</v>
      </c>
      <c r="BF1653">
        <v>0</v>
      </c>
      <c r="BG1653">
        <v>0</v>
      </c>
      <c r="BH1653">
        <v>3425</v>
      </c>
      <c r="BI1653">
        <v>1</v>
      </c>
      <c r="BJ1653">
        <v>1</v>
      </c>
      <c r="BK1653">
        <v>0</v>
      </c>
      <c r="BL1653">
        <v>0</v>
      </c>
      <c r="BO1653">
        <v>0</v>
      </c>
      <c r="BP1653">
        <v>0</v>
      </c>
      <c r="BW1653" t="str">
        <f>"22:16:24.941"</f>
        <v>22:16:24.941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7</v>
      </c>
      <c r="CP1653" t="s">
        <v>119</v>
      </c>
      <c r="CQ1653">
        <v>364</v>
      </c>
      <c r="CR1653">
        <v>0</v>
      </c>
      <c r="CW1653">
        <v>1428550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>"03/24/2022 22:16:25.641"</f>
        <v>03/24/2022 22:16:25.641</v>
      </c>
      <c r="C1654" t="str">
        <f t="shared" si="486"/>
        <v>FFDFD3C0</v>
      </c>
      <c r="D1654" t="s">
        <v>126</v>
      </c>
      <c r="E1654">
        <v>3</v>
      </c>
      <c r="H1654">
        <v>160</v>
      </c>
      <c r="I1654" t="s">
        <v>121</v>
      </c>
      <c r="J1654" t="s">
        <v>127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S1654" t="str">
        <f t="shared" ref="S1654:T1657" si="496">"22:16:25.000"</f>
        <v>22:16:25.000</v>
      </c>
      <c r="T1654" t="str">
        <f t="shared" si="496"/>
        <v>22:16:25.000</v>
      </c>
      <c r="U1654" t="str">
        <f t="shared" si="481"/>
        <v>A9D71F</v>
      </c>
      <c r="V1654">
        <v>0</v>
      </c>
      <c r="W1654">
        <v>0</v>
      </c>
      <c r="X1654">
        <v>2</v>
      </c>
      <c r="Z1654">
        <v>1</v>
      </c>
      <c r="AA1654">
        <v>8</v>
      </c>
      <c r="AB1654">
        <v>3</v>
      </c>
      <c r="AC1654">
        <v>0</v>
      </c>
      <c r="AD1654">
        <v>9</v>
      </c>
      <c r="AE1654">
        <v>0</v>
      </c>
      <c r="AF1654">
        <v>3</v>
      </c>
      <c r="AG1654">
        <v>1</v>
      </c>
      <c r="AH1654">
        <v>0</v>
      </c>
      <c r="AI1654" t="s">
        <v>878</v>
      </c>
      <c r="AJ1654">
        <v>33.072409999999998</v>
      </c>
      <c r="AK1654" t="s">
        <v>879</v>
      </c>
      <c r="AL1654">
        <v>-97.674486999999999</v>
      </c>
      <c r="AM1654">
        <v>25</v>
      </c>
      <c r="AN1654">
        <v>3500</v>
      </c>
      <c r="AO1654" t="s">
        <v>118</v>
      </c>
      <c r="AP1654">
        <v>44</v>
      </c>
      <c r="AQ1654">
        <v>-111</v>
      </c>
      <c r="AR1654">
        <v>-64</v>
      </c>
      <c r="AZ1654">
        <v>1200</v>
      </c>
      <c r="BA1654">
        <v>1</v>
      </c>
      <c r="BB1654" t="str">
        <f t="shared" si="488"/>
        <v xml:space="preserve">N733KP  </v>
      </c>
      <c r="BC1654">
        <v>1</v>
      </c>
      <c r="BE1654">
        <v>0</v>
      </c>
      <c r="BF1654">
        <v>0</v>
      </c>
      <c r="BG1654">
        <v>0</v>
      </c>
      <c r="BH1654">
        <v>3425</v>
      </c>
      <c r="BI1654">
        <v>1</v>
      </c>
      <c r="BJ1654">
        <v>1</v>
      </c>
      <c r="BK1654">
        <v>0</v>
      </c>
      <c r="BL1654">
        <v>0</v>
      </c>
      <c r="BO1654">
        <v>0</v>
      </c>
      <c r="BP1654">
        <v>0</v>
      </c>
      <c r="BW1654" t="str">
        <f>"22:16:25.438"</f>
        <v>22:16:25.438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7</v>
      </c>
      <c r="CP1654" t="s">
        <v>119</v>
      </c>
      <c r="CQ1654">
        <v>364</v>
      </c>
      <c r="CR1654">
        <v>0</v>
      </c>
      <c r="CW1654">
        <v>1428621</v>
      </c>
      <c r="CY1654">
        <v>1</v>
      </c>
      <c r="CZ1654">
        <v>0</v>
      </c>
      <c r="DA1654">
        <v>0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"03/24/2022 22:16:25.641"</f>
        <v>03/24/2022 22:16:25.641</v>
      </c>
      <c r="C1655" t="str">
        <f t="shared" si="486"/>
        <v>FFDFD3C0</v>
      </c>
      <c r="D1655" t="s">
        <v>123</v>
      </c>
      <c r="E1655">
        <v>8</v>
      </c>
      <c r="H1655">
        <v>31</v>
      </c>
      <c r="I1655" t="s">
        <v>124</v>
      </c>
      <c r="J1655" t="s">
        <v>125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S1655" t="str">
        <f t="shared" si="496"/>
        <v>22:16:25.000</v>
      </c>
      <c r="T1655" t="str">
        <f t="shared" si="496"/>
        <v>22:16:25.000</v>
      </c>
      <c r="U1655" t="str">
        <f t="shared" si="481"/>
        <v>A9D71F</v>
      </c>
      <c r="V1655">
        <v>0</v>
      </c>
      <c r="W1655">
        <v>0</v>
      </c>
      <c r="X1655">
        <v>2</v>
      </c>
      <c r="Z1655">
        <v>1</v>
      </c>
      <c r="AA1655">
        <v>8</v>
      </c>
      <c r="AB1655">
        <v>3</v>
      </c>
      <c r="AC1655">
        <v>0</v>
      </c>
      <c r="AD1655">
        <v>9</v>
      </c>
      <c r="AE1655">
        <v>0</v>
      </c>
      <c r="AF1655">
        <v>3</v>
      </c>
      <c r="AG1655">
        <v>1</v>
      </c>
      <c r="AH1655">
        <v>0</v>
      </c>
      <c r="AI1655" t="s">
        <v>878</v>
      </c>
      <c r="AJ1655">
        <v>33.072409999999998</v>
      </c>
      <c r="AK1655" t="s">
        <v>879</v>
      </c>
      <c r="AL1655">
        <v>-97.674486999999999</v>
      </c>
      <c r="AM1655">
        <v>25</v>
      </c>
      <c r="AN1655">
        <v>3500</v>
      </c>
      <c r="AO1655" t="s">
        <v>118</v>
      </c>
      <c r="AP1655">
        <v>44</v>
      </c>
      <c r="AQ1655">
        <v>-111</v>
      </c>
      <c r="AR1655">
        <v>-64</v>
      </c>
      <c r="AZ1655">
        <v>1200</v>
      </c>
      <c r="BA1655">
        <v>1</v>
      </c>
      <c r="BB1655" t="str">
        <f t="shared" si="488"/>
        <v xml:space="preserve">N733KP  </v>
      </c>
      <c r="BC1655">
        <v>1</v>
      </c>
      <c r="BE1655">
        <v>0</v>
      </c>
      <c r="BF1655">
        <v>0</v>
      </c>
      <c r="BG1655">
        <v>0</v>
      </c>
      <c r="BH1655">
        <v>3425</v>
      </c>
      <c r="BI1655">
        <v>1</v>
      </c>
      <c r="BJ1655">
        <v>1</v>
      </c>
      <c r="BK1655">
        <v>0</v>
      </c>
      <c r="BL1655">
        <v>0</v>
      </c>
      <c r="BO1655">
        <v>0</v>
      </c>
      <c r="BP1655">
        <v>0</v>
      </c>
      <c r="BW1655" t="str">
        <f>"22:16:25.438"</f>
        <v>22:16:25.438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7</v>
      </c>
      <c r="CP1655" t="s">
        <v>119</v>
      </c>
      <c r="CQ1655">
        <v>364</v>
      </c>
      <c r="CR1655">
        <v>0</v>
      </c>
      <c r="CW1655">
        <v>1428621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"03/24/2022 22:16:25.641"</f>
        <v>03/24/2022 22:16:25.641</v>
      </c>
      <c r="C1656" t="str">
        <f t="shared" si="486"/>
        <v>FFDFD3C0</v>
      </c>
      <c r="D1656" t="s">
        <v>113</v>
      </c>
      <c r="E1656">
        <v>24</v>
      </c>
      <c r="F1656">
        <v>2024</v>
      </c>
      <c r="G1656" t="s">
        <v>114</v>
      </c>
      <c r="J1656" t="s">
        <v>115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S1656" t="str">
        <f t="shared" si="496"/>
        <v>22:16:25.000</v>
      </c>
      <c r="T1656" t="str">
        <f t="shared" si="496"/>
        <v>22:16:25.000</v>
      </c>
      <c r="U1656" t="str">
        <f t="shared" si="481"/>
        <v>A9D71F</v>
      </c>
      <c r="V1656">
        <v>0</v>
      </c>
      <c r="W1656">
        <v>0</v>
      </c>
      <c r="X1656">
        <v>2</v>
      </c>
      <c r="Z1656">
        <v>1</v>
      </c>
      <c r="AA1656">
        <v>8</v>
      </c>
      <c r="AB1656">
        <v>3</v>
      </c>
      <c r="AC1656">
        <v>0</v>
      </c>
      <c r="AD1656">
        <v>9</v>
      </c>
      <c r="AE1656">
        <v>0</v>
      </c>
      <c r="AF1656">
        <v>3</v>
      </c>
      <c r="AG1656">
        <v>1</v>
      </c>
      <c r="AH1656">
        <v>0</v>
      </c>
      <c r="AI1656" t="s">
        <v>878</v>
      </c>
      <c r="AJ1656">
        <v>33.072409999999998</v>
      </c>
      <c r="AK1656" t="s">
        <v>879</v>
      </c>
      <c r="AL1656">
        <v>-97.674486999999999</v>
      </c>
      <c r="AM1656">
        <v>25</v>
      </c>
      <c r="AN1656">
        <v>3500</v>
      </c>
      <c r="AO1656" t="s">
        <v>118</v>
      </c>
      <c r="AP1656">
        <v>44</v>
      </c>
      <c r="AQ1656">
        <v>-111</v>
      </c>
      <c r="AR1656">
        <v>-64</v>
      </c>
      <c r="AZ1656">
        <v>1200</v>
      </c>
      <c r="BA1656">
        <v>1</v>
      </c>
      <c r="BB1656" t="str">
        <f t="shared" si="488"/>
        <v xml:space="preserve">N733KP  </v>
      </c>
      <c r="BC1656">
        <v>1</v>
      </c>
      <c r="BE1656">
        <v>0</v>
      </c>
      <c r="BF1656">
        <v>0</v>
      </c>
      <c r="BG1656">
        <v>0</v>
      </c>
      <c r="BH1656">
        <v>3425</v>
      </c>
      <c r="BI1656">
        <v>1</v>
      </c>
      <c r="BJ1656">
        <v>1</v>
      </c>
      <c r="BK1656">
        <v>0</v>
      </c>
      <c r="BL1656">
        <v>0</v>
      </c>
      <c r="BO1656">
        <v>0</v>
      </c>
      <c r="BP1656">
        <v>0</v>
      </c>
      <c r="BW1656" t="str">
        <f>"22:16:25.438"</f>
        <v>22:16:25.438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7</v>
      </c>
      <c r="CP1656" t="s">
        <v>119</v>
      </c>
      <c r="CQ1656">
        <v>364</v>
      </c>
      <c r="CR1656">
        <v>0</v>
      </c>
      <c r="CW1656">
        <v>1428621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"03/24/2022 22:16:25.641"</f>
        <v>03/24/2022 22:16:25.641</v>
      </c>
      <c r="C1657" t="str">
        <f t="shared" si="486"/>
        <v>FFDFD3C0</v>
      </c>
      <c r="D1657" t="s">
        <v>120</v>
      </c>
      <c r="E1657">
        <v>14</v>
      </c>
      <c r="F1657">
        <v>1014</v>
      </c>
      <c r="G1657" t="s">
        <v>121</v>
      </c>
      <c r="J1657" t="s">
        <v>122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S1657" t="str">
        <f t="shared" si="496"/>
        <v>22:16:25.000</v>
      </c>
      <c r="T1657" t="str">
        <f t="shared" si="496"/>
        <v>22:16:25.000</v>
      </c>
      <c r="U1657" t="str">
        <f t="shared" si="481"/>
        <v>A9D71F</v>
      </c>
      <c r="V1657">
        <v>0</v>
      </c>
      <c r="W1657">
        <v>0</v>
      </c>
      <c r="X1657">
        <v>2</v>
      </c>
      <c r="Z1657">
        <v>1</v>
      </c>
      <c r="AA1657">
        <v>8</v>
      </c>
      <c r="AB1657">
        <v>3</v>
      </c>
      <c r="AC1657">
        <v>0</v>
      </c>
      <c r="AD1657">
        <v>9</v>
      </c>
      <c r="AE1657">
        <v>0</v>
      </c>
      <c r="AF1657">
        <v>3</v>
      </c>
      <c r="AG1657">
        <v>1</v>
      </c>
      <c r="AH1657">
        <v>0</v>
      </c>
      <c r="AI1657" t="s">
        <v>878</v>
      </c>
      <c r="AJ1657">
        <v>33.072409999999998</v>
      </c>
      <c r="AK1657" t="s">
        <v>879</v>
      </c>
      <c r="AL1657">
        <v>-97.674486999999999</v>
      </c>
      <c r="AM1657">
        <v>25</v>
      </c>
      <c r="AN1657">
        <v>3500</v>
      </c>
      <c r="AO1657" t="s">
        <v>118</v>
      </c>
      <c r="AP1657">
        <v>44</v>
      </c>
      <c r="AQ1657">
        <v>-111</v>
      </c>
      <c r="AR1657">
        <v>-64</v>
      </c>
      <c r="AZ1657">
        <v>1200</v>
      </c>
      <c r="BA1657">
        <v>1</v>
      </c>
      <c r="BB1657" t="str">
        <f t="shared" si="488"/>
        <v xml:space="preserve">N733KP  </v>
      </c>
      <c r="BC1657">
        <v>1</v>
      </c>
      <c r="BE1657">
        <v>0</v>
      </c>
      <c r="BF1657">
        <v>0</v>
      </c>
      <c r="BG1657">
        <v>0</v>
      </c>
      <c r="BH1657">
        <v>3425</v>
      </c>
      <c r="BI1657">
        <v>1</v>
      </c>
      <c r="BJ1657">
        <v>1</v>
      </c>
      <c r="BK1657">
        <v>0</v>
      </c>
      <c r="BL1657">
        <v>0</v>
      </c>
      <c r="BO1657">
        <v>0</v>
      </c>
      <c r="BP1657">
        <v>0</v>
      </c>
      <c r="BW1657" t="str">
        <f>"22:16:25.438"</f>
        <v>22:16:25.438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7</v>
      </c>
      <c r="CP1657" t="s">
        <v>119</v>
      </c>
      <c r="CQ1657">
        <v>364</v>
      </c>
      <c r="CR1657">
        <v>0</v>
      </c>
      <c r="CW1657">
        <v>1428621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"03/24/2022 22:16:27.095"</f>
        <v>03/24/2022 22:16:27.095</v>
      </c>
      <c r="C1658" t="str">
        <f t="shared" si="486"/>
        <v>FFDFD3C0</v>
      </c>
      <c r="D1658" t="s">
        <v>126</v>
      </c>
      <c r="E1658">
        <v>3</v>
      </c>
      <c r="H1658">
        <v>160</v>
      </c>
      <c r="I1658" t="s">
        <v>121</v>
      </c>
      <c r="J1658" t="s">
        <v>127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S1658" t="str">
        <f t="shared" ref="S1658:T1661" si="497">"22:16:26.000"</f>
        <v>22:16:26.000</v>
      </c>
      <c r="T1658" t="str">
        <f t="shared" si="497"/>
        <v>22:16:26.000</v>
      </c>
      <c r="U1658" t="str">
        <f t="shared" si="481"/>
        <v>A9D71F</v>
      </c>
      <c r="V1658">
        <v>0</v>
      </c>
      <c r="W1658">
        <v>0</v>
      </c>
      <c r="X1658">
        <v>2</v>
      </c>
      <c r="Z1658">
        <v>1</v>
      </c>
      <c r="AA1658">
        <v>8</v>
      </c>
      <c r="AB1658">
        <v>3</v>
      </c>
      <c r="AC1658">
        <v>0</v>
      </c>
      <c r="AD1658">
        <v>9</v>
      </c>
      <c r="AE1658">
        <v>0</v>
      </c>
      <c r="AF1658">
        <v>3</v>
      </c>
      <c r="AG1658">
        <v>1</v>
      </c>
      <c r="AH1658">
        <v>0</v>
      </c>
      <c r="AI1658" t="s">
        <v>880</v>
      </c>
      <c r="AJ1658">
        <v>33.071894999999998</v>
      </c>
      <c r="AK1658" t="s">
        <v>881</v>
      </c>
      <c r="AL1658">
        <v>-97.674250999999998</v>
      </c>
      <c r="AM1658">
        <v>25</v>
      </c>
      <c r="AN1658">
        <v>3500</v>
      </c>
      <c r="AO1658" t="s">
        <v>118</v>
      </c>
      <c r="AP1658">
        <v>43</v>
      </c>
      <c r="AQ1658">
        <v>-109</v>
      </c>
      <c r="AR1658">
        <v>64</v>
      </c>
      <c r="AZ1658">
        <v>1200</v>
      </c>
      <c r="BA1658">
        <v>1</v>
      </c>
      <c r="BB1658" t="str">
        <f t="shared" si="488"/>
        <v xml:space="preserve">N733KP  </v>
      </c>
      <c r="BC1658">
        <v>1</v>
      </c>
      <c r="BE1658">
        <v>0</v>
      </c>
      <c r="BF1658">
        <v>0</v>
      </c>
      <c r="BG1658">
        <v>0</v>
      </c>
      <c r="BH1658">
        <v>3425</v>
      </c>
      <c r="BI1658">
        <v>1</v>
      </c>
      <c r="BJ1658">
        <v>1</v>
      </c>
      <c r="BK1658">
        <v>0</v>
      </c>
      <c r="BL1658">
        <v>0</v>
      </c>
      <c r="BO1658">
        <v>0</v>
      </c>
      <c r="BP1658">
        <v>0</v>
      </c>
      <c r="BW1658" t="str">
        <f>"22:16:26.930"</f>
        <v>22:16:26.930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7</v>
      </c>
      <c r="CP1658" t="s">
        <v>119</v>
      </c>
      <c r="CQ1658">
        <v>364</v>
      </c>
      <c r="CR1658">
        <v>0</v>
      </c>
      <c r="CW1658">
        <v>1428844</v>
      </c>
      <c r="CY1658">
        <v>1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"03/24/2022 22:16:27.095"</f>
        <v>03/24/2022 22:16:27.095</v>
      </c>
      <c r="C1659" t="str">
        <f t="shared" si="486"/>
        <v>FFDFD3C0</v>
      </c>
      <c r="D1659" t="s">
        <v>120</v>
      </c>
      <c r="E1659">
        <v>14</v>
      </c>
      <c r="F1659">
        <v>1014</v>
      </c>
      <c r="G1659" t="s">
        <v>121</v>
      </c>
      <c r="J1659" t="s">
        <v>122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S1659" t="str">
        <f t="shared" si="497"/>
        <v>22:16:26.000</v>
      </c>
      <c r="T1659" t="str">
        <f t="shared" si="497"/>
        <v>22:16:26.000</v>
      </c>
      <c r="U1659" t="str">
        <f t="shared" si="481"/>
        <v>A9D71F</v>
      </c>
      <c r="V1659">
        <v>0</v>
      </c>
      <c r="W1659">
        <v>0</v>
      </c>
      <c r="X1659">
        <v>2</v>
      </c>
      <c r="Z1659">
        <v>1</v>
      </c>
      <c r="AA1659">
        <v>8</v>
      </c>
      <c r="AB1659">
        <v>3</v>
      </c>
      <c r="AC1659">
        <v>0</v>
      </c>
      <c r="AD1659">
        <v>9</v>
      </c>
      <c r="AE1659">
        <v>0</v>
      </c>
      <c r="AF1659">
        <v>3</v>
      </c>
      <c r="AG1659">
        <v>1</v>
      </c>
      <c r="AH1659">
        <v>0</v>
      </c>
      <c r="AI1659" t="s">
        <v>880</v>
      </c>
      <c r="AJ1659">
        <v>33.071894999999998</v>
      </c>
      <c r="AK1659" t="s">
        <v>881</v>
      </c>
      <c r="AL1659">
        <v>-97.674250999999998</v>
      </c>
      <c r="AM1659">
        <v>25</v>
      </c>
      <c r="AN1659">
        <v>3500</v>
      </c>
      <c r="AO1659" t="s">
        <v>118</v>
      </c>
      <c r="AP1659">
        <v>43</v>
      </c>
      <c r="AQ1659">
        <v>-109</v>
      </c>
      <c r="AR1659">
        <v>64</v>
      </c>
      <c r="AZ1659">
        <v>1200</v>
      </c>
      <c r="BA1659">
        <v>1</v>
      </c>
      <c r="BB1659" t="str">
        <f t="shared" si="488"/>
        <v xml:space="preserve">N733KP  </v>
      </c>
      <c r="BC1659">
        <v>1</v>
      </c>
      <c r="BE1659">
        <v>0</v>
      </c>
      <c r="BF1659">
        <v>0</v>
      </c>
      <c r="BG1659">
        <v>0</v>
      </c>
      <c r="BH1659">
        <v>3425</v>
      </c>
      <c r="BI1659">
        <v>1</v>
      </c>
      <c r="BJ1659">
        <v>1</v>
      </c>
      <c r="BK1659">
        <v>0</v>
      </c>
      <c r="BL1659">
        <v>0</v>
      </c>
      <c r="BO1659">
        <v>0</v>
      </c>
      <c r="BP1659">
        <v>0</v>
      </c>
      <c r="BW1659" t="str">
        <f>"22:16:26.930"</f>
        <v>22:16:26.930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7</v>
      </c>
      <c r="CP1659" t="s">
        <v>119</v>
      </c>
      <c r="CQ1659">
        <v>364</v>
      </c>
      <c r="CR1659">
        <v>0</v>
      </c>
      <c r="CW1659">
        <v>1428844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"03/24/2022 22:16:27.142"</f>
        <v>03/24/2022 22:16:27.142</v>
      </c>
      <c r="C1660" t="str">
        <f t="shared" si="486"/>
        <v>FFDFD3C0</v>
      </c>
      <c r="D1660" t="s">
        <v>123</v>
      </c>
      <c r="E1660">
        <v>8</v>
      </c>
      <c r="H1660">
        <v>31</v>
      </c>
      <c r="I1660" t="s">
        <v>124</v>
      </c>
      <c r="J1660" t="s">
        <v>125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S1660" t="str">
        <f t="shared" si="497"/>
        <v>22:16:26.000</v>
      </c>
      <c r="T1660" t="str">
        <f t="shared" si="497"/>
        <v>22:16:26.000</v>
      </c>
      <c r="U1660" t="str">
        <f t="shared" si="481"/>
        <v>A9D71F</v>
      </c>
      <c r="V1660">
        <v>0</v>
      </c>
      <c r="W1660">
        <v>0</v>
      </c>
      <c r="X1660">
        <v>2</v>
      </c>
      <c r="Z1660">
        <v>1</v>
      </c>
      <c r="AA1660">
        <v>8</v>
      </c>
      <c r="AB1660">
        <v>3</v>
      </c>
      <c r="AC1660">
        <v>0</v>
      </c>
      <c r="AD1660">
        <v>9</v>
      </c>
      <c r="AE1660">
        <v>0</v>
      </c>
      <c r="AF1660">
        <v>3</v>
      </c>
      <c r="AG1660">
        <v>1</v>
      </c>
      <c r="AH1660">
        <v>0</v>
      </c>
      <c r="AI1660" t="s">
        <v>880</v>
      </c>
      <c r="AJ1660">
        <v>33.071894999999998</v>
      </c>
      <c r="AK1660" t="s">
        <v>881</v>
      </c>
      <c r="AL1660">
        <v>-97.674250999999998</v>
      </c>
      <c r="AM1660">
        <v>25</v>
      </c>
      <c r="AN1660">
        <v>3500</v>
      </c>
      <c r="AO1660" t="s">
        <v>118</v>
      </c>
      <c r="AP1660">
        <v>43</v>
      </c>
      <c r="AQ1660">
        <v>-109</v>
      </c>
      <c r="AR1660">
        <v>64</v>
      </c>
      <c r="AZ1660">
        <v>1200</v>
      </c>
      <c r="BA1660">
        <v>1</v>
      </c>
      <c r="BB1660" t="str">
        <f t="shared" si="488"/>
        <v xml:space="preserve">N733KP  </v>
      </c>
      <c r="BC1660">
        <v>1</v>
      </c>
      <c r="BE1660">
        <v>0</v>
      </c>
      <c r="BF1660">
        <v>0</v>
      </c>
      <c r="BG1660">
        <v>0</v>
      </c>
      <c r="BH1660">
        <v>3425</v>
      </c>
      <c r="BI1660">
        <v>1</v>
      </c>
      <c r="BJ1660">
        <v>1</v>
      </c>
      <c r="BK1660">
        <v>0</v>
      </c>
      <c r="BL1660">
        <v>0</v>
      </c>
      <c r="BO1660">
        <v>0</v>
      </c>
      <c r="BP1660">
        <v>0</v>
      </c>
      <c r="BW1660" t="str">
        <f>"22:16:26.930"</f>
        <v>22:16:26.930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7</v>
      </c>
      <c r="CP1660" t="s">
        <v>119</v>
      </c>
      <c r="CQ1660">
        <v>364</v>
      </c>
      <c r="CR1660">
        <v>0</v>
      </c>
      <c r="CW1660">
        <v>1428844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"03/24/2022 22:16:27.142"</f>
        <v>03/24/2022 22:16:27.142</v>
      </c>
      <c r="C1661" t="str">
        <f t="shared" si="486"/>
        <v>FFDFD3C0</v>
      </c>
      <c r="D1661" t="s">
        <v>113</v>
      </c>
      <c r="E1661">
        <v>24</v>
      </c>
      <c r="F1661">
        <v>2024</v>
      </c>
      <c r="G1661" t="s">
        <v>114</v>
      </c>
      <c r="J1661" t="s">
        <v>115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S1661" t="str">
        <f t="shared" si="497"/>
        <v>22:16:26.000</v>
      </c>
      <c r="T1661" t="str">
        <f t="shared" si="497"/>
        <v>22:16:26.000</v>
      </c>
      <c r="U1661" t="str">
        <f t="shared" si="481"/>
        <v>A9D71F</v>
      </c>
      <c r="V1661">
        <v>0</v>
      </c>
      <c r="W1661">
        <v>0</v>
      </c>
      <c r="X1661">
        <v>2</v>
      </c>
      <c r="Z1661">
        <v>1</v>
      </c>
      <c r="AA1661">
        <v>8</v>
      </c>
      <c r="AB1661">
        <v>3</v>
      </c>
      <c r="AC1661">
        <v>0</v>
      </c>
      <c r="AD1661">
        <v>9</v>
      </c>
      <c r="AE1661">
        <v>0</v>
      </c>
      <c r="AF1661">
        <v>3</v>
      </c>
      <c r="AG1661">
        <v>1</v>
      </c>
      <c r="AH1661">
        <v>0</v>
      </c>
      <c r="AI1661" t="s">
        <v>880</v>
      </c>
      <c r="AJ1661">
        <v>33.071894999999998</v>
      </c>
      <c r="AK1661" t="s">
        <v>881</v>
      </c>
      <c r="AL1661">
        <v>-97.674250999999998</v>
      </c>
      <c r="AM1661">
        <v>25</v>
      </c>
      <c r="AN1661">
        <v>3500</v>
      </c>
      <c r="AO1661" t="s">
        <v>118</v>
      </c>
      <c r="AP1661">
        <v>43</v>
      </c>
      <c r="AQ1661">
        <v>-109</v>
      </c>
      <c r="AR1661">
        <v>64</v>
      </c>
      <c r="AZ1661">
        <v>1200</v>
      </c>
      <c r="BA1661">
        <v>1</v>
      </c>
      <c r="BB1661" t="str">
        <f t="shared" si="488"/>
        <v xml:space="preserve">N733KP  </v>
      </c>
      <c r="BC1661">
        <v>1</v>
      </c>
      <c r="BE1661">
        <v>0</v>
      </c>
      <c r="BF1661">
        <v>0</v>
      </c>
      <c r="BG1661">
        <v>0</v>
      </c>
      <c r="BH1661">
        <v>3425</v>
      </c>
      <c r="BI1661">
        <v>1</v>
      </c>
      <c r="BJ1661">
        <v>1</v>
      </c>
      <c r="BK1661">
        <v>0</v>
      </c>
      <c r="BL1661">
        <v>0</v>
      </c>
      <c r="BO1661">
        <v>0</v>
      </c>
      <c r="BP1661">
        <v>0</v>
      </c>
      <c r="BW1661" t="str">
        <f>"22:16:26.930"</f>
        <v>22:16:26.930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7</v>
      </c>
      <c r="CP1661" t="s">
        <v>119</v>
      </c>
      <c r="CQ1661">
        <v>364</v>
      </c>
      <c r="CR1661">
        <v>0</v>
      </c>
      <c r="CW1661">
        <v>1428844</v>
      </c>
      <c r="CY1661">
        <v>1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"03/24/2022 22:16:27.782"</f>
        <v>03/24/2022 22:16:27.782</v>
      </c>
      <c r="C1662" t="str">
        <f t="shared" si="486"/>
        <v>FFDFD3C0</v>
      </c>
      <c r="D1662" t="s">
        <v>113</v>
      </c>
      <c r="E1662">
        <v>24</v>
      </c>
      <c r="F1662">
        <v>2024</v>
      </c>
      <c r="G1662" t="s">
        <v>114</v>
      </c>
      <c r="J1662" t="s">
        <v>115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S1662" t="str">
        <f t="shared" ref="S1662:T1665" si="498">"22:16:27.000"</f>
        <v>22:16:27.000</v>
      </c>
      <c r="T1662" t="str">
        <f t="shared" si="498"/>
        <v>22:16:27.000</v>
      </c>
      <c r="U1662" t="str">
        <f t="shared" si="481"/>
        <v>A9D71F</v>
      </c>
      <c r="V1662">
        <v>0</v>
      </c>
      <c r="W1662">
        <v>0</v>
      </c>
      <c r="X1662">
        <v>2</v>
      </c>
      <c r="Z1662">
        <v>1</v>
      </c>
      <c r="AA1662">
        <v>8</v>
      </c>
      <c r="AB1662">
        <v>3</v>
      </c>
      <c r="AC1662">
        <v>0</v>
      </c>
      <c r="AD1662">
        <v>9</v>
      </c>
      <c r="AE1662">
        <v>0</v>
      </c>
      <c r="AF1662">
        <v>3</v>
      </c>
      <c r="AG1662">
        <v>1</v>
      </c>
      <c r="AH1662">
        <v>0</v>
      </c>
      <c r="AI1662" t="s">
        <v>882</v>
      </c>
      <c r="AJ1662">
        <v>33.071401000000002</v>
      </c>
      <c r="AK1662" t="s">
        <v>883</v>
      </c>
      <c r="AL1662">
        <v>-97.673992999999996</v>
      </c>
      <c r="AM1662">
        <v>25</v>
      </c>
      <c r="AN1662">
        <v>3500</v>
      </c>
      <c r="AO1662" t="s">
        <v>118</v>
      </c>
      <c r="AP1662">
        <v>43</v>
      </c>
      <c r="AQ1662">
        <v>-109</v>
      </c>
      <c r="AR1662">
        <v>64</v>
      </c>
      <c r="AZ1662">
        <v>1200</v>
      </c>
      <c r="BA1662">
        <v>1</v>
      </c>
      <c r="BB1662" t="str">
        <f t="shared" si="488"/>
        <v xml:space="preserve">N733KP  </v>
      </c>
      <c r="BC1662">
        <v>1</v>
      </c>
      <c r="BE1662">
        <v>0</v>
      </c>
      <c r="BF1662">
        <v>0</v>
      </c>
      <c r="BG1662">
        <v>0</v>
      </c>
      <c r="BH1662">
        <v>3425</v>
      </c>
      <c r="BI1662">
        <v>1</v>
      </c>
      <c r="BJ1662">
        <v>1</v>
      </c>
      <c r="BK1662">
        <v>0</v>
      </c>
      <c r="BL1662">
        <v>0</v>
      </c>
      <c r="BO1662">
        <v>0</v>
      </c>
      <c r="BP1662">
        <v>0</v>
      </c>
      <c r="BW1662" t="str">
        <f>"22:16:27.633"</f>
        <v>22:16:27.633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119</v>
      </c>
      <c r="CQ1662">
        <v>364</v>
      </c>
      <c r="CR1662">
        <v>0</v>
      </c>
      <c r="CW1662">
        <v>1428953</v>
      </c>
      <c r="CY1662">
        <v>1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"03/24/2022 22:16:27.845"</f>
        <v>03/24/2022 22:16:27.845</v>
      </c>
      <c r="C1663" t="str">
        <f t="shared" si="486"/>
        <v>FFDFD3C0</v>
      </c>
      <c r="D1663" t="s">
        <v>126</v>
      </c>
      <c r="E1663">
        <v>3</v>
      </c>
      <c r="H1663">
        <v>160</v>
      </c>
      <c r="I1663" t="s">
        <v>121</v>
      </c>
      <c r="J1663" t="s">
        <v>127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S1663" t="str">
        <f t="shared" si="498"/>
        <v>22:16:27.000</v>
      </c>
      <c r="T1663" t="str">
        <f t="shared" si="498"/>
        <v>22:16:27.000</v>
      </c>
      <c r="U1663" t="str">
        <f t="shared" si="481"/>
        <v>A9D71F</v>
      </c>
      <c r="V1663">
        <v>0</v>
      </c>
      <c r="W1663">
        <v>0</v>
      </c>
      <c r="X1663">
        <v>2</v>
      </c>
      <c r="Z1663">
        <v>1</v>
      </c>
      <c r="AA1663">
        <v>8</v>
      </c>
      <c r="AB1663">
        <v>3</v>
      </c>
      <c r="AC1663">
        <v>0</v>
      </c>
      <c r="AD1663">
        <v>9</v>
      </c>
      <c r="AE1663">
        <v>0</v>
      </c>
      <c r="AF1663">
        <v>3</v>
      </c>
      <c r="AG1663">
        <v>1</v>
      </c>
      <c r="AH1663">
        <v>0</v>
      </c>
      <c r="AI1663" t="s">
        <v>882</v>
      </c>
      <c r="AJ1663">
        <v>33.071401000000002</v>
      </c>
      <c r="AK1663" t="s">
        <v>883</v>
      </c>
      <c r="AL1663">
        <v>-97.673992999999996</v>
      </c>
      <c r="AM1663">
        <v>25</v>
      </c>
      <c r="AN1663">
        <v>3500</v>
      </c>
      <c r="AO1663" t="s">
        <v>118</v>
      </c>
      <c r="AP1663">
        <v>43</v>
      </c>
      <c r="AQ1663">
        <v>-109</v>
      </c>
      <c r="AR1663">
        <v>64</v>
      </c>
      <c r="AZ1663">
        <v>1200</v>
      </c>
      <c r="BA1663">
        <v>1</v>
      </c>
      <c r="BB1663" t="str">
        <f t="shared" si="488"/>
        <v xml:space="preserve">N733KP  </v>
      </c>
      <c r="BC1663">
        <v>1</v>
      </c>
      <c r="BE1663">
        <v>0</v>
      </c>
      <c r="BF1663">
        <v>0</v>
      </c>
      <c r="BG1663">
        <v>0</v>
      </c>
      <c r="BH1663">
        <v>3425</v>
      </c>
      <c r="BI1663">
        <v>1</v>
      </c>
      <c r="BJ1663">
        <v>1</v>
      </c>
      <c r="BK1663">
        <v>0</v>
      </c>
      <c r="BL1663">
        <v>0</v>
      </c>
      <c r="BO1663">
        <v>0</v>
      </c>
      <c r="BP1663">
        <v>0</v>
      </c>
      <c r="BW1663" t="str">
        <f>"22:16:27.633"</f>
        <v>22:16:27.633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7</v>
      </c>
      <c r="CP1663" t="s">
        <v>119</v>
      </c>
      <c r="CQ1663">
        <v>364</v>
      </c>
      <c r="CR1663">
        <v>0</v>
      </c>
      <c r="CW1663">
        <v>1428953</v>
      </c>
      <c r="CY1663">
        <v>1</v>
      </c>
      <c r="CZ1663">
        <v>0</v>
      </c>
      <c r="DA1663">
        <v>1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"03/24/2022 22:16:27.845"</f>
        <v>03/24/2022 22:16:27.845</v>
      </c>
      <c r="C1664" t="str">
        <f t="shared" si="486"/>
        <v>FFDFD3C0</v>
      </c>
      <c r="D1664" t="s">
        <v>120</v>
      </c>
      <c r="E1664">
        <v>14</v>
      </c>
      <c r="F1664">
        <v>1014</v>
      </c>
      <c r="G1664" t="s">
        <v>121</v>
      </c>
      <c r="J1664" t="s">
        <v>122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S1664" t="str">
        <f t="shared" si="498"/>
        <v>22:16:27.000</v>
      </c>
      <c r="T1664" t="str">
        <f t="shared" si="498"/>
        <v>22:16:27.000</v>
      </c>
      <c r="U1664" t="str">
        <f t="shared" si="481"/>
        <v>A9D71F</v>
      </c>
      <c r="V1664">
        <v>0</v>
      </c>
      <c r="W1664">
        <v>0</v>
      </c>
      <c r="X1664">
        <v>2</v>
      </c>
      <c r="Z1664">
        <v>1</v>
      </c>
      <c r="AA1664">
        <v>8</v>
      </c>
      <c r="AB1664">
        <v>3</v>
      </c>
      <c r="AC1664">
        <v>0</v>
      </c>
      <c r="AD1664">
        <v>9</v>
      </c>
      <c r="AE1664">
        <v>0</v>
      </c>
      <c r="AF1664">
        <v>3</v>
      </c>
      <c r="AG1664">
        <v>1</v>
      </c>
      <c r="AH1664">
        <v>0</v>
      </c>
      <c r="AI1664" t="s">
        <v>882</v>
      </c>
      <c r="AJ1664">
        <v>33.071401000000002</v>
      </c>
      <c r="AK1664" t="s">
        <v>883</v>
      </c>
      <c r="AL1664">
        <v>-97.673992999999996</v>
      </c>
      <c r="AM1664">
        <v>25</v>
      </c>
      <c r="AN1664">
        <v>3500</v>
      </c>
      <c r="AO1664" t="s">
        <v>118</v>
      </c>
      <c r="AP1664">
        <v>43</v>
      </c>
      <c r="AQ1664">
        <v>-109</v>
      </c>
      <c r="AR1664">
        <v>64</v>
      </c>
      <c r="AZ1664">
        <v>1200</v>
      </c>
      <c r="BA1664">
        <v>1</v>
      </c>
      <c r="BB1664" t="str">
        <f t="shared" si="488"/>
        <v xml:space="preserve">N733KP  </v>
      </c>
      <c r="BC1664">
        <v>1</v>
      </c>
      <c r="BE1664">
        <v>0</v>
      </c>
      <c r="BF1664">
        <v>0</v>
      </c>
      <c r="BG1664">
        <v>0</v>
      </c>
      <c r="BH1664">
        <v>3425</v>
      </c>
      <c r="BI1664">
        <v>1</v>
      </c>
      <c r="BJ1664">
        <v>1</v>
      </c>
      <c r="BK1664">
        <v>0</v>
      </c>
      <c r="BL1664">
        <v>0</v>
      </c>
      <c r="BO1664">
        <v>0</v>
      </c>
      <c r="BP1664">
        <v>0</v>
      </c>
      <c r="BW1664" t="str">
        <f>"22:16:27.633"</f>
        <v>22:16:27.633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7</v>
      </c>
      <c r="CP1664" t="s">
        <v>119</v>
      </c>
      <c r="CQ1664">
        <v>364</v>
      </c>
      <c r="CR1664">
        <v>0</v>
      </c>
      <c r="CW1664">
        <v>1428953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"03/24/2022 22:16:27.861"</f>
        <v>03/24/2022 22:16:27.861</v>
      </c>
      <c r="C1665" t="str">
        <f t="shared" si="486"/>
        <v>FFDFD3C0</v>
      </c>
      <c r="D1665" t="s">
        <v>123</v>
      </c>
      <c r="E1665">
        <v>8</v>
      </c>
      <c r="H1665">
        <v>31</v>
      </c>
      <c r="I1665" t="s">
        <v>124</v>
      </c>
      <c r="J1665" t="s">
        <v>125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S1665" t="str">
        <f t="shared" si="498"/>
        <v>22:16:27.000</v>
      </c>
      <c r="T1665" t="str">
        <f t="shared" si="498"/>
        <v>22:16:27.000</v>
      </c>
      <c r="U1665" t="str">
        <f t="shared" si="481"/>
        <v>A9D71F</v>
      </c>
      <c r="V1665">
        <v>0</v>
      </c>
      <c r="W1665">
        <v>0</v>
      </c>
      <c r="X1665">
        <v>2</v>
      </c>
      <c r="Z1665">
        <v>1</v>
      </c>
      <c r="AA1665">
        <v>8</v>
      </c>
      <c r="AB1665">
        <v>3</v>
      </c>
      <c r="AC1665">
        <v>0</v>
      </c>
      <c r="AD1665">
        <v>9</v>
      </c>
      <c r="AE1665">
        <v>0</v>
      </c>
      <c r="AF1665">
        <v>3</v>
      </c>
      <c r="AG1665">
        <v>1</v>
      </c>
      <c r="AH1665">
        <v>0</v>
      </c>
      <c r="AI1665" t="s">
        <v>882</v>
      </c>
      <c r="AJ1665">
        <v>33.071401000000002</v>
      </c>
      <c r="AK1665" t="s">
        <v>883</v>
      </c>
      <c r="AL1665">
        <v>-97.673992999999996</v>
      </c>
      <c r="AM1665">
        <v>25</v>
      </c>
      <c r="AN1665">
        <v>3500</v>
      </c>
      <c r="AO1665" t="s">
        <v>118</v>
      </c>
      <c r="AP1665">
        <v>43</v>
      </c>
      <c r="AQ1665">
        <v>-109</v>
      </c>
      <c r="AR1665">
        <v>64</v>
      </c>
      <c r="AZ1665">
        <v>1200</v>
      </c>
      <c r="BA1665">
        <v>1</v>
      </c>
      <c r="BB1665" t="str">
        <f t="shared" si="488"/>
        <v xml:space="preserve">N733KP  </v>
      </c>
      <c r="BC1665">
        <v>1</v>
      </c>
      <c r="BE1665">
        <v>0</v>
      </c>
      <c r="BF1665">
        <v>0</v>
      </c>
      <c r="BG1665">
        <v>0</v>
      </c>
      <c r="BH1665">
        <v>3425</v>
      </c>
      <c r="BI1665">
        <v>1</v>
      </c>
      <c r="BJ1665">
        <v>1</v>
      </c>
      <c r="BK1665">
        <v>0</v>
      </c>
      <c r="BL1665">
        <v>0</v>
      </c>
      <c r="BO1665">
        <v>0</v>
      </c>
      <c r="BP1665">
        <v>0</v>
      </c>
      <c r="BW1665" t="str">
        <f>"22:16:27.633"</f>
        <v>22:16:27.633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7</v>
      </c>
      <c r="CP1665" t="s">
        <v>119</v>
      </c>
      <c r="CQ1665">
        <v>364</v>
      </c>
      <c r="CR1665">
        <v>0</v>
      </c>
      <c r="CW1665">
        <v>1428953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"03/24/2022 22:16:28.488"</f>
        <v>03/24/2022 22:16:28.488</v>
      </c>
      <c r="C1666" t="str">
        <f t="shared" si="486"/>
        <v>FFDFD3C0</v>
      </c>
      <c r="D1666" t="s">
        <v>120</v>
      </c>
      <c r="E1666">
        <v>14</v>
      </c>
      <c r="F1666">
        <v>1014</v>
      </c>
      <c r="G1666" t="s">
        <v>121</v>
      </c>
      <c r="J1666" t="s">
        <v>122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S1666" t="str">
        <f t="shared" ref="S1666:T1669" si="499">"22:16:28.000"</f>
        <v>22:16:28.000</v>
      </c>
      <c r="T1666" t="str">
        <f t="shared" si="499"/>
        <v>22:16:28.000</v>
      </c>
      <c r="U1666" t="str">
        <f t="shared" ref="U1666:U1729" si="500">"A9D71F"</f>
        <v>A9D71F</v>
      </c>
      <c r="V1666">
        <v>0</v>
      </c>
      <c r="W1666">
        <v>0</v>
      </c>
      <c r="X1666">
        <v>2</v>
      </c>
      <c r="Z1666">
        <v>1</v>
      </c>
      <c r="AA1666">
        <v>8</v>
      </c>
      <c r="AB1666">
        <v>3</v>
      </c>
      <c r="AC1666">
        <v>0</v>
      </c>
      <c r="AD1666">
        <v>9</v>
      </c>
      <c r="AE1666">
        <v>0</v>
      </c>
      <c r="AF1666">
        <v>3</v>
      </c>
      <c r="AG1666">
        <v>1</v>
      </c>
      <c r="AH1666">
        <v>0</v>
      </c>
      <c r="AI1666" t="s">
        <v>884</v>
      </c>
      <c r="AJ1666">
        <v>33.070886000000002</v>
      </c>
      <c r="AK1666" t="s">
        <v>885</v>
      </c>
      <c r="AL1666">
        <v>-97.673756999999995</v>
      </c>
      <c r="AM1666">
        <v>25</v>
      </c>
      <c r="AN1666">
        <v>3500</v>
      </c>
      <c r="AO1666" t="s">
        <v>118</v>
      </c>
      <c r="AP1666">
        <v>43</v>
      </c>
      <c r="AQ1666">
        <v>-109</v>
      </c>
      <c r="AR1666">
        <v>64</v>
      </c>
      <c r="AZ1666">
        <v>1200</v>
      </c>
      <c r="BA1666">
        <v>1</v>
      </c>
      <c r="BB1666" t="str">
        <f t="shared" si="488"/>
        <v xml:space="preserve">N733KP  </v>
      </c>
      <c r="BC1666">
        <v>1</v>
      </c>
      <c r="BE1666">
        <v>0</v>
      </c>
      <c r="BF1666">
        <v>0</v>
      </c>
      <c r="BG1666">
        <v>0</v>
      </c>
      <c r="BH1666">
        <v>3425</v>
      </c>
      <c r="BI1666">
        <v>1</v>
      </c>
      <c r="BJ1666">
        <v>1</v>
      </c>
      <c r="BK1666">
        <v>0</v>
      </c>
      <c r="BL1666">
        <v>0</v>
      </c>
      <c r="BO1666">
        <v>0</v>
      </c>
      <c r="BP1666">
        <v>0</v>
      </c>
      <c r="BW1666" t="str">
        <f>"22:16:28.313"</f>
        <v>22:16:28.313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7</v>
      </c>
      <c r="CP1666" t="s">
        <v>119</v>
      </c>
      <c r="CQ1666">
        <v>364</v>
      </c>
      <c r="CR1666">
        <v>0</v>
      </c>
      <c r="CW1666">
        <v>1429051</v>
      </c>
      <c r="CY1666">
        <v>1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"03/24/2022 22:16:28.488"</f>
        <v>03/24/2022 22:16:28.488</v>
      </c>
      <c r="C1667" t="str">
        <f t="shared" si="486"/>
        <v>FFDFD3C0</v>
      </c>
      <c r="D1667" t="s">
        <v>123</v>
      </c>
      <c r="E1667">
        <v>8</v>
      </c>
      <c r="H1667">
        <v>31</v>
      </c>
      <c r="I1667" t="s">
        <v>124</v>
      </c>
      <c r="J1667" t="s">
        <v>125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S1667" t="str">
        <f t="shared" si="499"/>
        <v>22:16:28.000</v>
      </c>
      <c r="T1667" t="str">
        <f t="shared" si="499"/>
        <v>22:16:28.000</v>
      </c>
      <c r="U1667" t="str">
        <f t="shared" si="500"/>
        <v>A9D71F</v>
      </c>
      <c r="V1667">
        <v>0</v>
      </c>
      <c r="W1667">
        <v>0</v>
      </c>
      <c r="X1667">
        <v>2</v>
      </c>
      <c r="Z1667">
        <v>1</v>
      </c>
      <c r="AA1667">
        <v>8</v>
      </c>
      <c r="AB1667">
        <v>3</v>
      </c>
      <c r="AC1667">
        <v>0</v>
      </c>
      <c r="AD1667">
        <v>9</v>
      </c>
      <c r="AE1667">
        <v>0</v>
      </c>
      <c r="AF1667">
        <v>3</v>
      </c>
      <c r="AG1667">
        <v>1</v>
      </c>
      <c r="AH1667">
        <v>0</v>
      </c>
      <c r="AI1667" t="s">
        <v>884</v>
      </c>
      <c r="AJ1667">
        <v>33.070886000000002</v>
      </c>
      <c r="AK1667" t="s">
        <v>885</v>
      </c>
      <c r="AL1667">
        <v>-97.673756999999995</v>
      </c>
      <c r="AM1667">
        <v>25</v>
      </c>
      <c r="AN1667">
        <v>3500</v>
      </c>
      <c r="AO1667" t="s">
        <v>118</v>
      </c>
      <c r="AP1667">
        <v>43</v>
      </c>
      <c r="AQ1667">
        <v>-109</v>
      </c>
      <c r="AR1667">
        <v>64</v>
      </c>
      <c r="AZ1667">
        <v>1200</v>
      </c>
      <c r="BA1667">
        <v>1</v>
      </c>
      <c r="BB1667" t="str">
        <f t="shared" si="488"/>
        <v xml:space="preserve">N733KP  </v>
      </c>
      <c r="BC1667">
        <v>1</v>
      </c>
      <c r="BE1667">
        <v>0</v>
      </c>
      <c r="BF1667">
        <v>0</v>
      </c>
      <c r="BG1667">
        <v>0</v>
      </c>
      <c r="BH1667">
        <v>3425</v>
      </c>
      <c r="BI1667">
        <v>1</v>
      </c>
      <c r="BJ1667">
        <v>1</v>
      </c>
      <c r="BK1667">
        <v>0</v>
      </c>
      <c r="BL1667">
        <v>0</v>
      </c>
      <c r="BO1667">
        <v>0</v>
      </c>
      <c r="BP1667">
        <v>0</v>
      </c>
      <c r="BW1667" t="str">
        <f>"22:16:28.313"</f>
        <v>22:16:28.313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7</v>
      </c>
      <c r="CP1667" t="s">
        <v>119</v>
      </c>
      <c r="CQ1667">
        <v>364</v>
      </c>
      <c r="CR1667">
        <v>0</v>
      </c>
      <c r="CW1667">
        <v>1429051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"03/24/2022 22:16:28.488"</f>
        <v>03/24/2022 22:16:28.488</v>
      </c>
      <c r="C1668" t="str">
        <f t="shared" si="486"/>
        <v>FFDFD3C0</v>
      </c>
      <c r="D1668" t="s">
        <v>113</v>
      </c>
      <c r="E1668">
        <v>24</v>
      </c>
      <c r="F1668">
        <v>2024</v>
      </c>
      <c r="G1668" t="s">
        <v>114</v>
      </c>
      <c r="J1668" t="s">
        <v>115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S1668" t="str">
        <f t="shared" si="499"/>
        <v>22:16:28.000</v>
      </c>
      <c r="T1668" t="str">
        <f t="shared" si="499"/>
        <v>22:16:28.000</v>
      </c>
      <c r="U1668" t="str">
        <f t="shared" si="500"/>
        <v>A9D71F</v>
      </c>
      <c r="V1668">
        <v>0</v>
      </c>
      <c r="W1668">
        <v>0</v>
      </c>
      <c r="X1668">
        <v>2</v>
      </c>
      <c r="Z1668">
        <v>1</v>
      </c>
      <c r="AA1668">
        <v>8</v>
      </c>
      <c r="AB1668">
        <v>3</v>
      </c>
      <c r="AC1668">
        <v>0</v>
      </c>
      <c r="AD1668">
        <v>9</v>
      </c>
      <c r="AE1668">
        <v>0</v>
      </c>
      <c r="AF1668">
        <v>3</v>
      </c>
      <c r="AG1668">
        <v>1</v>
      </c>
      <c r="AH1668">
        <v>0</v>
      </c>
      <c r="AI1668" t="s">
        <v>884</v>
      </c>
      <c r="AJ1668">
        <v>33.070886000000002</v>
      </c>
      <c r="AK1668" t="s">
        <v>885</v>
      </c>
      <c r="AL1668">
        <v>-97.673756999999995</v>
      </c>
      <c r="AM1668">
        <v>25</v>
      </c>
      <c r="AN1668">
        <v>3500</v>
      </c>
      <c r="AO1668" t="s">
        <v>118</v>
      </c>
      <c r="AP1668">
        <v>43</v>
      </c>
      <c r="AQ1668">
        <v>-109</v>
      </c>
      <c r="AR1668">
        <v>64</v>
      </c>
      <c r="AZ1668">
        <v>1200</v>
      </c>
      <c r="BA1668">
        <v>1</v>
      </c>
      <c r="BB1668" t="str">
        <f t="shared" si="488"/>
        <v xml:space="preserve">N733KP  </v>
      </c>
      <c r="BC1668">
        <v>1</v>
      </c>
      <c r="BE1668">
        <v>0</v>
      </c>
      <c r="BF1668">
        <v>0</v>
      </c>
      <c r="BG1668">
        <v>0</v>
      </c>
      <c r="BH1668">
        <v>3425</v>
      </c>
      <c r="BI1668">
        <v>1</v>
      </c>
      <c r="BJ1668">
        <v>1</v>
      </c>
      <c r="BK1668">
        <v>0</v>
      </c>
      <c r="BL1668">
        <v>0</v>
      </c>
      <c r="BO1668">
        <v>0</v>
      </c>
      <c r="BP1668">
        <v>0</v>
      </c>
      <c r="BW1668" t="str">
        <f>"22:16:28.313"</f>
        <v>22:16:28.313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7</v>
      </c>
      <c r="CP1668" t="s">
        <v>119</v>
      </c>
      <c r="CQ1668">
        <v>364</v>
      </c>
      <c r="CR1668">
        <v>0</v>
      </c>
      <c r="CW1668">
        <v>1429051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"03/24/2022 22:16:28.550"</f>
        <v>03/24/2022 22:16:28.550</v>
      </c>
      <c r="C1669" t="str">
        <f t="shared" si="486"/>
        <v>FFDFD3C0</v>
      </c>
      <c r="D1669" t="s">
        <v>126</v>
      </c>
      <c r="E1669">
        <v>3</v>
      </c>
      <c r="H1669">
        <v>160</v>
      </c>
      <c r="I1669" t="s">
        <v>121</v>
      </c>
      <c r="J1669" t="s">
        <v>127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S1669" t="str">
        <f t="shared" si="499"/>
        <v>22:16:28.000</v>
      </c>
      <c r="T1669" t="str">
        <f t="shared" si="499"/>
        <v>22:16:28.000</v>
      </c>
      <c r="U1669" t="str">
        <f t="shared" si="500"/>
        <v>A9D71F</v>
      </c>
      <c r="V1669">
        <v>0</v>
      </c>
      <c r="W1669">
        <v>0</v>
      </c>
      <c r="X1669">
        <v>2</v>
      </c>
      <c r="Z1669">
        <v>1</v>
      </c>
      <c r="AA1669">
        <v>8</v>
      </c>
      <c r="AB1669">
        <v>3</v>
      </c>
      <c r="AC1669">
        <v>0</v>
      </c>
      <c r="AD1669">
        <v>9</v>
      </c>
      <c r="AE1669">
        <v>0</v>
      </c>
      <c r="AF1669">
        <v>3</v>
      </c>
      <c r="AG1669">
        <v>1</v>
      </c>
      <c r="AH1669">
        <v>0</v>
      </c>
      <c r="AI1669" t="s">
        <v>884</v>
      </c>
      <c r="AJ1669">
        <v>33.070886000000002</v>
      </c>
      <c r="AK1669" t="s">
        <v>885</v>
      </c>
      <c r="AL1669">
        <v>-97.673756999999995</v>
      </c>
      <c r="AM1669">
        <v>25</v>
      </c>
      <c r="AN1669">
        <v>3500</v>
      </c>
      <c r="AO1669" t="s">
        <v>118</v>
      </c>
      <c r="AP1669">
        <v>43</v>
      </c>
      <c r="AQ1669">
        <v>-109</v>
      </c>
      <c r="AR1669">
        <v>64</v>
      </c>
      <c r="AZ1669">
        <v>1200</v>
      </c>
      <c r="BA1669">
        <v>1</v>
      </c>
      <c r="BB1669" t="str">
        <f t="shared" si="488"/>
        <v xml:space="preserve">N733KP  </v>
      </c>
      <c r="BC1669">
        <v>1</v>
      </c>
      <c r="BE1669">
        <v>0</v>
      </c>
      <c r="BF1669">
        <v>0</v>
      </c>
      <c r="BG1669">
        <v>0</v>
      </c>
      <c r="BH1669">
        <v>3425</v>
      </c>
      <c r="BI1669">
        <v>1</v>
      </c>
      <c r="BJ1669">
        <v>1</v>
      </c>
      <c r="BK1669">
        <v>0</v>
      </c>
      <c r="BL1669">
        <v>0</v>
      </c>
      <c r="BO1669">
        <v>0</v>
      </c>
      <c r="BP1669">
        <v>0</v>
      </c>
      <c r="BW1669" t="str">
        <f>"22:16:28.313"</f>
        <v>22:16:28.313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7</v>
      </c>
      <c r="CP1669" t="s">
        <v>119</v>
      </c>
      <c r="CQ1669">
        <v>364</v>
      </c>
      <c r="CR1669">
        <v>0</v>
      </c>
      <c r="CW1669">
        <v>1429051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"03/24/2022 22:16:29.425"</f>
        <v>03/24/2022 22:16:29.425</v>
      </c>
      <c r="C1670" t="str">
        <f t="shared" si="486"/>
        <v>FFDFD3C0</v>
      </c>
      <c r="D1670" t="s">
        <v>113</v>
      </c>
      <c r="E1670">
        <v>24</v>
      </c>
      <c r="F1670">
        <v>2024</v>
      </c>
      <c r="G1670" t="s">
        <v>114</v>
      </c>
      <c r="J1670" t="s">
        <v>115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S1670" t="str">
        <f t="shared" ref="S1670:T1673" si="501">"22:16:29.000"</f>
        <v>22:16:29.000</v>
      </c>
      <c r="T1670" t="str">
        <f t="shared" si="501"/>
        <v>22:16:29.000</v>
      </c>
      <c r="U1670" t="str">
        <f t="shared" si="500"/>
        <v>A9D71F</v>
      </c>
      <c r="V1670">
        <v>0</v>
      </c>
      <c r="W1670">
        <v>0</v>
      </c>
      <c r="X1670">
        <v>2</v>
      </c>
      <c r="Z1670">
        <v>1</v>
      </c>
      <c r="AA1670">
        <v>8</v>
      </c>
      <c r="AB1670">
        <v>3</v>
      </c>
      <c r="AC1670">
        <v>0</v>
      </c>
      <c r="AD1670">
        <v>9</v>
      </c>
      <c r="AE1670">
        <v>0</v>
      </c>
      <c r="AF1670">
        <v>3</v>
      </c>
      <c r="AG1670">
        <v>1</v>
      </c>
      <c r="AH1670">
        <v>0</v>
      </c>
      <c r="AI1670" t="s">
        <v>886</v>
      </c>
      <c r="AJ1670">
        <v>33.070371000000002</v>
      </c>
      <c r="AK1670" t="s">
        <v>887</v>
      </c>
      <c r="AL1670">
        <v>-97.673520999999994</v>
      </c>
      <c r="AM1670">
        <v>25</v>
      </c>
      <c r="AN1670">
        <v>3400</v>
      </c>
      <c r="AO1670" t="s">
        <v>118</v>
      </c>
      <c r="AP1670">
        <v>42</v>
      </c>
      <c r="AQ1670">
        <v>-108</v>
      </c>
      <c r="AR1670">
        <v>128</v>
      </c>
      <c r="AZ1670">
        <v>1200</v>
      </c>
      <c r="BA1670">
        <v>1</v>
      </c>
      <c r="BB1670" t="str">
        <f t="shared" si="488"/>
        <v xml:space="preserve">N733KP  </v>
      </c>
      <c r="BC1670">
        <v>1</v>
      </c>
      <c r="BE1670">
        <v>0</v>
      </c>
      <c r="BF1670">
        <v>0</v>
      </c>
      <c r="BG1670">
        <v>0</v>
      </c>
      <c r="BH1670">
        <v>3425</v>
      </c>
      <c r="BI1670">
        <v>1</v>
      </c>
      <c r="BJ1670">
        <v>1</v>
      </c>
      <c r="BK1670">
        <v>0</v>
      </c>
      <c r="BL1670">
        <v>0</v>
      </c>
      <c r="BO1670">
        <v>0</v>
      </c>
      <c r="BP1670">
        <v>0</v>
      </c>
      <c r="BW1670" t="str">
        <f>"22:16:29.222"</f>
        <v>22:16:29.222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4</v>
      </c>
      <c r="CP1670" t="s">
        <v>119</v>
      </c>
      <c r="CQ1670">
        <v>440</v>
      </c>
      <c r="CR1670">
        <v>0</v>
      </c>
      <c r="CW1670">
        <v>6711245</v>
      </c>
      <c r="CY1670">
        <v>1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"03/24/2022 22:16:29.378"</f>
        <v>03/24/2022 22:16:29.378</v>
      </c>
      <c r="C1671" t="str">
        <f t="shared" si="486"/>
        <v>FFDFD3C0</v>
      </c>
      <c r="D1671" t="s">
        <v>123</v>
      </c>
      <c r="E1671">
        <v>8</v>
      </c>
      <c r="H1671">
        <v>31</v>
      </c>
      <c r="I1671" t="s">
        <v>124</v>
      </c>
      <c r="J1671" t="s">
        <v>125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S1671" t="str">
        <f t="shared" si="501"/>
        <v>22:16:29.000</v>
      </c>
      <c r="T1671" t="str">
        <f t="shared" si="501"/>
        <v>22:16:29.000</v>
      </c>
      <c r="U1671" t="str">
        <f t="shared" si="500"/>
        <v>A9D71F</v>
      </c>
      <c r="V1671">
        <v>0</v>
      </c>
      <c r="W1671">
        <v>0</v>
      </c>
      <c r="X1671">
        <v>2</v>
      </c>
      <c r="Z1671">
        <v>1</v>
      </c>
      <c r="AA1671">
        <v>8</v>
      </c>
      <c r="AB1671">
        <v>3</v>
      </c>
      <c r="AC1671">
        <v>0</v>
      </c>
      <c r="AD1671">
        <v>9</v>
      </c>
      <c r="AE1671">
        <v>0</v>
      </c>
      <c r="AF1671">
        <v>3</v>
      </c>
      <c r="AG1671">
        <v>1</v>
      </c>
      <c r="AH1671">
        <v>0</v>
      </c>
      <c r="AI1671" t="s">
        <v>886</v>
      </c>
      <c r="AJ1671">
        <v>33.070371000000002</v>
      </c>
      <c r="AK1671" t="s">
        <v>887</v>
      </c>
      <c r="AL1671">
        <v>-97.673520999999994</v>
      </c>
      <c r="AM1671">
        <v>25</v>
      </c>
      <c r="AN1671">
        <v>3400</v>
      </c>
      <c r="AO1671" t="s">
        <v>118</v>
      </c>
      <c r="AP1671">
        <v>42</v>
      </c>
      <c r="AQ1671">
        <v>-108</v>
      </c>
      <c r="AR1671">
        <v>128</v>
      </c>
      <c r="AZ1671">
        <v>1200</v>
      </c>
      <c r="BA1671">
        <v>1</v>
      </c>
      <c r="BB1671" t="str">
        <f t="shared" si="488"/>
        <v xml:space="preserve">N733KP  </v>
      </c>
      <c r="BC1671">
        <v>1</v>
      </c>
      <c r="BE1671">
        <v>0</v>
      </c>
      <c r="BF1671">
        <v>0</v>
      </c>
      <c r="BG1671">
        <v>0</v>
      </c>
      <c r="BH1671">
        <v>3425</v>
      </c>
      <c r="BI1671">
        <v>1</v>
      </c>
      <c r="BJ1671">
        <v>1</v>
      </c>
      <c r="BK1671">
        <v>0</v>
      </c>
      <c r="BL1671">
        <v>0</v>
      </c>
      <c r="BO1671">
        <v>0</v>
      </c>
      <c r="BP1671">
        <v>0</v>
      </c>
      <c r="BW1671" t="str">
        <f>"22:16:29.222"</f>
        <v>22:16:29.222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0</v>
      </c>
      <c r="CP1671" t="s">
        <v>119</v>
      </c>
      <c r="CQ1671">
        <v>352</v>
      </c>
      <c r="CR1671">
        <v>0</v>
      </c>
      <c r="CW1671">
        <v>11253713</v>
      </c>
      <c r="CY1671">
        <v>1</v>
      </c>
      <c r="CZ1671">
        <v>0</v>
      </c>
      <c r="DA1671">
        <v>1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"03/24/2022 22:16:29.425"</f>
        <v>03/24/2022 22:16:29.425</v>
      </c>
      <c r="C1672" t="str">
        <f t="shared" si="486"/>
        <v>FFDFD3C0</v>
      </c>
      <c r="D1672" t="s">
        <v>126</v>
      </c>
      <c r="E1672">
        <v>3</v>
      </c>
      <c r="H1672">
        <v>160</v>
      </c>
      <c r="I1672" t="s">
        <v>121</v>
      </c>
      <c r="J1672" t="s">
        <v>127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S1672" t="str">
        <f t="shared" si="501"/>
        <v>22:16:29.000</v>
      </c>
      <c r="T1672" t="str">
        <f t="shared" si="501"/>
        <v>22:16:29.000</v>
      </c>
      <c r="U1672" t="str">
        <f t="shared" si="500"/>
        <v>A9D71F</v>
      </c>
      <c r="V1672">
        <v>0</v>
      </c>
      <c r="W1672">
        <v>0</v>
      </c>
      <c r="X1672">
        <v>2</v>
      </c>
      <c r="Z1672">
        <v>1</v>
      </c>
      <c r="AA1672">
        <v>8</v>
      </c>
      <c r="AB1672">
        <v>3</v>
      </c>
      <c r="AC1672">
        <v>0</v>
      </c>
      <c r="AD1672">
        <v>9</v>
      </c>
      <c r="AE1672">
        <v>0</v>
      </c>
      <c r="AF1672">
        <v>3</v>
      </c>
      <c r="AG1672">
        <v>1</v>
      </c>
      <c r="AH1672">
        <v>0</v>
      </c>
      <c r="AI1672" t="s">
        <v>886</v>
      </c>
      <c r="AJ1672">
        <v>33.070371000000002</v>
      </c>
      <c r="AK1672" t="s">
        <v>887</v>
      </c>
      <c r="AL1672">
        <v>-97.673520999999994</v>
      </c>
      <c r="AM1672">
        <v>25</v>
      </c>
      <c r="AN1672">
        <v>3400</v>
      </c>
      <c r="AO1672" t="s">
        <v>118</v>
      </c>
      <c r="AP1672">
        <v>42</v>
      </c>
      <c r="AQ1672">
        <v>-108</v>
      </c>
      <c r="AR1672">
        <v>128</v>
      </c>
      <c r="AZ1672">
        <v>1200</v>
      </c>
      <c r="BA1672">
        <v>1</v>
      </c>
      <c r="BB1672" t="str">
        <f t="shared" si="488"/>
        <v xml:space="preserve">N733KP  </v>
      </c>
      <c r="BC1672">
        <v>1</v>
      </c>
      <c r="BE1672">
        <v>0</v>
      </c>
      <c r="BF1672">
        <v>0</v>
      </c>
      <c r="BG1672">
        <v>0</v>
      </c>
      <c r="BH1672">
        <v>3425</v>
      </c>
      <c r="BI1672">
        <v>1</v>
      </c>
      <c r="BJ1672">
        <v>1</v>
      </c>
      <c r="BK1672">
        <v>0</v>
      </c>
      <c r="BL1672">
        <v>0</v>
      </c>
      <c r="BO1672">
        <v>0</v>
      </c>
      <c r="BP1672">
        <v>0</v>
      </c>
      <c r="BW1672" t="str">
        <f>"22:16:29.222"</f>
        <v>22:16:29.222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4</v>
      </c>
      <c r="CP1672" t="s">
        <v>119</v>
      </c>
      <c r="CQ1672">
        <v>440</v>
      </c>
      <c r="CR1672">
        <v>0</v>
      </c>
      <c r="CW1672">
        <v>6711245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"03/24/2022 22:16:29.472"</f>
        <v>03/24/2022 22:16:29.472</v>
      </c>
      <c r="C1673" t="str">
        <f t="shared" si="486"/>
        <v>FFDFD3C0</v>
      </c>
      <c r="D1673" t="s">
        <v>120</v>
      </c>
      <c r="E1673">
        <v>14</v>
      </c>
      <c r="F1673">
        <v>1014</v>
      </c>
      <c r="G1673" t="s">
        <v>121</v>
      </c>
      <c r="J1673" t="s">
        <v>122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S1673" t="str">
        <f t="shared" si="501"/>
        <v>22:16:29.000</v>
      </c>
      <c r="T1673" t="str">
        <f t="shared" si="501"/>
        <v>22:16:29.000</v>
      </c>
      <c r="U1673" t="str">
        <f t="shared" si="500"/>
        <v>A9D71F</v>
      </c>
      <c r="V1673">
        <v>0</v>
      </c>
      <c r="W1673">
        <v>0</v>
      </c>
      <c r="X1673">
        <v>2</v>
      </c>
      <c r="Z1673">
        <v>1</v>
      </c>
      <c r="AA1673">
        <v>8</v>
      </c>
      <c r="AB1673">
        <v>3</v>
      </c>
      <c r="AC1673">
        <v>0</v>
      </c>
      <c r="AD1673">
        <v>9</v>
      </c>
      <c r="AE1673">
        <v>0</v>
      </c>
      <c r="AF1673">
        <v>3</v>
      </c>
      <c r="AG1673">
        <v>1</v>
      </c>
      <c r="AH1673">
        <v>0</v>
      </c>
      <c r="AI1673" t="s">
        <v>886</v>
      </c>
      <c r="AJ1673">
        <v>33.070371000000002</v>
      </c>
      <c r="AK1673" t="s">
        <v>887</v>
      </c>
      <c r="AL1673">
        <v>-97.673520999999994</v>
      </c>
      <c r="AM1673">
        <v>25</v>
      </c>
      <c r="AN1673">
        <v>3400</v>
      </c>
      <c r="AO1673" t="s">
        <v>118</v>
      </c>
      <c r="AP1673">
        <v>42</v>
      </c>
      <c r="AQ1673">
        <v>-108</v>
      </c>
      <c r="AR1673">
        <v>128</v>
      </c>
      <c r="AZ1673">
        <v>1200</v>
      </c>
      <c r="BA1673">
        <v>1</v>
      </c>
      <c r="BB1673" t="str">
        <f t="shared" si="488"/>
        <v xml:space="preserve">N733KP  </v>
      </c>
      <c r="BC1673">
        <v>1</v>
      </c>
      <c r="BE1673">
        <v>0</v>
      </c>
      <c r="BF1673">
        <v>0</v>
      </c>
      <c r="BG1673">
        <v>0</v>
      </c>
      <c r="BH1673">
        <v>3425</v>
      </c>
      <c r="BI1673">
        <v>1</v>
      </c>
      <c r="BJ1673">
        <v>1</v>
      </c>
      <c r="BK1673">
        <v>0</v>
      </c>
      <c r="BL1673">
        <v>0</v>
      </c>
      <c r="BO1673">
        <v>0</v>
      </c>
      <c r="BP1673">
        <v>0</v>
      </c>
      <c r="BW1673" t="str">
        <f>"22:16:29.222"</f>
        <v>22:16:29.222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4</v>
      </c>
      <c r="CP1673" t="s">
        <v>119</v>
      </c>
      <c r="CQ1673">
        <v>440</v>
      </c>
      <c r="CR1673">
        <v>0</v>
      </c>
      <c r="CW1673">
        <v>6711245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"03/24/2022 22:16:30.660"</f>
        <v>03/24/2022 22:16:30.660</v>
      </c>
      <c r="C1674" t="str">
        <f t="shared" si="486"/>
        <v>FFDFD3C0</v>
      </c>
      <c r="D1674" t="s">
        <v>120</v>
      </c>
      <c r="E1674">
        <v>14</v>
      </c>
      <c r="F1674">
        <v>1014</v>
      </c>
      <c r="G1674" t="s">
        <v>121</v>
      </c>
      <c r="J1674" t="s">
        <v>122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S1674" t="str">
        <f t="shared" ref="S1674:T1677" si="502">"22:16:30.000"</f>
        <v>22:16:30.000</v>
      </c>
      <c r="T1674" t="str">
        <f t="shared" si="502"/>
        <v>22:16:30.000</v>
      </c>
      <c r="U1674" t="str">
        <f t="shared" si="500"/>
        <v>A9D71F</v>
      </c>
      <c r="V1674">
        <v>0</v>
      </c>
      <c r="W1674">
        <v>0</v>
      </c>
      <c r="X1674">
        <v>2</v>
      </c>
      <c r="Z1674">
        <v>1</v>
      </c>
      <c r="AA1674">
        <v>8</v>
      </c>
      <c r="AB1674">
        <v>3</v>
      </c>
      <c r="AC1674">
        <v>0</v>
      </c>
      <c r="AD1674">
        <v>9</v>
      </c>
      <c r="AE1674">
        <v>0</v>
      </c>
      <c r="AF1674">
        <v>3</v>
      </c>
      <c r="AG1674">
        <v>1</v>
      </c>
      <c r="AH1674">
        <v>0</v>
      </c>
      <c r="AI1674" t="s">
        <v>888</v>
      </c>
      <c r="AJ1674">
        <v>33.069856000000001</v>
      </c>
      <c r="AK1674" t="s">
        <v>889</v>
      </c>
      <c r="AL1674">
        <v>-97.673285000000007</v>
      </c>
      <c r="AM1674">
        <v>25</v>
      </c>
      <c r="AN1674">
        <v>3500</v>
      </c>
      <c r="AO1674" t="s">
        <v>118</v>
      </c>
      <c r="AP1674">
        <v>42</v>
      </c>
      <c r="AQ1674">
        <v>-108</v>
      </c>
      <c r="AR1674">
        <v>64</v>
      </c>
      <c r="AZ1674">
        <v>1200</v>
      </c>
      <c r="BA1674">
        <v>1</v>
      </c>
      <c r="BB1674" t="str">
        <f t="shared" si="488"/>
        <v xml:space="preserve">N733KP  </v>
      </c>
      <c r="BC1674">
        <v>1</v>
      </c>
      <c r="BE1674">
        <v>0</v>
      </c>
      <c r="BF1674">
        <v>0</v>
      </c>
      <c r="BG1674">
        <v>0</v>
      </c>
      <c r="BH1674">
        <v>3425</v>
      </c>
      <c r="BI1674">
        <v>1</v>
      </c>
      <c r="BJ1674">
        <v>1</v>
      </c>
      <c r="BK1674">
        <v>0</v>
      </c>
      <c r="BL1674">
        <v>0</v>
      </c>
      <c r="BO1674">
        <v>0</v>
      </c>
      <c r="BP1674">
        <v>0</v>
      </c>
      <c r="BW1674" t="str">
        <f>"22:16:30.490"</f>
        <v>22:16:30.490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7</v>
      </c>
      <c r="CP1674" t="s">
        <v>119</v>
      </c>
      <c r="CQ1674">
        <v>364</v>
      </c>
      <c r="CR1674">
        <v>0</v>
      </c>
      <c r="CW1674">
        <v>1429365</v>
      </c>
      <c r="CY1674">
        <v>1</v>
      </c>
      <c r="CZ1674">
        <v>0</v>
      </c>
      <c r="DA1674">
        <v>0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"03/24/2022 22:16:30.660"</f>
        <v>03/24/2022 22:16:30.660</v>
      </c>
      <c r="C1675" t="str">
        <f t="shared" si="486"/>
        <v>FFDFD3C0</v>
      </c>
      <c r="D1675" t="s">
        <v>123</v>
      </c>
      <c r="E1675">
        <v>8</v>
      </c>
      <c r="H1675">
        <v>31</v>
      </c>
      <c r="I1675" t="s">
        <v>124</v>
      </c>
      <c r="J1675" t="s">
        <v>125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S1675" t="str">
        <f t="shared" si="502"/>
        <v>22:16:30.000</v>
      </c>
      <c r="T1675" t="str">
        <f t="shared" si="502"/>
        <v>22:16:30.000</v>
      </c>
      <c r="U1675" t="str">
        <f t="shared" si="500"/>
        <v>A9D71F</v>
      </c>
      <c r="V1675">
        <v>0</v>
      </c>
      <c r="W1675">
        <v>0</v>
      </c>
      <c r="X1675">
        <v>2</v>
      </c>
      <c r="Z1675">
        <v>1</v>
      </c>
      <c r="AA1675">
        <v>8</v>
      </c>
      <c r="AB1675">
        <v>3</v>
      </c>
      <c r="AC1675">
        <v>0</v>
      </c>
      <c r="AD1675">
        <v>9</v>
      </c>
      <c r="AE1675">
        <v>0</v>
      </c>
      <c r="AF1675">
        <v>3</v>
      </c>
      <c r="AG1675">
        <v>1</v>
      </c>
      <c r="AH1675">
        <v>0</v>
      </c>
      <c r="AI1675" t="s">
        <v>888</v>
      </c>
      <c r="AJ1675">
        <v>33.069856000000001</v>
      </c>
      <c r="AK1675" t="s">
        <v>889</v>
      </c>
      <c r="AL1675">
        <v>-97.673285000000007</v>
      </c>
      <c r="AM1675">
        <v>25</v>
      </c>
      <c r="AN1675">
        <v>3500</v>
      </c>
      <c r="AO1675" t="s">
        <v>118</v>
      </c>
      <c r="AP1675">
        <v>42</v>
      </c>
      <c r="AQ1675">
        <v>-108</v>
      </c>
      <c r="AR1675">
        <v>64</v>
      </c>
      <c r="AZ1675">
        <v>1200</v>
      </c>
      <c r="BA1675">
        <v>1</v>
      </c>
      <c r="BB1675" t="str">
        <f t="shared" si="488"/>
        <v xml:space="preserve">N733KP  </v>
      </c>
      <c r="BC1675">
        <v>1</v>
      </c>
      <c r="BE1675">
        <v>0</v>
      </c>
      <c r="BF1675">
        <v>0</v>
      </c>
      <c r="BG1675">
        <v>0</v>
      </c>
      <c r="BH1675">
        <v>3425</v>
      </c>
      <c r="BI1675">
        <v>1</v>
      </c>
      <c r="BJ1675">
        <v>1</v>
      </c>
      <c r="BK1675">
        <v>0</v>
      </c>
      <c r="BL1675">
        <v>0</v>
      </c>
      <c r="BO1675">
        <v>0</v>
      </c>
      <c r="BP1675">
        <v>0</v>
      </c>
      <c r="BW1675" t="str">
        <f>"22:16:30.490"</f>
        <v>22:16:30.490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364</v>
      </c>
      <c r="CR1675">
        <v>0</v>
      </c>
      <c r="CW1675">
        <v>1429365</v>
      </c>
      <c r="CY1675">
        <v>1</v>
      </c>
      <c r="CZ1675">
        <v>0</v>
      </c>
      <c r="DA1675">
        <v>1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"03/24/2022 22:16:30.675"</f>
        <v>03/24/2022 22:16:30.675</v>
      </c>
      <c r="C1676" t="str">
        <f t="shared" si="486"/>
        <v>FFDFD3C0</v>
      </c>
      <c r="D1676" t="s">
        <v>113</v>
      </c>
      <c r="E1676">
        <v>24</v>
      </c>
      <c r="F1676">
        <v>2024</v>
      </c>
      <c r="G1676" t="s">
        <v>114</v>
      </c>
      <c r="J1676" t="s">
        <v>115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S1676" t="str">
        <f t="shared" si="502"/>
        <v>22:16:30.000</v>
      </c>
      <c r="T1676" t="str">
        <f t="shared" si="502"/>
        <v>22:16:30.000</v>
      </c>
      <c r="U1676" t="str">
        <f t="shared" si="500"/>
        <v>A9D71F</v>
      </c>
      <c r="V1676">
        <v>0</v>
      </c>
      <c r="W1676">
        <v>0</v>
      </c>
      <c r="X1676">
        <v>2</v>
      </c>
      <c r="Z1676">
        <v>1</v>
      </c>
      <c r="AA1676">
        <v>8</v>
      </c>
      <c r="AB1676">
        <v>3</v>
      </c>
      <c r="AC1676">
        <v>0</v>
      </c>
      <c r="AD1676">
        <v>9</v>
      </c>
      <c r="AE1676">
        <v>0</v>
      </c>
      <c r="AF1676">
        <v>3</v>
      </c>
      <c r="AG1676">
        <v>1</v>
      </c>
      <c r="AH1676">
        <v>0</v>
      </c>
      <c r="AI1676" t="s">
        <v>888</v>
      </c>
      <c r="AJ1676">
        <v>33.069856000000001</v>
      </c>
      <c r="AK1676" t="s">
        <v>889</v>
      </c>
      <c r="AL1676">
        <v>-97.673285000000007</v>
      </c>
      <c r="AM1676">
        <v>25</v>
      </c>
      <c r="AN1676">
        <v>3500</v>
      </c>
      <c r="AO1676" t="s">
        <v>118</v>
      </c>
      <c r="AP1676">
        <v>42</v>
      </c>
      <c r="AQ1676">
        <v>-108</v>
      </c>
      <c r="AR1676">
        <v>64</v>
      </c>
      <c r="AZ1676">
        <v>1200</v>
      </c>
      <c r="BA1676">
        <v>1</v>
      </c>
      <c r="BB1676" t="str">
        <f t="shared" si="488"/>
        <v xml:space="preserve">N733KP  </v>
      </c>
      <c r="BC1676">
        <v>1</v>
      </c>
      <c r="BE1676">
        <v>0</v>
      </c>
      <c r="BF1676">
        <v>0</v>
      </c>
      <c r="BG1676">
        <v>0</v>
      </c>
      <c r="BH1676">
        <v>3425</v>
      </c>
      <c r="BI1676">
        <v>1</v>
      </c>
      <c r="BJ1676">
        <v>1</v>
      </c>
      <c r="BK1676">
        <v>0</v>
      </c>
      <c r="BL1676">
        <v>0</v>
      </c>
      <c r="BO1676">
        <v>0</v>
      </c>
      <c r="BP1676">
        <v>0</v>
      </c>
      <c r="BW1676" t="str">
        <f>"22:16:30.490"</f>
        <v>22:16:30.490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364</v>
      </c>
      <c r="CR1676">
        <v>0</v>
      </c>
      <c r="CW1676">
        <v>1429365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"03/24/2022 22:16:30.691"</f>
        <v>03/24/2022 22:16:30.691</v>
      </c>
      <c r="C1677" t="str">
        <f t="shared" si="486"/>
        <v>FFDFD3C0</v>
      </c>
      <c r="D1677" t="s">
        <v>126</v>
      </c>
      <c r="E1677">
        <v>3</v>
      </c>
      <c r="H1677">
        <v>160</v>
      </c>
      <c r="I1677" t="s">
        <v>121</v>
      </c>
      <c r="J1677" t="s">
        <v>127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S1677" t="str">
        <f t="shared" si="502"/>
        <v>22:16:30.000</v>
      </c>
      <c r="T1677" t="str">
        <f t="shared" si="502"/>
        <v>22:16:30.000</v>
      </c>
      <c r="U1677" t="str">
        <f t="shared" si="500"/>
        <v>A9D71F</v>
      </c>
      <c r="V1677">
        <v>0</v>
      </c>
      <c r="W1677">
        <v>0</v>
      </c>
      <c r="X1677">
        <v>2</v>
      </c>
      <c r="Z1677">
        <v>1</v>
      </c>
      <c r="AA1677">
        <v>8</v>
      </c>
      <c r="AB1677">
        <v>3</v>
      </c>
      <c r="AC1677">
        <v>0</v>
      </c>
      <c r="AD1677">
        <v>9</v>
      </c>
      <c r="AE1677">
        <v>0</v>
      </c>
      <c r="AF1677">
        <v>3</v>
      </c>
      <c r="AG1677">
        <v>1</v>
      </c>
      <c r="AH1677">
        <v>0</v>
      </c>
      <c r="AI1677" t="s">
        <v>888</v>
      </c>
      <c r="AJ1677">
        <v>33.069856000000001</v>
      </c>
      <c r="AK1677" t="s">
        <v>889</v>
      </c>
      <c r="AL1677">
        <v>-97.673285000000007</v>
      </c>
      <c r="AM1677">
        <v>25</v>
      </c>
      <c r="AN1677">
        <v>3500</v>
      </c>
      <c r="AO1677" t="s">
        <v>118</v>
      </c>
      <c r="AP1677">
        <v>42</v>
      </c>
      <c r="AQ1677">
        <v>-108</v>
      </c>
      <c r="AR1677">
        <v>64</v>
      </c>
      <c r="AZ1677">
        <v>1200</v>
      </c>
      <c r="BA1677">
        <v>1</v>
      </c>
      <c r="BB1677" t="str">
        <f t="shared" si="488"/>
        <v xml:space="preserve">N733KP  </v>
      </c>
      <c r="BC1677">
        <v>1</v>
      </c>
      <c r="BE1677">
        <v>0</v>
      </c>
      <c r="BF1677">
        <v>0</v>
      </c>
      <c r="BG1677">
        <v>0</v>
      </c>
      <c r="BH1677">
        <v>3425</v>
      </c>
      <c r="BI1677">
        <v>1</v>
      </c>
      <c r="BJ1677">
        <v>1</v>
      </c>
      <c r="BK1677">
        <v>0</v>
      </c>
      <c r="BL1677">
        <v>0</v>
      </c>
      <c r="BO1677">
        <v>0</v>
      </c>
      <c r="BP1677">
        <v>0</v>
      </c>
      <c r="BW1677" t="str">
        <f>"22:16:30.490"</f>
        <v>22:16:30.490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364</v>
      </c>
      <c r="CR1677">
        <v>0</v>
      </c>
      <c r="CW1677">
        <v>1429365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"03/24/2022 22:16:32.833"</f>
        <v>03/24/2022 22:16:32.833</v>
      </c>
      <c r="C1678" t="str">
        <f t="shared" si="486"/>
        <v>FFDFD3C0</v>
      </c>
      <c r="D1678" t="s">
        <v>123</v>
      </c>
      <c r="E1678">
        <v>8</v>
      </c>
      <c r="H1678">
        <v>31</v>
      </c>
      <c r="I1678" t="s">
        <v>124</v>
      </c>
      <c r="J1678" t="s">
        <v>125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S1678" t="str">
        <f t="shared" ref="S1678:T1681" si="503">"22:16:32.000"</f>
        <v>22:16:32.000</v>
      </c>
      <c r="T1678" t="str">
        <f t="shared" si="503"/>
        <v>22:16:32.000</v>
      </c>
      <c r="U1678" t="str">
        <f t="shared" si="500"/>
        <v>A9D71F</v>
      </c>
      <c r="V1678">
        <v>0</v>
      </c>
      <c r="W1678">
        <v>0</v>
      </c>
      <c r="X1678">
        <v>2</v>
      </c>
      <c r="Z1678">
        <v>1</v>
      </c>
      <c r="AA1678">
        <v>8</v>
      </c>
      <c r="AB1678">
        <v>3</v>
      </c>
      <c r="AC1678">
        <v>0</v>
      </c>
      <c r="AD1678">
        <v>9</v>
      </c>
      <c r="AE1678">
        <v>0</v>
      </c>
      <c r="AF1678">
        <v>3</v>
      </c>
      <c r="AG1678">
        <v>1</v>
      </c>
      <c r="AH1678">
        <v>0</v>
      </c>
      <c r="AI1678" t="s">
        <v>890</v>
      </c>
      <c r="AJ1678">
        <v>33.068848000000003</v>
      </c>
      <c r="AK1678" t="s">
        <v>891</v>
      </c>
      <c r="AL1678">
        <v>-97.672791000000004</v>
      </c>
      <c r="AM1678">
        <v>25</v>
      </c>
      <c r="AN1678">
        <v>3500</v>
      </c>
      <c r="AO1678" t="s">
        <v>118</v>
      </c>
      <c r="AP1678">
        <v>42</v>
      </c>
      <c r="AQ1678">
        <v>-108</v>
      </c>
      <c r="AR1678">
        <v>-64</v>
      </c>
      <c r="AZ1678">
        <v>1200</v>
      </c>
      <c r="BA1678">
        <v>1</v>
      </c>
      <c r="BB1678" t="str">
        <f t="shared" si="488"/>
        <v xml:space="preserve">N733KP  </v>
      </c>
      <c r="BC1678">
        <v>1</v>
      </c>
      <c r="BE1678">
        <v>0</v>
      </c>
      <c r="BF1678">
        <v>0</v>
      </c>
      <c r="BG1678">
        <v>0</v>
      </c>
      <c r="BH1678">
        <v>3425</v>
      </c>
      <c r="BI1678">
        <v>1</v>
      </c>
      <c r="BJ1678">
        <v>1</v>
      </c>
      <c r="BK1678">
        <v>0</v>
      </c>
      <c r="BL1678">
        <v>0</v>
      </c>
      <c r="BO1678">
        <v>0</v>
      </c>
      <c r="BP1678">
        <v>0</v>
      </c>
      <c r="BW1678" t="str">
        <f>"22:16:32.660"</f>
        <v>22:16:32.660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119</v>
      </c>
      <c r="CQ1678">
        <v>364</v>
      </c>
      <c r="CR1678">
        <v>0</v>
      </c>
      <c r="CW1678">
        <v>1429684</v>
      </c>
      <c r="CY1678">
        <v>1</v>
      </c>
      <c r="CZ1678">
        <v>0</v>
      </c>
      <c r="DA1678">
        <v>0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"03/24/2022 22:16:32.833"</f>
        <v>03/24/2022 22:16:32.833</v>
      </c>
      <c r="C1679" t="str">
        <f t="shared" si="486"/>
        <v>FFDFD3C0</v>
      </c>
      <c r="D1679" t="s">
        <v>120</v>
      </c>
      <c r="E1679">
        <v>14</v>
      </c>
      <c r="F1679">
        <v>1014</v>
      </c>
      <c r="G1679" t="s">
        <v>121</v>
      </c>
      <c r="J1679" t="s">
        <v>122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S1679" t="str">
        <f t="shared" si="503"/>
        <v>22:16:32.000</v>
      </c>
      <c r="T1679" t="str">
        <f t="shared" si="503"/>
        <v>22:16:32.000</v>
      </c>
      <c r="U1679" t="str">
        <f t="shared" si="500"/>
        <v>A9D71F</v>
      </c>
      <c r="V1679">
        <v>0</v>
      </c>
      <c r="W1679">
        <v>0</v>
      </c>
      <c r="X1679">
        <v>2</v>
      </c>
      <c r="Z1679">
        <v>1</v>
      </c>
      <c r="AA1679">
        <v>8</v>
      </c>
      <c r="AB1679">
        <v>3</v>
      </c>
      <c r="AC1679">
        <v>0</v>
      </c>
      <c r="AD1679">
        <v>9</v>
      </c>
      <c r="AE1679">
        <v>0</v>
      </c>
      <c r="AF1679">
        <v>3</v>
      </c>
      <c r="AG1679">
        <v>1</v>
      </c>
      <c r="AH1679">
        <v>0</v>
      </c>
      <c r="AI1679" t="s">
        <v>890</v>
      </c>
      <c r="AJ1679">
        <v>33.068848000000003</v>
      </c>
      <c r="AK1679" t="s">
        <v>891</v>
      </c>
      <c r="AL1679">
        <v>-97.672791000000004</v>
      </c>
      <c r="AM1679">
        <v>25</v>
      </c>
      <c r="AN1679">
        <v>3500</v>
      </c>
      <c r="AO1679" t="s">
        <v>118</v>
      </c>
      <c r="AP1679">
        <v>42</v>
      </c>
      <c r="AQ1679">
        <v>-108</v>
      </c>
      <c r="AR1679">
        <v>-64</v>
      </c>
      <c r="AZ1679">
        <v>1200</v>
      </c>
      <c r="BA1679">
        <v>1</v>
      </c>
      <c r="BB1679" t="str">
        <f t="shared" si="488"/>
        <v xml:space="preserve">N733KP  </v>
      </c>
      <c r="BC1679">
        <v>1</v>
      </c>
      <c r="BE1679">
        <v>0</v>
      </c>
      <c r="BF1679">
        <v>0</v>
      </c>
      <c r="BG1679">
        <v>0</v>
      </c>
      <c r="BH1679">
        <v>3425</v>
      </c>
      <c r="BI1679">
        <v>1</v>
      </c>
      <c r="BJ1679">
        <v>1</v>
      </c>
      <c r="BK1679">
        <v>0</v>
      </c>
      <c r="BL1679">
        <v>0</v>
      </c>
      <c r="BO1679">
        <v>0</v>
      </c>
      <c r="BP1679">
        <v>0</v>
      </c>
      <c r="BW1679" t="str">
        <f>"22:16:32.660"</f>
        <v>22:16:32.660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119</v>
      </c>
      <c r="CQ1679">
        <v>364</v>
      </c>
      <c r="CR1679">
        <v>0</v>
      </c>
      <c r="CW1679">
        <v>1429684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"03/24/2022 22:16:32.864"</f>
        <v>03/24/2022 22:16:32.864</v>
      </c>
      <c r="C1680" t="str">
        <f t="shared" si="486"/>
        <v>FFDFD3C0</v>
      </c>
      <c r="D1680" t="s">
        <v>113</v>
      </c>
      <c r="E1680">
        <v>24</v>
      </c>
      <c r="F1680">
        <v>2024</v>
      </c>
      <c r="G1680" t="s">
        <v>114</v>
      </c>
      <c r="J1680" t="s">
        <v>115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S1680" t="str">
        <f t="shared" si="503"/>
        <v>22:16:32.000</v>
      </c>
      <c r="T1680" t="str">
        <f t="shared" si="503"/>
        <v>22:16:32.000</v>
      </c>
      <c r="U1680" t="str">
        <f t="shared" si="500"/>
        <v>A9D71F</v>
      </c>
      <c r="V1680">
        <v>0</v>
      </c>
      <c r="W1680">
        <v>0</v>
      </c>
      <c r="X1680">
        <v>2</v>
      </c>
      <c r="Z1680">
        <v>1</v>
      </c>
      <c r="AA1680">
        <v>8</v>
      </c>
      <c r="AB1680">
        <v>3</v>
      </c>
      <c r="AC1680">
        <v>0</v>
      </c>
      <c r="AD1680">
        <v>9</v>
      </c>
      <c r="AE1680">
        <v>0</v>
      </c>
      <c r="AF1680">
        <v>3</v>
      </c>
      <c r="AG1680">
        <v>1</v>
      </c>
      <c r="AH1680">
        <v>0</v>
      </c>
      <c r="AI1680" t="s">
        <v>890</v>
      </c>
      <c r="AJ1680">
        <v>33.068848000000003</v>
      </c>
      <c r="AK1680" t="s">
        <v>891</v>
      </c>
      <c r="AL1680">
        <v>-97.672791000000004</v>
      </c>
      <c r="AM1680">
        <v>25</v>
      </c>
      <c r="AN1680">
        <v>3500</v>
      </c>
      <c r="AO1680" t="s">
        <v>118</v>
      </c>
      <c r="AP1680">
        <v>42</v>
      </c>
      <c r="AQ1680">
        <v>-108</v>
      </c>
      <c r="AR1680">
        <v>-64</v>
      </c>
      <c r="AZ1680">
        <v>1200</v>
      </c>
      <c r="BA1680">
        <v>1</v>
      </c>
      <c r="BB1680" t="str">
        <f t="shared" si="488"/>
        <v xml:space="preserve">N733KP  </v>
      </c>
      <c r="BC1680">
        <v>1</v>
      </c>
      <c r="BE1680">
        <v>0</v>
      </c>
      <c r="BF1680">
        <v>0</v>
      </c>
      <c r="BG1680">
        <v>0</v>
      </c>
      <c r="BH1680">
        <v>3425</v>
      </c>
      <c r="BI1680">
        <v>1</v>
      </c>
      <c r="BJ1680">
        <v>1</v>
      </c>
      <c r="BK1680">
        <v>0</v>
      </c>
      <c r="BL1680">
        <v>0</v>
      </c>
      <c r="BO1680">
        <v>0</v>
      </c>
      <c r="BP1680">
        <v>0</v>
      </c>
      <c r="BW1680" t="str">
        <f>"22:16:32.660"</f>
        <v>22:16:32.660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119</v>
      </c>
      <c r="CQ1680">
        <v>364</v>
      </c>
      <c r="CR1680">
        <v>0</v>
      </c>
      <c r="CW1680">
        <v>1429684</v>
      </c>
      <c r="CY1680">
        <v>1</v>
      </c>
      <c r="CZ1680">
        <v>0</v>
      </c>
      <c r="DA1680">
        <v>1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"03/24/2022 22:16:32.864"</f>
        <v>03/24/2022 22:16:32.864</v>
      </c>
      <c r="C1681" t="str">
        <f t="shared" si="486"/>
        <v>FFDFD3C0</v>
      </c>
      <c r="D1681" t="s">
        <v>126</v>
      </c>
      <c r="E1681">
        <v>3</v>
      </c>
      <c r="H1681">
        <v>160</v>
      </c>
      <c r="I1681" t="s">
        <v>121</v>
      </c>
      <c r="J1681" t="s">
        <v>127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S1681" t="str">
        <f t="shared" si="503"/>
        <v>22:16:32.000</v>
      </c>
      <c r="T1681" t="str">
        <f t="shared" si="503"/>
        <v>22:16:32.000</v>
      </c>
      <c r="U1681" t="str">
        <f t="shared" si="500"/>
        <v>A9D71F</v>
      </c>
      <c r="V1681">
        <v>0</v>
      </c>
      <c r="W1681">
        <v>0</v>
      </c>
      <c r="X1681">
        <v>2</v>
      </c>
      <c r="Z1681">
        <v>1</v>
      </c>
      <c r="AA1681">
        <v>8</v>
      </c>
      <c r="AB1681">
        <v>3</v>
      </c>
      <c r="AC1681">
        <v>0</v>
      </c>
      <c r="AD1681">
        <v>9</v>
      </c>
      <c r="AE1681">
        <v>0</v>
      </c>
      <c r="AF1681">
        <v>3</v>
      </c>
      <c r="AG1681">
        <v>1</v>
      </c>
      <c r="AH1681">
        <v>0</v>
      </c>
      <c r="AI1681" t="s">
        <v>890</v>
      </c>
      <c r="AJ1681">
        <v>33.068848000000003</v>
      </c>
      <c r="AK1681" t="s">
        <v>891</v>
      </c>
      <c r="AL1681">
        <v>-97.672791000000004</v>
      </c>
      <c r="AM1681">
        <v>25</v>
      </c>
      <c r="AN1681">
        <v>3500</v>
      </c>
      <c r="AO1681" t="s">
        <v>118</v>
      </c>
      <c r="AP1681">
        <v>42</v>
      </c>
      <c r="AQ1681">
        <v>-108</v>
      </c>
      <c r="AR1681">
        <v>-64</v>
      </c>
      <c r="AZ1681">
        <v>1200</v>
      </c>
      <c r="BA1681">
        <v>1</v>
      </c>
      <c r="BB1681" t="str">
        <f t="shared" si="488"/>
        <v xml:space="preserve">N733KP  </v>
      </c>
      <c r="BC1681">
        <v>1</v>
      </c>
      <c r="BE1681">
        <v>0</v>
      </c>
      <c r="BF1681">
        <v>0</v>
      </c>
      <c r="BG1681">
        <v>0</v>
      </c>
      <c r="BH1681">
        <v>3425</v>
      </c>
      <c r="BI1681">
        <v>1</v>
      </c>
      <c r="BJ1681">
        <v>1</v>
      </c>
      <c r="BK1681">
        <v>0</v>
      </c>
      <c r="BL1681">
        <v>0</v>
      </c>
      <c r="BO1681">
        <v>0</v>
      </c>
      <c r="BP1681">
        <v>0</v>
      </c>
      <c r="BW1681" t="str">
        <f>"22:16:32.660"</f>
        <v>22:16:32.660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364</v>
      </c>
      <c r="CR1681">
        <v>0</v>
      </c>
      <c r="CW1681">
        <v>1429684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"03/24/2022 22:16:33.945"</f>
        <v>03/24/2022 22:16:33.945</v>
      </c>
      <c r="C1682" t="str">
        <f t="shared" si="486"/>
        <v>FFDFD3C0</v>
      </c>
      <c r="D1682" t="s">
        <v>120</v>
      </c>
      <c r="E1682">
        <v>14</v>
      </c>
      <c r="F1682">
        <v>1014</v>
      </c>
      <c r="G1682" t="s">
        <v>121</v>
      </c>
      <c r="J1682" t="s">
        <v>122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S1682" t="str">
        <f t="shared" ref="S1682:T1685" si="504">"22:16:33.000"</f>
        <v>22:16:33.000</v>
      </c>
      <c r="T1682" t="str">
        <f t="shared" si="504"/>
        <v>22:16:33.000</v>
      </c>
      <c r="U1682" t="str">
        <f t="shared" si="500"/>
        <v>A9D71F</v>
      </c>
      <c r="V1682">
        <v>0</v>
      </c>
      <c r="W1682">
        <v>0</v>
      </c>
      <c r="X1682">
        <v>2</v>
      </c>
      <c r="Z1682">
        <v>1</v>
      </c>
      <c r="AA1682">
        <v>8</v>
      </c>
      <c r="AB1682">
        <v>3</v>
      </c>
      <c r="AC1682">
        <v>0</v>
      </c>
      <c r="AD1682">
        <v>9</v>
      </c>
      <c r="AE1682">
        <v>0</v>
      </c>
      <c r="AF1682">
        <v>3</v>
      </c>
      <c r="AG1682">
        <v>1</v>
      </c>
      <c r="AH1682">
        <v>0</v>
      </c>
      <c r="AI1682" t="s">
        <v>892</v>
      </c>
      <c r="AJ1682">
        <v>33.068333000000003</v>
      </c>
      <c r="AK1682" t="s">
        <v>893</v>
      </c>
      <c r="AL1682">
        <v>-97.672533999999999</v>
      </c>
      <c r="AM1682">
        <v>25</v>
      </c>
      <c r="AN1682">
        <v>3400</v>
      </c>
      <c r="AO1682" t="s">
        <v>118</v>
      </c>
      <c r="AP1682">
        <v>42</v>
      </c>
      <c r="AQ1682">
        <v>-108</v>
      </c>
      <c r="AR1682">
        <v>-64</v>
      </c>
      <c r="AZ1682">
        <v>1200</v>
      </c>
      <c r="BA1682">
        <v>1</v>
      </c>
      <c r="BB1682" t="str">
        <f t="shared" si="488"/>
        <v xml:space="preserve">N733KP  </v>
      </c>
      <c r="BC1682">
        <v>1</v>
      </c>
      <c r="BE1682">
        <v>0</v>
      </c>
      <c r="BF1682">
        <v>0</v>
      </c>
      <c r="BG1682">
        <v>0</v>
      </c>
      <c r="BH1682">
        <v>3400</v>
      </c>
      <c r="BI1682">
        <v>1</v>
      </c>
      <c r="BJ1682">
        <v>1</v>
      </c>
      <c r="BK1682">
        <v>0</v>
      </c>
      <c r="BL1682">
        <v>0</v>
      </c>
      <c r="BO1682">
        <v>0</v>
      </c>
      <c r="BP1682">
        <v>0</v>
      </c>
      <c r="BW1682" t="str">
        <f>"22:16:33.781"</f>
        <v>22:16:33.781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7</v>
      </c>
      <c r="CP1682" t="s">
        <v>119</v>
      </c>
      <c r="CQ1682">
        <v>364</v>
      </c>
      <c r="CR1682">
        <v>0</v>
      </c>
      <c r="CW1682">
        <v>1429835</v>
      </c>
      <c r="CY1682">
        <v>1</v>
      </c>
      <c r="CZ1682">
        <v>0</v>
      </c>
      <c r="DA1682">
        <v>0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"03/24/2022 22:16:33.945"</f>
        <v>03/24/2022 22:16:33.945</v>
      </c>
      <c r="C1683" t="str">
        <f t="shared" si="486"/>
        <v>FFDFD3C0</v>
      </c>
      <c r="D1683" t="s">
        <v>123</v>
      </c>
      <c r="E1683">
        <v>8</v>
      </c>
      <c r="H1683">
        <v>31</v>
      </c>
      <c r="I1683" t="s">
        <v>124</v>
      </c>
      <c r="J1683" t="s">
        <v>125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S1683" t="str">
        <f t="shared" si="504"/>
        <v>22:16:33.000</v>
      </c>
      <c r="T1683" t="str">
        <f t="shared" si="504"/>
        <v>22:16:33.000</v>
      </c>
      <c r="U1683" t="str">
        <f t="shared" si="500"/>
        <v>A9D71F</v>
      </c>
      <c r="V1683">
        <v>0</v>
      </c>
      <c r="W1683">
        <v>0</v>
      </c>
      <c r="X1683">
        <v>2</v>
      </c>
      <c r="Z1683">
        <v>1</v>
      </c>
      <c r="AA1683">
        <v>8</v>
      </c>
      <c r="AB1683">
        <v>3</v>
      </c>
      <c r="AC1683">
        <v>0</v>
      </c>
      <c r="AD1683">
        <v>9</v>
      </c>
      <c r="AE1683">
        <v>0</v>
      </c>
      <c r="AF1683">
        <v>3</v>
      </c>
      <c r="AG1683">
        <v>1</v>
      </c>
      <c r="AH1683">
        <v>0</v>
      </c>
      <c r="AI1683" t="s">
        <v>892</v>
      </c>
      <c r="AJ1683">
        <v>33.068333000000003</v>
      </c>
      <c r="AK1683" t="s">
        <v>893</v>
      </c>
      <c r="AL1683">
        <v>-97.672533999999999</v>
      </c>
      <c r="AM1683">
        <v>25</v>
      </c>
      <c r="AN1683">
        <v>3400</v>
      </c>
      <c r="AO1683" t="s">
        <v>118</v>
      </c>
      <c r="AP1683">
        <v>42</v>
      </c>
      <c r="AQ1683">
        <v>-108</v>
      </c>
      <c r="AR1683">
        <v>-64</v>
      </c>
      <c r="AZ1683">
        <v>1200</v>
      </c>
      <c r="BA1683">
        <v>1</v>
      </c>
      <c r="BB1683" t="str">
        <f t="shared" si="488"/>
        <v xml:space="preserve">N733KP  </v>
      </c>
      <c r="BC1683">
        <v>1</v>
      </c>
      <c r="BE1683">
        <v>0</v>
      </c>
      <c r="BF1683">
        <v>0</v>
      </c>
      <c r="BG1683">
        <v>0</v>
      </c>
      <c r="BH1683">
        <v>3400</v>
      </c>
      <c r="BI1683">
        <v>1</v>
      </c>
      <c r="BJ1683">
        <v>1</v>
      </c>
      <c r="BK1683">
        <v>0</v>
      </c>
      <c r="BL1683">
        <v>0</v>
      </c>
      <c r="BO1683">
        <v>0</v>
      </c>
      <c r="BP1683">
        <v>0</v>
      </c>
      <c r="BW1683" t="str">
        <f>"22:16:33.781"</f>
        <v>22:16:33.781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119</v>
      </c>
      <c r="CQ1683">
        <v>364</v>
      </c>
      <c r="CR1683">
        <v>0</v>
      </c>
      <c r="CW1683">
        <v>1429835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"03/24/2022 22:16:33.960"</f>
        <v>03/24/2022 22:16:33.960</v>
      </c>
      <c r="C1684" t="str">
        <f t="shared" si="486"/>
        <v>FFDFD3C0</v>
      </c>
      <c r="D1684" t="s">
        <v>113</v>
      </c>
      <c r="E1684">
        <v>24</v>
      </c>
      <c r="F1684">
        <v>2024</v>
      </c>
      <c r="G1684" t="s">
        <v>114</v>
      </c>
      <c r="J1684" t="s">
        <v>115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S1684" t="str">
        <f t="shared" si="504"/>
        <v>22:16:33.000</v>
      </c>
      <c r="T1684" t="str">
        <f t="shared" si="504"/>
        <v>22:16:33.000</v>
      </c>
      <c r="U1684" t="str">
        <f t="shared" si="500"/>
        <v>A9D71F</v>
      </c>
      <c r="V1684">
        <v>0</v>
      </c>
      <c r="W1684">
        <v>0</v>
      </c>
      <c r="X1684">
        <v>2</v>
      </c>
      <c r="Z1684">
        <v>1</v>
      </c>
      <c r="AA1684">
        <v>8</v>
      </c>
      <c r="AB1684">
        <v>3</v>
      </c>
      <c r="AC1684">
        <v>0</v>
      </c>
      <c r="AD1684">
        <v>9</v>
      </c>
      <c r="AE1684">
        <v>0</v>
      </c>
      <c r="AF1684">
        <v>3</v>
      </c>
      <c r="AG1684">
        <v>1</v>
      </c>
      <c r="AH1684">
        <v>0</v>
      </c>
      <c r="AI1684" t="s">
        <v>892</v>
      </c>
      <c r="AJ1684">
        <v>33.068333000000003</v>
      </c>
      <c r="AK1684" t="s">
        <v>893</v>
      </c>
      <c r="AL1684">
        <v>-97.672533999999999</v>
      </c>
      <c r="AM1684">
        <v>25</v>
      </c>
      <c r="AN1684">
        <v>3400</v>
      </c>
      <c r="AO1684" t="s">
        <v>118</v>
      </c>
      <c r="AP1684">
        <v>42</v>
      </c>
      <c r="AQ1684">
        <v>-108</v>
      </c>
      <c r="AR1684">
        <v>-64</v>
      </c>
      <c r="AZ1684">
        <v>1200</v>
      </c>
      <c r="BA1684">
        <v>1</v>
      </c>
      <c r="BB1684" t="str">
        <f t="shared" si="488"/>
        <v xml:space="preserve">N733KP  </v>
      </c>
      <c r="BC1684">
        <v>1</v>
      </c>
      <c r="BE1684">
        <v>0</v>
      </c>
      <c r="BF1684">
        <v>0</v>
      </c>
      <c r="BG1684">
        <v>0</v>
      </c>
      <c r="BH1684">
        <v>3400</v>
      </c>
      <c r="BI1684">
        <v>1</v>
      </c>
      <c r="BJ1684">
        <v>1</v>
      </c>
      <c r="BK1684">
        <v>0</v>
      </c>
      <c r="BL1684">
        <v>0</v>
      </c>
      <c r="BO1684">
        <v>0</v>
      </c>
      <c r="BP1684">
        <v>0</v>
      </c>
      <c r="BW1684" t="str">
        <f>"22:16:33.781"</f>
        <v>22:16:33.781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7</v>
      </c>
      <c r="CP1684" t="s">
        <v>119</v>
      </c>
      <c r="CQ1684">
        <v>364</v>
      </c>
      <c r="CR1684">
        <v>0</v>
      </c>
      <c r="CW1684">
        <v>1429835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"03/24/2022 22:16:33.991"</f>
        <v>03/24/2022 22:16:33.991</v>
      </c>
      <c r="C1685" t="str">
        <f t="shared" si="486"/>
        <v>FFDFD3C0</v>
      </c>
      <c r="D1685" t="s">
        <v>126</v>
      </c>
      <c r="E1685">
        <v>3</v>
      </c>
      <c r="H1685">
        <v>160</v>
      </c>
      <c r="I1685" t="s">
        <v>121</v>
      </c>
      <c r="J1685" t="s">
        <v>127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S1685" t="str">
        <f t="shared" si="504"/>
        <v>22:16:33.000</v>
      </c>
      <c r="T1685" t="str">
        <f t="shared" si="504"/>
        <v>22:16:33.000</v>
      </c>
      <c r="U1685" t="str">
        <f t="shared" si="500"/>
        <v>A9D71F</v>
      </c>
      <c r="V1685">
        <v>0</v>
      </c>
      <c r="W1685">
        <v>0</v>
      </c>
      <c r="X1685">
        <v>2</v>
      </c>
      <c r="Z1685">
        <v>1</v>
      </c>
      <c r="AA1685">
        <v>8</v>
      </c>
      <c r="AB1685">
        <v>3</v>
      </c>
      <c r="AC1685">
        <v>0</v>
      </c>
      <c r="AD1685">
        <v>9</v>
      </c>
      <c r="AE1685">
        <v>0</v>
      </c>
      <c r="AF1685">
        <v>3</v>
      </c>
      <c r="AG1685">
        <v>1</v>
      </c>
      <c r="AH1685">
        <v>0</v>
      </c>
      <c r="AI1685" t="s">
        <v>892</v>
      </c>
      <c r="AJ1685">
        <v>33.068333000000003</v>
      </c>
      <c r="AK1685" t="s">
        <v>893</v>
      </c>
      <c r="AL1685">
        <v>-97.672533999999999</v>
      </c>
      <c r="AM1685">
        <v>25</v>
      </c>
      <c r="AN1685">
        <v>3400</v>
      </c>
      <c r="AO1685" t="s">
        <v>118</v>
      </c>
      <c r="AP1685">
        <v>42</v>
      </c>
      <c r="AQ1685">
        <v>-108</v>
      </c>
      <c r="AR1685">
        <v>-64</v>
      </c>
      <c r="AZ1685">
        <v>1200</v>
      </c>
      <c r="BA1685">
        <v>1</v>
      </c>
      <c r="BB1685" t="str">
        <f t="shared" si="488"/>
        <v xml:space="preserve">N733KP  </v>
      </c>
      <c r="BC1685">
        <v>1</v>
      </c>
      <c r="BE1685">
        <v>0</v>
      </c>
      <c r="BF1685">
        <v>0</v>
      </c>
      <c r="BG1685">
        <v>0</v>
      </c>
      <c r="BH1685">
        <v>3400</v>
      </c>
      <c r="BI1685">
        <v>1</v>
      </c>
      <c r="BJ1685">
        <v>1</v>
      </c>
      <c r="BK1685">
        <v>0</v>
      </c>
      <c r="BL1685">
        <v>0</v>
      </c>
      <c r="BO1685">
        <v>0</v>
      </c>
      <c r="BP1685">
        <v>0</v>
      </c>
      <c r="BW1685" t="str">
        <f>"22:16:33.781"</f>
        <v>22:16:33.781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7</v>
      </c>
      <c r="CP1685" t="s">
        <v>119</v>
      </c>
      <c r="CQ1685">
        <v>364</v>
      </c>
      <c r="CR1685">
        <v>0</v>
      </c>
      <c r="CW1685">
        <v>1429835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"03/24/2022 22:16:35.007"</f>
        <v>03/24/2022 22:16:35.007</v>
      </c>
      <c r="C1686" t="str">
        <f t="shared" ref="C1686:C1749" si="505">"FFDFD3C0"</f>
        <v>FFDFD3C0</v>
      </c>
      <c r="D1686" t="s">
        <v>123</v>
      </c>
      <c r="E1686">
        <v>8</v>
      </c>
      <c r="H1686">
        <v>31</v>
      </c>
      <c r="I1686" t="s">
        <v>124</v>
      </c>
      <c r="J1686" t="s">
        <v>125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S1686" t="str">
        <f t="shared" ref="S1686:T1689" si="506">"22:16:34.000"</f>
        <v>22:16:34.000</v>
      </c>
      <c r="T1686" t="str">
        <f t="shared" si="506"/>
        <v>22:16:34.000</v>
      </c>
      <c r="U1686" t="str">
        <f t="shared" si="500"/>
        <v>A9D71F</v>
      </c>
      <c r="V1686">
        <v>0</v>
      </c>
      <c r="W1686">
        <v>0</v>
      </c>
      <c r="X1686">
        <v>2</v>
      </c>
      <c r="Z1686">
        <v>1</v>
      </c>
      <c r="AA1686">
        <v>8</v>
      </c>
      <c r="AB1686">
        <v>3</v>
      </c>
      <c r="AC1686">
        <v>0</v>
      </c>
      <c r="AD1686">
        <v>9</v>
      </c>
      <c r="AE1686">
        <v>0</v>
      </c>
      <c r="AF1686">
        <v>3</v>
      </c>
      <c r="AG1686">
        <v>1</v>
      </c>
      <c r="AH1686">
        <v>0</v>
      </c>
      <c r="AI1686" t="s">
        <v>894</v>
      </c>
      <c r="AJ1686">
        <v>33.067818000000003</v>
      </c>
      <c r="AK1686" t="s">
        <v>895</v>
      </c>
      <c r="AL1686">
        <v>-97.672319000000002</v>
      </c>
      <c r="AM1686">
        <v>25</v>
      </c>
      <c r="AN1686">
        <v>3400</v>
      </c>
      <c r="AO1686" t="s">
        <v>118</v>
      </c>
      <c r="AP1686">
        <v>42</v>
      </c>
      <c r="AQ1686">
        <v>-109</v>
      </c>
      <c r="AR1686">
        <v>-64</v>
      </c>
      <c r="AZ1686">
        <v>1200</v>
      </c>
      <c r="BA1686">
        <v>1</v>
      </c>
      <c r="BB1686" t="str">
        <f t="shared" ref="BB1686:BB1749" si="507">"N733KP  "</f>
        <v xml:space="preserve">N733KP  </v>
      </c>
      <c r="BC1686">
        <v>1</v>
      </c>
      <c r="BE1686">
        <v>0</v>
      </c>
      <c r="BF1686">
        <v>0</v>
      </c>
      <c r="BG1686">
        <v>0</v>
      </c>
      <c r="BH1686">
        <v>3400</v>
      </c>
      <c r="BI1686">
        <v>1</v>
      </c>
      <c r="BJ1686">
        <v>1</v>
      </c>
      <c r="BK1686">
        <v>0</v>
      </c>
      <c r="BL1686">
        <v>0</v>
      </c>
      <c r="BO1686">
        <v>0</v>
      </c>
      <c r="BP1686">
        <v>0</v>
      </c>
      <c r="BW1686" t="str">
        <f>"22:16:34.825"</f>
        <v>22:16:34.825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5</v>
      </c>
      <c r="CP1686" t="s">
        <v>119</v>
      </c>
      <c r="CQ1686">
        <v>365</v>
      </c>
      <c r="CR1686">
        <v>0</v>
      </c>
      <c r="CW1686">
        <v>11491615</v>
      </c>
      <c r="CY1686">
        <v>1</v>
      </c>
      <c r="CZ1686">
        <v>0</v>
      </c>
      <c r="DA1686">
        <v>0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"03/24/2022 22:16:35.007"</f>
        <v>03/24/2022 22:16:35.007</v>
      </c>
      <c r="C1687" t="str">
        <f t="shared" si="505"/>
        <v>FFDFD3C0</v>
      </c>
      <c r="D1687" t="s">
        <v>120</v>
      </c>
      <c r="E1687">
        <v>14</v>
      </c>
      <c r="F1687">
        <v>1014</v>
      </c>
      <c r="G1687" t="s">
        <v>121</v>
      </c>
      <c r="J1687" t="s">
        <v>122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S1687" t="str">
        <f t="shared" si="506"/>
        <v>22:16:34.000</v>
      </c>
      <c r="T1687" t="str">
        <f t="shared" si="506"/>
        <v>22:16:34.000</v>
      </c>
      <c r="U1687" t="str">
        <f t="shared" si="500"/>
        <v>A9D71F</v>
      </c>
      <c r="V1687">
        <v>0</v>
      </c>
      <c r="W1687">
        <v>0</v>
      </c>
      <c r="X1687">
        <v>2</v>
      </c>
      <c r="Z1687">
        <v>1</v>
      </c>
      <c r="AA1687">
        <v>8</v>
      </c>
      <c r="AB1687">
        <v>3</v>
      </c>
      <c r="AC1687">
        <v>0</v>
      </c>
      <c r="AD1687">
        <v>9</v>
      </c>
      <c r="AE1687">
        <v>0</v>
      </c>
      <c r="AF1687">
        <v>3</v>
      </c>
      <c r="AG1687">
        <v>1</v>
      </c>
      <c r="AH1687">
        <v>0</v>
      </c>
      <c r="AI1687" t="s">
        <v>894</v>
      </c>
      <c r="AJ1687">
        <v>33.067818000000003</v>
      </c>
      <c r="AK1687" t="s">
        <v>895</v>
      </c>
      <c r="AL1687">
        <v>-97.672319000000002</v>
      </c>
      <c r="AM1687">
        <v>25</v>
      </c>
      <c r="AN1687">
        <v>3400</v>
      </c>
      <c r="AO1687" t="s">
        <v>118</v>
      </c>
      <c r="AP1687">
        <v>42</v>
      </c>
      <c r="AQ1687">
        <v>-109</v>
      </c>
      <c r="AR1687">
        <v>-64</v>
      </c>
      <c r="AZ1687">
        <v>1200</v>
      </c>
      <c r="BA1687">
        <v>1</v>
      </c>
      <c r="BB1687" t="str">
        <f t="shared" si="507"/>
        <v xml:space="preserve">N733KP  </v>
      </c>
      <c r="BC1687">
        <v>1</v>
      </c>
      <c r="BE1687">
        <v>0</v>
      </c>
      <c r="BF1687">
        <v>0</v>
      </c>
      <c r="BG1687">
        <v>0</v>
      </c>
      <c r="BH1687">
        <v>3400</v>
      </c>
      <c r="BI1687">
        <v>1</v>
      </c>
      <c r="BJ1687">
        <v>1</v>
      </c>
      <c r="BK1687">
        <v>0</v>
      </c>
      <c r="BL1687">
        <v>0</v>
      </c>
      <c r="BO1687">
        <v>0</v>
      </c>
      <c r="BP1687">
        <v>0</v>
      </c>
      <c r="BW1687" t="str">
        <f>"22:16:34.825"</f>
        <v>22:16:34.825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5</v>
      </c>
      <c r="CP1687" t="s">
        <v>119</v>
      </c>
      <c r="CQ1687">
        <v>365</v>
      </c>
      <c r="CR1687">
        <v>0</v>
      </c>
      <c r="CW1687">
        <v>11491615</v>
      </c>
      <c r="CY1687">
        <v>1</v>
      </c>
      <c r="CZ1687">
        <v>0</v>
      </c>
      <c r="DA1687">
        <v>1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"03/24/2022 22:16:35.007"</f>
        <v>03/24/2022 22:16:35.007</v>
      </c>
      <c r="C1688" t="str">
        <f t="shared" si="505"/>
        <v>FFDFD3C0</v>
      </c>
      <c r="D1688" t="s">
        <v>113</v>
      </c>
      <c r="E1688">
        <v>24</v>
      </c>
      <c r="F1688">
        <v>2024</v>
      </c>
      <c r="G1688" t="s">
        <v>114</v>
      </c>
      <c r="J1688" t="s">
        <v>115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S1688" t="str">
        <f t="shared" si="506"/>
        <v>22:16:34.000</v>
      </c>
      <c r="T1688" t="str">
        <f t="shared" si="506"/>
        <v>22:16:34.000</v>
      </c>
      <c r="U1688" t="str">
        <f t="shared" si="500"/>
        <v>A9D71F</v>
      </c>
      <c r="V1688">
        <v>0</v>
      </c>
      <c r="W1688">
        <v>0</v>
      </c>
      <c r="X1688">
        <v>2</v>
      </c>
      <c r="Z1688">
        <v>1</v>
      </c>
      <c r="AA1688">
        <v>8</v>
      </c>
      <c r="AB1688">
        <v>3</v>
      </c>
      <c r="AC1688">
        <v>0</v>
      </c>
      <c r="AD1688">
        <v>9</v>
      </c>
      <c r="AE1688">
        <v>0</v>
      </c>
      <c r="AF1688">
        <v>3</v>
      </c>
      <c r="AG1688">
        <v>1</v>
      </c>
      <c r="AH1688">
        <v>0</v>
      </c>
      <c r="AI1688" t="s">
        <v>894</v>
      </c>
      <c r="AJ1688">
        <v>33.067818000000003</v>
      </c>
      <c r="AK1688" t="s">
        <v>895</v>
      </c>
      <c r="AL1688">
        <v>-97.672319000000002</v>
      </c>
      <c r="AM1688">
        <v>25</v>
      </c>
      <c r="AN1688">
        <v>3400</v>
      </c>
      <c r="AO1688" t="s">
        <v>118</v>
      </c>
      <c r="AP1688">
        <v>42</v>
      </c>
      <c r="AQ1688">
        <v>-109</v>
      </c>
      <c r="AR1688">
        <v>-64</v>
      </c>
      <c r="AZ1688">
        <v>1200</v>
      </c>
      <c r="BA1688">
        <v>1</v>
      </c>
      <c r="BB1688" t="str">
        <f t="shared" si="507"/>
        <v xml:space="preserve">N733KP  </v>
      </c>
      <c r="BC1688">
        <v>1</v>
      </c>
      <c r="BE1688">
        <v>0</v>
      </c>
      <c r="BF1688">
        <v>0</v>
      </c>
      <c r="BG1688">
        <v>0</v>
      </c>
      <c r="BH1688">
        <v>3400</v>
      </c>
      <c r="BI1688">
        <v>1</v>
      </c>
      <c r="BJ1688">
        <v>1</v>
      </c>
      <c r="BK1688">
        <v>0</v>
      </c>
      <c r="BL1688">
        <v>0</v>
      </c>
      <c r="BO1688">
        <v>0</v>
      </c>
      <c r="BP1688">
        <v>0</v>
      </c>
      <c r="BW1688" t="str">
        <f>"22:16:34.825"</f>
        <v>22:16:34.825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5</v>
      </c>
      <c r="CP1688" t="s">
        <v>119</v>
      </c>
      <c r="CQ1688">
        <v>365</v>
      </c>
      <c r="CR1688">
        <v>0</v>
      </c>
      <c r="CW1688">
        <v>11491615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"03/24/2022 22:16:35.038"</f>
        <v>03/24/2022 22:16:35.038</v>
      </c>
      <c r="C1689" t="str">
        <f t="shared" si="505"/>
        <v>FFDFD3C0</v>
      </c>
      <c r="D1689" t="s">
        <v>126</v>
      </c>
      <c r="E1689">
        <v>3</v>
      </c>
      <c r="H1689">
        <v>160</v>
      </c>
      <c r="I1689" t="s">
        <v>121</v>
      </c>
      <c r="J1689" t="s">
        <v>127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S1689" t="str">
        <f t="shared" si="506"/>
        <v>22:16:34.000</v>
      </c>
      <c r="T1689" t="str">
        <f t="shared" si="506"/>
        <v>22:16:34.000</v>
      </c>
      <c r="U1689" t="str">
        <f t="shared" si="500"/>
        <v>A9D71F</v>
      </c>
      <c r="V1689">
        <v>0</v>
      </c>
      <c r="W1689">
        <v>0</v>
      </c>
      <c r="X1689">
        <v>2</v>
      </c>
      <c r="Z1689">
        <v>1</v>
      </c>
      <c r="AA1689">
        <v>8</v>
      </c>
      <c r="AB1689">
        <v>3</v>
      </c>
      <c r="AC1689">
        <v>0</v>
      </c>
      <c r="AD1689">
        <v>9</v>
      </c>
      <c r="AE1689">
        <v>0</v>
      </c>
      <c r="AF1689">
        <v>3</v>
      </c>
      <c r="AG1689">
        <v>1</v>
      </c>
      <c r="AH1689">
        <v>0</v>
      </c>
      <c r="AI1689" t="s">
        <v>894</v>
      </c>
      <c r="AJ1689">
        <v>33.067818000000003</v>
      </c>
      <c r="AK1689" t="s">
        <v>895</v>
      </c>
      <c r="AL1689">
        <v>-97.672319000000002</v>
      </c>
      <c r="AM1689">
        <v>25</v>
      </c>
      <c r="AN1689">
        <v>3400</v>
      </c>
      <c r="AO1689" t="s">
        <v>118</v>
      </c>
      <c r="AP1689">
        <v>42</v>
      </c>
      <c r="AQ1689">
        <v>-109</v>
      </c>
      <c r="AR1689">
        <v>-64</v>
      </c>
      <c r="AZ1689">
        <v>1200</v>
      </c>
      <c r="BA1689">
        <v>1</v>
      </c>
      <c r="BB1689" t="str">
        <f t="shared" si="507"/>
        <v xml:space="preserve">N733KP  </v>
      </c>
      <c r="BC1689">
        <v>1</v>
      </c>
      <c r="BE1689">
        <v>0</v>
      </c>
      <c r="BF1689">
        <v>0</v>
      </c>
      <c r="BG1689">
        <v>0</v>
      </c>
      <c r="BH1689">
        <v>3400</v>
      </c>
      <c r="BI1689">
        <v>1</v>
      </c>
      <c r="BJ1689">
        <v>1</v>
      </c>
      <c r="BK1689">
        <v>0</v>
      </c>
      <c r="BL1689">
        <v>0</v>
      </c>
      <c r="BO1689">
        <v>0</v>
      </c>
      <c r="BP1689">
        <v>0</v>
      </c>
      <c r="BW1689" t="str">
        <f>"22:16:34.825"</f>
        <v>22:16:34.825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5</v>
      </c>
      <c r="CP1689" t="s">
        <v>119</v>
      </c>
      <c r="CQ1689">
        <v>365</v>
      </c>
      <c r="CR1689">
        <v>0</v>
      </c>
      <c r="CW1689">
        <v>11491615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"03/24/2022 22:16:35.742"</f>
        <v>03/24/2022 22:16:35.742</v>
      </c>
      <c r="C1690" t="str">
        <f t="shared" si="505"/>
        <v>FFDFD3C0</v>
      </c>
      <c r="D1690" t="s">
        <v>120</v>
      </c>
      <c r="E1690">
        <v>14</v>
      </c>
      <c r="F1690">
        <v>1014</v>
      </c>
      <c r="G1690" t="s">
        <v>121</v>
      </c>
      <c r="J1690" t="s">
        <v>122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S1690" t="str">
        <f t="shared" ref="S1690:T1693" si="508">"22:16:35.000"</f>
        <v>22:16:35.000</v>
      </c>
      <c r="T1690" t="str">
        <f t="shared" si="508"/>
        <v>22:16:35.000</v>
      </c>
      <c r="U1690" t="str">
        <f t="shared" si="500"/>
        <v>A9D71F</v>
      </c>
      <c r="V1690">
        <v>0</v>
      </c>
      <c r="W1690">
        <v>0</v>
      </c>
      <c r="X1690">
        <v>2</v>
      </c>
      <c r="Z1690">
        <v>1</v>
      </c>
      <c r="AA1690">
        <v>8</v>
      </c>
      <c r="AB1690">
        <v>3</v>
      </c>
      <c r="AC1690">
        <v>0</v>
      </c>
      <c r="AD1690">
        <v>9</v>
      </c>
      <c r="AE1690">
        <v>0</v>
      </c>
      <c r="AF1690">
        <v>3</v>
      </c>
      <c r="AG1690">
        <v>1</v>
      </c>
      <c r="AH1690">
        <v>0</v>
      </c>
      <c r="AI1690" t="s">
        <v>896</v>
      </c>
      <c r="AJ1690">
        <v>33.067323999999999</v>
      </c>
      <c r="AK1690" t="s">
        <v>897</v>
      </c>
      <c r="AL1690">
        <v>-97.672105000000002</v>
      </c>
      <c r="AM1690">
        <v>25</v>
      </c>
      <c r="AN1690">
        <v>3400</v>
      </c>
      <c r="AO1690" t="s">
        <v>118</v>
      </c>
      <c r="AP1690">
        <v>41</v>
      </c>
      <c r="AQ1690">
        <v>-109</v>
      </c>
      <c r="AR1690">
        <v>-128</v>
      </c>
      <c r="AZ1690">
        <v>1200</v>
      </c>
      <c r="BA1690">
        <v>1</v>
      </c>
      <c r="BB1690" t="str">
        <f t="shared" si="507"/>
        <v xml:space="preserve">N733KP  </v>
      </c>
      <c r="BC1690">
        <v>1</v>
      </c>
      <c r="BE1690">
        <v>0</v>
      </c>
      <c r="BF1690">
        <v>0</v>
      </c>
      <c r="BG1690">
        <v>0</v>
      </c>
      <c r="BH1690">
        <v>3400</v>
      </c>
      <c r="BI1690">
        <v>1</v>
      </c>
      <c r="BJ1690">
        <v>1</v>
      </c>
      <c r="BK1690">
        <v>0</v>
      </c>
      <c r="BL1690">
        <v>0</v>
      </c>
      <c r="BO1690">
        <v>0</v>
      </c>
      <c r="BP1690">
        <v>0</v>
      </c>
      <c r="BW1690" t="str">
        <f>"22:16:35.550"</f>
        <v>22:16:35.550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7</v>
      </c>
      <c r="CP1690" t="s">
        <v>119</v>
      </c>
      <c r="CQ1690">
        <v>364</v>
      </c>
      <c r="CR1690">
        <v>0</v>
      </c>
      <c r="CW1690">
        <v>1430110</v>
      </c>
      <c r="CY1690">
        <v>1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"03/24/2022 22:16:35.742"</f>
        <v>03/24/2022 22:16:35.742</v>
      </c>
      <c r="C1691" t="str">
        <f t="shared" si="505"/>
        <v>FFDFD3C0</v>
      </c>
      <c r="D1691" t="s">
        <v>113</v>
      </c>
      <c r="E1691">
        <v>24</v>
      </c>
      <c r="F1691">
        <v>2024</v>
      </c>
      <c r="G1691" t="s">
        <v>114</v>
      </c>
      <c r="J1691" t="s">
        <v>115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S1691" t="str">
        <f t="shared" si="508"/>
        <v>22:16:35.000</v>
      </c>
      <c r="T1691" t="str">
        <f t="shared" si="508"/>
        <v>22:16:35.000</v>
      </c>
      <c r="U1691" t="str">
        <f t="shared" si="500"/>
        <v>A9D71F</v>
      </c>
      <c r="V1691">
        <v>0</v>
      </c>
      <c r="W1691">
        <v>0</v>
      </c>
      <c r="X1691">
        <v>2</v>
      </c>
      <c r="Z1691">
        <v>1</v>
      </c>
      <c r="AA1691">
        <v>8</v>
      </c>
      <c r="AB1691">
        <v>3</v>
      </c>
      <c r="AC1691">
        <v>0</v>
      </c>
      <c r="AD1691">
        <v>9</v>
      </c>
      <c r="AE1691">
        <v>0</v>
      </c>
      <c r="AF1691">
        <v>3</v>
      </c>
      <c r="AG1691">
        <v>1</v>
      </c>
      <c r="AH1691">
        <v>0</v>
      </c>
      <c r="AI1691" t="s">
        <v>896</v>
      </c>
      <c r="AJ1691">
        <v>33.067323999999999</v>
      </c>
      <c r="AK1691" t="s">
        <v>897</v>
      </c>
      <c r="AL1691">
        <v>-97.672105000000002</v>
      </c>
      <c r="AM1691">
        <v>25</v>
      </c>
      <c r="AN1691">
        <v>3400</v>
      </c>
      <c r="AO1691" t="s">
        <v>118</v>
      </c>
      <c r="AP1691">
        <v>41</v>
      </c>
      <c r="AQ1691">
        <v>-109</v>
      </c>
      <c r="AR1691">
        <v>-128</v>
      </c>
      <c r="AZ1691">
        <v>1200</v>
      </c>
      <c r="BA1691">
        <v>1</v>
      </c>
      <c r="BB1691" t="str">
        <f t="shared" si="507"/>
        <v xml:space="preserve">N733KP  </v>
      </c>
      <c r="BC1691">
        <v>1</v>
      </c>
      <c r="BE1691">
        <v>0</v>
      </c>
      <c r="BF1691">
        <v>0</v>
      </c>
      <c r="BG1691">
        <v>0</v>
      </c>
      <c r="BH1691">
        <v>3400</v>
      </c>
      <c r="BI1691">
        <v>1</v>
      </c>
      <c r="BJ1691">
        <v>1</v>
      </c>
      <c r="BK1691">
        <v>0</v>
      </c>
      <c r="BL1691">
        <v>0</v>
      </c>
      <c r="BO1691">
        <v>0</v>
      </c>
      <c r="BP1691">
        <v>0</v>
      </c>
      <c r="BW1691" t="str">
        <f>"22:16:35.550"</f>
        <v>22:16:35.550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119</v>
      </c>
      <c r="CQ1691">
        <v>364</v>
      </c>
      <c r="CR1691">
        <v>0</v>
      </c>
      <c r="CW1691">
        <v>1430110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"03/24/2022 22:16:35.742"</f>
        <v>03/24/2022 22:16:35.742</v>
      </c>
      <c r="C1692" t="str">
        <f t="shared" si="505"/>
        <v>FFDFD3C0</v>
      </c>
      <c r="D1692" t="s">
        <v>126</v>
      </c>
      <c r="E1692">
        <v>3</v>
      </c>
      <c r="H1692">
        <v>160</v>
      </c>
      <c r="I1692" t="s">
        <v>121</v>
      </c>
      <c r="J1692" t="s">
        <v>127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S1692" t="str">
        <f t="shared" si="508"/>
        <v>22:16:35.000</v>
      </c>
      <c r="T1692" t="str">
        <f t="shared" si="508"/>
        <v>22:16:35.000</v>
      </c>
      <c r="U1692" t="str">
        <f t="shared" si="500"/>
        <v>A9D71F</v>
      </c>
      <c r="V1692">
        <v>0</v>
      </c>
      <c r="W1692">
        <v>0</v>
      </c>
      <c r="X1692">
        <v>2</v>
      </c>
      <c r="Z1692">
        <v>1</v>
      </c>
      <c r="AA1692">
        <v>8</v>
      </c>
      <c r="AB1692">
        <v>3</v>
      </c>
      <c r="AC1692">
        <v>0</v>
      </c>
      <c r="AD1692">
        <v>9</v>
      </c>
      <c r="AE1692">
        <v>0</v>
      </c>
      <c r="AF1692">
        <v>3</v>
      </c>
      <c r="AG1692">
        <v>1</v>
      </c>
      <c r="AH1692">
        <v>0</v>
      </c>
      <c r="AI1692" t="s">
        <v>896</v>
      </c>
      <c r="AJ1692">
        <v>33.067323999999999</v>
      </c>
      <c r="AK1692" t="s">
        <v>897</v>
      </c>
      <c r="AL1692">
        <v>-97.672105000000002</v>
      </c>
      <c r="AM1692">
        <v>25</v>
      </c>
      <c r="AN1692">
        <v>3400</v>
      </c>
      <c r="AO1692" t="s">
        <v>118</v>
      </c>
      <c r="AP1692">
        <v>41</v>
      </c>
      <c r="AQ1692">
        <v>-109</v>
      </c>
      <c r="AR1692">
        <v>-128</v>
      </c>
      <c r="AZ1692">
        <v>1200</v>
      </c>
      <c r="BA1692">
        <v>1</v>
      </c>
      <c r="BB1692" t="str">
        <f t="shared" si="507"/>
        <v xml:space="preserve">N733KP  </v>
      </c>
      <c r="BC1692">
        <v>1</v>
      </c>
      <c r="BE1692">
        <v>0</v>
      </c>
      <c r="BF1692">
        <v>0</v>
      </c>
      <c r="BG1692">
        <v>0</v>
      </c>
      <c r="BH1692">
        <v>3400</v>
      </c>
      <c r="BI1692">
        <v>1</v>
      </c>
      <c r="BJ1692">
        <v>1</v>
      </c>
      <c r="BK1692">
        <v>0</v>
      </c>
      <c r="BL1692">
        <v>0</v>
      </c>
      <c r="BO1692">
        <v>0</v>
      </c>
      <c r="BP1692">
        <v>0</v>
      </c>
      <c r="BW1692" t="str">
        <f>"22:16:35.550"</f>
        <v>22:16:35.550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119</v>
      </c>
      <c r="CQ1692">
        <v>364</v>
      </c>
      <c r="CR1692">
        <v>0</v>
      </c>
      <c r="CW1692">
        <v>1430110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"03/24/2022 22:16:35.773"</f>
        <v>03/24/2022 22:16:35.773</v>
      </c>
      <c r="C1693" t="str">
        <f t="shared" si="505"/>
        <v>FFDFD3C0</v>
      </c>
      <c r="D1693" t="s">
        <v>123</v>
      </c>
      <c r="E1693">
        <v>8</v>
      </c>
      <c r="H1693">
        <v>31</v>
      </c>
      <c r="I1693" t="s">
        <v>124</v>
      </c>
      <c r="J1693" t="s">
        <v>125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S1693" t="str">
        <f t="shared" si="508"/>
        <v>22:16:35.000</v>
      </c>
      <c r="T1693" t="str">
        <f t="shared" si="508"/>
        <v>22:16:35.000</v>
      </c>
      <c r="U1693" t="str">
        <f t="shared" si="500"/>
        <v>A9D71F</v>
      </c>
      <c r="V1693">
        <v>0</v>
      </c>
      <c r="W1693">
        <v>0</v>
      </c>
      <c r="X1693">
        <v>2</v>
      </c>
      <c r="Z1693">
        <v>1</v>
      </c>
      <c r="AA1693">
        <v>8</v>
      </c>
      <c r="AB1693">
        <v>3</v>
      </c>
      <c r="AC1693">
        <v>0</v>
      </c>
      <c r="AD1693">
        <v>9</v>
      </c>
      <c r="AE1693">
        <v>0</v>
      </c>
      <c r="AF1693">
        <v>3</v>
      </c>
      <c r="AG1693">
        <v>1</v>
      </c>
      <c r="AH1693">
        <v>0</v>
      </c>
      <c r="AI1693" t="s">
        <v>896</v>
      </c>
      <c r="AJ1693">
        <v>33.067323999999999</v>
      </c>
      <c r="AK1693" t="s">
        <v>897</v>
      </c>
      <c r="AL1693">
        <v>-97.672105000000002</v>
      </c>
      <c r="AM1693">
        <v>25</v>
      </c>
      <c r="AN1693">
        <v>3400</v>
      </c>
      <c r="AO1693" t="s">
        <v>118</v>
      </c>
      <c r="AP1693">
        <v>41</v>
      </c>
      <c r="AQ1693">
        <v>-109</v>
      </c>
      <c r="AR1693">
        <v>-128</v>
      </c>
      <c r="AZ1693">
        <v>1200</v>
      </c>
      <c r="BA1693">
        <v>1</v>
      </c>
      <c r="BB1693" t="str">
        <f t="shared" si="507"/>
        <v xml:space="preserve">N733KP  </v>
      </c>
      <c r="BC1693">
        <v>1</v>
      </c>
      <c r="BE1693">
        <v>0</v>
      </c>
      <c r="BF1693">
        <v>0</v>
      </c>
      <c r="BG1693">
        <v>0</v>
      </c>
      <c r="BH1693">
        <v>3400</v>
      </c>
      <c r="BI1693">
        <v>1</v>
      </c>
      <c r="BJ1693">
        <v>1</v>
      </c>
      <c r="BK1693">
        <v>0</v>
      </c>
      <c r="BL1693">
        <v>0</v>
      </c>
      <c r="BO1693">
        <v>0</v>
      </c>
      <c r="BP1693">
        <v>0</v>
      </c>
      <c r="BW1693" t="str">
        <f>"22:16:35.550"</f>
        <v>22:16:35.550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119</v>
      </c>
      <c r="CQ1693">
        <v>364</v>
      </c>
      <c r="CR1693">
        <v>0</v>
      </c>
      <c r="CW1693">
        <v>1430110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"03/24/2022 22:16:37.149"</f>
        <v>03/24/2022 22:16:37.149</v>
      </c>
      <c r="C1694" t="str">
        <f t="shared" si="505"/>
        <v>FFDFD3C0</v>
      </c>
      <c r="D1694" t="s">
        <v>120</v>
      </c>
      <c r="E1694">
        <v>14</v>
      </c>
      <c r="F1694">
        <v>1014</v>
      </c>
      <c r="G1694" t="s">
        <v>121</v>
      </c>
      <c r="J1694" t="s">
        <v>122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S1694" t="str">
        <f t="shared" ref="S1694:T1697" si="509">"22:16:36.000"</f>
        <v>22:16:36.000</v>
      </c>
      <c r="T1694" t="str">
        <f t="shared" si="509"/>
        <v>22:16:36.000</v>
      </c>
      <c r="U1694" t="str">
        <f t="shared" si="500"/>
        <v>A9D71F</v>
      </c>
      <c r="V1694">
        <v>0</v>
      </c>
      <c r="W1694">
        <v>0</v>
      </c>
      <c r="X1694">
        <v>2</v>
      </c>
      <c r="Z1694">
        <v>1</v>
      </c>
      <c r="AA1694">
        <v>8</v>
      </c>
      <c r="AB1694">
        <v>3</v>
      </c>
      <c r="AC1694">
        <v>0</v>
      </c>
      <c r="AD1694">
        <v>9</v>
      </c>
      <c r="AE1694">
        <v>0</v>
      </c>
      <c r="AF1694">
        <v>3</v>
      </c>
      <c r="AG1694">
        <v>1</v>
      </c>
      <c r="AH1694">
        <v>0</v>
      </c>
      <c r="AI1694" t="s">
        <v>898</v>
      </c>
      <c r="AJ1694">
        <v>33.066831000000001</v>
      </c>
      <c r="AK1694" t="s">
        <v>899</v>
      </c>
      <c r="AL1694">
        <v>-97.671869000000001</v>
      </c>
      <c r="AM1694">
        <v>25</v>
      </c>
      <c r="AN1694">
        <v>3400</v>
      </c>
      <c r="AO1694" t="s">
        <v>118</v>
      </c>
      <c r="AP1694">
        <v>40</v>
      </c>
      <c r="AQ1694">
        <v>-109</v>
      </c>
      <c r="AR1694">
        <v>-192</v>
      </c>
      <c r="AZ1694">
        <v>1200</v>
      </c>
      <c r="BA1694">
        <v>1</v>
      </c>
      <c r="BB1694" t="str">
        <f t="shared" si="507"/>
        <v xml:space="preserve">N733KP  </v>
      </c>
      <c r="BC1694">
        <v>1</v>
      </c>
      <c r="BE1694">
        <v>0</v>
      </c>
      <c r="BF1694">
        <v>0</v>
      </c>
      <c r="BG1694">
        <v>0</v>
      </c>
      <c r="BH1694">
        <v>3400</v>
      </c>
      <c r="BI1694">
        <v>1</v>
      </c>
      <c r="BJ1694">
        <v>1</v>
      </c>
      <c r="BK1694">
        <v>0</v>
      </c>
      <c r="BL1694">
        <v>0</v>
      </c>
      <c r="BO1694">
        <v>0</v>
      </c>
      <c r="BP1694">
        <v>0</v>
      </c>
      <c r="BW1694" t="str">
        <f>"22:16:36.983"</f>
        <v>22:16:36.983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119</v>
      </c>
      <c r="CQ1694">
        <v>364</v>
      </c>
      <c r="CR1694">
        <v>0</v>
      </c>
      <c r="CW1694">
        <v>1430300</v>
      </c>
      <c r="CY1694">
        <v>1</v>
      </c>
      <c r="CZ1694">
        <v>0</v>
      </c>
      <c r="DA1694">
        <v>0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"03/24/2022 22:16:37.149"</f>
        <v>03/24/2022 22:16:37.149</v>
      </c>
      <c r="C1695" t="str">
        <f t="shared" si="505"/>
        <v>FFDFD3C0</v>
      </c>
      <c r="D1695" t="s">
        <v>113</v>
      </c>
      <c r="E1695">
        <v>24</v>
      </c>
      <c r="F1695">
        <v>2024</v>
      </c>
      <c r="G1695" t="s">
        <v>114</v>
      </c>
      <c r="J1695" t="s">
        <v>115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S1695" t="str">
        <f t="shared" si="509"/>
        <v>22:16:36.000</v>
      </c>
      <c r="T1695" t="str">
        <f t="shared" si="509"/>
        <v>22:16:36.000</v>
      </c>
      <c r="U1695" t="str">
        <f t="shared" si="500"/>
        <v>A9D71F</v>
      </c>
      <c r="V1695">
        <v>0</v>
      </c>
      <c r="W1695">
        <v>0</v>
      </c>
      <c r="X1695">
        <v>2</v>
      </c>
      <c r="Z1695">
        <v>1</v>
      </c>
      <c r="AA1695">
        <v>8</v>
      </c>
      <c r="AB1695">
        <v>3</v>
      </c>
      <c r="AC1695">
        <v>0</v>
      </c>
      <c r="AD1695">
        <v>9</v>
      </c>
      <c r="AE1695">
        <v>0</v>
      </c>
      <c r="AF1695">
        <v>3</v>
      </c>
      <c r="AG1695">
        <v>1</v>
      </c>
      <c r="AH1695">
        <v>0</v>
      </c>
      <c r="AI1695" t="s">
        <v>898</v>
      </c>
      <c r="AJ1695">
        <v>33.066831000000001</v>
      </c>
      <c r="AK1695" t="s">
        <v>899</v>
      </c>
      <c r="AL1695">
        <v>-97.671869000000001</v>
      </c>
      <c r="AM1695">
        <v>25</v>
      </c>
      <c r="AN1695">
        <v>3400</v>
      </c>
      <c r="AO1695" t="s">
        <v>118</v>
      </c>
      <c r="AP1695">
        <v>40</v>
      </c>
      <c r="AQ1695">
        <v>-109</v>
      </c>
      <c r="AR1695">
        <v>-192</v>
      </c>
      <c r="AZ1695">
        <v>1200</v>
      </c>
      <c r="BA1695">
        <v>1</v>
      </c>
      <c r="BB1695" t="str">
        <f t="shared" si="507"/>
        <v xml:space="preserve">N733KP  </v>
      </c>
      <c r="BC1695">
        <v>1</v>
      </c>
      <c r="BE1695">
        <v>0</v>
      </c>
      <c r="BF1695">
        <v>0</v>
      </c>
      <c r="BG1695">
        <v>0</v>
      </c>
      <c r="BH1695">
        <v>3400</v>
      </c>
      <c r="BI1695">
        <v>1</v>
      </c>
      <c r="BJ1695">
        <v>1</v>
      </c>
      <c r="BK1695">
        <v>0</v>
      </c>
      <c r="BL1695">
        <v>0</v>
      </c>
      <c r="BO1695">
        <v>0</v>
      </c>
      <c r="BP1695">
        <v>0</v>
      </c>
      <c r="BW1695" t="str">
        <f>"22:16:36.983"</f>
        <v>22:16:36.983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119</v>
      </c>
      <c r="CQ1695">
        <v>364</v>
      </c>
      <c r="CR1695">
        <v>0</v>
      </c>
      <c r="CW1695">
        <v>1430300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"03/24/2022 22:16:37.227"</f>
        <v>03/24/2022 22:16:37.227</v>
      </c>
      <c r="C1696" t="str">
        <f t="shared" si="505"/>
        <v>FFDFD3C0</v>
      </c>
      <c r="D1696" t="s">
        <v>126</v>
      </c>
      <c r="E1696">
        <v>3</v>
      </c>
      <c r="H1696">
        <v>160</v>
      </c>
      <c r="I1696" t="s">
        <v>121</v>
      </c>
      <c r="J1696" t="s">
        <v>127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S1696" t="str">
        <f t="shared" si="509"/>
        <v>22:16:36.000</v>
      </c>
      <c r="T1696" t="str">
        <f t="shared" si="509"/>
        <v>22:16:36.000</v>
      </c>
      <c r="U1696" t="str">
        <f t="shared" si="500"/>
        <v>A9D71F</v>
      </c>
      <c r="V1696">
        <v>0</v>
      </c>
      <c r="W1696">
        <v>0</v>
      </c>
      <c r="X1696">
        <v>2</v>
      </c>
      <c r="Z1696">
        <v>1</v>
      </c>
      <c r="AA1696">
        <v>8</v>
      </c>
      <c r="AB1696">
        <v>3</v>
      </c>
      <c r="AC1696">
        <v>0</v>
      </c>
      <c r="AD1696">
        <v>9</v>
      </c>
      <c r="AE1696">
        <v>0</v>
      </c>
      <c r="AF1696">
        <v>3</v>
      </c>
      <c r="AG1696">
        <v>1</v>
      </c>
      <c r="AH1696">
        <v>0</v>
      </c>
      <c r="AI1696" t="s">
        <v>898</v>
      </c>
      <c r="AJ1696">
        <v>33.066831000000001</v>
      </c>
      <c r="AK1696" t="s">
        <v>899</v>
      </c>
      <c r="AL1696">
        <v>-97.671869000000001</v>
      </c>
      <c r="AM1696">
        <v>25</v>
      </c>
      <c r="AN1696">
        <v>3400</v>
      </c>
      <c r="AO1696" t="s">
        <v>118</v>
      </c>
      <c r="AP1696">
        <v>40</v>
      </c>
      <c r="AQ1696">
        <v>-109</v>
      </c>
      <c r="AR1696">
        <v>-192</v>
      </c>
      <c r="AZ1696">
        <v>1200</v>
      </c>
      <c r="BA1696">
        <v>1</v>
      </c>
      <c r="BB1696" t="str">
        <f t="shared" si="507"/>
        <v xml:space="preserve">N733KP  </v>
      </c>
      <c r="BC1696">
        <v>1</v>
      </c>
      <c r="BE1696">
        <v>0</v>
      </c>
      <c r="BF1696">
        <v>0</v>
      </c>
      <c r="BG1696">
        <v>0</v>
      </c>
      <c r="BH1696">
        <v>3400</v>
      </c>
      <c r="BI1696">
        <v>1</v>
      </c>
      <c r="BJ1696">
        <v>1</v>
      </c>
      <c r="BK1696">
        <v>0</v>
      </c>
      <c r="BL1696">
        <v>0</v>
      </c>
      <c r="BO1696">
        <v>0</v>
      </c>
      <c r="BP1696">
        <v>0</v>
      </c>
      <c r="BW1696" t="str">
        <f>"22:16:36.983"</f>
        <v>22:16:36.983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7</v>
      </c>
      <c r="CP1696" t="s">
        <v>119</v>
      </c>
      <c r="CQ1696">
        <v>364</v>
      </c>
      <c r="CR1696">
        <v>0</v>
      </c>
      <c r="CW1696">
        <v>1430300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"03/24/2022 22:16:37.227"</f>
        <v>03/24/2022 22:16:37.227</v>
      </c>
      <c r="C1697" t="str">
        <f t="shared" si="505"/>
        <v>FFDFD3C0</v>
      </c>
      <c r="D1697" t="s">
        <v>123</v>
      </c>
      <c r="E1697">
        <v>8</v>
      </c>
      <c r="H1697">
        <v>31</v>
      </c>
      <c r="I1697" t="s">
        <v>124</v>
      </c>
      <c r="J1697" t="s">
        <v>125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S1697" t="str">
        <f t="shared" si="509"/>
        <v>22:16:36.000</v>
      </c>
      <c r="T1697" t="str">
        <f t="shared" si="509"/>
        <v>22:16:36.000</v>
      </c>
      <c r="U1697" t="str">
        <f t="shared" si="500"/>
        <v>A9D71F</v>
      </c>
      <c r="V1697">
        <v>0</v>
      </c>
      <c r="W1697">
        <v>0</v>
      </c>
      <c r="X1697">
        <v>2</v>
      </c>
      <c r="Z1697">
        <v>1</v>
      </c>
      <c r="AA1697">
        <v>8</v>
      </c>
      <c r="AB1697">
        <v>3</v>
      </c>
      <c r="AC1697">
        <v>0</v>
      </c>
      <c r="AD1697">
        <v>9</v>
      </c>
      <c r="AE1697">
        <v>0</v>
      </c>
      <c r="AF1697">
        <v>3</v>
      </c>
      <c r="AG1697">
        <v>1</v>
      </c>
      <c r="AH1697">
        <v>0</v>
      </c>
      <c r="AI1697" t="s">
        <v>898</v>
      </c>
      <c r="AJ1697">
        <v>33.066831000000001</v>
      </c>
      <c r="AK1697" t="s">
        <v>899</v>
      </c>
      <c r="AL1697">
        <v>-97.671869000000001</v>
      </c>
      <c r="AM1697">
        <v>25</v>
      </c>
      <c r="AN1697">
        <v>3400</v>
      </c>
      <c r="AO1697" t="s">
        <v>118</v>
      </c>
      <c r="AP1697">
        <v>40</v>
      </c>
      <c r="AQ1697">
        <v>-109</v>
      </c>
      <c r="AR1697">
        <v>-192</v>
      </c>
      <c r="AZ1697">
        <v>1200</v>
      </c>
      <c r="BA1697">
        <v>1</v>
      </c>
      <c r="BB1697" t="str">
        <f t="shared" si="507"/>
        <v xml:space="preserve">N733KP  </v>
      </c>
      <c r="BC1697">
        <v>1</v>
      </c>
      <c r="BE1697">
        <v>0</v>
      </c>
      <c r="BF1697">
        <v>0</v>
      </c>
      <c r="BG1697">
        <v>0</v>
      </c>
      <c r="BH1697">
        <v>3400</v>
      </c>
      <c r="BI1697">
        <v>1</v>
      </c>
      <c r="BJ1697">
        <v>1</v>
      </c>
      <c r="BK1697">
        <v>0</v>
      </c>
      <c r="BL1697">
        <v>0</v>
      </c>
      <c r="BO1697">
        <v>0</v>
      </c>
      <c r="BP1697">
        <v>0</v>
      </c>
      <c r="BW1697" t="str">
        <f>"22:16:36.983"</f>
        <v>22:16:36.983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7</v>
      </c>
      <c r="CP1697" t="s">
        <v>119</v>
      </c>
      <c r="CQ1697">
        <v>364</v>
      </c>
      <c r="CR1697">
        <v>0</v>
      </c>
      <c r="CW1697">
        <v>1430300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"03/24/2022 22:16:37.869"</f>
        <v>03/24/2022 22:16:37.869</v>
      </c>
      <c r="C1698" t="str">
        <f t="shared" si="505"/>
        <v>FFDFD3C0</v>
      </c>
      <c r="D1698" t="s">
        <v>113</v>
      </c>
      <c r="E1698">
        <v>24</v>
      </c>
      <c r="F1698">
        <v>2024</v>
      </c>
      <c r="G1698" t="s">
        <v>114</v>
      </c>
      <c r="J1698" t="s">
        <v>115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S1698" t="str">
        <f t="shared" ref="S1698:T1701" si="510">"22:16:37.000"</f>
        <v>22:16:37.000</v>
      </c>
      <c r="T1698" t="str">
        <f t="shared" si="510"/>
        <v>22:16:37.000</v>
      </c>
      <c r="U1698" t="str">
        <f t="shared" si="500"/>
        <v>A9D71F</v>
      </c>
      <c r="V1698">
        <v>0</v>
      </c>
      <c r="W1698">
        <v>0</v>
      </c>
      <c r="X1698">
        <v>2</v>
      </c>
      <c r="Z1698">
        <v>1</v>
      </c>
      <c r="AA1698">
        <v>8</v>
      </c>
      <c r="AB1698">
        <v>3</v>
      </c>
      <c r="AC1698">
        <v>0</v>
      </c>
      <c r="AD1698">
        <v>9</v>
      </c>
      <c r="AE1698">
        <v>0</v>
      </c>
      <c r="AF1698">
        <v>3</v>
      </c>
      <c r="AG1698">
        <v>1</v>
      </c>
      <c r="AH1698">
        <v>0</v>
      </c>
      <c r="AI1698" t="s">
        <v>900</v>
      </c>
      <c r="AJ1698">
        <v>33.066316</v>
      </c>
      <c r="AK1698" t="s">
        <v>901</v>
      </c>
      <c r="AL1698">
        <v>-97.671654000000004</v>
      </c>
      <c r="AM1698">
        <v>25</v>
      </c>
      <c r="AN1698">
        <v>3400</v>
      </c>
      <c r="AO1698" t="s">
        <v>118</v>
      </c>
      <c r="AP1698">
        <v>41</v>
      </c>
      <c r="AQ1698">
        <v>-110</v>
      </c>
      <c r="AR1698">
        <v>-128</v>
      </c>
      <c r="AZ1698">
        <v>1200</v>
      </c>
      <c r="BA1698">
        <v>1</v>
      </c>
      <c r="BB1698" t="str">
        <f t="shared" si="507"/>
        <v xml:space="preserve">N733KP  </v>
      </c>
      <c r="BC1698">
        <v>1</v>
      </c>
      <c r="BE1698">
        <v>0</v>
      </c>
      <c r="BF1698">
        <v>0</v>
      </c>
      <c r="BG1698">
        <v>0</v>
      </c>
      <c r="BH1698">
        <v>3400</v>
      </c>
      <c r="BI1698">
        <v>1</v>
      </c>
      <c r="BJ1698">
        <v>1</v>
      </c>
      <c r="BK1698">
        <v>0</v>
      </c>
      <c r="BL1698">
        <v>0</v>
      </c>
      <c r="BO1698">
        <v>0</v>
      </c>
      <c r="BP1698">
        <v>0</v>
      </c>
      <c r="BW1698" t="str">
        <f>"22:16:37.714"</f>
        <v>22:16:37.714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364</v>
      </c>
      <c r="CR1698">
        <v>0</v>
      </c>
      <c r="CW1698">
        <v>1430396</v>
      </c>
      <c r="CY1698">
        <v>1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"03/24/2022 22:16:37.869"</f>
        <v>03/24/2022 22:16:37.869</v>
      </c>
      <c r="C1699" t="str">
        <f t="shared" si="505"/>
        <v>FFDFD3C0</v>
      </c>
      <c r="D1699" t="s">
        <v>126</v>
      </c>
      <c r="E1699">
        <v>3</v>
      </c>
      <c r="H1699">
        <v>160</v>
      </c>
      <c r="I1699" t="s">
        <v>121</v>
      </c>
      <c r="J1699" t="s">
        <v>127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S1699" t="str">
        <f t="shared" si="510"/>
        <v>22:16:37.000</v>
      </c>
      <c r="T1699" t="str">
        <f t="shared" si="510"/>
        <v>22:16:37.000</v>
      </c>
      <c r="U1699" t="str">
        <f t="shared" si="500"/>
        <v>A9D71F</v>
      </c>
      <c r="V1699">
        <v>0</v>
      </c>
      <c r="W1699">
        <v>0</v>
      </c>
      <c r="X1699">
        <v>2</v>
      </c>
      <c r="Z1699">
        <v>1</v>
      </c>
      <c r="AA1699">
        <v>8</v>
      </c>
      <c r="AB1699">
        <v>3</v>
      </c>
      <c r="AC1699">
        <v>0</v>
      </c>
      <c r="AD1699">
        <v>9</v>
      </c>
      <c r="AE1699">
        <v>0</v>
      </c>
      <c r="AF1699">
        <v>3</v>
      </c>
      <c r="AG1699">
        <v>1</v>
      </c>
      <c r="AH1699">
        <v>0</v>
      </c>
      <c r="AI1699" t="s">
        <v>900</v>
      </c>
      <c r="AJ1699">
        <v>33.066316</v>
      </c>
      <c r="AK1699" t="s">
        <v>901</v>
      </c>
      <c r="AL1699">
        <v>-97.671654000000004</v>
      </c>
      <c r="AM1699">
        <v>25</v>
      </c>
      <c r="AN1699">
        <v>3400</v>
      </c>
      <c r="AO1699" t="s">
        <v>118</v>
      </c>
      <c r="AP1699">
        <v>41</v>
      </c>
      <c r="AQ1699">
        <v>-110</v>
      </c>
      <c r="AR1699">
        <v>-128</v>
      </c>
      <c r="AZ1699">
        <v>1200</v>
      </c>
      <c r="BA1699">
        <v>1</v>
      </c>
      <c r="BB1699" t="str">
        <f t="shared" si="507"/>
        <v xml:space="preserve">N733KP  </v>
      </c>
      <c r="BC1699">
        <v>1</v>
      </c>
      <c r="BE1699">
        <v>0</v>
      </c>
      <c r="BF1699">
        <v>0</v>
      </c>
      <c r="BG1699">
        <v>0</v>
      </c>
      <c r="BH1699">
        <v>3400</v>
      </c>
      <c r="BI1699">
        <v>1</v>
      </c>
      <c r="BJ1699">
        <v>1</v>
      </c>
      <c r="BK1699">
        <v>0</v>
      </c>
      <c r="BL1699">
        <v>0</v>
      </c>
      <c r="BO1699">
        <v>0</v>
      </c>
      <c r="BP1699">
        <v>0</v>
      </c>
      <c r="BW1699" t="str">
        <f>"22:16:37.714"</f>
        <v>22:16:37.714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364</v>
      </c>
      <c r="CR1699">
        <v>0</v>
      </c>
      <c r="CW1699">
        <v>1430396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"03/24/2022 22:16:37.900"</f>
        <v>03/24/2022 22:16:37.900</v>
      </c>
      <c r="C1700" t="str">
        <f t="shared" si="505"/>
        <v>FFDFD3C0</v>
      </c>
      <c r="D1700" t="s">
        <v>123</v>
      </c>
      <c r="E1700">
        <v>8</v>
      </c>
      <c r="H1700">
        <v>31</v>
      </c>
      <c r="I1700" t="s">
        <v>124</v>
      </c>
      <c r="J1700" t="s">
        <v>125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S1700" t="str">
        <f t="shared" si="510"/>
        <v>22:16:37.000</v>
      </c>
      <c r="T1700" t="str">
        <f t="shared" si="510"/>
        <v>22:16:37.000</v>
      </c>
      <c r="U1700" t="str">
        <f t="shared" si="500"/>
        <v>A9D71F</v>
      </c>
      <c r="V1700">
        <v>0</v>
      </c>
      <c r="W1700">
        <v>0</v>
      </c>
      <c r="X1700">
        <v>2</v>
      </c>
      <c r="Z1700">
        <v>1</v>
      </c>
      <c r="AA1700">
        <v>8</v>
      </c>
      <c r="AB1700">
        <v>3</v>
      </c>
      <c r="AC1700">
        <v>0</v>
      </c>
      <c r="AD1700">
        <v>9</v>
      </c>
      <c r="AE1700">
        <v>0</v>
      </c>
      <c r="AF1700">
        <v>3</v>
      </c>
      <c r="AG1700">
        <v>1</v>
      </c>
      <c r="AH1700">
        <v>0</v>
      </c>
      <c r="AI1700" t="s">
        <v>900</v>
      </c>
      <c r="AJ1700">
        <v>33.066316</v>
      </c>
      <c r="AK1700" t="s">
        <v>901</v>
      </c>
      <c r="AL1700">
        <v>-97.671654000000004</v>
      </c>
      <c r="AM1700">
        <v>25</v>
      </c>
      <c r="AN1700">
        <v>3400</v>
      </c>
      <c r="AO1700" t="s">
        <v>118</v>
      </c>
      <c r="AP1700">
        <v>41</v>
      </c>
      <c r="AQ1700">
        <v>-110</v>
      </c>
      <c r="AR1700">
        <v>-128</v>
      </c>
      <c r="AZ1700">
        <v>1200</v>
      </c>
      <c r="BA1700">
        <v>1</v>
      </c>
      <c r="BB1700" t="str">
        <f t="shared" si="507"/>
        <v xml:space="preserve">N733KP  </v>
      </c>
      <c r="BC1700">
        <v>1</v>
      </c>
      <c r="BE1700">
        <v>0</v>
      </c>
      <c r="BF1700">
        <v>0</v>
      </c>
      <c r="BG1700">
        <v>0</v>
      </c>
      <c r="BH1700">
        <v>3400</v>
      </c>
      <c r="BI1700">
        <v>1</v>
      </c>
      <c r="BJ1700">
        <v>1</v>
      </c>
      <c r="BK1700">
        <v>0</v>
      </c>
      <c r="BL1700">
        <v>0</v>
      </c>
      <c r="BO1700">
        <v>0</v>
      </c>
      <c r="BP1700">
        <v>0</v>
      </c>
      <c r="BW1700" t="str">
        <f>"22:16:37.714"</f>
        <v>22:16:37.714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364</v>
      </c>
      <c r="CR1700">
        <v>0</v>
      </c>
      <c r="CW1700">
        <v>1430396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"03/24/2022 22:16:37.900"</f>
        <v>03/24/2022 22:16:37.900</v>
      </c>
      <c r="C1701" t="str">
        <f t="shared" si="505"/>
        <v>FFDFD3C0</v>
      </c>
      <c r="D1701" t="s">
        <v>120</v>
      </c>
      <c r="E1701">
        <v>14</v>
      </c>
      <c r="F1701">
        <v>1014</v>
      </c>
      <c r="G1701" t="s">
        <v>121</v>
      </c>
      <c r="J1701" t="s">
        <v>122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S1701" t="str">
        <f t="shared" si="510"/>
        <v>22:16:37.000</v>
      </c>
      <c r="T1701" t="str">
        <f t="shared" si="510"/>
        <v>22:16:37.000</v>
      </c>
      <c r="U1701" t="str">
        <f t="shared" si="500"/>
        <v>A9D71F</v>
      </c>
      <c r="V1701">
        <v>0</v>
      </c>
      <c r="W1701">
        <v>0</v>
      </c>
      <c r="X1701">
        <v>2</v>
      </c>
      <c r="Z1701">
        <v>1</v>
      </c>
      <c r="AA1701">
        <v>8</v>
      </c>
      <c r="AB1701">
        <v>3</v>
      </c>
      <c r="AC1701">
        <v>0</v>
      </c>
      <c r="AD1701">
        <v>9</v>
      </c>
      <c r="AE1701">
        <v>0</v>
      </c>
      <c r="AF1701">
        <v>3</v>
      </c>
      <c r="AG1701">
        <v>1</v>
      </c>
      <c r="AH1701">
        <v>0</v>
      </c>
      <c r="AI1701" t="s">
        <v>900</v>
      </c>
      <c r="AJ1701">
        <v>33.066316</v>
      </c>
      <c r="AK1701" t="s">
        <v>901</v>
      </c>
      <c r="AL1701">
        <v>-97.671654000000004</v>
      </c>
      <c r="AM1701">
        <v>25</v>
      </c>
      <c r="AN1701">
        <v>3400</v>
      </c>
      <c r="AO1701" t="s">
        <v>118</v>
      </c>
      <c r="AP1701">
        <v>41</v>
      </c>
      <c r="AQ1701">
        <v>-110</v>
      </c>
      <c r="AR1701">
        <v>-128</v>
      </c>
      <c r="AZ1701">
        <v>1200</v>
      </c>
      <c r="BA1701">
        <v>1</v>
      </c>
      <c r="BB1701" t="str">
        <f t="shared" si="507"/>
        <v xml:space="preserve">N733KP  </v>
      </c>
      <c r="BC1701">
        <v>1</v>
      </c>
      <c r="BE1701">
        <v>0</v>
      </c>
      <c r="BF1701">
        <v>0</v>
      </c>
      <c r="BG1701">
        <v>0</v>
      </c>
      <c r="BH1701">
        <v>3400</v>
      </c>
      <c r="BI1701">
        <v>1</v>
      </c>
      <c r="BJ1701">
        <v>1</v>
      </c>
      <c r="BK1701">
        <v>0</v>
      </c>
      <c r="BL1701">
        <v>0</v>
      </c>
      <c r="BO1701">
        <v>0</v>
      </c>
      <c r="BP1701">
        <v>0</v>
      </c>
      <c r="BW1701" t="str">
        <f>"22:16:37.714"</f>
        <v>22:16:37.714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119</v>
      </c>
      <c r="CQ1701">
        <v>364</v>
      </c>
      <c r="CR1701">
        <v>0</v>
      </c>
      <c r="CW1701">
        <v>1430396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"03/24/2022 22:16:38.746"</f>
        <v>03/24/2022 22:16:38.746</v>
      </c>
      <c r="C1702" t="str">
        <f t="shared" si="505"/>
        <v>FFDFD3C0</v>
      </c>
      <c r="D1702" t="s">
        <v>123</v>
      </c>
      <c r="E1702">
        <v>8</v>
      </c>
      <c r="H1702">
        <v>31</v>
      </c>
      <c r="I1702" t="s">
        <v>124</v>
      </c>
      <c r="J1702" t="s">
        <v>125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S1702" t="str">
        <f t="shared" ref="S1702:T1705" si="511">"22:16:38.000"</f>
        <v>22:16:38.000</v>
      </c>
      <c r="T1702" t="str">
        <f t="shared" si="511"/>
        <v>22:16:38.000</v>
      </c>
      <c r="U1702" t="str">
        <f t="shared" si="500"/>
        <v>A9D71F</v>
      </c>
      <c r="V1702">
        <v>0</v>
      </c>
      <c r="W1702">
        <v>0</v>
      </c>
      <c r="X1702">
        <v>2</v>
      </c>
      <c r="Z1702">
        <v>1</v>
      </c>
      <c r="AA1702">
        <v>8</v>
      </c>
      <c r="AB1702">
        <v>3</v>
      </c>
      <c r="AC1702">
        <v>0</v>
      </c>
      <c r="AD1702">
        <v>9</v>
      </c>
      <c r="AE1702">
        <v>0</v>
      </c>
      <c r="AF1702">
        <v>3</v>
      </c>
      <c r="AG1702">
        <v>1</v>
      </c>
      <c r="AH1702">
        <v>0</v>
      </c>
      <c r="AI1702" t="s">
        <v>902</v>
      </c>
      <c r="AJ1702">
        <v>33.065801</v>
      </c>
      <c r="AK1702" t="s">
        <v>903</v>
      </c>
      <c r="AL1702">
        <v>-97.671418000000003</v>
      </c>
      <c r="AM1702">
        <v>25</v>
      </c>
      <c r="AN1702">
        <v>3400</v>
      </c>
      <c r="AO1702" t="s">
        <v>118</v>
      </c>
      <c r="AP1702">
        <v>41</v>
      </c>
      <c r="AQ1702">
        <v>-110</v>
      </c>
      <c r="AR1702">
        <v>-128</v>
      </c>
      <c r="AZ1702">
        <v>1200</v>
      </c>
      <c r="BA1702">
        <v>1</v>
      </c>
      <c r="BB1702" t="str">
        <f t="shared" si="507"/>
        <v xml:space="preserve">N733KP  </v>
      </c>
      <c r="BC1702">
        <v>1</v>
      </c>
      <c r="BE1702">
        <v>0</v>
      </c>
      <c r="BF1702">
        <v>0</v>
      </c>
      <c r="BG1702">
        <v>0</v>
      </c>
      <c r="BH1702">
        <v>3400</v>
      </c>
      <c r="BI1702">
        <v>1</v>
      </c>
      <c r="BJ1702">
        <v>1</v>
      </c>
      <c r="BK1702">
        <v>0</v>
      </c>
      <c r="BL1702">
        <v>0</v>
      </c>
      <c r="BO1702">
        <v>0</v>
      </c>
      <c r="BP1702">
        <v>0</v>
      </c>
      <c r="BW1702" t="str">
        <f>"22:16:38.534"</f>
        <v>22:16:38.534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6</v>
      </c>
      <c r="CP1702" t="s">
        <v>119</v>
      </c>
      <c r="CQ1702">
        <v>364</v>
      </c>
      <c r="CR1702">
        <v>0</v>
      </c>
      <c r="CW1702">
        <v>1430495</v>
      </c>
      <c r="CY1702">
        <v>1</v>
      </c>
      <c r="CZ1702">
        <v>0</v>
      </c>
      <c r="DA1702">
        <v>0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"03/24/2022 22:16:38.746"</f>
        <v>03/24/2022 22:16:38.746</v>
      </c>
      <c r="C1703" t="str">
        <f t="shared" si="505"/>
        <v>FFDFD3C0</v>
      </c>
      <c r="D1703" t="s">
        <v>120</v>
      </c>
      <c r="E1703">
        <v>14</v>
      </c>
      <c r="F1703">
        <v>1014</v>
      </c>
      <c r="G1703" t="s">
        <v>121</v>
      </c>
      <c r="J1703" t="s">
        <v>122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S1703" t="str">
        <f t="shared" si="511"/>
        <v>22:16:38.000</v>
      </c>
      <c r="T1703" t="str">
        <f t="shared" si="511"/>
        <v>22:16:38.000</v>
      </c>
      <c r="U1703" t="str">
        <f t="shared" si="500"/>
        <v>A9D71F</v>
      </c>
      <c r="V1703">
        <v>0</v>
      </c>
      <c r="W1703">
        <v>0</v>
      </c>
      <c r="X1703">
        <v>2</v>
      </c>
      <c r="Z1703">
        <v>1</v>
      </c>
      <c r="AA1703">
        <v>8</v>
      </c>
      <c r="AB1703">
        <v>3</v>
      </c>
      <c r="AC1703">
        <v>0</v>
      </c>
      <c r="AD1703">
        <v>9</v>
      </c>
      <c r="AE1703">
        <v>0</v>
      </c>
      <c r="AF1703">
        <v>3</v>
      </c>
      <c r="AG1703">
        <v>1</v>
      </c>
      <c r="AH1703">
        <v>0</v>
      </c>
      <c r="AI1703" t="s">
        <v>902</v>
      </c>
      <c r="AJ1703">
        <v>33.065801</v>
      </c>
      <c r="AK1703" t="s">
        <v>903</v>
      </c>
      <c r="AL1703">
        <v>-97.671418000000003</v>
      </c>
      <c r="AM1703">
        <v>25</v>
      </c>
      <c r="AN1703">
        <v>3400</v>
      </c>
      <c r="AO1703" t="s">
        <v>118</v>
      </c>
      <c r="AP1703">
        <v>41</v>
      </c>
      <c r="AQ1703">
        <v>-110</v>
      </c>
      <c r="AR1703">
        <v>-128</v>
      </c>
      <c r="AZ1703">
        <v>1200</v>
      </c>
      <c r="BA1703">
        <v>1</v>
      </c>
      <c r="BB1703" t="str">
        <f t="shared" si="507"/>
        <v xml:space="preserve">N733KP  </v>
      </c>
      <c r="BC1703">
        <v>1</v>
      </c>
      <c r="BE1703">
        <v>0</v>
      </c>
      <c r="BF1703">
        <v>0</v>
      </c>
      <c r="BG1703">
        <v>0</v>
      </c>
      <c r="BH1703">
        <v>3400</v>
      </c>
      <c r="BI1703">
        <v>1</v>
      </c>
      <c r="BJ1703">
        <v>1</v>
      </c>
      <c r="BK1703">
        <v>0</v>
      </c>
      <c r="BL1703">
        <v>0</v>
      </c>
      <c r="BO1703">
        <v>0</v>
      </c>
      <c r="BP1703">
        <v>0</v>
      </c>
      <c r="BW1703" t="str">
        <f>"22:16:38.534"</f>
        <v>22:16:38.534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6</v>
      </c>
      <c r="CP1703" t="s">
        <v>119</v>
      </c>
      <c r="CQ1703">
        <v>364</v>
      </c>
      <c r="CR1703">
        <v>0</v>
      </c>
      <c r="CW1703">
        <v>1430495</v>
      </c>
      <c r="CY1703">
        <v>1</v>
      </c>
      <c r="CZ1703">
        <v>0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"03/24/2022 22:16:38.746"</f>
        <v>03/24/2022 22:16:38.746</v>
      </c>
      <c r="C1704" t="str">
        <f t="shared" si="505"/>
        <v>FFDFD3C0</v>
      </c>
      <c r="D1704" t="s">
        <v>113</v>
      </c>
      <c r="E1704">
        <v>24</v>
      </c>
      <c r="F1704">
        <v>2024</v>
      </c>
      <c r="G1704" t="s">
        <v>114</v>
      </c>
      <c r="J1704" t="s">
        <v>115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S1704" t="str">
        <f t="shared" si="511"/>
        <v>22:16:38.000</v>
      </c>
      <c r="T1704" t="str">
        <f t="shared" si="511"/>
        <v>22:16:38.000</v>
      </c>
      <c r="U1704" t="str">
        <f t="shared" si="500"/>
        <v>A9D71F</v>
      </c>
      <c r="V1704">
        <v>0</v>
      </c>
      <c r="W1704">
        <v>0</v>
      </c>
      <c r="X1704">
        <v>2</v>
      </c>
      <c r="Z1704">
        <v>1</v>
      </c>
      <c r="AA1704">
        <v>8</v>
      </c>
      <c r="AB1704">
        <v>3</v>
      </c>
      <c r="AC1704">
        <v>0</v>
      </c>
      <c r="AD1704">
        <v>9</v>
      </c>
      <c r="AE1704">
        <v>0</v>
      </c>
      <c r="AF1704">
        <v>3</v>
      </c>
      <c r="AG1704">
        <v>1</v>
      </c>
      <c r="AH1704">
        <v>0</v>
      </c>
      <c r="AI1704" t="s">
        <v>902</v>
      </c>
      <c r="AJ1704">
        <v>33.065801</v>
      </c>
      <c r="AK1704" t="s">
        <v>903</v>
      </c>
      <c r="AL1704">
        <v>-97.671418000000003</v>
      </c>
      <c r="AM1704">
        <v>25</v>
      </c>
      <c r="AN1704">
        <v>3400</v>
      </c>
      <c r="AO1704" t="s">
        <v>118</v>
      </c>
      <c r="AP1704">
        <v>41</v>
      </c>
      <c r="AQ1704">
        <v>-110</v>
      </c>
      <c r="AR1704">
        <v>-128</v>
      </c>
      <c r="AZ1704">
        <v>1200</v>
      </c>
      <c r="BA1704">
        <v>1</v>
      </c>
      <c r="BB1704" t="str">
        <f t="shared" si="507"/>
        <v xml:space="preserve">N733KP  </v>
      </c>
      <c r="BC1704">
        <v>1</v>
      </c>
      <c r="BE1704">
        <v>0</v>
      </c>
      <c r="BF1704">
        <v>0</v>
      </c>
      <c r="BG1704">
        <v>0</v>
      </c>
      <c r="BH1704">
        <v>3400</v>
      </c>
      <c r="BI1704">
        <v>1</v>
      </c>
      <c r="BJ1704">
        <v>1</v>
      </c>
      <c r="BK1704">
        <v>0</v>
      </c>
      <c r="BL1704">
        <v>0</v>
      </c>
      <c r="BO1704">
        <v>0</v>
      </c>
      <c r="BP1704">
        <v>0</v>
      </c>
      <c r="BW1704" t="str">
        <f>"22:16:38.534"</f>
        <v>22:16:38.534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6</v>
      </c>
      <c r="CP1704" t="s">
        <v>119</v>
      </c>
      <c r="CQ1704">
        <v>364</v>
      </c>
      <c r="CR1704">
        <v>0</v>
      </c>
      <c r="CW1704">
        <v>1430495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"03/24/2022 22:16:38.746"</f>
        <v>03/24/2022 22:16:38.746</v>
      </c>
      <c r="C1705" t="str">
        <f t="shared" si="505"/>
        <v>FFDFD3C0</v>
      </c>
      <c r="D1705" t="s">
        <v>126</v>
      </c>
      <c r="E1705">
        <v>3</v>
      </c>
      <c r="H1705">
        <v>160</v>
      </c>
      <c r="I1705" t="s">
        <v>121</v>
      </c>
      <c r="J1705" t="s">
        <v>127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S1705" t="str">
        <f t="shared" si="511"/>
        <v>22:16:38.000</v>
      </c>
      <c r="T1705" t="str">
        <f t="shared" si="511"/>
        <v>22:16:38.000</v>
      </c>
      <c r="U1705" t="str">
        <f t="shared" si="500"/>
        <v>A9D71F</v>
      </c>
      <c r="V1705">
        <v>0</v>
      </c>
      <c r="W1705">
        <v>0</v>
      </c>
      <c r="X1705">
        <v>2</v>
      </c>
      <c r="Z1705">
        <v>1</v>
      </c>
      <c r="AA1705">
        <v>8</v>
      </c>
      <c r="AB1705">
        <v>3</v>
      </c>
      <c r="AC1705">
        <v>0</v>
      </c>
      <c r="AD1705">
        <v>9</v>
      </c>
      <c r="AE1705">
        <v>0</v>
      </c>
      <c r="AF1705">
        <v>3</v>
      </c>
      <c r="AG1705">
        <v>1</v>
      </c>
      <c r="AH1705">
        <v>0</v>
      </c>
      <c r="AI1705" t="s">
        <v>902</v>
      </c>
      <c r="AJ1705">
        <v>33.065801</v>
      </c>
      <c r="AK1705" t="s">
        <v>903</v>
      </c>
      <c r="AL1705">
        <v>-97.671418000000003</v>
      </c>
      <c r="AM1705">
        <v>25</v>
      </c>
      <c r="AN1705">
        <v>3400</v>
      </c>
      <c r="AO1705" t="s">
        <v>118</v>
      </c>
      <c r="AP1705">
        <v>41</v>
      </c>
      <c r="AQ1705">
        <v>-110</v>
      </c>
      <c r="AR1705">
        <v>-128</v>
      </c>
      <c r="AZ1705">
        <v>1200</v>
      </c>
      <c r="BA1705">
        <v>1</v>
      </c>
      <c r="BB1705" t="str">
        <f t="shared" si="507"/>
        <v xml:space="preserve">N733KP  </v>
      </c>
      <c r="BC1705">
        <v>1</v>
      </c>
      <c r="BE1705">
        <v>0</v>
      </c>
      <c r="BF1705">
        <v>0</v>
      </c>
      <c r="BG1705">
        <v>0</v>
      </c>
      <c r="BH1705">
        <v>3400</v>
      </c>
      <c r="BI1705">
        <v>1</v>
      </c>
      <c r="BJ1705">
        <v>1</v>
      </c>
      <c r="BK1705">
        <v>0</v>
      </c>
      <c r="BL1705">
        <v>0</v>
      </c>
      <c r="BO1705">
        <v>0</v>
      </c>
      <c r="BP1705">
        <v>0</v>
      </c>
      <c r="BW1705" t="str">
        <f>"22:16:38.534"</f>
        <v>22:16:38.534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6</v>
      </c>
      <c r="CP1705" t="s">
        <v>119</v>
      </c>
      <c r="CQ1705">
        <v>364</v>
      </c>
      <c r="CR1705">
        <v>0</v>
      </c>
      <c r="CW1705">
        <v>1430495</v>
      </c>
      <c r="CY1705">
        <v>1</v>
      </c>
      <c r="CZ1705">
        <v>0</v>
      </c>
      <c r="DA1705">
        <v>1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"03/24/2022 22:16:39.637"</f>
        <v>03/24/2022 22:16:39.637</v>
      </c>
      <c r="C1706" t="str">
        <f t="shared" si="505"/>
        <v>FFDFD3C0</v>
      </c>
      <c r="D1706" t="s">
        <v>120</v>
      </c>
      <c r="E1706">
        <v>14</v>
      </c>
      <c r="F1706">
        <v>1014</v>
      </c>
      <c r="G1706" t="s">
        <v>121</v>
      </c>
      <c r="J1706" t="s">
        <v>122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S1706" t="str">
        <f t="shared" ref="S1706:T1709" si="512">"22:16:39.000"</f>
        <v>22:16:39.000</v>
      </c>
      <c r="T1706" t="str">
        <f t="shared" si="512"/>
        <v>22:16:39.000</v>
      </c>
      <c r="U1706" t="str">
        <f t="shared" si="500"/>
        <v>A9D71F</v>
      </c>
      <c r="V1706">
        <v>0</v>
      </c>
      <c r="W1706">
        <v>0</v>
      </c>
      <c r="X1706">
        <v>2</v>
      </c>
      <c r="Z1706">
        <v>1</v>
      </c>
      <c r="AA1706">
        <v>8</v>
      </c>
      <c r="AB1706">
        <v>3</v>
      </c>
      <c r="AC1706">
        <v>0</v>
      </c>
      <c r="AD1706">
        <v>9</v>
      </c>
      <c r="AE1706">
        <v>0</v>
      </c>
      <c r="AF1706">
        <v>3</v>
      </c>
      <c r="AG1706">
        <v>1</v>
      </c>
      <c r="AH1706">
        <v>0</v>
      </c>
      <c r="AI1706" t="s">
        <v>904</v>
      </c>
      <c r="AJ1706">
        <v>33.065286</v>
      </c>
      <c r="AK1706" t="s">
        <v>905</v>
      </c>
      <c r="AL1706">
        <v>-97.671182000000002</v>
      </c>
      <c r="AM1706">
        <v>25</v>
      </c>
      <c r="AN1706">
        <v>3400</v>
      </c>
      <c r="AO1706" t="s">
        <v>118</v>
      </c>
      <c r="AP1706">
        <v>40</v>
      </c>
      <c r="AQ1706">
        <v>-110</v>
      </c>
      <c r="AR1706">
        <v>-64</v>
      </c>
      <c r="AZ1706">
        <v>1200</v>
      </c>
      <c r="BA1706">
        <v>1</v>
      </c>
      <c r="BB1706" t="str">
        <f t="shared" si="507"/>
        <v xml:space="preserve">N733KP  </v>
      </c>
      <c r="BC1706">
        <v>1</v>
      </c>
      <c r="BE1706">
        <v>0</v>
      </c>
      <c r="BF1706">
        <v>0</v>
      </c>
      <c r="BG1706">
        <v>0</v>
      </c>
      <c r="BH1706">
        <v>3400</v>
      </c>
      <c r="BI1706">
        <v>1</v>
      </c>
      <c r="BJ1706">
        <v>1</v>
      </c>
      <c r="BK1706">
        <v>0</v>
      </c>
      <c r="BL1706">
        <v>0</v>
      </c>
      <c r="BO1706">
        <v>0</v>
      </c>
      <c r="BP1706">
        <v>0</v>
      </c>
      <c r="BW1706" t="str">
        <f>"22:16:39.470"</f>
        <v>22:16:39.470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364</v>
      </c>
      <c r="CR1706">
        <v>0</v>
      </c>
      <c r="CW1706">
        <v>1430622</v>
      </c>
      <c r="CY1706">
        <v>1</v>
      </c>
      <c r="CZ1706">
        <v>0</v>
      </c>
      <c r="DA1706">
        <v>0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"03/24/2022 22:16:39.637"</f>
        <v>03/24/2022 22:16:39.637</v>
      </c>
      <c r="C1707" t="str">
        <f t="shared" si="505"/>
        <v>FFDFD3C0</v>
      </c>
      <c r="D1707" t="s">
        <v>126</v>
      </c>
      <c r="E1707">
        <v>3</v>
      </c>
      <c r="H1707">
        <v>160</v>
      </c>
      <c r="I1707" t="s">
        <v>121</v>
      </c>
      <c r="J1707" t="s">
        <v>127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S1707" t="str">
        <f t="shared" si="512"/>
        <v>22:16:39.000</v>
      </c>
      <c r="T1707" t="str">
        <f t="shared" si="512"/>
        <v>22:16:39.000</v>
      </c>
      <c r="U1707" t="str">
        <f t="shared" si="500"/>
        <v>A9D71F</v>
      </c>
      <c r="V1707">
        <v>0</v>
      </c>
      <c r="W1707">
        <v>0</v>
      </c>
      <c r="X1707">
        <v>2</v>
      </c>
      <c r="Z1707">
        <v>1</v>
      </c>
      <c r="AA1707">
        <v>8</v>
      </c>
      <c r="AB1707">
        <v>3</v>
      </c>
      <c r="AC1707">
        <v>0</v>
      </c>
      <c r="AD1707">
        <v>9</v>
      </c>
      <c r="AE1707">
        <v>0</v>
      </c>
      <c r="AF1707">
        <v>3</v>
      </c>
      <c r="AG1707">
        <v>1</v>
      </c>
      <c r="AH1707">
        <v>0</v>
      </c>
      <c r="AI1707" t="s">
        <v>904</v>
      </c>
      <c r="AJ1707">
        <v>33.065286</v>
      </c>
      <c r="AK1707" t="s">
        <v>905</v>
      </c>
      <c r="AL1707">
        <v>-97.671182000000002</v>
      </c>
      <c r="AM1707">
        <v>25</v>
      </c>
      <c r="AN1707">
        <v>3400</v>
      </c>
      <c r="AO1707" t="s">
        <v>118</v>
      </c>
      <c r="AP1707">
        <v>40</v>
      </c>
      <c r="AQ1707">
        <v>-110</v>
      </c>
      <c r="AR1707">
        <v>-64</v>
      </c>
      <c r="AZ1707">
        <v>1200</v>
      </c>
      <c r="BA1707">
        <v>1</v>
      </c>
      <c r="BB1707" t="str">
        <f t="shared" si="507"/>
        <v xml:space="preserve">N733KP  </v>
      </c>
      <c r="BC1707">
        <v>1</v>
      </c>
      <c r="BE1707">
        <v>0</v>
      </c>
      <c r="BF1707">
        <v>0</v>
      </c>
      <c r="BG1707">
        <v>0</v>
      </c>
      <c r="BH1707">
        <v>3400</v>
      </c>
      <c r="BI1707">
        <v>1</v>
      </c>
      <c r="BJ1707">
        <v>1</v>
      </c>
      <c r="BK1707">
        <v>0</v>
      </c>
      <c r="BL1707">
        <v>0</v>
      </c>
      <c r="BO1707">
        <v>0</v>
      </c>
      <c r="BP1707">
        <v>0</v>
      </c>
      <c r="BW1707" t="str">
        <f>"22:16:39.470"</f>
        <v>22:16:39.470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364</v>
      </c>
      <c r="CR1707">
        <v>0</v>
      </c>
      <c r="CW1707">
        <v>1430622</v>
      </c>
      <c r="CY1707">
        <v>1</v>
      </c>
      <c r="CZ1707">
        <v>0</v>
      </c>
      <c r="DA1707">
        <v>1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"03/24/2022 22:16:39.637"</f>
        <v>03/24/2022 22:16:39.637</v>
      </c>
      <c r="C1708" t="str">
        <f t="shared" si="505"/>
        <v>FFDFD3C0</v>
      </c>
      <c r="D1708" t="s">
        <v>113</v>
      </c>
      <c r="E1708">
        <v>24</v>
      </c>
      <c r="F1708">
        <v>2024</v>
      </c>
      <c r="G1708" t="s">
        <v>114</v>
      </c>
      <c r="J1708" t="s">
        <v>115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S1708" t="str">
        <f t="shared" si="512"/>
        <v>22:16:39.000</v>
      </c>
      <c r="T1708" t="str">
        <f t="shared" si="512"/>
        <v>22:16:39.000</v>
      </c>
      <c r="U1708" t="str">
        <f t="shared" si="500"/>
        <v>A9D71F</v>
      </c>
      <c r="V1708">
        <v>0</v>
      </c>
      <c r="W1708">
        <v>0</v>
      </c>
      <c r="X1708">
        <v>2</v>
      </c>
      <c r="Z1708">
        <v>1</v>
      </c>
      <c r="AA1708">
        <v>8</v>
      </c>
      <c r="AB1708">
        <v>3</v>
      </c>
      <c r="AC1708">
        <v>0</v>
      </c>
      <c r="AD1708">
        <v>9</v>
      </c>
      <c r="AE1708">
        <v>0</v>
      </c>
      <c r="AF1708">
        <v>3</v>
      </c>
      <c r="AG1708">
        <v>1</v>
      </c>
      <c r="AH1708">
        <v>0</v>
      </c>
      <c r="AI1708" t="s">
        <v>904</v>
      </c>
      <c r="AJ1708">
        <v>33.065286</v>
      </c>
      <c r="AK1708" t="s">
        <v>905</v>
      </c>
      <c r="AL1708">
        <v>-97.671182000000002</v>
      </c>
      <c r="AM1708">
        <v>25</v>
      </c>
      <c r="AN1708">
        <v>3400</v>
      </c>
      <c r="AO1708" t="s">
        <v>118</v>
      </c>
      <c r="AP1708">
        <v>40</v>
      </c>
      <c r="AQ1708">
        <v>-110</v>
      </c>
      <c r="AR1708">
        <v>-64</v>
      </c>
      <c r="AZ1708">
        <v>1200</v>
      </c>
      <c r="BA1708">
        <v>1</v>
      </c>
      <c r="BB1708" t="str">
        <f t="shared" si="507"/>
        <v xml:space="preserve">N733KP  </v>
      </c>
      <c r="BC1708">
        <v>1</v>
      </c>
      <c r="BE1708">
        <v>0</v>
      </c>
      <c r="BF1708">
        <v>0</v>
      </c>
      <c r="BG1708">
        <v>0</v>
      </c>
      <c r="BH1708">
        <v>3400</v>
      </c>
      <c r="BI1708">
        <v>1</v>
      </c>
      <c r="BJ1708">
        <v>1</v>
      </c>
      <c r="BK1708">
        <v>0</v>
      </c>
      <c r="BL1708">
        <v>0</v>
      </c>
      <c r="BO1708">
        <v>0</v>
      </c>
      <c r="BP1708">
        <v>0</v>
      </c>
      <c r="BW1708" t="str">
        <f>"22:16:39.470"</f>
        <v>22:16:39.470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7</v>
      </c>
      <c r="CP1708" t="s">
        <v>119</v>
      </c>
      <c r="CQ1708">
        <v>364</v>
      </c>
      <c r="CR1708">
        <v>0</v>
      </c>
      <c r="CW1708">
        <v>1430622</v>
      </c>
      <c r="CY1708">
        <v>1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"03/24/2022 22:16:39.684"</f>
        <v>03/24/2022 22:16:39.684</v>
      </c>
      <c r="C1709" t="str">
        <f t="shared" si="505"/>
        <v>FFDFD3C0</v>
      </c>
      <c r="D1709" t="s">
        <v>123</v>
      </c>
      <c r="E1709">
        <v>8</v>
      </c>
      <c r="H1709">
        <v>31</v>
      </c>
      <c r="I1709" t="s">
        <v>124</v>
      </c>
      <c r="J1709" t="s">
        <v>125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S1709" t="str">
        <f t="shared" si="512"/>
        <v>22:16:39.000</v>
      </c>
      <c r="T1709" t="str">
        <f t="shared" si="512"/>
        <v>22:16:39.000</v>
      </c>
      <c r="U1709" t="str">
        <f t="shared" si="500"/>
        <v>A9D71F</v>
      </c>
      <c r="V1709">
        <v>0</v>
      </c>
      <c r="W1709">
        <v>0</v>
      </c>
      <c r="X1709">
        <v>2</v>
      </c>
      <c r="Z1709">
        <v>1</v>
      </c>
      <c r="AA1709">
        <v>8</v>
      </c>
      <c r="AB1709">
        <v>3</v>
      </c>
      <c r="AC1709">
        <v>0</v>
      </c>
      <c r="AD1709">
        <v>9</v>
      </c>
      <c r="AE1709">
        <v>0</v>
      </c>
      <c r="AF1709">
        <v>3</v>
      </c>
      <c r="AG1709">
        <v>1</v>
      </c>
      <c r="AH1709">
        <v>0</v>
      </c>
      <c r="AI1709" t="s">
        <v>904</v>
      </c>
      <c r="AJ1709">
        <v>33.065286</v>
      </c>
      <c r="AK1709" t="s">
        <v>905</v>
      </c>
      <c r="AL1709">
        <v>-97.671182000000002</v>
      </c>
      <c r="AM1709">
        <v>25</v>
      </c>
      <c r="AN1709">
        <v>3400</v>
      </c>
      <c r="AO1709" t="s">
        <v>118</v>
      </c>
      <c r="AP1709">
        <v>40</v>
      </c>
      <c r="AQ1709">
        <v>-110</v>
      </c>
      <c r="AR1709">
        <v>-64</v>
      </c>
      <c r="AZ1709">
        <v>1200</v>
      </c>
      <c r="BA1709">
        <v>1</v>
      </c>
      <c r="BB1709" t="str">
        <f t="shared" si="507"/>
        <v xml:space="preserve">N733KP  </v>
      </c>
      <c r="BC1709">
        <v>1</v>
      </c>
      <c r="BE1709">
        <v>0</v>
      </c>
      <c r="BF1709">
        <v>0</v>
      </c>
      <c r="BG1709">
        <v>0</v>
      </c>
      <c r="BH1709">
        <v>3400</v>
      </c>
      <c r="BI1709">
        <v>1</v>
      </c>
      <c r="BJ1709">
        <v>1</v>
      </c>
      <c r="BK1709">
        <v>0</v>
      </c>
      <c r="BL1709">
        <v>0</v>
      </c>
      <c r="BO1709">
        <v>0</v>
      </c>
      <c r="BP1709">
        <v>0</v>
      </c>
      <c r="BW1709" t="str">
        <f>"22:16:39.470"</f>
        <v>22:16:39.470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7</v>
      </c>
      <c r="CP1709" t="s">
        <v>119</v>
      </c>
      <c r="CQ1709">
        <v>364</v>
      </c>
      <c r="CR1709">
        <v>0</v>
      </c>
      <c r="CW1709">
        <v>1430622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"03/24/2022 22:16:41.028"</f>
        <v>03/24/2022 22:16:41.028</v>
      </c>
      <c r="C1710" t="str">
        <f t="shared" si="505"/>
        <v>FFDFD3C0</v>
      </c>
      <c r="D1710" t="s">
        <v>120</v>
      </c>
      <c r="E1710">
        <v>14</v>
      </c>
      <c r="F1710">
        <v>1014</v>
      </c>
      <c r="G1710" t="s">
        <v>121</v>
      </c>
      <c r="J1710" t="s">
        <v>122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S1710" t="str">
        <f t="shared" ref="S1710:T1713" si="513">"22:16:40.000"</f>
        <v>22:16:40.000</v>
      </c>
      <c r="T1710" t="str">
        <f t="shared" si="513"/>
        <v>22:16:40.000</v>
      </c>
      <c r="U1710" t="str">
        <f t="shared" si="500"/>
        <v>A9D71F</v>
      </c>
      <c r="V1710">
        <v>0</v>
      </c>
      <c r="W1710">
        <v>0</v>
      </c>
      <c r="X1710">
        <v>2</v>
      </c>
      <c r="Z1710">
        <v>1</v>
      </c>
      <c r="AA1710">
        <v>8</v>
      </c>
      <c r="AB1710">
        <v>3</v>
      </c>
      <c r="AC1710">
        <v>0</v>
      </c>
      <c r="AD1710">
        <v>9</v>
      </c>
      <c r="AE1710">
        <v>0</v>
      </c>
      <c r="AF1710">
        <v>3</v>
      </c>
      <c r="AG1710">
        <v>1</v>
      </c>
      <c r="AH1710">
        <v>0</v>
      </c>
      <c r="AI1710" t="s">
        <v>906</v>
      </c>
      <c r="AJ1710">
        <v>33.064771</v>
      </c>
      <c r="AK1710" t="s">
        <v>907</v>
      </c>
      <c r="AL1710">
        <v>-97.670946000000001</v>
      </c>
      <c r="AM1710">
        <v>25</v>
      </c>
      <c r="AN1710">
        <v>3400</v>
      </c>
      <c r="AO1710" t="s">
        <v>118</v>
      </c>
      <c r="AP1710">
        <v>39</v>
      </c>
      <c r="AQ1710">
        <v>-110</v>
      </c>
      <c r="AR1710">
        <v>0</v>
      </c>
      <c r="AZ1710">
        <v>1200</v>
      </c>
      <c r="BA1710">
        <v>1</v>
      </c>
      <c r="BB1710" t="str">
        <f t="shared" si="507"/>
        <v xml:space="preserve">N733KP  </v>
      </c>
      <c r="BC1710">
        <v>1</v>
      </c>
      <c r="BE1710">
        <v>0</v>
      </c>
      <c r="BF1710">
        <v>0</v>
      </c>
      <c r="BG1710">
        <v>0</v>
      </c>
      <c r="BH1710">
        <v>3400</v>
      </c>
      <c r="BI1710">
        <v>1</v>
      </c>
      <c r="BJ1710">
        <v>1</v>
      </c>
      <c r="BK1710">
        <v>0</v>
      </c>
      <c r="BL1710">
        <v>0</v>
      </c>
      <c r="BO1710">
        <v>0</v>
      </c>
      <c r="BP1710">
        <v>0</v>
      </c>
      <c r="BW1710" t="str">
        <f>"22:16:40.879"</f>
        <v>22:16:40.879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7</v>
      </c>
      <c r="CP1710" t="s">
        <v>119</v>
      </c>
      <c r="CQ1710">
        <v>364</v>
      </c>
      <c r="CR1710">
        <v>0</v>
      </c>
      <c r="CW1710">
        <v>1430814</v>
      </c>
      <c r="CY1710">
        <v>1</v>
      </c>
      <c r="CZ1710">
        <v>0</v>
      </c>
      <c r="DA1710">
        <v>0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"03/24/2022 22:16:41.059"</f>
        <v>03/24/2022 22:16:41.059</v>
      </c>
      <c r="C1711" t="str">
        <f t="shared" si="505"/>
        <v>FFDFD3C0</v>
      </c>
      <c r="D1711" t="s">
        <v>126</v>
      </c>
      <c r="E1711">
        <v>3</v>
      </c>
      <c r="H1711">
        <v>160</v>
      </c>
      <c r="I1711" t="s">
        <v>121</v>
      </c>
      <c r="J1711" t="s">
        <v>127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S1711" t="str">
        <f t="shared" si="513"/>
        <v>22:16:40.000</v>
      </c>
      <c r="T1711" t="str">
        <f t="shared" si="513"/>
        <v>22:16:40.000</v>
      </c>
      <c r="U1711" t="str">
        <f t="shared" si="500"/>
        <v>A9D71F</v>
      </c>
      <c r="V1711">
        <v>0</v>
      </c>
      <c r="W1711">
        <v>0</v>
      </c>
      <c r="X1711">
        <v>2</v>
      </c>
      <c r="Z1711">
        <v>1</v>
      </c>
      <c r="AA1711">
        <v>8</v>
      </c>
      <c r="AB1711">
        <v>3</v>
      </c>
      <c r="AC1711">
        <v>0</v>
      </c>
      <c r="AD1711">
        <v>9</v>
      </c>
      <c r="AE1711">
        <v>0</v>
      </c>
      <c r="AF1711">
        <v>3</v>
      </c>
      <c r="AG1711">
        <v>1</v>
      </c>
      <c r="AH1711">
        <v>0</v>
      </c>
      <c r="AI1711" t="s">
        <v>906</v>
      </c>
      <c r="AJ1711">
        <v>33.064771</v>
      </c>
      <c r="AK1711" t="s">
        <v>907</v>
      </c>
      <c r="AL1711">
        <v>-97.670946000000001</v>
      </c>
      <c r="AM1711">
        <v>25</v>
      </c>
      <c r="AN1711">
        <v>3400</v>
      </c>
      <c r="AO1711" t="s">
        <v>118</v>
      </c>
      <c r="AP1711">
        <v>39</v>
      </c>
      <c r="AQ1711">
        <v>-110</v>
      </c>
      <c r="AR1711">
        <v>0</v>
      </c>
      <c r="AZ1711">
        <v>1200</v>
      </c>
      <c r="BA1711">
        <v>1</v>
      </c>
      <c r="BB1711" t="str">
        <f t="shared" si="507"/>
        <v xml:space="preserve">N733KP  </v>
      </c>
      <c r="BC1711">
        <v>1</v>
      </c>
      <c r="BE1711">
        <v>0</v>
      </c>
      <c r="BF1711">
        <v>0</v>
      </c>
      <c r="BG1711">
        <v>0</v>
      </c>
      <c r="BH1711">
        <v>3400</v>
      </c>
      <c r="BI1711">
        <v>1</v>
      </c>
      <c r="BJ1711">
        <v>1</v>
      </c>
      <c r="BK1711">
        <v>0</v>
      </c>
      <c r="BL1711">
        <v>0</v>
      </c>
      <c r="BO1711">
        <v>0</v>
      </c>
      <c r="BP1711">
        <v>0</v>
      </c>
      <c r="BW1711" t="str">
        <f>"22:16:40.879"</f>
        <v>22:16:40.879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119</v>
      </c>
      <c r="CQ1711">
        <v>364</v>
      </c>
      <c r="CR1711">
        <v>0</v>
      </c>
      <c r="CW1711">
        <v>1430814</v>
      </c>
      <c r="CY1711">
        <v>1</v>
      </c>
      <c r="CZ1711">
        <v>0</v>
      </c>
      <c r="DA1711">
        <v>1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"03/24/2022 22:16:41.074"</f>
        <v>03/24/2022 22:16:41.074</v>
      </c>
      <c r="C1712" t="str">
        <f t="shared" si="505"/>
        <v>FFDFD3C0</v>
      </c>
      <c r="D1712" t="s">
        <v>113</v>
      </c>
      <c r="E1712">
        <v>24</v>
      </c>
      <c r="F1712">
        <v>2024</v>
      </c>
      <c r="G1712" t="s">
        <v>114</v>
      </c>
      <c r="J1712" t="s">
        <v>115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S1712" t="str">
        <f t="shared" si="513"/>
        <v>22:16:40.000</v>
      </c>
      <c r="T1712" t="str">
        <f t="shared" si="513"/>
        <v>22:16:40.000</v>
      </c>
      <c r="U1712" t="str">
        <f t="shared" si="500"/>
        <v>A9D71F</v>
      </c>
      <c r="V1712">
        <v>0</v>
      </c>
      <c r="W1712">
        <v>0</v>
      </c>
      <c r="X1712">
        <v>2</v>
      </c>
      <c r="Z1712">
        <v>1</v>
      </c>
      <c r="AA1712">
        <v>8</v>
      </c>
      <c r="AB1712">
        <v>3</v>
      </c>
      <c r="AC1712">
        <v>0</v>
      </c>
      <c r="AD1712">
        <v>9</v>
      </c>
      <c r="AE1712">
        <v>0</v>
      </c>
      <c r="AF1712">
        <v>3</v>
      </c>
      <c r="AG1712">
        <v>1</v>
      </c>
      <c r="AH1712">
        <v>0</v>
      </c>
      <c r="AI1712" t="s">
        <v>906</v>
      </c>
      <c r="AJ1712">
        <v>33.064771</v>
      </c>
      <c r="AK1712" t="s">
        <v>907</v>
      </c>
      <c r="AL1712">
        <v>-97.670946000000001</v>
      </c>
      <c r="AM1712">
        <v>25</v>
      </c>
      <c r="AN1712">
        <v>3400</v>
      </c>
      <c r="AO1712" t="s">
        <v>118</v>
      </c>
      <c r="AP1712">
        <v>39</v>
      </c>
      <c r="AQ1712">
        <v>-110</v>
      </c>
      <c r="AR1712">
        <v>0</v>
      </c>
      <c r="AZ1712">
        <v>1200</v>
      </c>
      <c r="BA1712">
        <v>1</v>
      </c>
      <c r="BB1712" t="str">
        <f t="shared" si="507"/>
        <v xml:space="preserve">N733KP  </v>
      </c>
      <c r="BC1712">
        <v>1</v>
      </c>
      <c r="BE1712">
        <v>0</v>
      </c>
      <c r="BF1712">
        <v>0</v>
      </c>
      <c r="BG1712">
        <v>0</v>
      </c>
      <c r="BH1712">
        <v>3400</v>
      </c>
      <c r="BI1712">
        <v>1</v>
      </c>
      <c r="BJ1712">
        <v>1</v>
      </c>
      <c r="BK1712">
        <v>0</v>
      </c>
      <c r="BL1712">
        <v>0</v>
      </c>
      <c r="BO1712">
        <v>0</v>
      </c>
      <c r="BP1712">
        <v>0</v>
      </c>
      <c r="BW1712" t="str">
        <f>"22:16:40.879"</f>
        <v>22:16:40.879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119</v>
      </c>
      <c r="CQ1712">
        <v>364</v>
      </c>
      <c r="CR1712">
        <v>0</v>
      </c>
      <c r="CW1712">
        <v>1430814</v>
      </c>
      <c r="CY1712">
        <v>1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"03/24/2022 22:16:41.074"</f>
        <v>03/24/2022 22:16:41.074</v>
      </c>
      <c r="C1713" t="str">
        <f t="shared" si="505"/>
        <v>FFDFD3C0</v>
      </c>
      <c r="D1713" t="s">
        <v>123</v>
      </c>
      <c r="E1713">
        <v>8</v>
      </c>
      <c r="H1713">
        <v>31</v>
      </c>
      <c r="I1713" t="s">
        <v>124</v>
      </c>
      <c r="J1713" t="s">
        <v>125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S1713" t="str">
        <f t="shared" si="513"/>
        <v>22:16:40.000</v>
      </c>
      <c r="T1713" t="str">
        <f t="shared" si="513"/>
        <v>22:16:40.000</v>
      </c>
      <c r="U1713" t="str">
        <f t="shared" si="500"/>
        <v>A9D71F</v>
      </c>
      <c r="V1713">
        <v>0</v>
      </c>
      <c r="W1713">
        <v>0</v>
      </c>
      <c r="X1713">
        <v>2</v>
      </c>
      <c r="Z1713">
        <v>1</v>
      </c>
      <c r="AA1713">
        <v>8</v>
      </c>
      <c r="AB1713">
        <v>3</v>
      </c>
      <c r="AC1713">
        <v>0</v>
      </c>
      <c r="AD1713">
        <v>9</v>
      </c>
      <c r="AE1713">
        <v>0</v>
      </c>
      <c r="AF1713">
        <v>3</v>
      </c>
      <c r="AG1713">
        <v>1</v>
      </c>
      <c r="AH1713">
        <v>0</v>
      </c>
      <c r="AI1713" t="s">
        <v>906</v>
      </c>
      <c r="AJ1713">
        <v>33.064771</v>
      </c>
      <c r="AK1713" t="s">
        <v>907</v>
      </c>
      <c r="AL1713">
        <v>-97.670946000000001</v>
      </c>
      <c r="AM1713">
        <v>25</v>
      </c>
      <c r="AN1713">
        <v>3400</v>
      </c>
      <c r="AO1713" t="s">
        <v>118</v>
      </c>
      <c r="AP1713">
        <v>39</v>
      </c>
      <c r="AQ1713">
        <v>-110</v>
      </c>
      <c r="AR1713">
        <v>0</v>
      </c>
      <c r="AZ1713">
        <v>1200</v>
      </c>
      <c r="BA1713">
        <v>1</v>
      </c>
      <c r="BB1713" t="str">
        <f t="shared" si="507"/>
        <v xml:space="preserve">N733KP  </v>
      </c>
      <c r="BC1713">
        <v>1</v>
      </c>
      <c r="BE1713">
        <v>0</v>
      </c>
      <c r="BF1713">
        <v>0</v>
      </c>
      <c r="BG1713">
        <v>0</v>
      </c>
      <c r="BH1713">
        <v>3400</v>
      </c>
      <c r="BI1713">
        <v>1</v>
      </c>
      <c r="BJ1713">
        <v>1</v>
      </c>
      <c r="BK1713">
        <v>0</v>
      </c>
      <c r="BL1713">
        <v>0</v>
      </c>
      <c r="BO1713">
        <v>0</v>
      </c>
      <c r="BP1713">
        <v>0</v>
      </c>
      <c r="BW1713" t="str">
        <f>"22:16:40.879"</f>
        <v>22:16:40.879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119</v>
      </c>
      <c r="CQ1713">
        <v>364</v>
      </c>
      <c r="CR1713">
        <v>0</v>
      </c>
      <c r="CW1713">
        <v>1430814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"03/24/2022 22:16:41.793"</f>
        <v>03/24/2022 22:16:41.793</v>
      </c>
      <c r="C1714" t="str">
        <f t="shared" si="505"/>
        <v>FFDFD3C0</v>
      </c>
      <c r="D1714" t="s">
        <v>123</v>
      </c>
      <c r="E1714">
        <v>8</v>
      </c>
      <c r="H1714">
        <v>31</v>
      </c>
      <c r="I1714" t="s">
        <v>124</v>
      </c>
      <c r="J1714" t="s">
        <v>125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S1714" t="str">
        <f t="shared" ref="S1714:T1717" si="514">"22:16:41.000"</f>
        <v>22:16:41.000</v>
      </c>
      <c r="T1714" t="str">
        <f t="shared" si="514"/>
        <v>22:16:41.000</v>
      </c>
      <c r="U1714" t="str">
        <f t="shared" si="500"/>
        <v>A9D71F</v>
      </c>
      <c r="V1714">
        <v>0</v>
      </c>
      <c r="W1714">
        <v>0</v>
      </c>
      <c r="X1714">
        <v>2</v>
      </c>
      <c r="Z1714">
        <v>1</v>
      </c>
      <c r="AA1714">
        <v>8</v>
      </c>
      <c r="AB1714">
        <v>3</v>
      </c>
      <c r="AC1714">
        <v>0</v>
      </c>
      <c r="AD1714">
        <v>9</v>
      </c>
      <c r="AE1714">
        <v>0</v>
      </c>
      <c r="AF1714">
        <v>3</v>
      </c>
      <c r="AG1714">
        <v>1</v>
      </c>
      <c r="AH1714">
        <v>0</v>
      </c>
      <c r="AI1714" t="s">
        <v>908</v>
      </c>
      <c r="AJ1714">
        <v>33.064256</v>
      </c>
      <c r="AK1714" t="s">
        <v>909</v>
      </c>
      <c r="AL1714">
        <v>-97.670732000000001</v>
      </c>
      <c r="AM1714">
        <v>25</v>
      </c>
      <c r="AN1714">
        <v>3400</v>
      </c>
      <c r="AO1714" t="s">
        <v>118</v>
      </c>
      <c r="AP1714">
        <v>40</v>
      </c>
      <c r="AQ1714">
        <v>-110</v>
      </c>
      <c r="AR1714">
        <v>0</v>
      </c>
      <c r="AZ1714">
        <v>1200</v>
      </c>
      <c r="BA1714">
        <v>1</v>
      </c>
      <c r="BB1714" t="str">
        <f t="shared" si="507"/>
        <v xml:space="preserve">N733KP  </v>
      </c>
      <c r="BC1714">
        <v>1</v>
      </c>
      <c r="BE1714">
        <v>0</v>
      </c>
      <c r="BF1714">
        <v>0</v>
      </c>
      <c r="BG1714">
        <v>0</v>
      </c>
      <c r="BH1714">
        <v>3375</v>
      </c>
      <c r="BI1714">
        <v>1</v>
      </c>
      <c r="BJ1714">
        <v>1</v>
      </c>
      <c r="BK1714">
        <v>0</v>
      </c>
      <c r="BL1714">
        <v>0</v>
      </c>
      <c r="BO1714">
        <v>0</v>
      </c>
      <c r="BP1714">
        <v>0</v>
      </c>
      <c r="BW1714" t="str">
        <f>"22:16:41.620"</f>
        <v>22:16:41.620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119</v>
      </c>
      <c r="CQ1714">
        <v>364</v>
      </c>
      <c r="CR1714">
        <v>0</v>
      </c>
      <c r="CW1714">
        <v>1430925</v>
      </c>
      <c r="CY1714">
        <v>1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"03/24/2022 22:16:41.840"</f>
        <v>03/24/2022 22:16:41.840</v>
      </c>
      <c r="C1715" t="str">
        <f t="shared" si="505"/>
        <v>FFDFD3C0</v>
      </c>
      <c r="D1715" t="s">
        <v>120</v>
      </c>
      <c r="E1715">
        <v>14</v>
      </c>
      <c r="F1715">
        <v>1014</v>
      </c>
      <c r="G1715" t="s">
        <v>121</v>
      </c>
      <c r="J1715" t="s">
        <v>122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S1715" t="str">
        <f t="shared" si="514"/>
        <v>22:16:41.000</v>
      </c>
      <c r="T1715" t="str">
        <f t="shared" si="514"/>
        <v>22:16:41.000</v>
      </c>
      <c r="U1715" t="str">
        <f t="shared" si="500"/>
        <v>A9D71F</v>
      </c>
      <c r="V1715">
        <v>0</v>
      </c>
      <c r="W1715">
        <v>0</v>
      </c>
      <c r="X1715">
        <v>2</v>
      </c>
      <c r="Z1715">
        <v>1</v>
      </c>
      <c r="AA1715">
        <v>8</v>
      </c>
      <c r="AB1715">
        <v>3</v>
      </c>
      <c r="AC1715">
        <v>0</v>
      </c>
      <c r="AD1715">
        <v>9</v>
      </c>
      <c r="AE1715">
        <v>0</v>
      </c>
      <c r="AF1715">
        <v>3</v>
      </c>
      <c r="AG1715">
        <v>1</v>
      </c>
      <c r="AH1715">
        <v>0</v>
      </c>
      <c r="AI1715" t="s">
        <v>908</v>
      </c>
      <c r="AJ1715">
        <v>33.064256</v>
      </c>
      <c r="AK1715" t="s">
        <v>909</v>
      </c>
      <c r="AL1715">
        <v>-97.670732000000001</v>
      </c>
      <c r="AM1715">
        <v>25</v>
      </c>
      <c r="AN1715">
        <v>3400</v>
      </c>
      <c r="AO1715" t="s">
        <v>118</v>
      </c>
      <c r="AP1715">
        <v>40</v>
      </c>
      <c r="AQ1715">
        <v>-110</v>
      </c>
      <c r="AR1715">
        <v>0</v>
      </c>
      <c r="AZ1715">
        <v>1200</v>
      </c>
      <c r="BA1715">
        <v>1</v>
      </c>
      <c r="BB1715" t="str">
        <f t="shared" si="507"/>
        <v xml:space="preserve">N733KP  </v>
      </c>
      <c r="BC1715">
        <v>1</v>
      </c>
      <c r="BE1715">
        <v>0</v>
      </c>
      <c r="BF1715">
        <v>0</v>
      </c>
      <c r="BG1715">
        <v>0</v>
      </c>
      <c r="BH1715">
        <v>3375</v>
      </c>
      <c r="BI1715">
        <v>1</v>
      </c>
      <c r="BJ1715">
        <v>1</v>
      </c>
      <c r="BK1715">
        <v>0</v>
      </c>
      <c r="BL1715">
        <v>0</v>
      </c>
      <c r="BO1715">
        <v>0</v>
      </c>
      <c r="BP1715">
        <v>0</v>
      </c>
      <c r="BW1715" t="str">
        <f>"22:16:41.620"</f>
        <v>22:16:41.620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7</v>
      </c>
      <c r="CP1715" t="s">
        <v>119</v>
      </c>
      <c r="CQ1715">
        <v>364</v>
      </c>
      <c r="CR1715">
        <v>0</v>
      </c>
      <c r="CW1715">
        <v>1430925</v>
      </c>
      <c r="CY1715">
        <v>1</v>
      </c>
      <c r="CZ1715">
        <v>0</v>
      </c>
      <c r="DA1715">
        <v>1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"03/24/2022 22:16:41.840"</f>
        <v>03/24/2022 22:16:41.840</v>
      </c>
      <c r="C1716" t="str">
        <f t="shared" si="505"/>
        <v>FFDFD3C0</v>
      </c>
      <c r="D1716" t="s">
        <v>126</v>
      </c>
      <c r="E1716">
        <v>3</v>
      </c>
      <c r="H1716">
        <v>160</v>
      </c>
      <c r="I1716" t="s">
        <v>121</v>
      </c>
      <c r="J1716" t="s">
        <v>127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S1716" t="str">
        <f t="shared" si="514"/>
        <v>22:16:41.000</v>
      </c>
      <c r="T1716" t="str">
        <f t="shared" si="514"/>
        <v>22:16:41.000</v>
      </c>
      <c r="U1716" t="str">
        <f t="shared" si="500"/>
        <v>A9D71F</v>
      </c>
      <c r="V1716">
        <v>0</v>
      </c>
      <c r="W1716">
        <v>0</v>
      </c>
      <c r="X1716">
        <v>2</v>
      </c>
      <c r="Z1716">
        <v>1</v>
      </c>
      <c r="AA1716">
        <v>8</v>
      </c>
      <c r="AB1716">
        <v>3</v>
      </c>
      <c r="AC1716">
        <v>0</v>
      </c>
      <c r="AD1716">
        <v>9</v>
      </c>
      <c r="AE1716">
        <v>0</v>
      </c>
      <c r="AF1716">
        <v>3</v>
      </c>
      <c r="AG1716">
        <v>1</v>
      </c>
      <c r="AH1716">
        <v>0</v>
      </c>
      <c r="AI1716" t="s">
        <v>908</v>
      </c>
      <c r="AJ1716">
        <v>33.064256</v>
      </c>
      <c r="AK1716" t="s">
        <v>909</v>
      </c>
      <c r="AL1716">
        <v>-97.670732000000001</v>
      </c>
      <c r="AM1716">
        <v>25</v>
      </c>
      <c r="AN1716">
        <v>3400</v>
      </c>
      <c r="AO1716" t="s">
        <v>118</v>
      </c>
      <c r="AP1716">
        <v>40</v>
      </c>
      <c r="AQ1716">
        <v>-110</v>
      </c>
      <c r="AR1716">
        <v>0</v>
      </c>
      <c r="AZ1716">
        <v>1200</v>
      </c>
      <c r="BA1716">
        <v>1</v>
      </c>
      <c r="BB1716" t="str">
        <f t="shared" si="507"/>
        <v xml:space="preserve">N733KP  </v>
      </c>
      <c r="BC1716">
        <v>1</v>
      </c>
      <c r="BE1716">
        <v>0</v>
      </c>
      <c r="BF1716">
        <v>0</v>
      </c>
      <c r="BG1716">
        <v>0</v>
      </c>
      <c r="BH1716">
        <v>3375</v>
      </c>
      <c r="BI1716">
        <v>1</v>
      </c>
      <c r="BJ1716">
        <v>1</v>
      </c>
      <c r="BK1716">
        <v>0</v>
      </c>
      <c r="BL1716">
        <v>0</v>
      </c>
      <c r="BO1716">
        <v>0</v>
      </c>
      <c r="BP1716">
        <v>0</v>
      </c>
      <c r="BW1716" t="str">
        <f>"22:16:41.620"</f>
        <v>22:16:41.620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7</v>
      </c>
      <c r="CP1716" t="s">
        <v>119</v>
      </c>
      <c r="CQ1716">
        <v>364</v>
      </c>
      <c r="CR1716">
        <v>0</v>
      </c>
      <c r="CW1716">
        <v>1430925</v>
      </c>
      <c r="CY1716">
        <v>1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"03/24/2022 22:16:41.840"</f>
        <v>03/24/2022 22:16:41.840</v>
      </c>
      <c r="C1717" t="str">
        <f t="shared" si="505"/>
        <v>FFDFD3C0</v>
      </c>
      <c r="D1717" t="s">
        <v>113</v>
      </c>
      <c r="E1717">
        <v>24</v>
      </c>
      <c r="F1717">
        <v>2024</v>
      </c>
      <c r="G1717" t="s">
        <v>114</v>
      </c>
      <c r="J1717" t="s">
        <v>115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S1717" t="str">
        <f t="shared" si="514"/>
        <v>22:16:41.000</v>
      </c>
      <c r="T1717" t="str">
        <f t="shared" si="514"/>
        <v>22:16:41.000</v>
      </c>
      <c r="U1717" t="str">
        <f t="shared" si="500"/>
        <v>A9D71F</v>
      </c>
      <c r="V1717">
        <v>0</v>
      </c>
      <c r="W1717">
        <v>0</v>
      </c>
      <c r="X1717">
        <v>2</v>
      </c>
      <c r="Z1717">
        <v>1</v>
      </c>
      <c r="AA1717">
        <v>8</v>
      </c>
      <c r="AB1717">
        <v>3</v>
      </c>
      <c r="AC1717">
        <v>0</v>
      </c>
      <c r="AD1717">
        <v>9</v>
      </c>
      <c r="AE1717">
        <v>0</v>
      </c>
      <c r="AF1717">
        <v>3</v>
      </c>
      <c r="AG1717">
        <v>1</v>
      </c>
      <c r="AH1717">
        <v>0</v>
      </c>
      <c r="AI1717" t="s">
        <v>908</v>
      </c>
      <c r="AJ1717">
        <v>33.064256</v>
      </c>
      <c r="AK1717" t="s">
        <v>909</v>
      </c>
      <c r="AL1717">
        <v>-97.670732000000001</v>
      </c>
      <c r="AM1717">
        <v>25</v>
      </c>
      <c r="AN1717">
        <v>3400</v>
      </c>
      <c r="AO1717" t="s">
        <v>118</v>
      </c>
      <c r="AP1717">
        <v>40</v>
      </c>
      <c r="AQ1717">
        <v>-110</v>
      </c>
      <c r="AR1717">
        <v>0</v>
      </c>
      <c r="AZ1717">
        <v>1200</v>
      </c>
      <c r="BA1717">
        <v>1</v>
      </c>
      <c r="BB1717" t="str">
        <f t="shared" si="507"/>
        <v xml:space="preserve">N733KP  </v>
      </c>
      <c r="BC1717">
        <v>1</v>
      </c>
      <c r="BE1717">
        <v>0</v>
      </c>
      <c r="BF1717">
        <v>0</v>
      </c>
      <c r="BG1717">
        <v>0</v>
      </c>
      <c r="BH1717">
        <v>3375</v>
      </c>
      <c r="BI1717">
        <v>1</v>
      </c>
      <c r="BJ1717">
        <v>1</v>
      </c>
      <c r="BK1717">
        <v>0</v>
      </c>
      <c r="BL1717">
        <v>0</v>
      </c>
      <c r="BO1717">
        <v>0</v>
      </c>
      <c r="BP1717">
        <v>0</v>
      </c>
      <c r="BW1717" t="str">
        <f>"22:16:41.620"</f>
        <v>22:16:41.620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7</v>
      </c>
      <c r="CP1717" t="s">
        <v>119</v>
      </c>
      <c r="CQ1717">
        <v>364</v>
      </c>
      <c r="CR1717">
        <v>0</v>
      </c>
      <c r="CW1717">
        <v>1430925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"03/24/2022 22:16:42.419"</f>
        <v>03/24/2022 22:16:42.419</v>
      </c>
      <c r="C1718" t="str">
        <f t="shared" si="505"/>
        <v>FFDFD3C0</v>
      </c>
      <c r="D1718" t="s">
        <v>123</v>
      </c>
      <c r="E1718">
        <v>8</v>
      </c>
      <c r="H1718">
        <v>31</v>
      </c>
      <c r="I1718" t="s">
        <v>124</v>
      </c>
      <c r="J1718" t="s">
        <v>125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S1718" t="str">
        <f t="shared" ref="S1718:T1721" si="515">"22:16:42.000"</f>
        <v>22:16:42.000</v>
      </c>
      <c r="T1718" t="str">
        <f t="shared" si="515"/>
        <v>22:16:42.000</v>
      </c>
      <c r="U1718" t="str">
        <f t="shared" si="500"/>
        <v>A9D71F</v>
      </c>
      <c r="V1718">
        <v>0</v>
      </c>
      <c r="W1718">
        <v>0</v>
      </c>
      <c r="X1718">
        <v>2</v>
      </c>
      <c r="Z1718">
        <v>1</v>
      </c>
      <c r="AA1718">
        <v>8</v>
      </c>
      <c r="AB1718">
        <v>3</v>
      </c>
      <c r="AC1718">
        <v>0</v>
      </c>
      <c r="AD1718">
        <v>9</v>
      </c>
      <c r="AE1718">
        <v>0</v>
      </c>
      <c r="AF1718">
        <v>3</v>
      </c>
      <c r="AG1718">
        <v>1</v>
      </c>
      <c r="AH1718">
        <v>0</v>
      </c>
      <c r="AI1718" t="s">
        <v>910</v>
      </c>
      <c r="AJ1718">
        <v>33.063741</v>
      </c>
      <c r="AK1718" t="s">
        <v>911</v>
      </c>
      <c r="AL1718">
        <v>-97.670517000000004</v>
      </c>
      <c r="AM1718">
        <v>25</v>
      </c>
      <c r="AN1718">
        <v>3400</v>
      </c>
      <c r="AO1718" t="s">
        <v>118</v>
      </c>
      <c r="AP1718">
        <v>39</v>
      </c>
      <c r="AQ1718">
        <v>-110</v>
      </c>
      <c r="AR1718">
        <v>0</v>
      </c>
      <c r="AZ1718">
        <v>1200</v>
      </c>
      <c r="BA1718">
        <v>1</v>
      </c>
      <c r="BB1718" t="str">
        <f t="shared" si="507"/>
        <v xml:space="preserve">N733KP  </v>
      </c>
      <c r="BC1718">
        <v>1</v>
      </c>
      <c r="BE1718">
        <v>0</v>
      </c>
      <c r="BF1718">
        <v>0</v>
      </c>
      <c r="BG1718">
        <v>0</v>
      </c>
      <c r="BH1718">
        <v>3375</v>
      </c>
      <c r="BI1718">
        <v>1</v>
      </c>
      <c r="BJ1718">
        <v>1</v>
      </c>
      <c r="BK1718">
        <v>0</v>
      </c>
      <c r="BL1718">
        <v>0</v>
      </c>
      <c r="BO1718">
        <v>0</v>
      </c>
      <c r="BP1718">
        <v>0</v>
      </c>
      <c r="BW1718" t="str">
        <f>"22:16:42.217"</f>
        <v>22:16:42.217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364</v>
      </c>
      <c r="CR1718">
        <v>0</v>
      </c>
      <c r="CW1718">
        <v>1431007</v>
      </c>
      <c r="CY1718">
        <v>1</v>
      </c>
      <c r="CZ1718">
        <v>0</v>
      </c>
      <c r="DA1718">
        <v>0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"03/24/2022 22:16:42.419"</f>
        <v>03/24/2022 22:16:42.419</v>
      </c>
      <c r="C1719" t="str">
        <f t="shared" si="505"/>
        <v>FFDFD3C0</v>
      </c>
      <c r="D1719" t="s">
        <v>120</v>
      </c>
      <c r="E1719">
        <v>14</v>
      </c>
      <c r="F1719">
        <v>1014</v>
      </c>
      <c r="G1719" t="s">
        <v>121</v>
      </c>
      <c r="J1719" t="s">
        <v>122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S1719" t="str">
        <f t="shared" si="515"/>
        <v>22:16:42.000</v>
      </c>
      <c r="T1719" t="str">
        <f t="shared" si="515"/>
        <v>22:16:42.000</v>
      </c>
      <c r="U1719" t="str">
        <f t="shared" si="500"/>
        <v>A9D71F</v>
      </c>
      <c r="V1719">
        <v>0</v>
      </c>
      <c r="W1719">
        <v>0</v>
      </c>
      <c r="X1719">
        <v>2</v>
      </c>
      <c r="Z1719">
        <v>1</v>
      </c>
      <c r="AA1719">
        <v>8</v>
      </c>
      <c r="AB1719">
        <v>3</v>
      </c>
      <c r="AC1719">
        <v>0</v>
      </c>
      <c r="AD1719">
        <v>9</v>
      </c>
      <c r="AE1719">
        <v>0</v>
      </c>
      <c r="AF1719">
        <v>3</v>
      </c>
      <c r="AG1719">
        <v>1</v>
      </c>
      <c r="AH1719">
        <v>0</v>
      </c>
      <c r="AI1719" t="s">
        <v>910</v>
      </c>
      <c r="AJ1719">
        <v>33.063741</v>
      </c>
      <c r="AK1719" t="s">
        <v>911</v>
      </c>
      <c r="AL1719">
        <v>-97.670517000000004</v>
      </c>
      <c r="AM1719">
        <v>25</v>
      </c>
      <c r="AN1719">
        <v>3400</v>
      </c>
      <c r="AO1719" t="s">
        <v>118</v>
      </c>
      <c r="AP1719">
        <v>39</v>
      </c>
      <c r="AQ1719">
        <v>-110</v>
      </c>
      <c r="AR1719">
        <v>0</v>
      </c>
      <c r="AZ1719">
        <v>1200</v>
      </c>
      <c r="BA1719">
        <v>1</v>
      </c>
      <c r="BB1719" t="str">
        <f t="shared" si="507"/>
        <v xml:space="preserve">N733KP  </v>
      </c>
      <c r="BC1719">
        <v>1</v>
      </c>
      <c r="BE1719">
        <v>0</v>
      </c>
      <c r="BF1719">
        <v>0</v>
      </c>
      <c r="BG1719">
        <v>0</v>
      </c>
      <c r="BH1719">
        <v>3375</v>
      </c>
      <c r="BI1719">
        <v>1</v>
      </c>
      <c r="BJ1719">
        <v>1</v>
      </c>
      <c r="BK1719">
        <v>0</v>
      </c>
      <c r="BL1719">
        <v>0</v>
      </c>
      <c r="BO1719">
        <v>0</v>
      </c>
      <c r="BP1719">
        <v>0</v>
      </c>
      <c r="BW1719" t="str">
        <f>"22:16:42.217"</f>
        <v>22:16:42.217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7</v>
      </c>
      <c r="CP1719" t="s">
        <v>119</v>
      </c>
      <c r="CQ1719">
        <v>364</v>
      </c>
      <c r="CR1719">
        <v>0</v>
      </c>
      <c r="CW1719">
        <v>1431007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"03/24/2022 22:16:42.419"</f>
        <v>03/24/2022 22:16:42.419</v>
      </c>
      <c r="C1720" t="str">
        <f t="shared" si="505"/>
        <v>FFDFD3C0</v>
      </c>
      <c r="D1720" t="s">
        <v>126</v>
      </c>
      <c r="E1720">
        <v>3</v>
      </c>
      <c r="H1720">
        <v>160</v>
      </c>
      <c r="I1720" t="s">
        <v>121</v>
      </c>
      <c r="J1720" t="s">
        <v>127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S1720" t="str">
        <f t="shared" si="515"/>
        <v>22:16:42.000</v>
      </c>
      <c r="T1720" t="str">
        <f t="shared" si="515"/>
        <v>22:16:42.000</v>
      </c>
      <c r="U1720" t="str">
        <f t="shared" si="500"/>
        <v>A9D71F</v>
      </c>
      <c r="V1720">
        <v>0</v>
      </c>
      <c r="W1720">
        <v>0</v>
      </c>
      <c r="X1720">
        <v>2</v>
      </c>
      <c r="Z1720">
        <v>1</v>
      </c>
      <c r="AA1720">
        <v>8</v>
      </c>
      <c r="AB1720">
        <v>3</v>
      </c>
      <c r="AC1720">
        <v>0</v>
      </c>
      <c r="AD1720">
        <v>9</v>
      </c>
      <c r="AE1720">
        <v>0</v>
      </c>
      <c r="AF1720">
        <v>3</v>
      </c>
      <c r="AG1720">
        <v>1</v>
      </c>
      <c r="AH1720">
        <v>0</v>
      </c>
      <c r="AI1720" t="s">
        <v>910</v>
      </c>
      <c r="AJ1720">
        <v>33.063741</v>
      </c>
      <c r="AK1720" t="s">
        <v>911</v>
      </c>
      <c r="AL1720">
        <v>-97.670517000000004</v>
      </c>
      <c r="AM1720">
        <v>25</v>
      </c>
      <c r="AN1720">
        <v>3400</v>
      </c>
      <c r="AO1720" t="s">
        <v>118</v>
      </c>
      <c r="AP1720">
        <v>39</v>
      </c>
      <c r="AQ1720">
        <v>-110</v>
      </c>
      <c r="AR1720">
        <v>0</v>
      </c>
      <c r="AZ1720">
        <v>1200</v>
      </c>
      <c r="BA1720">
        <v>1</v>
      </c>
      <c r="BB1720" t="str">
        <f t="shared" si="507"/>
        <v xml:space="preserve">N733KP  </v>
      </c>
      <c r="BC1720">
        <v>1</v>
      </c>
      <c r="BE1720">
        <v>0</v>
      </c>
      <c r="BF1720">
        <v>0</v>
      </c>
      <c r="BG1720">
        <v>0</v>
      </c>
      <c r="BH1720">
        <v>3375</v>
      </c>
      <c r="BI1720">
        <v>1</v>
      </c>
      <c r="BJ1720">
        <v>1</v>
      </c>
      <c r="BK1720">
        <v>0</v>
      </c>
      <c r="BL1720">
        <v>0</v>
      </c>
      <c r="BO1720">
        <v>0</v>
      </c>
      <c r="BP1720">
        <v>0</v>
      </c>
      <c r="BW1720" t="str">
        <f>"22:16:42.217"</f>
        <v>22:16:42.217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119</v>
      </c>
      <c r="CQ1720">
        <v>364</v>
      </c>
      <c r="CR1720">
        <v>0</v>
      </c>
      <c r="CW1720">
        <v>1431007</v>
      </c>
      <c r="CY1720">
        <v>1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"03/24/2022 22:16:42.419"</f>
        <v>03/24/2022 22:16:42.419</v>
      </c>
      <c r="C1721" t="str">
        <f t="shared" si="505"/>
        <v>FFDFD3C0</v>
      </c>
      <c r="D1721" t="s">
        <v>113</v>
      </c>
      <c r="E1721">
        <v>24</v>
      </c>
      <c r="F1721">
        <v>2024</v>
      </c>
      <c r="G1721" t="s">
        <v>114</v>
      </c>
      <c r="J1721" t="s">
        <v>115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S1721" t="str">
        <f t="shared" si="515"/>
        <v>22:16:42.000</v>
      </c>
      <c r="T1721" t="str">
        <f t="shared" si="515"/>
        <v>22:16:42.000</v>
      </c>
      <c r="U1721" t="str">
        <f t="shared" si="500"/>
        <v>A9D71F</v>
      </c>
      <c r="V1721">
        <v>0</v>
      </c>
      <c r="W1721">
        <v>0</v>
      </c>
      <c r="X1721">
        <v>2</v>
      </c>
      <c r="Z1721">
        <v>1</v>
      </c>
      <c r="AA1721">
        <v>8</v>
      </c>
      <c r="AB1721">
        <v>3</v>
      </c>
      <c r="AC1721">
        <v>0</v>
      </c>
      <c r="AD1721">
        <v>9</v>
      </c>
      <c r="AE1721">
        <v>0</v>
      </c>
      <c r="AF1721">
        <v>3</v>
      </c>
      <c r="AG1721">
        <v>1</v>
      </c>
      <c r="AH1721">
        <v>0</v>
      </c>
      <c r="AI1721" t="s">
        <v>910</v>
      </c>
      <c r="AJ1721">
        <v>33.063741</v>
      </c>
      <c r="AK1721" t="s">
        <v>911</v>
      </c>
      <c r="AL1721">
        <v>-97.670517000000004</v>
      </c>
      <c r="AM1721">
        <v>25</v>
      </c>
      <c r="AN1721">
        <v>3400</v>
      </c>
      <c r="AO1721" t="s">
        <v>118</v>
      </c>
      <c r="AP1721">
        <v>39</v>
      </c>
      <c r="AQ1721">
        <v>-110</v>
      </c>
      <c r="AR1721">
        <v>0</v>
      </c>
      <c r="AZ1721">
        <v>1200</v>
      </c>
      <c r="BA1721">
        <v>1</v>
      </c>
      <c r="BB1721" t="str">
        <f t="shared" si="507"/>
        <v xml:space="preserve">N733KP  </v>
      </c>
      <c r="BC1721">
        <v>1</v>
      </c>
      <c r="BE1721">
        <v>0</v>
      </c>
      <c r="BF1721">
        <v>0</v>
      </c>
      <c r="BG1721">
        <v>0</v>
      </c>
      <c r="BH1721">
        <v>3375</v>
      </c>
      <c r="BI1721">
        <v>1</v>
      </c>
      <c r="BJ1721">
        <v>1</v>
      </c>
      <c r="BK1721">
        <v>0</v>
      </c>
      <c r="BL1721">
        <v>0</v>
      </c>
      <c r="BO1721">
        <v>0</v>
      </c>
      <c r="BP1721">
        <v>0</v>
      </c>
      <c r="BW1721" t="str">
        <f>"22:16:42.217"</f>
        <v>22:16:42.217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119</v>
      </c>
      <c r="CQ1721">
        <v>364</v>
      </c>
      <c r="CR1721">
        <v>0</v>
      </c>
      <c r="CW1721">
        <v>1431007</v>
      </c>
      <c r="CY1721">
        <v>1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"03/24/2022 22:16:44.000"</f>
        <v>03/24/2022 22:16:44.000</v>
      </c>
      <c r="C1722" t="str">
        <f t="shared" si="505"/>
        <v>FFDFD3C0</v>
      </c>
      <c r="D1722" t="s">
        <v>120</v>
      </c>
      <c r="E1722">
        <v>14</v>
      </c>
      <c r="F1722">
        <v>1014</v>
      </c>
      <c r="G1722" t="s">
        <v>121</v>
      </c>
      <c r="J1722" t="s">
        <v>122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S1722" t="str">
        <f t="shared" ref="S1722:T1725" si="516">"22:16:43.000"</f>
        <v>22:16:43.000</v>
      </c>
      <c r="T1722" t="str">
        <f t="shared" si="516"/>
        <v>22:16:43.000</v>
      </c>
      <c r="U1722" t="str">
        <f t="shared" si="500"/>
        <v>A9D71F</v>
      </c>
      <c r="V1722">
        <v>0</v>
      </c>
      <c r="W1722">
        <v>0</v>
      </c>
      <c r="X1722">
        <v>2</v>
      </c>
      <c r="Z1722">
        <v>1</v>
      </c>
      <c r="AA1722">
        <v>8</v>
      </c>
      <c r="AB1722">
        <v>3</v>
      </c>
      <c r="AC1722">
        <v>0</v>
      </c>
      <c r="AD1722">
        <v>9</v>
      </c>
      <c r="AE1722">
        <v>0</v>
      </c>
      <c r="AF1722">
        <v>3</v>
      </c>
      <c r="AG1722">
        <v>1</v>
      </c>
      <c r="AH1722">
        <v>0</v>
      </c>
      <c r="AI1722" t="s">
        <v>912</v>
      </c>
      <c r="AJ1722">
        <v>33.063226</v>
      </c>
      <c r="AK1722" t="s">
        <v>913</v>
      </c>
      <c r="AL1722">
        <v>-97.670302000000007</v>
      </c>
      <c r="AM1722">
        <v>25</v>
      </c>
      <c r="AN1722">
        <v>3400</v>
      </c>
      <c r="AO1722" t="s">
        <v>118</v>
      </c>
      <c r="AP1722">
        <v>39</v>
      </c>
      <c r="AQ1722">
        <v>-109</v>
      </c>
      <c r="AR1722">
        <v>128</v>
      </c>
      <c r="AZ1722">
        <v>1200</v>
      </c>
      <c r="BA1722">
        <v>1</v>
      </c>
      <c r="BB1722" t="str">
        <f t="shared" si="507"/>
        <v xml:space="preserve">N733KP  </v>
      </c>
      <c r="BC1722">
        <v>1</v>
      </c>
      <c r="BE1722">
        <v>0</v>
      </c>
      <c r="BF1722">
        <v>0</v>
      </c>
      <c r="BG1722">
        <v>0</v>
      </c>
      <c r="BH1722">
        <v>3375</v>
      </c>
      <c r="BI1722">
        <v>1</v>
      </c>
      <c r="BJ1722">
        <v>1</v>
      </c>
      <c r="BK1722">
        <v>0</v>
      </c>
      <c r="BL1722">
        <v>0</v>
      </c>
      <c r="BO1722">
        <v>0</v>
      </c>
      <c r="BP1722">
        <v>0</v>
      </c>
      <c r="BW1722" t="str">
        <f>"22:16:43.763"</f>
        <v>22:16:43.763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119</v>
      </c>
      <c r="CQ1722">
        <v>364</v>
      </c>
      <c r="CR1722">
        <v>0</v>
      </c>
      <c r="CW1722">
        <v>1431218</v>
      </c>
      <c r="CY1722">
        <v>1</v>
      </c>
      <c r="CZ1722">
        <v>0</v>
      </c>
      <c r="DA1722">
        <v>0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"03/24/2022 22:16:44.000"</f>
        <v>03/24/2022 22:16:44.000</v>
      </c>
      <c r="C1723" t="str">
        <f t="shared" si="505"/>
        <v>FFDFD3C0</v>
      </c>
      <c r="D1723" t="s">
        <v>126</v>
      </c>
      <c r="E1723">
        <v>3</v>
      </c>
      <c r="H1723">
        <v>160</v>
      </c>
      <c r="I1723" t="s">
        <v>121</v>
      </c>
      <c r="J1723" t="s">
        <v>127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S1723" t="str">
        <f t="shared" si="516"/>
        <v>22:16:43.000</v>
      </c>
      <c r="T1723" t="str">
        <f t="shared" si="516"/>
        <v>22:16:43.000</v>
      </c>
      <c r="U1723" t="str">
        <f t="shared" si="500"/>
        <v>A9D71F</v>
      </c>
      <c r="V1723">
        <v>0</v>
      </c>
      <c r="W1723">
        <v>0</v>
      </c>
      <c r="X1723">
        <v>2</v>
      </c>
      <c r="Z1723">
        <v>1</v>
      </c>
      <c r="AA1723">
        <v>8</v>
      </c>
      <c r="AB1723">
        <v>3</v>
      </c>
      <c r="AC1723">
        <v>0</v>
      </c>
      <c r="AD1723">
        <v>9</v>
      </c>
      <c r="AE1723">
        <v>0</v>
      </c>
      <c r="AF1723">
        <v>3</v>
      </c>
      <c r="AG1723">
        <v>1</v>
      </c>
      <c r="AH1723">
        <v>0</v>
      </c>
      <c r="AI1723" t="s">
        <v>912</v>
      </c>
      <c r="AJ1723">
        <v>33.063226</v>
      </c>
      <c r="AK1723" t="s">
        <v>913</v>
      </c>
      <c r="AL1723">
        <v>-97.670302000000007</v>
      </c>
      <c r="AM1723">
        <v>25</v>
      </c>
      <c r="AN1723">
        <v>3400</v>
      </c>
      <c r="AO1723" t="s">
        <v>118</v>
      </c>
      <c r="AP1723">
        <v>39</v>
      </c>
      <c r="AQ1723">
        <v>-109</v>
      </c>
      <c r="AR1723">
        <v>128</v>
      </c>
      <c r="AZ1723">
        <v>1200</v>
      </c>
      <c r="BA1723">
        <v>1</v>
      </c>
      <c r="BB1723" t="str">
        <f t="shared" si="507"/>
        <v xml:space="preserve">N733KP  </v>
      </c>
      <c r="BC1723">
        <v>1</v>
      </c>
      <c r="BE1723">
        <v>0</v>
      </c>
      <c r="BF1723">
        <v>0</v>
      </c>
      <c r="BG1723">
        <v>0</v>
      </c>
      <c r="BH1723">
        <v>3375</v>
      </c>
      <c r="BI1723">
        <v>1</v>
      </c>
      <c r="BJ1723">
        <v>1</v>
      </c>
      <c r="BK1723">
        <v>0</v>
      </c>
      <c r="BL1723">
        <v>0</v>
      </c>
      <c r="BO1723">
        <v>0</v>
      </c>
      <c r="BP1723">
        <v>0</v>
      </c>
      <c r="BW1723" t="str">
        <f>"22:16:43.763"</f>
        <v>22:16:43.763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364</v>
      </c>
      <c r="CR1723">
        <v>0</v>
      </c>
      <c r="CW1723">
        <v>1431218</v>
      </c>
      <c r="CY1723">
        <v>1</v>
      </c>
      <c r="CZ1723">
        <v>0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"03/24/2022 22:16:44.000"</f>
        <v>03/24/2022 22:16:44.000</v>
      </c>
      <c r="C1724" t="str">
        <f t="shared" si="505"/>
        <v>FFDFD3C0</v>
      </c>
      <c r="D1724" t="s">
        <v>113</v>
      </c>
      <c r="E1724">
        <v>24</v>
      </c>
      <c r="F1724">
        <v>2024</v>
      </c>
      <c r="G1724" t="s">
        <v>114</v>
      </c>
      <c r="J1724" t="s">
        <v>115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S1724" t="str">
        <f t="shared" si="516"/>
        <v>22:16:43.000</v>
      </c>
      <c r="T1724" t="str">
        <f t="shared" si="516"/>
        <v>22:16:43.000</v>
      </c>
      <c r="U1724" t="str">
        <f t="shared" si="500"/>
        <v>A9D71F</v>
      </c>
      <c r="V1724">
        <v>0</v>
      </c>
      <c r="W1724">
        <v>0</v>
      </c>
      <c r="X1724">
        <v>2</v>
      </c>
      <c r="Z1724">
        <v>1</v>
      </c>
      <c r="AA1724">
        <v>8</v>
      </c>
      <c r="AB1724">
        <v>3</v>
      </c>
      <c r="AC1724">
        <v>0</v>
      </c>
      <c r="AD1724">
        <v>9</v>
      </c>
      <c r="AE1724">
        <v>0</v>
      </c>
      <c r="AF1724">
        <v>3</v>
      </c>
      <c r="AG1724">
        <v>1</v>
      </c>
      <c r="AH1724">
        <v>0</v>
      </c>
      <c r="AI1724" t="s">
        <v>912</v>
      </c>
      <c r="AJ1724">
        <v>33.063226</v>
      </c>
      <c r="AK1724" t="s">
        <v>913</v>
      </c>
      <c r="AL1724">
        <v>-97.670302000000007</v>
      </c>
      <c r="AM1724">
        <v>25</v>
      </c>
      <c r="AN1724">
        <v>3400</v>
      </c>
      <c r="AO1724" t="s">
        <v>118</v>
      </c>
      <c r="AP1724">
        <v>39</v>
      </c>
      <c r="AQ1724">
        <v>-109</v>
      </c>
      <c r="AR1724">
        <v>128</v>
      </c>
      <c r="AZ1724">
        <v>1200</v>
      </c>
      <c r="BA1724">
        <v>1</v>
      </c>
      <c r="BB1724" t="str">
        <f t="shared" si="507"/>
        <v xml:space="preserve">N733KP  </v>
      </c>
      <c r="BC1724">
        <v>1</v>
      </c>
      <c r="BE1724">
        <v>0</v>
      </c>
      <c r="BF1724">
        <v>0</v>
      </c>
      <c r="BG1724">
        <v>0</v>
      </c>
      <c r="BH1724">
        <v>3375</v>
      </c>
      <c r="BI1724">
        <v>1</v>
      </c>
      <c r="BJ1724">
        <v>1</v>
      </c>
      <c r="BK1724">
        <v>0</v>
      </c>
      <c r="BL1724">
        <v>0</v>
      </c>
      <c r="BO1724">
        <v>0</v>
      </c>
      <c r="BP1724">
        <v>0</v>
      </c>
      <c r="BW1724" t="str">
        <f>"22:16:43.763"</f>
        <v>22:16:43.763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364</v>
      </c>
      <c r="CR1724">
        <v>0</v>
      </c>
      <c r="CW1724">
        <v>1431218</v>
      </c>
      <c r="CY1724">
        <v>1</v>
      </c>
      <c r="CZ1724">
        <v>0</v>
      </c>
      <c r="DA1724">
        <v>1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"03/24/2022 22:16:44.000"</f>
        <v>03/24/2022 22:16:44.000</v>
      </c>
      <c r="C1725" t="str">
        <f t="shared" si="505"/>
        <v>FFDFD3C0</v>
      </c>
      <c r="D1725" t="s">
        <v>123</v>
      </c>
      <c r="E1725">
        <v>8</v>
      </c>
      <c r="H1725">
        <v>31</v>
      </c>
      <c r="I1725" t="s">
        <v>124</v>
      </c>
      <c r="J1725" t="s">
        <v>125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S1725" t="str">
        <f t="shared" si="516"/>
        <v>22:16:43.000</v>
      </c>
      <c r="T1725" t="str">
        <f t="shared" si="516"/>
        <v>22:16:43.000</v>
      </c>
      <c r="U1725" t="str">
        <f t="shared" si="500"/>
        <v>A9D71F</v>
      </c>
      <c r="V1725">
        <v>0</v>
      </c>
      <c r="W1725">
        <v>0</v>
      </c>
      <c r="X1725">
        <v>2</v>
      </c>
      <c r="Z1725">
        <v>1</v>
      </c>
      <c r="AA1725">
        <v>8</v>
      </c>
      <c r="AB1725">
        <v>3</v>
      </c>
      <c r="AC1725">
        <v>0</v>
      </c>
      <c r="AD1725">
        <v>9</v>
      </c>
      <c r="AE1725">
        <v>0</v>
      </c>
      <c r="AF1725">
        <v>3</v>
      </c>
      <c r="AG1725">
        <v>1</v>
      </c>
      <c r="AH1725">
        <v>0</v>
      </c>
      <c r="AI1725" t="s">
        <v>912</v>
      </c>
      <c r="AJ1725">
        <v>33.063226</v>
      </c>
      <c r="AK1725" t="s">
        <v>913</v>
      </c>
      <c r="AL1725">
        <v>-97.670302000000007</v>
      </c>
      <c r="AM1725">
        <v>25</v>
      </c>
      <c r="AN1725">
        <v>3400</v>
      </c>
      <c r="AO1725" t="s">
        <v>118</v>
      </c>
      <c r="AP1725">
        <v>39</v>
      </c>
      <c r="AQ1725">
        <v>-109</v>
      </c>
      <c r="AR1725">
        <v>128</v>
      </c>
      <c r="AZ1725">
        <v>1200</v>
      </c>
      <c r="BA1725">
        <v>1</v>
      </c>
      <c r="BB1725" t="str">
        <f t="shared" si="507"/>
        <v xml:space="preserve">N733KP  </v>
      </c>
      <c r="BC1725">
        <v>1</v>
      </c>
      <c r="BE1725">
        <v>0</v>
      </c>
      <c r="BF1725">
        <v>0</v>
      </c>
      <c r="BG1725">
        <v>0</v>
      </c>
      <c r="BH1725">
        <v>3375</v>
      </c>
      <c r="BI1725">
        <v>1</v>
      </c>
      <c r="BJ1725">
        <v>1</v>
      </c>
      <c r="BK1725">
        <v>0</v>
      </c>
      <c r="BL1725">
        <v>0</v>
      </c>
      <c r="BO1725">
        <v>0</v>
      </c>
      <c r="BP1725">
        <v>0</v>
      </c>
      <c r="BW1725" t="str">
        <f>"22:16:43.763"</f>
        <v>22:16:43.763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364</v>
      </c>
      <c r="CR1725">
        <v>0</v>
      </c>
      <c r="CW1725">
        <v>1431218</v>
      </c>
      <c r="CY1725">
        <v>1</v>
      </c>
      <c r="CZ1725">
        <v>0</v>
      </c>
      <c r="DA1725">
        <v>1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"03/24/2022 22:16:44.515"</f>
        <v>03/24/2022 22:16:44.515</v>
      </c>
      <c r="C1726" t="str">
        <f t="shared" si="505"/>
        <v>FFDFD3C0</v>
      </c>
      <c r="D1726" t="s">
        <v>123</v>
      </c>
      <c r="E1726">
        <v>8</v>
      </c>
      <c r="H1726">
        <v>31</v>
      </c>
      <c r="I1726" t="s">
        <v>124</v>
      </c>
      <c r="J1726" t="s">
        <v>125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S1726" t="str">
        <f t="shared" ref="S1726:T1729" si="517">"22:16:44.000"</f>
        <v>22:16:44.000</v>
      </c>
      <c r="T1726" t="str">
        <f t="shared" si="517"/>
        <v>22:16:44.000</v>
      </c>
      <c r="U1726" t="str">
        <f t="shared" si="500"/>
        <v>A9D71F</v>
      </c>
      <c r="V1726">
        <v>0</v>
      </c>
      <c r="W1726">
        <v>0</v>
      </c>
      <c r="X1726">
        <v>2</v>
      </c>
      <c r="Z1726">
        <v>1</v>
      </c>
      <c r="AA1726">
        <v>8</v>
      </c>
      <c r="AB1726">
        <v>3</v>
      </c>
      <c r="AC1726">
        <v>0</v>
      </c>
      <c r="AD1726">
        <v>9</v>
      </c>
      <c r="AE1726">
        <v>0</v>
      </c>
      <c r="AF1726">
        <v>3</v>
      </c>
      <c r="AG1726">
        <v>1</v>
      </c>
      <c r="AH1726">
        <v>0</v>
      </c>
      <c r="AI1726" t="s">
        <v>914</v>
      </c>
      <c r="AJ1726">
        <v>33.062711</v>
      </c>
      <c r="AK1726" t="s">
        <v>915</v>
      </c>
      <c r="AL1726">
        <v>-97.670088000000007</v>
      </c>
      <c r="AM1726">
        <v>25</v>
      </c>
      <c r="AN1726">
        <v>3400</v>
      </c>
      <c r="AO1726" t="s">
        <v>118</v>
      </c>
      <c r="AP1726">
        <v>39</v>
      </c>
      <c r="AQ1726">
        <v>-109</v>
      </c>
      <c r="AR1726">
        <v>128</v>
      </c>
      <c r="AZ1726">
        <v>1200</v>
      </c>
      <c r="BA1726">
        <v>1</v>
      </c>
      <c r="BB1726" t="str">
        <f t="shared" si="507"/>
        <v xml:space="preserve">N733KP  </v>
      </c>
      <c r="BC1726">
        <v>1</v>
      </c>
      <c r="BE1726">
        <v>0</v>
      </c>
      <c r="BF1726">
        <v>0</v>
      </c>
      <c r="BG1726">
        <v>0</v>
      </c>
      <c r="BH1726">
        <v>3375</v>
      </c>
      <c r="BI1726">
        <v>1</v>
      </c>
      <c r="BJ1726">
        <v>1</v>
      </c>
      <c r="BK1726">
        <v>0</v>
      </c>
      <c r="BL1726">
        <v>0</v>
      </c>
      <c r="BO1726">
        <v>0</v>
      </c>
      <c r="BP1726">
        <v>0</v>
      </c>
      <c r="BW1726" t="str">
        <f>"22:16:44.348"</f>
        <v>22:16:44.348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6</v>
      </c>
      <c r="CP1726" t="s">
        <v>119</v>
      </c>
      <c r="CQ1726">
        <v>364</v>
      </c>
      <c r="CR1726">
        <v>0</v>
      </c>
      <c r="CW1726">
        <v>1431307</v>
      </c>
      <c r="CY1726">
        <v>1</v>
      </c>
      <c r="CZ1726">
        <v>0</v>
      </c>
      <c r="DA1726">
        <v>0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"03/24/2022 22:16:44.531"</f>
        <v>03/24/2022 22:16:44.531</v>
      </c>
      <c r="C1727" t="str">
        <f t="shared" si="505"/>
        <v>FFDFD3C0</v>
      </c>
      <c r="D1727" t="s">
        <v>120</v>
      </c>
      <c r="E1727">
        <v>14</v>
      </c>
      <c r="F1727">
        <v>1014</v>
      </c>
      <c r="G1727" t="s">
        <v>121</v>
      </c>
      <c r="J1727" t="s">
        <v>122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S1727" t="str">
        <f t="shared" si="517"/>
        <v>22:16:44.000</v>
      </c>
      <c r="T1727" t="str">
        <f t="shared" si="517"/>
        <v>22:16:44.000</v>
      </c>
      <c r="U1727" t="str">
        <f t="shared" si="500"/>
        <v>A9D71F</v>
      </c>
      <c r="V1727">
        <v>0</v>
      </c>
      <c r="W1727">
        <v>0</v>
      </c>
      <c r="X1727">
        <v>2</v>
      </c>
      <c r="Z1727">
        <v>1</v>
      </c>
      <c r="AA1727">
        <v>8</v>
      </c>
      <c r="AB1727">
        <v>3</v>
      </c>
      <c r="AC1727">
        <v>0</v>
      </c>
      <c r="AD1727">
        <v>9</v>
      </c>
      <c r="AE1727">
        <v>0</v>
      </c>
      <c r="AF1727">
        <v>3</v>
      </c>
      <c r="AG1727">
        <v>1</v>
      </c>
      <c r="AH1727">
        <v>0</v>
      </c>
      <c r="AI1727" t="s">
        <v>914</v>
      </c>
      <c r="AJ1727">
        <v>33.062711</v>
      </c>
      <c r="AK1727" t="s">
        <v>915</v>
      </c>
      <c r="AL1727">
        <v>-97.670088000000007</v>
      </c>
      <c r="AM1727">
        <v>25</v>
      </c>
      <c r="AN1727">
        <v>3400</v>
      </c>
      <c r="AO1727" t="s">
        <v>118</v>
      </c>
      <c r="AP1727">
        <v>39</v>
      </c>
      <c r="AQ1727">
        <v>-109</v>
      </c>
      <c r="AR1727">
        <v>128</v>
      </c>
      <c r="AZ1727">
        <v>1200</v>
      </c>
      <c r="BA1727">
        <v>1</v>
      </c>
      <c r="BB1727" t="str">
        <f t="shared" si="507"/>
        <v xml:space="preserve">N733KP  </v>
      </c>
      <c r="BC1727">
        <v>1</v>
      </c>
      <c r="BE1727">
        <v>0</v>
      </c>
      <c r="BF1727">
        <v>0</v>
      </c>
      <c r="BG1727">
        <v>0</v>
      </c>
      <c r="BH1727">
        <v>3375</v>
      </c>
      <c r="BI1727">
        <v>1</v>
      </c>
      <c r="BJ1727">
        <v>1</v>
      </c>
      <c r="BK1727">
        <v>0</v>
      </c>
      <c r="BL1727">
        <v>0</v>
      </c>
      <c r="BO1727">
        <v>0</v>
      </c>
      <c r="BP1727">
        <v>0</v>
      </c>
      <c r="BW1727" t="str">
        <f>"22:16:44.348"</f>
        <v>22:16:44.348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6</v>
      </c>
      <c r="CP1727" t="s">
        <v>119</v>
      </c>
      <c r="CQ1727">
        <v>364</v>
      </c>
      <c r="CR1727">
        <v>0</v>
      </c>
      <c r="CW1727">
        <v>1431307</v>
      </c>
      <c r="CY1727">
        <v>1</v>
      </c>
      <c r="CZ1727">
        <v>0</v>
      </c>
      <c r="DA1727">
        <v>1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"03/24/2022 22:16:44.580"</f>
        <v>03/24/2022 22:16:44.580</v>
      </c>
      <c r="C1728" t="str">
        <f t="shared" si="505"/>
        <v>FFDFD3C0</v>
      </c>
      <c r="D1728" t="s">
        <v>126</v>
      </c>
      <c r="E1728">
        <v>3</v>
      </c>
      <c r="H1728">
        <v>160</v>
      </c>
      <c r="I1728" t="s">
        <v>121</v>
      </c>
      <c r="J1728" t="s">
        <v>127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S1728" t="str">
        <f t="shared" si="517"/>
        <v>22:16:44.000</v>
      </c>
      <c r="T1728" t="str">
        <f t="shared" si="517"/>
        <v>22:16:44.000</v>
      </c>
      <c r="U1728" t="str">
        <f t="shared" si="500"/>
        <v>A9D71F</v>
      </c>
      <c r="V1728">
        <v>0</v>
      </c>
      <c r="W1728">
        <v>0</v>
      </c>
      <c r="X1728">
        <v>2</v>
      </c>
      <c r="Z1728">
        <v>1</v>
      </c>
      <c r="AA1728">
        <v>8</v>
      </c>
      <c r="AB1728">
        <v>3</v>
      </c>
      <c r="AC1728">
        <v>0</v>
      </c>
      <c r="AD1728">
        <v>9</v>
      </c>
      <c r="AE1728">
        <v>0</v>
      </c>
      <c r="AF1728">
        <v>3</v>
      </c>
      <c r="AG1728">
        <v>1</v>
      </c>
      <c r="AH1728">
        <v>0</v>
      </c>
      <c r="AI1728" t="s">
        <v>914</v>
      </c>
      <c r="AJ1728">
        <v>33.062711</v>
      </c>
      <c r="AK1728" t="s">
        <v>915</v>
      </c>
      <c r="AL1728">
        <v>-97.670088000000007</v>
      </c>
      <c r="AM1728">
        <v>25</v>
      </c>
      <c r="AN1728">
        <v>3400</v>
      </c>
      <c r="AO1728" t="s">
        <v>118</v>
      </c>
      <c r="AP1728">
        <v>39</v>
      </c>
      <c r="AQ1728">
        <v>-109</v>
      </c>
      <c r="AR1728">
        <v>128</v>
      </c>
      <c r="AZ1728">
        <v>1200</v>
      </c>
      <c r="BA1728">
        <v>1</v>
      </c>
      <c r="BB1728" t="str">
        <f t="shared" si="507"/>
        <v xml:space="preserve">N733KP  </v>
      </c>
      <c r="BC1728">
        <v>1</v>
      </c>
      <c r="BE1728">
        <v>0</v>
      </c>
      <c r="BF1728">
        <v>0</v>
      </c>
      <c r="BG1728">
        <v>0</v>
      </c>
      <c r="BH1728">
        <v>3375</v>
      </c>
      <c r="BI1728">
        <v>1</v>
      </c>
      <c r="BJ1728">
        <v>1</v>
      </c>
      <c r="BK1728">
        <v>0</v>
      </c>
      <c r="BL1728">
        <v>0</v>
      </c>
      <c r="BO1728">
        <v>0</v>
      </c>
      <c r="BP1728">
        <v>0</v>
      </c>
      <c r="BW1728" t="str">
        <f>"22:16:44.348"</f>
        <v>22:16:44.348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6</v>
      </c>
      <c r="CP1728" t="s">
        <v>119</v>
      </c>
      <c r="CQ1728">
        <v>364</v>
      </c>
      <c r="CR1728">
        <v>0</v>
      </c>
      <c r="CW1728">
        <v>1431307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"03/24/2022 22:16:44.612"</f>
        <v>03/24/2022 22:16:44.612</v>
      </c>
      <c r="C1729" t="str">
        <f t="shared" si="505"/>
        <v>FFDFD3C0</v>
      </c>
      <c r="D1729" t="s">
        <v>113</v>
      </c>
      <c r="E1729">
        <v>24</v>
      </c>
      <c r="F1729">
        <v>2024</v>
      </c>
      <c r="G1729" t="s">
        <v>114</v>
      </c>
      <c r="J1729" t="s">
        <v>115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S1729" t="str">
        <f t="shared" si="517"/>
        <v>22:16:44.000</v>
      </c>
      <c r="T1729" t="str">
        <f t="shared" si="517"/>
        <v>22:16:44.000</v>
      </c>
      <c r="U1729" t="str">
        <f t="shared" si="500"/>
        <v>A9D71F</v>
      </c>
      <c r="V1729">
        <v>0</v>
      </c>
      <c r="W1729">
        <v>0</v>
      </c>
      <c r="X1729">
        <v>2</v>
      </c>
      <c r="Z1729">
        <v>1</v>
      </c>
      <c r="AA1729">
        <v>8</v>
      </c>
      <c r="AB1729">
        <v>3</v>
      </c>
      <c r="AC1729">
        <v>0</v>
      </c>
      <c r="AD1729">
        <v>9</v>
      </c>
      <c r="AE1729">
        <v>0</v>
      </c>
      <c r="AF1729">
        <v>3</v>
      </c>
      <c r="AG1729">
        <v>1</v>
      </c>
      <c r="AH1729">
        <v>0</v>
      </c>
      <c r="AI1729" t="s">
        <v>914</v>
      </c>
      <c r="AJ1729">
        <v>33.062711</v>
      </c>
      <c r="AK1729" t="s">
        <v>915</v>
      </c>
      <c r="AL1729">
        <v>-97.670088000000007</v>
      </c>
      <c r="AM1729">
        <v>25</v>
      </c>
      <c r="AN1729">
        <v>3400</v>
      </c>
      <c r="AO1729" t="s">
        <v>118</v>
      </c>
      <c r="AP1729">
        <v>39</v>
      </c>
      <c r="AQ1729">
        <v>-109</v>
      </c>
      <c r="AR1729">
        <v>128</v>
      </c>
      <c r="AZ1729">
        <v>1200</v>
      </c>
      <c r="BA1729">
        <v>1</v>
      </c>
      <c r="BB1729" t="str">
        <f t="shared" si="507"/>
        <v xml:space="preserve">N733KP  </v>
      </c>
      <c r="BC1729">
        <v>1</v>
      </c>
      <c r="BE1729">
        <v>0</v>
      </c>
      <c r="BF1729">
        <v>0</v>
      </c>
      <c r="BG1729">
        <v>0</v>
      </c>
      <c r="BH1729">
        <v>3375</v>
      </c>
      <c r="BI1729">
        <v>1</v>
      </c>
      <c r="BJ1729">
        <v>1</v>
      </c>
      <c r="BK1729">
        <v>0</v>
      </c>
      <c r="BL1729">
        <v>0</v>
      </c>
      <c r="BO1729">
        <v>0</v>
      </c>
      <c r="BP1729">
        <v>0</v>
      </c>
      <c r="BW1729" t="str">
        <f>"22:16:44.348"</f>
        <v>22:16:44.348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6</v>
      </c>
      <c r="CP1729" t="s">
        <v>119</v>
      </c>
      <c r="CQ1729">
        <v>364</v>
      </c>
      <c r="CR1729">
        <v>0</v>
      </c>
      <c r="CW1729">
        <v>1431307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"03/24/2022 22:16:46.177"</f>
        <v>03/24/2022 22:16:46.177</v>
      </c>
      <c r="C1730" t="str">
        <f t="shared" si="505"/>
        <v>FFDFD3C0</v>
      </c>
      <c r="D1730" t="s">
        <v>120</v>
      </c>
      <c r="E1730">
        <v>14</v>
      </c>
      <c r="F1730">
        <v>1014</v>
      </c>
      <c r="G1730" t="s">
        <v>121</v>
      </c>
      <c r="J1730" t="s">
        <v>122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S1730" t="str">
        <f t="shared" ref="S1730:T1733" si="518">"22:16:45.000"</f>
        <v>22:16:45.000</v>
      </c>
      <c r="T1730" t="str">
        <f t="shared" si="518"/>
        <v>22:16:45.000</v>
      </c>
      <c r="U1730" t="str">
        <f t="shared" ref="U1730:U1793" si="519">"A9D71F"</f>
        <v>A9D71F</v>
      </c>
      <c r="V1730">
        <v>0</v>
      </c>
      <c r="W1730">
        <v>0</v>
      </c>
      <c r="X1730">
        <v>2</v>
      </c>
      <c r="Z1730">
        <v>1</v>
      </c>
      <c r="AA1730">
        <v>8</v>
      </c>
      <c r="AB1730">
        <v>3</v>
      </c>
      <c r="AC1730">
        <v>0</v>
      </c>
      <c r="AD1730">
        <v>9</v>
      </c>
      <c r="AE1730">
        <v>0</v>
      </c>
      <c r="AF1730">
        <v>3</v>
      </c>
      <c r="AG1730">
        <v>1</v>
      </c>
      <c r="AH1730">
        <v>0</v>
      </c>
      <c r="AI1730" t="s">
        <v>916</v>
      </c>
      <c r="AJ1730">
        <v>33.062216999999997</v>
      </c>
      <c r="AK1730" t="s">
        <v>917</v>
      </c>
      <c r="AL1730">
        <v>-97.669852000000006</v>
      </c>
      <c r="AM1730">
        <v>25</v>
      </c>
      <c r="AN1730">
        <v>3400</v>
      </c>
      <c r="AO1730" t="s">
        <v>118</v>
      </c>
      <c r="AP1730">
        <v>38</v>
      </c>
      <c r="AQ1730">
        <v>-109</v>
      </c>
      <c r="AR1730">
        <v>128</v>
      </c>
      <c r="AZ1730">
        <v>1200</v>
      </c>
      <c r="BA1730">
        <v>1</v>
      </c>
      <c r="BB1730" t="str">
        <f t="shared" si="507"/>
        <v xml:space="preserve">N733KP  </v>
      </c>
      <c r="BC1730">
        <v>1</v>
      </c>
      <c r="BE1730">
        <v>0</v>
      </c>
      <c r="BF1730">
        <v>0</v>
      </c>
      <c r="BG1730">
        <v>0</v>
      </c>
      <c r="BH1730">
        <v>3375</v>
      </c>
      <c r="BI1730">
        <v>1</v>
      </c>
      <c r="BJ1730">
        <v>1</v>
      </c>
      <c r="BK1730">
        <v>0</v>
      </c>
      <c r="BL1730">
        <v>0</v>
      </c>
      <c r="BO1730">
        <v>0</v>
      </c>
      <c r="BP1730">
        <v>0</v>
      </c>
      <c r="BW1730" t="str">
        <f>"22:16:45.900"</f>
        <v>22:16:45.900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7</v>
      </c>
      <c r="CP1730" t="s">
        <v>119</v>
      </c>
      <c r="CQ1730">
        <v>364</v>
      </c>
      <c r="CR1730">
        <v>0</v>
      </c>
      <c r="CW1730">
        <v>1431537</v>
      </c>
      <c r="CY1730">
        <v>1</v>
      </c>
      <c r="CZ1730">
        <v>0</v>
      </c>
      <c r="DA1730">
        <v>0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"03/24/2022 22:16:46.177"</f>
        <v>03/24/2022 22:16:46.177</v>
      </c>
      <c r="C1731" t="str">
        <f t="shared" si="505"/>
        <v>FFDFD3C0</v>
      </c>
      <c r="D1731" t="s">
        <v>126</v>
      </c>
      <c r="E1731">
        <v>3</v>
      </c>
      <c r="H1731">
        <v>160</v>
      </c>
      <c r="I1731" t="s">
        <v>121</v>
      </c>
      <c r="J1731" t="s">
        <v>127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S1731" t="str">
        <f t="shared" si="518"/>
        <v>22:16:45.000</v>
      </c>
      <c r="T1731" t="str">
        <f t="shared" si="518"/>
        <v>22:16:45.000</v>
      </c>
      <c r="U1731" t="str">
        <f t="shared" si="519"/>
        <v>A9D71F</v>
      </c>
      <c r="V1731">
        <v>0</v>
      </c>
      <c r="W1731">
        <v>0</v>
      </c>
      <c r="X1731">
        <v>2</v>
      </c>
      <c r="Z1731">
        <v>1</v>
      </c>
      <c r="AA1731">
        <v>8</v>
      </c>
      <c r="AB1731">
        <v>3</v>
      </c>
      <c r="AC1731">
        <v>0</v>
      </c>
      <c r="AD1731">
        <v>9</v>
      </c>
      <c r="AE1731">
        <v>0</v>
      </c>
      <c r="AF1731">
        <v>3</v>
      </c>
      <c r="AG1731">
        <v>1</v>
      </c>
      <c r="AH1731">
        <v>0</v>
      </c>
      <c r="AI1731" t="s">
        <v>916</v>
      </c>
      <c r="AJ1731">
        <v>33.062216999999997</v>
      </c>
      <c r="AK1731" t="s">
        <v>917</v>
      </c>
      <c r="AL1731">
        <v>-97.669852000000006</v>
      </c>
      <c r="AM1731">
        <v>25</v>
      </c>
      <c r="AN1731">
        <v>3400</v>
      </c>
      <c r="AO1731" t="s">
        <v>118</v>
      </c>
      <c r="AP1731">
        <v>38</v>
      </c>
      <c r="AQ1731">
        <v>-109</v>
      </c>
      <c r="AR1731">
        <v>128</v>
      </c>
      <c r="AZ1731">
        <v>1200</v>
      </c>
      <c r="BA1731">
        <v>1</v>
      </c>
      <c r="BB1731" t="str">
        <f t="shared" si="507"/>
        <v xml:space="preserve">N733KP  </v>
      </c>
      <c r="BC1731">
        <v>1</v>
      </c>
      <c r="BE1731">
        <v>0</v>
      </c>
      <c r="BF1731">
        <v>0</v>
      </c>
      <c r="BG1731">
        <v>0</v>
      </c>
      <c r="BH1731">
        <v>3375</v>
      </c>
      <c r="BI1731">
        <v>1</v>
      </c>
      <c r="BJ1731">
        <v>1</v>
      </c>
      <c r="BK1731">
        <v>0</v>
      </c>
      <c r="BL1731">
        <v>0</v>
      </c>
      <c r="BO1731">
        <v>0</v>
      </c>
      <c r="BP1731">
        <v>0</v>
      </c>
      <c r="BW1731" t="str">
        <f>"22:16:45.900"</f>
        <v>22:16:45.900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7</v>
      </c>
      <c r="CP1731" t="s">
        <v>119</v>
      </c>
      <c r="CQ1731">
        <v>364</v>
      </c>
      <c r="CR1731">
        <v>0</v>
      </c>
      <c r="CW1731">
        <v>1431537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"03/24/2022 22:16:46.177"</f>
        <v>03/24/2022 22:16:46.177</v>
      </c>
      <c r="C1732" t="str">
        <f t="shared" si="505"/>
        <v>FFDFD3C0</v>
      </c>
      <c r="D1732" t="s">
        <v>113</v>
      </c>
      <c r="E1732">
        <v>24</v>
      </c>
      <c r="F1732">
        <v>2024</v>
      </c>
      <c r="G1732" t="s">
        <v>114</v>
      </c>
      <c r="J1732" t="s">
        <v>115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S1732" t="str">
        <f t="shared" si="518"/>
        <v>22:16:45.000</v>
      </c>
      <c r="T1732" t="str">
        <f t="shared" si="518"/>
        <v>22:16:45.000</v>
      </c>
      <c r="U1732" t="str">
        <f t="shared" si="519"/>
        <v>A9D71F</v>
      </c>
      <c r="V1732">
        <v>0</v>
      </c>
      <c r="W1732">
        <v>0</v>
      </c>
      <c r="X1732">
        <v>2</v>
      </c>
      <c r="Z1732">
        <v>1</v>
      </c>
      <c r="AA1732">
        <v>8</v>
      </c>
      <c r="AB1732">
        <v>3</v>
      </c>
      <c r="AC1732">
        <v>0</v>
      </c>
      <c r="AD1732">
        <v>9</v>
      </c>
      <c r="AE1732">
        <v>0</v>
      </c>
      <c r="AF1732">
        <v>3</v>
      </c>
      <c r="AG1732">
        <v>1</v>
      </c>
      <c r="AH1732">
        <v>0</v>
      </c>
      <c r="AI1732" t="s">
        <v>916</v>
      </c>
      <c r="AJ1732">
        <v>33.062216999999997</v>
      </c>
      <c r="AK1732" t="s">
        <v>917</v>
      </c>
      <c r="AL1732">
        <v>-97.669852000000006</v>
      </c>
      <c r="AM1732">
        <v>25</v>
      </c>
      <c r="AN1732">
        <v>3400</v>
      </c>
      <c r="AO1732" t="s">
        <v>118</v>
      </c>
      <c r="AP1732">
        <v>38</v>
      </c>
      <c r="AQ1732">
        <v>-109</v>
      </c>
      <c r="AR1732">
        <v>128</v>
      </c>
      <c r="AZ1732">
        <v>1200</v>
      </c>
      <c r="BA1732">
        <v>1</v>
      </c>
      <c r="BB1732" t="str">
        <f t="shared" si="507"/>
        <v xml:space="preserve">N733KP  </v>
      </c>
      <c r="BC1732">
        <v>1</v>
      </c>
      <c r="BE1732">
        <v>0</v>
      </c>
      <c r="BF1732">
        <v>0</v>
      </c>
      <c r="BG1732">
        <v>0</v>
      </c>
      <c r="BH1732">
        <v>3375</v>
      </c>
      <c r="BI1732">
        <v>1</v>
      </c>
      <c r="BJ1732">
        <v>1</v>
      </c>
      <c r="BK1732">
        <v>0</v>
      </c>
      <c r="BL1732">
        <v>0</v>
      </c>
      <c r="BO1732">
        <v>0</v>
      </c>
      <c r="BP1732">
        <v>0</v>
      </c>
      <c r="BW1732" t="str">
        <f>"22:16:45.900"</f>
        <v>22:16:45.900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7</v>
      </c>
      <c r="CP1732" t="s">
        <v>119</v>
      </c>
      <c r="CQ1732">
        <v>364</v>
      </c>
      <c r="CR1732">
        <v>0</v>
      </c>
      <c r="CW1732">
        <v>1431537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"03/24/2022 22:16:46.177"</f>
        <v>03/24/2022 22:16:46.177</v>
      </c>
      <c r="C1733" t="str">
        <f t="shared" si="505"/>
        <v>FFDFD3C0</v>
      </c>
      <c r="D1733" t="s">
        <v>123</v>
      </c>
      <c r="E1733">
        <v>8</v>
      </c>
      <c r="H1733">
        <v>31</v>
      </c>
      <c r="I1733" t="s">
        <v>124</v>
      </c>
      <c r="J1733" t="s">
        <v>125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S1733" t="str">
        <f t="shared" si="518"/>
        <v>22:16:45.000</v>
      </c>
      <c r="T1733" t="str">
        <f t="shared" si="518"/>
        <v>22:16:45.000</v>
      </c>
      <c r="U1733" t="str">
        <f t="shared" si="519"/>
        <v>A9D71F</v>
      </c>
      <c r="V1733">
        <v>0</v>
      </c>
      <c r="W1733">
        <v>0</v>
      </c>
      <c r="X1733">
        <v>2</v>
      </c>
      <c r="Z1733">
        <v>1</v>
      </c>
      <c r="AA1733">
        <v>8</v>
      </c>
      <c r="AB1733">
        <v>3</v>
      </c>
      <c r="AC1733">
        <v>0</v>
      </c>
      <c r="AD1733">
        <v>9</v>
      </c>
      <c r="AE1733">
        <v>0</v>
      </c>
      <c r="AF1733">
        <v>3</v>
      </c>
      <c r="AG1733">
        <v>1</v>
      </c>
      <c r="AH1733">
        <v>0</v>
      </c>
      <c r="AI1733" t="s">
        <v>916</v>
      </c>
      <c r="AJ1733">
        <v>33.062216999999997</v>
      </c>
      <c r="AK1733" t="s">
        <v>917</v>
      </c>
      <c r="AL1733">
        <v>-97.669852000000006</v>
      </c>
      <c r="AM1733">
        <v>25</v>
      </c>
      <c r="AN1733">
        <v>3400</v>
      </c>
      <c r="AO1733" t="s">
        <v>118</v>
      </c>
      <c r="AP1733">
        <v>38</v>
      </c>
      <c r="AQ1733">
        <v>-109</v>
      </c>
      <c r="AR1733">
        <v>128</v>
      </c>
      <c r="AZ1733">
        <v>1200</v>
      </c>
      <c r="BA1733">
        <v>1</v>
      </c>
      <c r="BB1733" t="str">
        <f t="shared" si="507"/>
        <v xml:space="preserve">N733KP  </v>
      </c>
      <c r="BC1733">
        <v>1</v>
      </c>
      <c r="BE1733">
        <v>0</v>
      </c>
      <c r="BF1733">
        <v>0</v>
      </c>
      <c r="BG1733">
        <v>0</v>
      </c>
      <c r="BH1733">
        <v>3375</v>
      </c>
      <c r="BI1733">
        <v>1</v>
      </c>
      <c r="BJ1733">
        <v>1</v>
      </c>
      <c r="BK1733">
        <v>0</v>
      </c>
      <c r="BL1733">
        <v>0</v>
      </c>
      <c r="BO1733">
        <v>0</v>
      </c>
      <c r="BP1733">
        <v>0</v>
      </c>
      <c r="BW1733" t="str">
        <f>"22:16:45.900"</f>
        <v>22:16:45.900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7</v>
      </c>
      <c r="CP1733" t="s">
        <v>119</v>
      </c>
      <c r="CQ1733">
        <v>364</v>
      </c>
      <c r="CR1733">
        <v>0</v>
      </c>
      <c r="CW1733">
        <v>1431537</v>
      </c>
      <c r="CY1733">
        <v>1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"03/24/2022 22:16:46.849"</f>
        <v>03/24/2022 22:16:46.849</v>
      </c>
      <c r="C1734" t="str">
        <f t="shared" si="505"/>
        <v>FFDFD3C0</v>
      </c>
      <c r="D1734" t="s">
        <v>126</v>
      </c>
      <c r="E1734">
        <v>3</v>
      </c>
      <c r="H1734">
        <v>160</v>
      </c>
      <c r="I1734" t="s">
        <v>121</v>
      </c>
      <c r="J1734" t="s">
        <v>127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S1734" t="str">
        <f t="shared" ref="S1734:T1737" si="520">"22:16:46.000"</f>
        <v>22:16:46.000</v>
      </c>
      <c r="T1734" t="str">
        <f t="shared" si="520"/>
        <v>22:16:46.000</v>
      </c>
      <c r="U1734" t="str">
        <f t="shared" si="519"/>
        <v>A9D71F</v>
      </c>
      <c r="V1734">
        <v>0</v>
      </c>
      <c r="W1734">
        <v>0</v>
      </c>
      <c r="X1734">
        <v>2</v>
      </c>
      <c r="Z1734">
        <v>1</v>
      </c>
      <c r="AA1734">
        <v>8</v>
      </c>
      <c r="AB1734">
        <v>3</v>
      </c>
      <c r="AC1734">
        <v>0</v>
      </c>
      <c r="AD1734">
        <v>9</v>
      </c>
      <c r="AE1734">
        <v>0</v>
      </c>
      <c r="AF1734">
        <v>3</v>
      </c>
      <c r="AG1734">
        <v>1</v>
      </c>
      <c r="AH1734">
        <v>0</v>
      </c>
      <c r="AI1734" t="s">
        <v>918</v>
      </c>
      <c r="AJ1734">
        <v>33.061701999999997</v>
      </c>
      <c r="AK1734" t="s">
        <v>919</v>
      </c>
      <c r="AL1734">
        <v>-97.669636999999994</v>
      </c>
      <c r="AM1734">
        <v>25</v>
      </c>
      <c r="AN1734">
        <v>3400</v>
      </c>
      <c r="AO1734" t="s">
        <v>118</v>
      </c>
      <c r="AP1734">
        <v>37</v>
      </c>
      <c r="AQ1734">
        <v>-109</v>
      </c>
      <c r="AR1734">
        <v>128</v>
      </c>
      <c r="AZ1734">
        <v>1200</v>
      </c>
      <c r="BA1734">
        <v>1</v>
      </c>
      <c r="BB1734" t="str">
        <f t="shared" si="507"/>
        <v xml:space="preserve">N733KP  </v>
      </c>
      <c r="BC1734">
        <v>1</v>
      </c>
      <c r="BE1734">
        <v>0</v>
      </c>
      <c r="BF1734">
        <v>0</v>
      </c>
      <c r="BG1734">
        <v>0</v>
      </c>
      <c r="BH1734">
        <v>3400</v>
      </c>
      <c r="BI1734">
        <v>1</v>
      </c>
      <c r="BJ1734">
        <v>1</v>
      </c>
      <c r="BK1734">
        <v>0</v>
      </c>
      <c r="BL1734">
        <v>0</v>
      </c>
      <c r="BO1734">
        <v>0</v>
      </c>
      <c r="BP1734">
        <v>0</v>
      </c>
      <c r="BW1734" t="str">
        <f>"22:16:46.672"</f>
        <v>22:16:46.672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4</v>
      </c>
      <c r="CP1734" t="s">
        <v>119</v>
      </c>
      <c r="CQ1734">
        <v>440</v>
      </c>
      <c r="CR1734">
        <v>0</v>
      </c>
      <c r="CW1734">
        <v>6711946</v>
      </c>
      <c r="CY1734">
        <v>1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"03/24/2022 22:16:46.849"</f>
        <v>03/24/2022 22:16:46.849</v>
      </c>
      <c r="C1735" t="str">
        <f t="shared" si="505"/>
        <v>FFDFD3C0</v>
      </c>
      <c r="D1735" t="s">
        <v>120</v>
      </c>
      <c r="E1735">
        <v>14</v>
      </c>
      <c r="F1735">
        <v>1014</v>
      </c>
      <c r="G1735" t="s">
        <v>121</v>
      </c>
      <c r="J1735" t="s">
        <v>122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S1735" t="str">
        <f t="shared" si="520"/>
        <v>22:16:46.000</v>
      </c>
      <c r="T1735" t="str">
        <f t="shared" si="520"/>
        <v>22:16:46.000</v>
      </c>
      <c r="U1735" t="str">
        <f t="shared" si="519"/>
        <v>A9D71F</v>
      </c>
      <c r="V1735">
        <v>0</v>
      </c>
      <c r="W1735">
        <v>0</v>
      </c>
      <c r="X1735">
        <v>2</v>
      </c>
      <c r="Z1735">
        <v>1</v>
      </c>
      <c r="AA1735">
        <v>8</v>
      </c>
      <c r="AB1735">
        <v>3</v>
      </c>
      <c r="AC1735">
        <v>0</v>
      </c>
      <c r="AD1735">
        <v>9</v>
      </c>
      <c r="AE1735">
        <v>0</v>
      </c>
      <c r="AF1735">
        <v>3</v>
      </c>
      <c r="AG1735">
        <v>1</v>
      </c>
      <c r="AH1735">
        <v>0</v>
      </c>
      <c r="AI1735" t="s">
        <v>918</v>
      </c>
      <c r="AJ1735">
        <v>33.061701999999997</v>
      </c>
      <c r="AK1735" t="s">
        <v>919</v>
      </c>
      <c r="AL1735">
        <v>-97.669636999999994</v>
      </c>
      <c r="AM1735">
        <v>25</v>
      </c>
      <c r="AN1735">
        <v>3400</v>
      </c>
      <c r="AO1735" t="s">
        <v>118</v>
      </c>
      <c r="AP1735">
        <v>37</v>
      </c>
      <c r="AQ1735">
        <v>-109</v>
      </c>
      <c r="AR1735">
        <v>128</v>
      </c>
      <c r="AZ1735">
        <v>1200</v>
      </c>
      <c r="BA1735">
        <v>1</v>
      </c>
      <c r="BB1735" t="str">
        <f t="shared" si="507"/>
        <v xml:space="preserve">N733KP  </v>
      </c>
      <c r="BC1735">
        <v>1</v>
      </c>
      <c r="BE1735">
        <v>0</v>
      </c>
      <c r="BF1735">
        <v>0</v>
      </c>
      <c r="BG1735">
        <v>0</v>
      </c>
      <c r="BH1735">
        <v>3400</v>
      </c>
      <c r="BI1735">
        <v>1</v>
      </c>
      <c r="BJ1735">
        <v>1</v>
      </c>
      <c r="BK1735">
        <v>0</v>
      </c>
      <c r="BL1735">
        <v>0</v>
      </c>
      <c r="BO1735">
        <v>0</v>
      </c>
      <c r="BP1735">
        <v>0</v>
      </c>
      <c r="BW1735" t="str">
        <f>"22:16:46.672"</f>
        <v>22:16:46.672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4</v>
      </c>
      <c r="CP1735" t="s">
        <v>119</v>
      </c>
      <c r="CQ1735">
        <v>440</v>
      </c>
      <c r="CR1735">
        <v>0</v>
      </c>
      <c r="CW1735">
        <v>6711946</v>
      </c>
      <c r="CY1735">
        <v>1</v>
      </c>
      <c r="CZ1735">
        <v>0</v>
      </c>
      <c r="DA1735">
        <v>1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>"03/24/2022 22:16:46.849"</f>
        <v>03/24/2022 22:16:46.849</v>
      </c>
      <c r="C1736" t="str">
        <f t="shared" si="505"/>
        <v>FFDFD3C0</v>
      </c>
      <c r="D1736" t="s">
        <v>113</v>
      </c>
      <c r="E1736">
        <v>24</v>
      </c>
      <c r="F1736">
        <v>2024</v>
      </c>
      <c r="G1736" t="s">
        <v>114</v>
      </c>
      <c r="J1736" t="s">
        <v>115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S1736" t="str">
        <f t="shared" si="520"/>
        <v>22:16:46.000</v>
      </c>
      <c r="T1736" t="str">
        <f t="shared" si="520"/>
        <v>22:16:46.000</v>
      </c>
      <c r="U1736" t="str">
        <f t="shared" si="519"/>
        <v>A9D71F</v>
      </c>
      <c r="V1736">
        <v>0</v>
      </c>
      <c r="W1736">
        <v>0</v>
      </c>
      <c r="X1736">
        <v>2</v>
      </c>
      <c r="Z1736">
        <v>1</v>
      </c>
      <c r="AA1736">
        <v>8</v>
      </c>
      <c r="AB1736">
        <v>3</v>
      </c>
      <c r="AC1736">
        <v>0</v>
      </c>
      <c r="AD1736">
        <v>9</v>
      </c>
      <c r="AE1736">
        <v>0</v>
      </c>
      <c r="AF1736">
        <v>3</v>
      </c>
      <c r="AG1736">
        <v>1</v>
      </c>
      <c r="AH1736">
        <v>0</v>
      </c>
      <c r="AI1736" t="s">
        <v>918</v>
      </c>
      <c r="AJ1736">
        <v>33.061701999999997</v>
      </c>
      <c r="AK1736" t="s">
        <v>919</v>
      </c>
      <c r="AL1736">
        <v>-97.669636999999994</v>
      </c>
      <c r="AM1736">
        <v>25</v>
      </c>
      <c r="AN1736">
        <v>3400</v>
      </c>
      <c r="AO1736" t="s">
        <v>118</v>
      </c>
      <c r="AP1736">
        <v>37</v>
      </c>
      <c r="AQ1736">
        <v>-109</v>
      </c>
      <c r="AR1736">
        <v>128</v>
      </c>
      <c r="AZ1736">
        <v>1200</v>
      </c>
      <c r="BA1736">
        <v>1</v>
      </c>
      <c r="BB1736" t="str">
        <f t="shared" si="507"/>
        <v xml:space="preserve">N733KP  </v>
      </c>
      <c r="BC1736">
        <v>1</v>
      </c>
      <c r="BE1736">
        <v>0</v>
      </c>
      <c r="BF1736">
        <v>0</v>
      </c>
      <c r="BG1736">
        <v>0</v>
      </c>
      <c r="BH1736">
        <v>3400</v>
      </c>
      <c r="BI1736">
        <v>1</v>
      </c>
      <c r="BJ1736">
        <v>1</v>
      </c>
      <c r="BK1736">
        <v>0</v>
      </c>
      <c r="BL1736">
        <v>0</v>
      </c>
      <c r="BO1736">
        <v>0</v>
      </c>
      <c r="BP1736">
        <v>0</v>
      </c>
      <c r="BW1736" t="str">
        <f>"22:16:46.672"</f>
        <v>22:16:46.672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4</v>
      </c>
      <c r="CP1736" t="s">
        <v>119</v>
      </c>
      <c r="CQ1736">
        <v>440</v>
      </c>
      <c r="CR1736">
        <v>0</v>
      </c>
      <c r="CW1736">
        <v>6711946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>"03/24/2022 22:16:46.849"</f>
        <v>03/24/2022 22:16:46.849</v>
      </c>
      <c r="C1737" t="str">
        <f t="shared" si="505"/>
        <v>FFDFD3C0</v>
      </c>
      <c r="D1737" t="s">
        <v>123</v>
      </c>
      <c r="E1737">
        <v>8</v>
      </c>
      <c r="H1737">
        <v>31</v>
      </c>
      <c r="I1737" t="s">
        <v>124</v>
      </c>
      <c r="J1737" t="s">
        <v>125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S1737" t="str">
        <f t="shared" si="520"/>
        <v>22:16:46.000</v>
      </c>
      <c r="T1737" t="str">
        <f t="shared" si="520"/>
        <v>22:16:46.000</v>
      </c>
      <c r="U1737" t="str">
        <f t="shared" si="519"/>
        <v>A9D71F</v>
      </c>
      <c r="V1737">
        <v>0</v>
      </c>
      <c r="W1737">
        <v>0</v>
      </c>
      <c r="X1737">
        <v>2</v>
      </c>
      <c r="Z1737">
        <v>1</v>
      </c>
      <c r="AA1737">
        <v>8</v>
      </c>
      <c r="AB1737">
        <v>3</v>
      </c>
      <c r="AC1737">
        <v>0</v>
      </c>
      <c r="AD1737">
        <v>9</v>
      </c>
      <c r="AE1737">
        <v>0</v>
      </c>
      <c r="AF1737">
        <v>3</v>
      </c>
      <c r="AG1737">
        <v>1</v>
      </c>
      <c r="AH1737">
        <v>0</v>
      </c>
      <c r="AI1737" t="s">
        <v>918</v>
      </c>
      <c r="AJ1737">
        <v>33.061701999999997</v>
      </c>
      <c r="AK1737" t="s">
        <v>919</v>
      </c>
      <c r="AL1737">
        <v>-97.669636999999994</v>
      </c>
      <c r="AM1737">
        <v>25</v>
      </c>
      <c r="AN1737">
        <v>3400</v>
      </c>
      <c r="AO1737" t="s">
        <v>118</v>
      </c>
      <c r="AP1737">
        <v>37</v>
      </c>
      <c r="AQ1737">
        <v>-109</v>
      </c>
      <c r="AR1737">
        <v>128</v>
      </c>
      <c r="AZ1737">
        <v>1200</v>
      </c>
      <c r="BA1737">
        <v>1</v>
      </c>
      <c r="BB1737" t="str">
        <f t="shared" si="507"/>
        <v xml:space="preserve">N733KP  </v>
      </c>
      <c r="BC1737">
        <v>1</v>
      </c>
      <c r="BE1737">
        <v>0</v>
      </c>
      <c r="BF1737">
        <v>0</v>
      </c>
      <c r="BG1737">
        <v>0</v>
      </c>
      <c r="BH1737">
        <v>3400</v>
      </c>
      <c r="BI1737">
        <v>1</v>
      </c>
      <c r="BJ1737">
        <v>1</v>
      </c>
      <c r="BK1737">
        <v>0</v>
      </c>
      <c r="BL1737">
        <v>0</v>
      </c>
      <c r="BO1737">
        <v>0</v>
      </c>
      <c r="BP1737">
        <v>0</v>
      </c>
      <c r="BW1737" t="str">
        <f>"22:16:46.673"</f>
        <v>22:16:46.673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0</v>
      </c>
      <c r="CP1737" t="s">
        <v>119</v>
      </c>
      <c r="CQ1737">
        <v>352</v>
      </c>
      <c r="CR1737">
        <v>0</v>
      </c>
      <c r="CW1737">
        <v>11254654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>"03/24/2022 22:16:48.022"</f>
        <v>03/24/2022 22:16:48.022</v>
      </c>
      <c r="C1738" t="str">
        <f t="shared" si="505"/>
        <v>FFDFD3C0</v>
      </c>
      <c r="D1738" t="s">
        <v>126</v>
      </c>
      <c r="E1738">
        <v>3</v>
      </c>
      <c r="H1738">
        <v>160</v>
      </c>
      <c r="I1738" t="s">
        <v>121</v>
      </c>
      <c r="J1738" t="s">
        <v>127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S1738" t="str">
        <f t="shared" ref="S1738:T1741" si="521">"22:16:47.000"</f>
        <v>22:16:47.000</v>
      </c>
      <c r="T1738" t="str">
        <f t="shared" si="521"/>
        <v>22:16:47.000</v>
      </c>
      <c r="U1738" t="str">
        <f t="shared" si="519"/>
        <v>A9D71F</v>
      </c>
      <c r="V1738">
        <v>0</v>
      </c>
      <c r="W1738">
        <v>0</v>
      </c>
      <c r="X1738">
        <v>2</v>
      </c>
      <c r="Z1738">
        <v>1</v>
      </c>
      <c r="AA1738">
        <v>8</v>
      </c>
      <c r="AB1738">
        <v>3</v>
      </c>
      <c r="AC1738">
        <v>0</v>
      </c>
      <c r="AD1738">
        <v>9</v>
      </c>
      <c r="AE1738">
        <v>0</v>
      </c>
      <c r="AF1738">
        <v>3</v>
      </c>
      <c r="AG1738">
        <v>1</v>
      </c>
      <c r="AH1738">
        <v>0</v>
      </c>
      <c r="AI1738" t="s">
        <v>920</v>
      </c>
      <c r="AJ1738">
        <v>33.061186999999997</v>
      </c>
      <c r="AK1738" t="s">
        <v>921</v>
      </c>
      <c r="AL1738">
        <v>-97.669422999999995</v>
      </c>
      <c r="AM1738">
        <v>25</v>
      </c>
      <c r="AN1738">
        <v>3400</v>
      </c>
      <c r="AO1738" t="s">
        <v>118</v>
      </c>
      <c r="AP1738">
        <v>37</v>
      </c>
      <c r="AQ1738">
        <v>-110</v>
      </c>
      <c r="AR1738">
        <v>128</v>
      </c>
      <c r="AZ1738">
        <v>1200</v>
      </c>
      <c r="BA1738">
        <v>1</v>
      </c>
      <c r="BB1738" t="str">
        <f t="shared" si="507"/>
        <v xml:space="preserve">N733KP  </v>
      </c>
      <c r="BC1738">
        <v>1</v>
      </c>
      <c r="BE1738">
        <v>0</v>
      </c>
      <c r="BF1738">
        <v>0</v>
      </c>
      <c r="BG1738">
        <v>0</v>
      </c>
      <c r="BH1738">
        <v>3400</v>
      </c>
      <c r="BI1738">
        <v>1</v>
      </c>
      <c r="BJ1738">
        <v>1</v>
      </c>
      <c r="BK1738">
        <v>0</v>
      </c>
      <c r="BL1738">
        <v>0</v>
      </c>
      <c r="BO1738">
        <v>0</v>
      </c>
      <c r="BP1738">
        <v>0</v>
      </c>
      <c r="BW1738" t="str">
        <f>"22:16:47.829"</f>
        <v>22:16:47.829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6</v>
      </c>
      <c r="CP1738" t="s">
        <v>119</v>
      </c>
      <c r="CQ1738">
        <v>364</v>
      </c>
      <c r="CR1738">
        <v>0</v>
      </c>
      <c r="CW1738">
        <v>1431820</v>
      </c>
      <c r="CY1738">
        <v>1</v>
      </c>
      <c r="CZ1738">
        <v>0</v>
      </c>
      <c r="DA1738">
        <v>0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>"03/24/2022 22:16:48.022"</f>
        <v>03/24/2022 22:16:48.022</v>
      </c>
      <c r="C1739" t="str">
        <f t="shared" si="505"/>
        <v>FFDFD3C0</v>
      </c>
      <c r="D1739" t="s">
        <v>120</v>
      </c>
      <c r="E1739">
        <v>14</v>
      </c>
      <c r="F1739">
        <v>1014</v>
      </c>
      <c r="G1739" t="s">
        <v>121</v>
      </c>
      <c r="J1739" t="s">
        <v>122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S1739" t="str">
        <f t="shared" si="521"/>
        <v>22:16:47.000</v>
      </c>
      <c r="T1739" t="str">
        <f t="shared" si="521"/>
        <v>22:16:47.000</v>
      </c>
      <c r="U1739" t="str">
        <f t="shared" si="519"/>
        <v>A9D71F</v>
      </c>
      <c r="V1739">
        <v>0</v>
      </c>
      <c r="W1739">
        <v>0</v>
      </c>
      <c r="X1739">
        <v>2</v>
      </c>
      <c r="Z1739">
        <v>1</v>
      </c>
      <c r="AA1739">
        <v>8</v>
      </c>
      <c r="AB1739">
        <v>3</v>
      </c>
      <c r="AC1739">
        <v>0</v>
      </c>
      <c r="AD1739">
        <v>9</v>
      </c>
      <c r="AE1739">
        <v>0</v>
      </c>
      <c r="AF1739">
        <v>3</v>
      </c>
      <c r="AG1739">
        <v>1</v>
      </c>
      <c r="AH1739">
        <v>0</v>
      </c>
      <c r="AI1739" t="s">
        <v>920</v>
      </c>
      <c r="AJ1739">
        <v>33.061186999999997</v>
      </c>
      <c r="AK1739" t="s">
        <v>921</v>
      </c>
      <c r="AL1739">
        <v>-97.669422999999995</v>
      </c>
      <c r="AM1739">
        <v>25</v>
      </c>
      <c r="AN1739">
        <v>3400</v>
      </c>
      <c r="AO1739" t="s">
        <v>118</v>
      </c>
      <c r="AP1739">
        <v>37</v>
      </c>
      <c r="AQ1739">
        <v>-110</v>
      </c>
      <c r="AR1739">
        <v>128</v>
      </c>
      <c r="AZ1739">
        <v>1200</v>
      </c>
      <c r="BA1739">
        <v>1</v>
      </c>
      <c r="BB1739" t="str">
        <f t="shared" si="507"/>
        <v xml:space="preserve">N733KP  </v>
      </c>
      <c r="BC1739">
        <v>1</v>
      </c>
      <c r="BE1739">
        <v>0</v>
      </c>
      <c r="BF1739">
        <v>0</v>
      </c>
      <c r="BG1739">
        <v>0</v>
      </c>
      <c r="BH1739">
        <v>3400</v>
      </c>
      <c r="BI1739">
        <v>1</v>
      </c>
      <c r="BJ1739">
        <v>1</v>
      </c>
      <c r="BK1739">
        <v>0</v>
      </c>
      <c r="BL1739">
        <v>0</v>
      </c>
      <c r="BO1739">
        <v>0</v>
      </c>
      <c r="BP1739">
        <v>0</v>
      </c>
      <c r="BW1739" t="str">
        <f>"22:16:47.829"</f>
        <v>22:16:47.829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6</v>
      </c>
      <c r="CP1739" t="s">
        <v>119</v>
      </c>
      <c r="CQ1739">
        <v>364</v>
      </c>
      <c r="CR1739">
        <v>0</v>
      </c>
      <c r="CW1739">
        <v>1431820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>"03/24/2022 22:16:48.022"</f>
        <v>03/24/2022 22:16:48.022</v>
      </c>
      <c r="C1740" t="str">
        <f t="shared" si="505"/>
        <v>FFDFD3C0</v>
      </c>
      <c r="D1740" t="s">
        <v>113</v>
      </c>
      <c r="E1740">
        <v>24</v>
      </c>
      <c r="F1740">
        <v>2024</v>
      </c>
      <c r="G1740" t="s">
        <v>114</v>
      </c>
      <c r="J1740" t="s">
        <v>115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S1740" t="str">
        <f t="shared" si="521"/>
        <v>22:16:47.000</v>
      </c>
      <c r="T1740" t="str">
        <f t="shared" si="521"/>
        <v>22:16:47.000</v>
      </c>
      <c r="U1740" t="str">
        <f t="shared" si="519"/>
        <v>A9D71F</v>
      </c>
      <c r="V1740">
        <v>0</v>
      </c>
      <c r="W1740">
        <v>0</v>
      </c>
      <c r="X1740">
        <v>2</v>
      </c>
      <c r="Z1740">
        <v>1</v>
      </c>
      <c r="AA1740">
        <v>8</v>
      </c>
      <c r="AB1740">
        <v>3</v>
      </c>
      <c r="AC1740">
        <v>0</v>
      </c>
      <c r="AD1740">
        <v>9</v>
      </c>
      <c r="AE1740">
        <v>0</v>
      </c>
      <c r="AF1740">
        <v>3</v>
      </c>
      <c r="AG1740">
        <v>1</v>
      </c>
      <c r="AH1740">
        <v>0</v>
      </c>
      <c r="AI1740" t="s">
        <v>920</v>
      </c>
      <c r="AJ1740">
        <v>33.061186999999997</v>
      </c>
      <c r="AK1740" t="s">
        <v>921</v>
      </c>
      <c r="AL1740">
        <v>-97.669422999999995</v>
      </c>
      <c r="AM1740">
        <v>25</v>
      </c>
      <c r="AN1740">
        <v>3400</v>
      </c>
      <c r="AO1740" t="s">
        <v>118</v>
      </c>
      <c r="AP1740">
        <v>37</v>
      </c>
      <c r="AQ1740">
        <v>-110</v>
      </c>
      <c r="AR1740">
        <v>128</v>
      </c>
      <c r="AZ1740">
        <v>1200</v>
      </c>
      <c r="BA1740">
        <v>1</v>
      </c>
      <c r="BB1740" t="str">
        <f t="shared" si="507"/>
        <v xml:space="preserve">N733KP  </v>
      </c>
      <c r="BC1740">
        <v>1</v>
      </c>
      <c r="BE1740">
        <v>0</v>
      </c>
      <c r="BF1740">
        <v>0</v>
      </c>
      <c r="BG1740">
        <v>0</v>
      </c>
      <c r="BH1740">
        <v>3400</v>
      </c>
      <c r="BI1740">
        <v>1</v>
      </c>
      <c r="BJ1740">
        <v>1</v>
      </c>
      <c r="BK1740">
        <v>0</v>
      </c>
      <c r="BL1740">
        <v>0</v>
      </c>
      <c r="BO1740">
        <v>0</v>
      </c>
      <c r="BP1740">
        <v>0</v>
      </c>
      <c r="BW1740" t="str">
        <f>"22:16:47.829"</f>
        <v>22:16:47.829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6</v>
      </c>
      <c r="CP1740" t="s">
        <v>119</v>
      </c>
      <c r="CQ1740">
        <v>364</v>
      </c>
      <c r="CR1740">
        <v>0</v>
      </c>
      <c r="CW1740">
        <v>1431820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>"03/24/2022 22:16:48.022"</f>
        <v>03/24/2022 22:16:48.022</v>
      </c>
      <c r="C1741" t="str">
        <f t="shared" si="505"/>
        <v>FFDFD3C0</v>
      </c>
      <c r="D1741" t="s">
        <v>123</v>
      </c>
      <c r="E1741">
        <v>8</v>
      </c>
      <c r="H1741">
        <v>31</v>
      </c>
      <c r="I1741" t="s">
        <v>124</v>
      </c>
      <c r="J1741" t="s">
        <v>125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S1741" t="str">
        <f t="shared" si="521"/>
        <v>22:16:47.000</v>
      </c>
      <c r="T1741" t="str">
        <f t="shared" si="521"/>
        <v>22:16:47.000</v>
      </c>
      <c r="U1741" t="str">
        <f t="shared" si="519"/>
        <v>A9D71F</v>
      </c>
      <c r="V1741">
        <v>0</v>
      </c>
      <c r="W1741">
        <v>0</v>
      </c>
      <c r="X1741">
        <v>2</v>
      </c>
      <c r="Z1741">
        <v>1</v>
      </c>
      <c r="AA1741">
        <v>8</v>
      </c>
      <c r="AB1741">
        <v>3</v>
      </c>
      <c r="AC1741">
        <v>0</v>
      </c>
      <c r="AD1741">
        <v>9</v>
      </c>
      <c r="AE1741">
        <v>0</v>
      </c>
      <c r="AF1741">
        <v>3</v>
      </c>
      <c r="AG1741">
        <v>1</v>
      </c>
      <c r="AH1741">
        <v>0</v>
      </c>
      <c r="AI1741" t="s">
        <v>920</v>
      </c>
      <c r="AJ1741">
        <v>33.061186999999997</v>
      </c>
      <c r="AK1741" t="s">
        <v>921</v>
      </c>
      <c r="AL1741">
        <v>-97.669422999999995</v>
      </c>
      <c r="AM1741">
        <v>25</v>
      </c>
      <c r="AN1741">
        <v>3400</v>
      </c>
      <c r="AO1741" t="s">
        <v>118</v>
      </c>
      <c r="AP1741">
        <v>37</v>
      </c>
      <c r="AQ1741">
        <v>-110</v>
      </c>
      <c r="AR1741">
        <v>128</v>
      </c>
      <c r="AZ1741">
        <v>1200</v>
      </c>
      <c r="BA1741">
        <v>1</v>
      </c>
      <c r="BB1741" t="str">
        <f t="shared" si="507"/>
        <v xml:space="preserve">N733KP  </v>
      </c>
      <c r="BC1741">
        <v>1</v>
      </c>
      <c r="BE1741">
        <v>0</v>
      </c>
      <c r="BF1741">
        <v>0</v>
      </c>
      <c r="BG1741">
        <v>0</v>
      </c>
      <c r="BH1741">
        <v>3400</v>
      </c>
      <c r="BI1741">
        <v>1</v>
      </c>
      <c r="BJ1741">
        <v>1</v>
      </c>
      <c r="BK1741">
        <v>0</v>
      </c>
      <c r="BL1741">
        <v>0</v>
      </c>
      <c r="BO1741">
        <v>0</v>
      </c>
      <c r="BP1741">
        <v>0</v>
      </c>
      <c r="BW1741" t="str">
        <f>"22:16:47.829"</f>
        <v>22:16:47.829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6</v>
      </c>
      <c r="CP1741" t="s">
        <v>119</v>
      </c>
      <c r="CQ1741">
        <v>364</v>
      </c>
      <c r="CR1741">
        <v>0</v>
      </c>
      <c r="CW1741">
        <v>1431820</v>
      </c>
      <c r="CY1741">
        <v>1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>"03/24/2022 22:16:49.508"</f>
        <v>03/24/2022 22:16:49.508</v>
      </c>
      <c r="C1742" t="str">
        <f t="shared" si="505"/>
        <v>FFDFD3C0</v>
      </c>
      <c r="D1742" t="s">
        <v>126</v>
      </c>
      <c r="E1742">
        <v>3</v>
      </c>
      <c r="H1742">
        <v>160</v>
      </c>
      <c r="I1742" t="s">
        <v>121</v>
      </c>
      <c r="J1742" t="s">
        <v>127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S1742" t="str">
        <f>"22:16:49.000"</f>
        <v>22:16:49.000</v>
      </c>
      <c r="T1742" t="str">
        <f>"22:16:49.000"</f>
        <v>22:16:49.000</v>
      </c>
      <c r="U1742" t="str">
        <f t="shared" si="519"/>
        <v>A9D71F</v>
      </c>
      <c r="V1742">
        <v>0</v>
      </c>
      <c r="W1742">
        <v>0</v>
      </c>
      <c r="X1742">
        <v>2</v>
      </c>
      <c r="Z1742">
        <v>1</v>
      </c>
      <c r="AA1742">
        <v>8</v>
      </c>
      <c r="AB1742">
        <v>3</v>
      </c>
      <c r="AC1742">
        <v>0</v>
      </c>
      <c r="AD1742">
        <v>9</v>
      </c>
      <c r="AE1742">
        <v>0</v>
      </c>
      <c r="AF1742">
        <v>3</v>
      </c>
      <c r="AG1742">
        <v>1</v>
      </c>
      <c r="AH1742">
        <v>0</v>
      </c>
      <c r="AI1742" t="s">
        <v>922</v>
      </c>
      <c r="AJ1742">
        <v>33.060156999999997</v>
      </c>
      <c r="AK1742" t="s">
        <v>923</v>
      </c>
      <c r="AL1742">
        <v>-97.669015000000002</v>
      </c>
      <c r="AM1742">
        <v>25</v>
      </c>
      <c r="AN1742">
        <v>3400</v>
      </c>
      <c r="AO1742" t="s">
        <v>118</v>
      </c>
      <c r="AP1742">
        <v>37</v>
      </c>
      <c r="AQ1742">
        <v>-110</v>
      </c>
      <c r="AR1742">
        <v>192</v>
      </c>
      <c r="AZ1742">
        <v>1200</v>
      </c>
      <c r="BA1742">
        <v>1</v>
      </c>
      <c r="BB1742" t="str">
        <f t="shared" si="507"/>
        <v xml:space="preserve">N733KP  </v>
      </c>
      <c r="BC1742">
        <v>1</v>
      </c>
      <c r="BE1742">
        <v>0</v>
      </c>
      <c r="BF1742">
        <v>0</v>
      </c>
      <c r="BG1742">
        <v>0</v>
      </c>
      <c r="BH1742">
        <v>3400</v>
      </c>
      <c r="BI1742">
        <v>1</v>
      </c>
      <c r="BJ1742">
        <v>1</v>
      </c>
      <c r="BK1742">
        <v>0</v>
      </c>
      <c r="BL1742">
        <v>0</v>
      </c>
      <c r="BO1742">
        <v>0</v>
      </c>
      <c r="BP1742">
        <v>0</v>
      </c>
      <c r="BW1742" t="str">
        <f>"22:16:49.351"</f>
        <v>22:16:49.351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6</v>
      </c>
      <c r="CP1742" t="s">
        <v>119</v>
      </c>
      <c r="CQ1742">
        <v>364</v>
      </c>
      <c r="CR1742">
        <v>0</v>
      </c>
      <c r="CW1742">
        <v>1432033</v>
      </c>
      <c r="CY1742">
        <v>1</v>
      </c>
      <c r="CZ1742">
        <v>0</v>
      </c>
      <c r="DA1742">
        <v>0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>"03/24/2022 22:16:49.165"</f>
        <v>03/24/2022 22:16:49.165</v>
      </c>
      <c r="C1743" t="str">
        <f t="shared" si="505"/>
        <v>FFDFD3C0</v>
      </c>
      <c r="D1743" t="s">
        <v>123</v>
      </c>
      <c r="E1743">
        <v>8</v>
      </c>
      <c r="H1743">
        <v>31</v>
      </c>
      <c r="I1743" t="s">
        <v>124</v>
      </c>
      <c r="J1743" t="s">
        <v>125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S1743" t="str">
        <f t="shared" ref="S1743:T1746" si="522">"22:16:48.000"</f>
        <v>22:16:48.000</v>
      </c>
      <c r="T1743" t="str">
        <f t="shared" si="522"/>
        <v>22:16:48.000</v>
      </c>
      <c r="U1743" t="str">
        <f t="shared" si="519"/>
        <v>A9D71F</v>
      </c>
      <c r="V1743">
        <v>0</v>
      </c>
      <c r="W1743">
        <v>0</v>
      </c>
      <c r="X1743">
        <v>2</v>
      </c>
      <c r="Z1743">
        <v>1</v>
      </c>
      <c r="AA1743">
        <v>8</v>
      </c>
      <c r="AB1743">
        <v>3</v>
      </c>
      <c r="AC1743">
        <v>0</v>
      </c>
      <c r="AD1743">
        <v>9</v>
      </c>
      <c r="AE1743">
        <v>0</v>
      </c>
      <c r="AF1743">
        <v>3</v>
      </c>
      <c r="AG1743">
        <v>1</v>
      </c>
      <c r="AH1743">
        <v>0</v>
      </c>
      <c r="AI1743" t="s">
        <v>924</v>
      </c>
      <c r="AJ1743">
        <v>33.060671999999997</v>
      </c>
      <c r="AK1743" t="s">
        <v>925</v>
      </c>
      <c r="AL1743">
        <v>-97.669229999999999</v>
      </c>
      <c r="AM1743">
        <v>25</v>
      </c>
      <c r="AN1743">
        <v>3400</v>
      </c>
      <c r="AO1743" t="s">
        <v>118</v>
      </c>
      <c r="AP1743">
        <v>37</v>
      </c>
      <c r="AQ1743">
        <v>-110</v>
      </c>
      <c r="AR1743">
        <v>192</v>
      </c>
      <c r="AZ1743">
        <v>1200</v>
      </c>
      <c r="BA1743">
        <v>1</v>
      </c>
      <c r="BB1743" t="str">
        <f t="shared" si="507"/>
        <v xml:space="preserve">N733KP  </v>
      </c>
      <c r="BC1743">
        <v>1</v>
      </c>
      <c r="BE1743">
        <v>0</v>
      </c>
      <c r="BF1743">
        <v>0</v>
      </c>
      <c r="BG1743">
        <v>0</v>
      </c>
      <c r="BH1743">
        <v>3400</v>
      </c>
      <c r="BI1743">
        <v>1</v>
      </c>
      <c r="BJ1743">
        <v>1</v>
      </c>
      <c r="BK1743">
        <v>0</v>
      </c>
      <c r="BL1743">
        <v>0</v>
      </c>
      <c r="BO1743">
        <v>0</v>
      </c>
      <c r="BP1743">
        <v>0</v>
      </c>
      <c r="BW1743" t="str">
        <f>"22:16:48.790"</f>
        <v>22:16:48.790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0</v>
      </c>
      <c r="CP1743" t="s">
        <v>119</v>
      </c>
      <c r="CQ1743">
        <v>352</v>
      </c>
      <c r="CR1743">
        <v>0</v>
      </c>
      <c r="CW1743">
        <v>11254770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"03/24/2022 22:16:49.227"</f>
        <v>03/24/2022 22:16:49.227</v>
      </c>
      <c r="C1744" t="str">
        <f t="shared" si="505"/>
        <v>FFDFD3C0</v>
      </c>
      <c r="D1744" t="s">
        <v>126</v>
      </c>
      <c r="E1744">
        <v>3</v>
      </c>
      <c r="H1744">
        <v>160</v>
      </c>
      <c r="I1744" t="s">
        <v>121</v>
      </c>
      <c r="J1744" t="s">
        <v>127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S1744" t="str">
        <f t="shared" si="522"/>
        <v>22:16:48.000</v>
      </c>
      <c r="T1744" t="str">
        <f t="shared" si="522"/>
        <v>22:16:48.000</v>
      </c>
      <c r="U1744" t="str">
        <f t="shared" si="519"/>
        <v>A9D71F</v>
      </c>
      <c r="V1744">
        <v>0</v>
      </c>
      <c r="W1744">
        <v>0</v>
      </c>
      <c r="X1744">
        <v>2</v>
      </c>
      <c r="Z1744">
        <v>1</v>
      </c>
      <c r="AA1744">
        <v>8</v>
      </c>
      <c r="AB1744">
        <v>3</v>
      </c>
      <c r="AC1744">
        <v>0</v>
      </c>
      <c r="AD1744">
        <v>9</v>
      </c>
      <c r="AE1744">
        <v>0</v>
      </c>
      <c r="AF1744">
        <v>3</v>
      </c>
      <c r="AG1744">
        <v>1</v>
      </c>
      <c r="AH1744">
        <v>0</v>
      </c>
      <c r="AI1744" t="s">
        <v>924</v>
      </c>
      <c r="AJ1744">
        <v>33.060671999999997</v>
      </c>
      <c r="AK1744" t="s">
        <v>925</v>
      </c>
      <c r="AL1744">
        <v>-97.669229999999999</v>
      </c>
      <c r="AM1744">
        <v>25</v>
      </c>
      <c r="AN1744">
        <v>3400</v>
      </c>
      <c r="AO1744" t="s">
        <v>118</v>
      </c>
      <c r="AP1744">
        <v>37</v>
      </c>
      <c r="AQ1744">
        <v>-110</v>
      </c>
      <c r="AR1744">
        <v>192</v>
      </c>
      <c r="AZ1744">
        <v>1200</v>
      </c>
      <c r="BA1744">
        <v>1</v>
      </c>
      <c r="BB1744" t="str">
        <f t="shared" si="507"/>
        <v xml:space="preserve">N733KP  </v>
      </c>
      <c r="BC1744">
        <v>1</v>
      </c>
      <c r="BE1744">
        <v>0</v>
      </c>
      <c r="BF1744">
        <v>0</v>
      </c>
      <c r="BG1744">
        <v>0</v>
      </c>
      <c r="BH1744">
        <v>3400</v>
      </c>
      <c r="BI1744">
        <v>1</v>
      </c>
      <c r="BJ1744">
        <v>1</v>
      </c>
      <c r="BK1744">
        <v>0</v>
      </c>
      <c r="BL1744">
        <v>0</v>
      </c>
      <c r="BO1744">
        <v>0</v>
      </c>
      <c r="BP1744">
        <v>0</v>
      </c>
      <c r="BW1744" t="str">
        <f>"22:16:48.790"</f>
        <v>22:16:48.790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4</v>
      </c>
      <c r="CP1744" t="s">
        <v>119</v>
      </c>
      <c r="CQ1744">
        <v>440</v>
      </c>
      <c r="CR1744">
        <v>0</v>
      </c>
      <c r="CW1744">
        <v>6711993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>"03/24/2022 22:16:49.227"</f>
        <v>03/24/2022 22:16:49.227</v>
      </c>
      <c r="C1745" t="str">
        <f t="shared" si="505"/>
        <v>FFDFD3C0</v>
      </c>
      <c r="D1745" t="s">
        <v>120</v>
      </c>
      <c r="E1745">
        <v>14</v>
      </c>
      <c r="F1745">
        <v>1014</v>
      </c>
      <c r="G1745" t="s">
        <v>121</v>
      </c>
      <c r="J1745" t="s">
        <v>122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S1745" t="str">
        <f t="shared" si="522"/>
        <v>22:16:48.000</v>
      </c>
      <c r="T1745" t="str">
        <f t="shared" si="522"/>
        <v>22:16:48.000</v>
      </c>
      <c r="U1745" t="str">
        <f t="shared" si="519"/>
        <v>A9D71F</v>
      </c>
      <c r="V1745">
        <v>0</v>
      </c>
      <c r="W1745">
        <v>0</v>
      </c>
      <c r="X1745">
        <v>2</v>
      </c>
      <c r="Z1745">
        <v>1</v>
      </c>
      <c r="AA1745">
        <v>8</v>
      </c>
      <c r="AB1745">
        <v>3</v>
      </c>
      <c r="AC1745">
        <v>0</v>
      </c>
      <c r="AD1745">
        <v>9</v>
      </c>
      <c r="AE1745">
        <v>0</v>
      </c>
      <c r="AF1745">
        <v>3</v>
      </c>
      <c r="AG1745">
        <v>1</v>
      </c>
      <c r="AH1745">
        <v>0</v>
      </c>
      <c r="AI1745" t="s">
        <v>924</v>
      </c>
      <c r="AJ1745">
        <v>33.060671999999997</v>
      </c>
      <c r="AK1745" t="s">
        <v>925</v>
      </c>
      <c r="AL1745">
        <v>-97.669229999999999</v>
      </c>
      <c r="AM1745">
        <v>25</v>
      </c>
      <c r="AN1745">
        <v>3400</v>
      </c>
      <c r="AO1745" t="s">
        <v>118</v>
      </c>
      <c r="AP1745">
        <v>37</v>
      </c>
      <c r="AQ1745">
        <v>-110</v>
      </c>
      <c r="AR1745">
        <v>192</v>
      </c>
      <c r="AZ1745">
        <v>1200</v>
      </c>
      <c r="BA1745">
        <v>1</v>
      </c>
      <c r="BB1745" t="str">
        <f t="shared" si="507"/>
        <v xml:space="preserve">N733KP  </v>
      </c>
      <c r="BC1745">
        <v>1</v>
      </c>
      <c r="BE1745">
        <v>0</v>
      </c>
      <c r="BF1745">
        <v>0</v>
      </c>
      <c r="BG1745">
        <v>0</v>
      </c>
      <c r="BH1745">
        <v>3400</v>
      </c>
      <c r="BI1745">
        <v>1</v>
      </c>
      <c r="BJ1745">
        <v>1</v>
      </c>
      <c r="BK1745">
        <v>0</v>
      </c>
      <c r="BL1745">
        <v>0</v>
      </c>
      <c r="BO1745">
        <v>0</v>
      </c>
      <c r="BP1745">
        <v>0</v>
      </c>
      <c r="BW1745" t="str">
        <f>"22:16:48.790"</f>
        <v>22:16:48.790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4</v>
      </c>
      <c r="CP1745" t="s">
        <v>119</v>
      </c>
      <c r="CQ1745">
        <v>440</v>
      </c>
      <c r="CR1745">
        <v>0</v>
      </c>
      <c r="CW1745">
        <v>6711993</v>
      </c>
      <c r="CY1745">
        <v>1</v>
      </c>
      <c r="CZ1745">
        <v>0</v>
      </c>
      <c r="DA1745">
        <v>1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>"03/24/2022 22:16:49.227"</f>
        <v>03/24/2022 22:16:49.227</v>
      </c>
      <c r="C1746" t="str">
        <f t="shared" si="505"/>
        <v>FFDFD3C0</v>
      </c>
      <c r="D1746" t="s">
        <v>113</v>
      </c>
      <c r="E1746">
        <v>24</v>
      </c>
      <c r="F1746">
        <v>2024</v>
      </c>
      <c r="G1746" t="s">
        <v>114</v>
      </c>
      <c r="J1746" t="s">
        <v>115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S1746" t="str">
        <f t="shared" si="522"/>
        <v>22:16:48.000</v>
      </c>
      <c r="T1746" t="str">
        <f t="shared" si="522"/>
        <v>22:16:48.000</v>
      </c>
      <c r="U1746" t="str">
        <f t="shared" si="519"/>
        <v>A9D71F</v>
      </c>
      <c r="V1746">
        <v>0</v>
      </c>
      <c r="W1746">
        <v>0</v>
      </c>
      <c r="X1746">
        <v>2</v>
      </c>
      <c r="Z1746">
        <v>1</v>
      </c>
      <c r="AA1746">
        <v>8</v>
      </c>
      <c r="AB1746">
        <v>3</v>
      </c>
      <c r="AC1746">
        <v>0</v>
      </c>
      <c r="AD1746">
        <v>9</v>
      </c>
      <c r="AE1746">
        <v>0</v>
      </c>
      <c r="AF1746">
        <v>3</v>
      </c>
      <c r="AG1746">
        <v>1</v>
      </c>
      <c r="AH1746">
        <v>0</v>
      </c>
      <c r="AI1746" t="s">
        <v>924</v>
      </c>
      <c r="AJ1746">
        <v>33.060671999999997</v>
      </c>
      <c r="AK1746" t="s">
        <v>925</v>
      </c>
      <c r="AL1746">
        <v>-97.669229999999999</v>
      </c>
      <c r="AM1746">
        <v>25</v>
      </c>
      <c r="AN1746">
        <v>3400</v>
      </c>
      <c r="AO1746" t="s">
        <v>118</v>
      </c>
      <c r="AP1746">
        <v>37</v>
      </c>
      <c r="AQ1746">
        <v>-110</v>
      </c>
      <c r="AR1746">
        <v>192</v>
      </c>
      <c r="AZ1746">
        <v>1200</v>
      </c>
      <c r="BA1746">
        <v>1</v>
      </c>
      <c r="BB1746" t="str">
        <f t="shared" si="507"/>
        <v xml:space="preserve">N733KP  </v>
      </c>
      <c r="BC1746">
        <v>1</v>
      </c>
      <c r="BE1746">
        <v>0</v>
      </c>
      <c r="BF1746">
        <v>0</v>
      </c>
      <c r="BG1746">
        <v>0</v>
      </c>
      <c r="BH1746">
        <v>3400</v>
      </c>
      <c r="BI1746">
        <v>1</v>
      </c>
      <c r="BJ1746">
        <v>1</v>
      </c>
      <c r="BK1746">
        <v>0</v>
      </c>
      <c r="BL1746">
        <v>0</v>
      </c>
      <c r="BO1746">
        <v>0</v>
      </c>
      <c r="BP1746">
        <v>0</v>
      </c>
      <c r="BW1746" t="str">
        <f>"22:16:48.790"</f>
        <v>22:16:48.790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4</v>
      </c>
      <c r="CP1746" t="s">
        <v>119</v>
      </c>
      <c r="CQ1746">
        <v>440</v>
      </c>
      <c r="CR1746">
        <v>0</v>
      </c>
      <c r="CW1746">
        <v>6711993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>"03/24/2022 22:16:49.508"</f>
        <v>03/24/2022 22:16:49.508</v>
      </c>
      <c r="C1747" t="str">
        <f t="shared" si="505"/>
        <v>FFDFD3C0</v>
      </c>
      <c r="D1747" t="s">
        <v>120</v>
      </c>
      <c r="E1747">
        <v>14</v>
      </c>
      <c r="F1747">
        <v>1014</v>
      </c>
      <c r="G1747" t="s">
        <v>121</v>
      </c>
      <c r="J1747" t="s">
        <v>122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S1747" t="str">
        <f t="shared" ref="S1747:T1749" si="523">"22:16:49.000"</f>
        <v>22:16:49.000</v>
      </c>
      <c r="T1747" t="str">
        <f t="shared" si="523"/>
        <v>22:16:49.000</v>
      </c>
      <c r="U1747" t="str">
        <f t="shared" si="519"/>
        <v>A9D71F</v>
      </c>
      <c r="V1747">
        <v>0</v>
      </c>
      <c r="W1747">
        <v>0</v>
      </c>
      <c r="X1747">
        <v>2</v>
      </c>
      <c r="Z1747">
        <v>1</v>
      </c>
      <c r="AA1747">
        <v>8</v>
      </c>
      <c r="AB1747">
        <v>3</v>
      </c>
      <c r="AC1747">
        <v>0</v>
      </c>
      <c r="AD1747">
        <v>9</v>
      </c>
      <c r="AE1747">
        <v>0</v>
      </c>
      <c r="AF1747">
        <v>3</v>
      </c>
      <c r="AG1747">
        <v>1</v>
      </c>
      <c r="AH1747">
        <v>0</v>
      </c>
      <c r="AI1747" t="s">
        <v>922</v>
      </c>
      <c r="AJ1747">
        <v>33.060156999999997</v>
      </c>
      <c r="AK1747" t="s">
        <v>923</v>
      </c>
      <c r="AL1747">
        <v>-97.669015000000002</v>
      </c>
      <c r="AM1747">
        <v>25</v>
      </c>
      <c r="AN1747">
        <v>3400</v>
      </c>
      <c r="AO1747" t="s">
        <v>118</v>
      </c>
      <c r="AP1747">
        <v>37</v>
      </c>
      <c r="AQ1747">
        <v>-110</v>
      </c>
      <c r="AR1747">
        <v>192</v>
      </c>
      <c r="AZ1747">
        <v>1200</v>
      </c>
      <c r="BA1747">
        <v>1</v>
      </c>
      <c r="BB1747" t="str">
        <f t="shared" si="507"/>
        <v xml:space="preserve">N733KP  </v>
      </c>
      <c r="BC1747">
        <v>1</v>
      </c>
      <c r="BE1747">
        <v>0</v>
      </c>
      <c r="BF1747">
        <v>0</v>
      </c>
      <c r="BG1747">
        <v>0</v>
      </c>
      <c r="BH1747">
        <v>3400</v>
      </c>
      <c r="BI1747">
        <v>1</v>
      </c>
      <c r="BJ1747">
        <v>1</v>
      </c>
      <c r="BK1747">
        <v>0</v>
      </c>
      <c r="BL1747">
        <v>0</v>
      </c>
      <c r="BO1747">
        <v>0</v>
      </c>
      <c r="BP1747">
        <v>0</v>
      </c>
      <c r="BW1747" t="str">
        <f>"22:16:49.351"</f>
        <v>22:16:49.351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6</v>
      </c>
      <c r="CP1747" t="s">
        <v>119</v>
      </c>
      <c r="CQ1747">
        <v>364</v>
      </c>
      <c r="CR1747">
        <v>0</v>
      </c>
      <c r="CW1747">
        <v>1432033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>"03/24/2022 22:16:49.508"</f>
        <v>03/24/2022 22:16:49.508</v>
      </c>
      <c r="C1748" t="str">
        <f t="shared" si="505"/>
        <v>FFDFD3C0</v>
      </c>
      <c r="D1748" t="s">
        <v>123</v>
      </c>
      <c r="E1748">
        <v>8</v>
      </c>
      <c r="H1748">
        <v>31</v>
      </c>
      <c r="I1748" t="s">
        <v>124</v>
      </c>
      <c r="J1748" t="s">
        <v>125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S1748" t="str">
        <f t="shared" si="523"/>
        <v>22:16:49.000</v>
      </c>
      <c r="T1748" t="str">
        <f t="shared" si="523"/>
        <v>22:16:49.000</v>
      </c>
      <c r="U1748" t="str">
        <f t="shared" si="519"/>
        <v>A9D71F</v>
      </c>
      <c r="V1748">
        <v>0</v>
      </c>
      <c r="W1748">
        <v>0</v>
      </c>
      <c r="X1748">
        <v>2</v>
      </c>
      <c r="Z1748">
        <v>1</v>
      </c>
      <c r="AA1748">
        <v>8</v>
      </c>
      <c r="AB1748">
        <v>3</v>
      </c>
      <c r="AC1748">
        <v>0</v>
      </c>
      <c r="AD1748">
        <v>9</v>
      </c>
      <c r="AE1748">
        <v>0</v>
      </c>
      <c r="AF1748">
        <v>3</v>
      </c>
      <c r="AG1748">
        <v>1</v>
      </c>
      <c r="AH1748">
        <v>0</v>
      </c>
      <c r="AI1748" t="s">
        <v>922</v>
      </c>
      <c r="AJ1748">
        <v>33.060156999999997</v>
      </c>
      <c r="AK1748" t="s">
        <v>923</v>
      </c>
      <c r="AL1748">
        <v>-97.669015000000002</v>
      </c>
      <c r="AM1748">
        <v>25</v>
      </c>
      <c r="AN1748">
        <v>3400</v>
      </c>
      <c r="AO1748" t="s">
        <v>118</v>
      </c>
      <c r="AP1748">
        <v>37</v>
      </c>
      <c r="AQ1748">
        <v>-110</v>
      </c>
      <c r="AR1748">
        <v>192</v>
      </c>
      <c r="AZ1748">
        <v>1200</v>
      </c>
      <c r="BA1748">
        <v>1</v>
      </c>
      <c r="BB1748" t="str">
        <f t="shared" si="507"/>
        <v xml:space="preserve">N733KP  </v>
      </c>
      <c r="BC1748">
        <v>1</v>
      </c>
      <c r="BE1748">
        <v>0</v>
      </c>
      <c r="BF1748">
        <v>0</v>
      </c>
      <c r="BG1748">
        <v>0</v>
      </c>
      <c r="BH1748">
        <v>3400</v>
      </c>
      <c r="BI1748">
        <v>1</v>
      </c>
      <c r="BJ1748">
        <v>1</v>
      </c>
      <c r="BK1748">
        <v>0</v>
      </c>
      <c r="BL1748">
        <v>0</v>
      </c>
      <c r="BO1748">
        <v>0</v>
      </c>
      <c r="BP1748">
        <v>0</v>
      </c>
      <c r="BW1748" t="str">
        <f>"22:16:49.351"</f>
        <v>22:16:49.351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6</v>
      </c>
      <c r="CP1748" t="s">
        <v>119</v>
      </c>
      <c r="CQ1748">
        <v>364</v>
      </c>
      <c r="CR1748">
        <v>0</v>
      </c>
      <c r="CW1748">
        <v>1432033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>"03/24/2022 22:16:49.587"</f>
        <v>03/24/2022 22:16:49.587</v>
      </c>
      <c r="C1749" t="str">
        <f t="shared" si="505"/>
        <v>FFDFD3C0</v>
      </c>
      <c r="D1749" t="s">
        <v>113</v>
      </c>
      <c r="E1749">
        <v>24</v>
      </c>
      <c r="F1749">
        <v>2024</v>
      </c>
      <c r="G1749" t="s">
        <v>114</v>
      </c>
      <c r="J1749" t="s">
        <v>115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S1749" t="str">
        <f t="shared" si="523"/>
        <v>22:16:49.000</v>
      </c>
      <c r="T1749" t="str">
        <f t="shared" si="523"/>
        <v>22:16:49.000</v>
      </c>
      <c r="U1749" t="str">
        <f t="shared" si="519"/>
        <v>A9D71F</v>
      </c>
      <c r="V1749">
        <v>0</v>
      </c>
      <c r="W1749">
        <v>0</v>
      </c>
      <c r="X1749">
        <v>2</v>
      </c>
      <c r="Z1749">
        <v>1</v>
      </c>
      <c r="AA1749">
        <v>8</v>
      </c>
      <c r="AB1749">
        <v>3</v>
      </c>
      <c r="AC1749">
        <v>0</v>
      </c>
      <c r="AD1749">
        <v>9</v>
      </c>
      <c r="AE1749">
        <v>0</v>
      </c>
      <c r="AF1749">
        <v>3</v>
      </c>
      <c r="AG1749">
        <v>1</v>
      </c>
      <c r="AH1749">
        <v>0</v>
      </c>
      <c r="AI1749" t="s">
        <v>922</v>
      </c>
      <c r="AJ1749">
        <v>33.060156999999997</v>
      </c>
      <c r="AK1749" t="s">
        <v>923</v>
      </c>
      <c r="AL1749">
        <v>-97.669015000000002</v>
      </c>
      <c r="AM1749">
        <v>25</v>
      </c>
      <c r="AN1749">
        <v>3400</v>
      </c>
      <c r="AO1749" t="s">
        <v>118</v>
      </c>
      <c r="AP1749">
        <v>37</v>
      </c>
      <c r="AQ1749">
        <v>-110</v>
      </c>
      <c r="AR1749">
        <v>192</v>
      </c>
      <c r="AZ1749">
        <v>1200</v>
      </c>
      <c r="BA1749">
        <v>1</v>
      </c>
      <c r="BB1749" t="str">
        <f t="shared" si="507"/>
        <v xml:space="preserve">N733KP  </v>
      </c>
      <c r="BC1749">
        <v>1</v>
      </c>
      <c r="BE1749">
        <v>0</v>
      </c>
      <c r="BF1749">
        <v>0</v>
      </c>
      <c r="BG1749">
        <v>0</v>
      </c>
      <c r="BH1749">
        <v>3400</v>
      </c>
      <c r="BI1749">
        <v>1</v>
      </c>
      <c r="BJ1749">
        <v>1</v>
      </c>
      <c r="BK1749">
        <v>0</v>
      </c>
      <c r="BL1749">
        <v>0</v>
      </c>
      <c r="BO1749">
        <v>0</v>
      </c>
      <c r="BP1749">
        <v>0</v>
      </c>
      <c r="BW1749" t="str">
        <f>"22:16:49.351"</f>
        <v>22:16:49.351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6</v>
      </c>
      <c r="CP1749" t="s">
        <v>119</v>
      </c>
      <c r="CQ1749">
        <v>364</v>
      </c>
      <c r="CR1749">
        <v>0</v>
      </c>
      <c r="CW1749">
        <v>1432033</v>
      </c>
      <c r="CY1749">
        <v>1</v>
      </c>
      <c r="CZ1749">
        <v>0</v>
      </c>
      <c r="DA1749">
        <v>0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>"03/24/2022 22:16:50.712"</f>
        <v>03/24/2022 22:16:50.712</v>
      </c>
      <c r="C1750" t="str">
        <f t="shared" ref="C1750:C1813" si="524">"FFDFD3C0"</f>
        <v>FFDFD3C0</v>
      </c>
      <c r="D1750" t="s">
        <v>120</v>
      </c>
      <c r="E1750">
        <v>14</v>
      </c>
      <c r="F1750">
        <v>1014</v>
      </c>
      <c r="G1750" t="s">
        <v>121</v>
      </c>
      <c r="J1750" t="s">
        <v>122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S1750" t="str">
        <f t="shared" ref="S1750:T1753" si="525">"22:16:50.000"</f>
        <v>22:16:50.000</v>
      </c>
      <c r="T1750" t="str">
        <f t="shared" si="525"/>
        <v>22:16:50.000</v>
      </c>
      <c r="U1750" t="str">
        <f t="shared" si="519"/>
        <v>A9D71F</v>
      </c>
      <c r="V1750">
        <v>0</v>
      </c>
      <c r="W1750">
        <v>0</v>
      </c>
      <c r="X1750">
        <v>2</v>
      </c>
      <c r="Z1750">
        <v>1</v>
      </c>
      <c r="AA1750">
        <v>8</v>
      </c>
      <c r="AB1750">
        <v>3</v>
      </c>
      <c r="AC1750">
        <v>0</v>
      </c>
      <c r="AD1750">
        <v>9</v>
      </c>
      <c r="AE1750">
        <v>0</v>
      </c>
      <c r="AF1750">
        <v>3</v>
      </c>
      <c r="AG1750">
        <v>1</v>
      </c>
      <c r="AH1750">
        <v>0</v>
      </c>
      <c r="AI1750" t="s">
        <v>926</v>
      </c>
      <c r="AJ1750">
        <v>33.059663999999998</v>
      </c>
      <c r="AK1750" t="s">
        <v>927</v>
      </c>
      <c r="AL1750">
        <v>-97.668800000000005</v>
      </c>
      <c r="AM1750">
        <v>25</v>
      </c>
      <c r="AN1750">
        <v>3400</v>
      </c>
      <c r="AO1750" t="s">
        <v>118</v>
      </c>
      <c r="AP1750">
        <v>37</v>
      </c>
      <c r="AQ1750">
        <v>-110</v>
      </c>
      <c r="AR1750">
        <v>256</v>
      </c>
      <c r="AZ1750">
        <v>1200</v>
      </c>
      <c r="BA1750">
        <v>1</v>
      </c>
      <c r="BB1750" t="str">
        <f t="shared" ref="BB1750:BB1813" si="526">"N733KP  "</f>
        <v xml:space="preserve">N733KP  </v>
      </c>
      <c r="BC1750">
        <v>1</v>
      </c>
      <c r="BE1750">
        <v>0</v>
      </c>
      <c r="BF1750">
        <v>0</v>
      </c>
      <c r="BG1750">
        <v>0</v>
      </c>
      <c r="BH1750">
        <v>3400</v>
      </c>
      <c r="BI1750">
        <v>1</v>
      </c>
      <c r="BJ1750">
        <v>1</v>
      </c>
      <c r="BK1750">
        <v>0</v>
      </c>
      <c r="BL1750">
        <v>0</v>
      </c>
      <c r="BO1750">
        <v>0</v>
      </c>
      <c r="BP1750">
        <v>0</v>
      </c>
      <c r="BW1750" t="str">
        <f>"22:16:50.500"</f>
        <v>22:16:50.500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6</v>
      </c>
      <c r="CP1750" t="s">
        <v>119</v>
      </c>
      <c r="CQ1750">
        <v>364</v>
      </c>
      <c r="CR1750">
        <v>0</v>
      </c>
      <c r="CW1750">
        <v>1432204</v>
      </c>
      <c r="CY1750">
        <v>1</v>
      </c>
      <c r="CZ1750">
        <v>0</v>
      </c>
      <c r="DA1750">
        <v>0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>"03/24/2022 22:16:50.712"</f>
        <v>03/24/2022 22:16:50.712</v>
      </c>
      <c r="C1751" t="str">
        <f t="shared" si="524"/>
        <v>FFDFD3C0</v>
      </c>
      <c r="D1751" t="s">
        <v>113</v>
      </c>
      <c r="E1751">
        <v>24</v>
      </c>
      <c r="F1751">
        <v>2024</v>
      </c>
      <c r="G1751" t="s">
        <v>114</v>
      </c>
      <c r="J1751" t="s">
        <v>115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S1751" t="str">
        <f t="shared" si="525"/>
        <v>22:16:50.000</v>
      </c>
      <c r="T1751" t="str">
        <f t="shared" si="525"/>
        <v>22:16:50.000</v>
      </c>
      <c r="U1751" t="str">
        <f t="shared" si="519"/>
        <v>A9D71F</v>
      </c>
      <c r="V1751">
        <v>0</v>
      </c>
      <c r="W1751">
        <v>0</v>
      </c>
      <c r="X1751">
        <v>2</v>
      </c>
      <c r="Z1751">
        <v>1</v>
      </c>
      <c r="AA1751">
        <v>8</v>
      </c>
      <c r="AB1751">
        <v>3</v>
      </c>
      <c r="AC1751">
        <v>0</v>
      </c>
      <c r="AD1751">
        <v>9</v>
      </c>
      <c r="AE1751">
        <v>0</v>
      </c>
      <c r="AF1751">
        <v>3</v>
      </c>
      <c r="AG1751">
        <v>1</v>
      </c>
      <c r="AH1751">
        <v>0</v>
      </c>
      <c r="AI1751" t="s">
        <v>926</v>
      </c>
      <c r="AJ1751">
        <v>33.059663999999998</v>
      </c>
      <c r="AK1751" t="s">
        <v>927</v>
      </c>
      <c r="AL1751">
        <v>-97.668800000000005</v>
      </c>
      <c r="AM1751">
        <v>25</v>
      </c>
      <c r="AN1751">
        <v>3400</v>
      </c>
      <c r="AO1751" t="s">
        <v>118</v>
      </c>
      <c r="AP1751">
        <v>37</v>
      </c>
      <c r="AQ1751">
        <v>-110</v>
      </c>
      <c r="AR1751">
        <v>256</v>
      </c>
      <c r="AZ1751">
        <v>1200</v>
      </c>
      <c r="BA1751">
        <v>1</v>
      </c>
      <c r="BB1751" t="str">
        <f t="shared" si="526"/>
        <v xml:space="preserve">N733KP  </v>
      </c>
      <c r="BC1751">
        <v>1</v>
      </c>
      <c r="BE1751">
        <v>0</v>
      </c>
      <c r="BF1751">
        <v>0</v>
      </c>
      <c r="BG1751">
        <v>0</v>
      </c>
      <c r="BH1751">
        <v>3400</v>
      </c>
      <c r="BI1751">
        <v>1</v>
      </c>
      <c r="BJ1751">
        <v>1</v>
      </c>
      <c r="BK1751">
        <v>0</v>
      </c>
      <c r="BL1751">
        <v>0</v>
      </c>
      <c r="BO1751">
        <v>0</v>
      </c>
      <c r="BP1751">
        <v>0</v>
      </c>
      <c r="BW1751" t="str">
        <f>"22:16:50.500"</f>
        <v>22:16:50.500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6</v>
      </c>
      <c r="CP1751" t="s">
        <v>119</v>
      </c>
      <c r="CQ1751">
        <v>364</v>
      </c>
      <c r="CR1751">
        <v>0</v>
      </c>
      <c r="CW1751">
        <v>1432204</v>
      </c>
      <c r="CY1751">
        <v>1</v>
      </c>
      <c r="CZ1751">
        <v>0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"03/24/2022 22:16:50.712"</f>
        <v>03/24/2022 22:16:50.712</v>
      </c>
      <c r="C1752" t="str">
        <f t="shared" si="524"/>
        <v>FFDFD3C0</v>
      </c>
      <c r="D1752" t="s">
        <v>126</v>
      </c>
      <c r="E1752">
        <v>3</v>
      </c>
      <c r="H1752">
        <v>160</v>
      </c>
      <c r="I1752" t="s">
        <v>121</v>
      </c>
      <c r="J1752" t="s">
        <v>127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S1752" t="str">
        <f t="shared" si="525"/>
        <v>22:16:50.000</v>
      </c>
      <c r="T1752" t="str">
        <f t="shared" si="525"/>
        <v>22:16:50.000</v>
      </c>
      <c r="U1752" t="str">
        <f t="shared" si="519"/>
        <v>A9D71F</v>
      </c>
      <c r="V1752">
        <v>0</v>
      </c>
      <c r="W1752">
        <v>0</v>
      </c>
      <c r="X1752">
        <v>2</v>
      </c>
      <c r="Z1752">
        <v>1</v>
      </c>
      <c r="AA1752">
        <v>8</v>
      </c>
      <c r="AB1752">
        <v>3</v>
      </c>
      <c r="AC1752">
        <v>0</v>
      </c>
      <c r="AD1752">
        <v>9</v>
      </c>
      <c r="AE1752">
        <v>0</v>
      </c>
      <c r="AF1752">
        <v>3</v>
      </c>
      <c r="AG1752">
        <v>1</v>
      </c>
      <c r="AH1752">
        <v>0</v>
      </c>
      <c r="AI1752" t="s">
        <v>926</v>
      </c>
      <c r="AJ1752">
        <v>33.059663999999998</v>
      </c>
      <c r="AK1752" t="s">
        <v>927</v>
      </c>
      <c r="AL1752">
        <v>-97.668800000000005</v>
      </c>
      <c r="AM1752">
        <v>25</v>
      </c>
      <c r="AN1752">
        <v>3400</v>
      </c>
      <c r="AO1752" t="s">
        <v>118</v>
      </c>
      <c r="AP1752">
        <v>37</v>
      </c>
      <c r="AQ1752">
        <v>-110</v>
      </c>
      <c r="AR1752">
        <v>256</v>
      </c>
      <c r="AZ1752">
        <v>1200</v>
      </c>
      <c r="BA1752">
        <v>1</v>
      </c>
      <c r="BB1752" t="str">
        <f t="shared" si="526"/>
        <v xml:space="preserve">N733KP  </v>
      </c>
      <c r="BC1752">
        <v>1</v>
      </c>
      <c r="BE1752">
        <v>0</v>
      </c>
      <c r="BF1752">
        <v>0</v>
      </c>
      <c r="BG1752">
        <v>0</v>
      </c>
      <c r="BH1752">
        <v>3400</v>
      </c>
      <c r="BI1752">
        <v>1</v>
      </c>
      <c r="BJ1752">
        <v>1</v>
      </c>
      <c r="BK1752">
        <v>0</v>
      </c>
      <c r="BL1752">
        <v>0</v>
      </c>
      <c r="BO1752">
        <v>0</v>
      </c>
      <c r="BP1752">
        <v>0</v>
      </c>
      <c r="BW1752" t="str">
        <f>"22:16:50.500"</f>
        <v>22:16:50.500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6</v>
      </c>
      <c r="CP1752" t="s">
        <v>119</v>
      </c>
      <c r="CQ1752">
        <v>364</v>
      </c>
      <c r="CR1752">
        <v>0</v>
      </c>
      <c r="CW1752">
        <v>1432204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"03/24/2022 22:16:50.712"</f>
        <v>03/24/2022 22:16:50.712</v>
      </c>
      <c r="C1753" t="str">
        <f t="shared" si="524"/>
        <v>FFDFD3C0</v>
      </c>
      <c r="D1753" t="s">
        <v>123</v>
      </c>
      <c r="E1753">
        <v>8</v>
      </c>
      <c r="H1753">
        <v>31</v>
      </c>
      <c r="I1753" t="s">
        <v>124</v>
      </c>
      <c r="J1753" t="s">
        <v>125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S1753" t="str">
        <f t="shared" si="525"/>
        <v>22:16:50.000</v>
      </c>
      <c r="T1753" t="str">
        <f t="shared" si="525"/>
        <v>22:16:50.000</v>
      </c>
      <c r="U1753" t="str">
        <f t="shared" si="519"/>
        <v>A9D71F</v>
      </c>
      <c r="V1753">
        <v>0</v>
      </c>
      <c r="W1753">
        <v>0</v>
      </c>
      <c r="X1753">
        <v>2</v>
      </c>
      <c r="Z1753">
        <v>1</v>
      </c>
      <c r="AA1753">
        <v>8</v>
      </c>
      <c r="AB1753">
        <v>3</v>
      </c>
      <c r="AC1753">
        <v>0</v>
      </c>
      <c r="AD1753">
        <v>9</v>
      </c>
      <c r="AE1753">
        <v>0</v>
      </c>
      <c r="AF1753">
        <v>3</v>
      </c>
      <c r="AG1753">
        <v>1</v>
      </c>
      <c r="AH1753">
        <v>0</v>
      </c>
      <c r="AI1753" t="s">
        <v>926</v>
      </c>
      <c r="AJ1753">
        <v>33.059663999999998</v>
      </c>
      <c r="AK1753" t="s">
        <v>927</v>
      </c>
      <c r="AL1753">
        <v>-97.668800000000005</v>
      </c>
      <c r="AM1753">
        <v>25</v>
      </c>
      <c r="AN1753">
        <v>3400</v>
      </c>
      <c r="AO1753" t="s">
        <v>118</v>
      </c>
      <c r="AP1753">
        <v>37</v>
      </c>
      <c r="AQ1753">
        <v>-110</v>
      </c>
      <c r="AR1753">
        <v>256</v>
      </c>
      <c r="AZ1753">
        <v>1200</v>
      </c>
      <c r="BA1753">
        <v>1</v>
      </c>
      <c r="BB1753" t="str">
        <f t="shared" si="526"/>
        <v xml:space="preserve">N733KP  </v>
      </c>
      <c r="BC1753">
        <v>1</v>
      </c>
      <c r="BE1753">
        <v>0</v>
      </c>
      <c r="BF1753">
        <v>0</v>
      </c>
      <c r="BG1753">
        <v>0</v>
      </c>
      <c r="BH1753">
        <v>3400</v>
      </c>
      <c r="BI1753">
        <v>1</v>
      </c>
      <c r="BJ1753">
        <v>1</v>
      </c>
      <c r="BK1753">
        <v>0</v>
      </c>
      <c r="BL1753">
        <v>0</v>
      </c>
      <c r="BO1753">
        <v>0</v>
      </c>
      <c r="BP1753">
        <v>0</v>
      </c>
      <c r="BW1753" t="str">
        <f>"22:16:50.500"</f>
        <v>22:16:50.500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6</v>
      </c>
      <c r="CP1753" t="s">
        <v>119</v>
      </c>
      <c r="CQ1753">
        <v>364</v>
      </c>
      <c r="CR1753">
        <v>0</v>
      </c>
      <c r="CW1753">
        <v>1432204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"03/24/2022 22:16:51.618"</f>
        <v>03/24/2022 22:16:51.618</v>
      </c>
      <c r="C1754" t="str">
        <f t="shared" si="524"/>
        <v>FFDFD3C0</v>
      </c>
      <c r="D1754" t="s">
        <v>123</v>
      </c>
      <c r="E1754">
        <v>8</v>
      </c>
      <c r="H1754">
        <v>31</v>
      </c>
      <c r="I1754" t="s">
        <v>124</v>
      </c>
      <c r="J1754" t="s">
        <v>125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S1754" t="str">
        <f t="shared" ref="S1754:T1757" si="527">"22:16:51.000"</f>
        <v>22:16:51.000</v>
      </c>
      <c r="T1754" t="str">
        <f t="shared" si="527"/>
        <v>22:16:51.000</v>
      </c>
      <c r="U1754" t="str">
        <f t="shared" si="519"/>
        <v>A9D71F</v>
      </c>
      <c r="V1754">
        <v>0</v>
      </c>
      <c r="W1754">
        <v>0</v>
      </c>
      <c r="X1754">
        <v>2</v>
      </c>
      <c r="Z1754">
        <v>1</v>
      </c>
      <c r="AA1754">
        <v>8</v>
      </c>
      <c r="AB1754">
        <v>3</v>
      </c>
      <c r="AC1754">
        <v>0</v>
      </c>
      <c r="AD1754">
        <v>9</v>
      </c>
      <c r="AE1754">
        <v>0</v>
      </c>
      <c r="AF1754">
        <v>3</v>
      </c>
      <c r="AG1754">
        <v>1</v>
      </c>
      <c r="AH1754">
        <v>0</v>
      </c>
      <c r="AI1754" t="s">
        <v>928</v>
      </c>
      <c r="AJ1754">
        <v>33.059148999999998</v>
      </c>
      <c r="AK1754" t="s">
        <v>929</v>
      </c>
      <c r="AL1754">
        <v>-97.668606999999994</v>
      </c>
      <c r="AM1754">
        <v>25</v>
      </c>
      <c r="AN1754">
        <v>3400</v>
      </c>
      <c r="AO1754" t="s">
        <v>118</v>
      </c>
      <c r="AP1754">
        <v>35</v>
      </c>
      <c r="AQ1754">
        <v>-110</v>
      </c>
      <c r="AR1754">
        <v>256</v>
      </c>
      <c r="AZ1754">
        <v>1200</v>
      </c>
      <c r="BA1754">
        <v>1</v>
      </c>
      <c r="BB1754" t="str">
        <f t="shared" si="526"/>
        <v xml:space="preserve">N733KP  </v>
      </c>
      <c r="BC1754">
        <v>1</v>
      </c>
      <c r="BE1754">
        <v>0</v>
      </c>
      <c r="BF1754">
        <v>0</v>
      </c>
      <c r="BG1754">
        <v>0</v>
      </c>
      <c r="BH1754">
        <v>3400</v>
      </c>
      <c r="BI1754">
        <v>1</v>
      </c>
      <c r="BJ1754">
        <v>1</v>
      </c>
      <c r="BK1754">
        <v>0</v>
      </c>
      <c r="BL1754">
        <v>0</v>
      </c>
      <c r="BO1754">
        <v>0</v>
      </c>
      <c r="BP1754">
        <v>0</v>
      </c>
      <c r="BW1754" t="str">
        <f>"22:16:51.466"</f>
        <v>22:16:51.466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364</v>
      </c>
      <c r="CR1754">
        <v>0</v>
      </c>
      <c r="CW1754">
        <v>1432347</v>
      </c>
      <c r="CY1754">
        <v>1</v>
      </c>
      <c r="CZ1754">
        <v>0</v>
      </c>
      <c r="DA1754">
        <v>0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"03/24/2022 22:16:51.649"</f>
        <v>03/24/2022 22:16:51.649</v>
      </c>
      <c r="C1755" t="str">
        <f t="shared" si="524"/>
        <v>FFDFD3C0</v>
      </c>
      <c r="D1755" t="s">
        <v>120</v>
      </c>
      <c r="E1755">
        <v>14</v>
      </c>
      <c r="F1755">
        <v>1014</v>
      </c>
      <c r="G1755" t="s">
        <v>121</v>
      </c>
      <c r="J1755" t="s">
        <v>122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S1755" t="str">
        <f t="shared" si="527"/>
        <v>22:16:51.000</v>
      </c>
      <c r="T1755" t="str">
        <f t="shared" si="527"/>
        <v>22:16:51.000</v>
      </c>
      <c r="U1755" t="str">
        <f t="shared" si="519"/>
        <v>A9D71F</v>
      </c>
      <c r="V1755">
        <v>0</v>
      </c>
      <c r="W1755">
        <v>0</v>
      </c>
      <c r="X1755">
        <v>2</v>
      </c>
      <c r="Z1755">
        <v>1</v>
      </c>
      <c r="AA1755">
        <v>8</v>
      </c>
      <c r="AB1755">
        <v>3</v>
      </c>
      <c r="AC1755">
        <v>0</v>
      </c>
      <c r="AD1755">
        <v>9</v>
      </c>
      <c r="AE1755">
        <v>0</v>
      </c>
      <c r="AF1755">
        <v>3</v>
      </c>
      <c r="AG1755">
        <v>1</v>
      </c>
      <c r="AH1755">
        <v>0</v>
      </c>
      <c r="AI1755" t="s">
        <v>928</v>
      </c>
      <c r="AJ1755">
        <v>33.059148999999998</v>
      </c>
      <c r="AK1755" t="s">
        <v>929</v>
      </c>
      <c r="AL1755">
        <v>-97.668606999999994</v>
      </c>
      <c r="AM1755">
        <v>25</v>
      </c>
      <c r="AN1755">
        <v>3400</v>
      </c>
      <c r="AO1755" t="s">
        <v>118</v>
      </c>
      <c r="AP1755">
        <v>35</v>
      </c>
      <c r="AQ1755">
        <v>-110</v>
      </c>
      <c r="AR1755">
        <v>256</v>
      </c>
      <c r="AZ1755">
        <v>1200</v>
      </c>
      <c r="BA1755">
        <v>1</v>
      </c>
      <c r="BB1755" t="str">
        <f t="shared" si="526"/>
        <v xml:space="preserve">N733KP  </v>
      </c>
      <c r="BC1755">
        <v>1</v>
      </c>
      <c r="BE1755">
        <v>0</v>
      </c>
      <c r="BF1755">
        <v>0</v>
      </c>
      <c r="BG1755">
        <v>0</v>
      </c>
      <c r="BH1755">
        <v>3400</v>
      </c>
      <c r="BI1755">
        <v>1</v>
      </c>
      <c r="BJ1755">
        <v>1</v>
      </c>
      <c r="BK1755">
        <v>0</v>
      </c>
      <c r="BL1755">
        <v>0</v>
      </c>
      <c r="BO1755">
        <v>0</v>
      </c>
      <c r="BP1755">
        <v>0</v>
      </c>
      <c r="BW1755" t="str">
        <f>"22:16:51.466"</f>
        <v>22:16:51.466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7</v>
      </c>
      <c r="CP1755" t="s">
        <v>119</v>
      </c>
      <c r="CQ1755">
        <v>364</v>
      </c>
      <c r="CR1755">
        <v>0</v>
      </c>
      <c r="CW1755">
        <v>1432347</v>
      </c>
      <c r="CY1755">
        <v>1</v>
      </c>
      <c r="CZ1755">
        <v>0</v>
      </c>
      <c r="DA1755">
        <v>1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>"03/24/2022 22:16:51.665"</f>
        <v>03/24/2022 22:16:51.665</v>
      </c>
      <c r="C1756" t="str">
        <f t="shared" si="524"/>
        <v>FFDFD3C0</v>
      </c>
      <c r="D1756" t="s">
        <v>113</v>
      </c>
      <c r="E1756">
        <v>24</v>
      </c>
      <c r="F1756">
        <v>2024</v>
      </c>
      <c r="G1756" t="s">
        <v>114</v>
      </c>
      <c r="J1756" t="s">
        <v>115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S1756" t="str">
        <f t="shared" si="527"/>
        <v>22:16:51.000</v>
      </c>
      <c r="T1756" t="str">
        <f t="shared" si="527"/>
        <v>22:16:51.000</v>
      </c>
      <c r="U1756" t="str">
        <f t="shared" si="519"/>
        <v>A9D71F</v>
      </c>
      <c r="V1756">
        <v>0</v>
      </c>
      <c r="W1756">
        <v>0</v>
      </c>
      <c r="X1756">
        <v>2</v>
      </c>
      <c r="Z1756">
        <v>1</v>
      </c>
      <c r="AA1756">
        <v>8</v>
      </c>
      <c r="AB1756">
        <v>3</v>
      </c>
      <c r="AC1756">
        <v>0</v>
      </c>
      <c r="AD1756">
        <v>9</v>
      </c>
      <c r="AE1756">
        <v>0</v>
      </c>
      <c r="AF1756">
        <v>3</v>
      </c>
      <c r="AG1756">
        <v>1</v>
      </c>
      <c r="AH1756">
        <v>0</v>
      </c>
      <c r="AI1756" t="s">
        <v>928</v>
      </c>
      <c r="AJ1756">
        <v>33.059148999999998</v>
      </c>
      <c r="AK1756" t="s">
        <v>929</v>
      </c>
      <c r="AL1756">
        <v>-97.668606999999994</v>
      </c>
      <c r="AM1756">
        <v>25</v>
      </c>
      <c r="AN1756">
        <v>3400</v>
      </c>
      <c r="AO1756" t="s">
        <v>118</v>
      </c>
      <c r="AP1756">
        <v>35</v>
      </c>
      <c r="AQ1756">
        <v>-110</v>
      </c>
      <c r="AR1756">
        <v>256</v>
      </c>
      <c r="AZ1756">
        <v>1200</v>
      </c>
      <c r="BA1756">
        <v>1</v>
      </c>
      <c r="BB1756" t="str">
        <f t="shared" si="526"/>
        <v xml:space="preserve">N733KP  </v>
      </c>
      <c r="BC1756">
        <v>1</v>
      </c>
      <c r="BE1756">
        <v>0</v>
      </c>
      <c r="BF1756">
        <v>0</v>
      </c>
      <c r="BG1756">
        <v>0</v>
      </c>
      <c r="BH1756">
        <v>3400</v>
      </c>
      <c r="BI1756">
        <v>1</v>
      </c>
      <c r="BJ1756">
        <v>1</v>
      </c>
      <c r="BK1756">
        <v>0</v>
      </c>
      <c r="BL1756">
        <v>0</v>
      </c>
      <c r="BO1756">
        <v>0</v>
      </c>
      <c r="BP1756">
        <v>0</v>
      </c>
      <c r="BW1756" t="str">
        <f>"22:16:51.466"</f>
        <v>22:16:51.466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7</v>
      </c>
      <c r="CP1756" t="s">
        <v>119</v>
      </c>
      <c r="CQ1756">
        <v>364</v>
      </c>
      <c r="CR1756">
        <v>0</v>
      </c>
      <c r="CW1756">
        <v>1432347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>"03/24/2022 22:16:51.665"</f>
        <v>03/24/2022 22:16:51.665</v>
      </c>
      <c r="C1757" t="str">
        <f t="shared" si="524"/>
        <v>FFDFD3C0</v>
      </c>
      <c r="D1757" t="s">
        <v>126</v>
      </c>
      <c r="E1757">
        <v>3</v>
      </c>
      <c r="H1757">
        <v>160</v>
      </c>
      <c r="I1757" t="s">
        <v>121</v>
      </c>
      <c r="J1757" t="s">
        <v>127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S1757" t="str">
        <f t="shared" si="527"/>
        <v>22:16:51.000</v>
      </c>
      <c r="T1757" t="str">
        <f t="shared" si="527"/>
        <v>22:16:51.000</v>
      </c>
      <c r="U1757" t="str">
        <f t="shared" si="519"/>
        <v>A9D71F</v>
      </c>
      <c r="V1757">
        <v>0</v>
      </c>
      <c r="W1757">
        <v>0</v>
      </c>
      <c r="X1757">
        <v>2</v>
      </c>
      <c r="Z1757">
        <v>1</v>
      </c>
      <c r="AA1757">
        <v>8</v>
      </c>
      <c r="AB1757">
        <v>3</v>
      </c>
      <c r="AC1757">
        <v>0</v>
      </c>
      <c r="AD1757">
        <v>9</v>
      </c>
      <c r="AE1757">
        <v>0</v>
      </c>
      <c r="AF1757">
        <v>3</v>
      </c>
      <c r="AG1757">
        <v>1</v>
      </c>
      <c r="AH1757">
        <v>0</v>
      </c>
      <c r="AI1757" t="s">
        <v>928</v>
      </c>
      <c r="AJ1757">
        <v>33.059148999999998</v>
      </c>
      <c r="AK1757" t="s">
        <v>929</v>
      </c>
      <c r="AL1757">
        <v>-97.668606999999994</v>
      </c>
      <c r="AM1757">
        <v>25</v>
      </c>
      <c r="AN1757">
        <v>3400</v>
      </c>
      <c r="AO1757" t="s">
        <v>118</v>
      </c>
      <c r="AP1757">
        <v>35</v>
      </c>
      <c r="AQ1757">
        <v>-110</v>
      </c>
      <c r="AR1757">
        <v>256</v>
      </c>
      <c r="AZ1757">
        <v>1200</v>
      </c>
      <c r="BA1757">
        <v>1</v>
      </c>
      <c r="BB1757" t="str">
        <f t="shared" si="526"/>
        <v xml:space="preserve">N733KP  </v>
      </c>
      <c r="BC1757">
        <v>1</v>
      </c>
      <c r="BE1757">
        <v>0</v>
      </c>
      <c r="BF1757">
        <v>0</v>
      </c>
      <c r="BG1757">
        <v>0</v>
      </c>
      <c r="BH1757">
        <v>3400</v>
      </c>
      <c r="BI1757">
        <v>1</v>
      </c>
      <c r="BJ1757">
        <v>1</v>
      </c>
      <c r="BK1757">
        <v>0</v>
      </c>
      <c r="BL1757">
        <v>0</v>
      </c>
      <c r="BO1757">
        <v>0</v>
      </c>
      <c r="BP1757">
        <v>0</v>
      </c>
      <c r="BW1757" t="str">
        <f>"22:16:51.466"</f>
        <v>22:16:51.466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119</v>
      </c>
      <c r="CQ1757">
        <v>364</v>
      </c>
      <c r="CR1757">
        <v>0</v>
      </c>
      <c r="CW1757">
        <v>1432347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>"03/24/2022 22:16:52.963"</f>
        <v>03/24/2022 22:16:52.963</v>
      </c>
      <c r="C1758" t="str">
        <f t="shared" si="524"/>
        <v>FFDFD3C0</v>
      </c>
      <c r="D1758" t="s">
        <v>120</v>
      </c>
      <c r="E1758">
        <v>14</v>
      </c>
      <c r="F1758">
        <v>1014</v>
      </c>
      <c r="G1758" t="s">
        <v>121</v>
      </c>
      <c r="J1758" t="s">
        <v>122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S1758" t="str">
        <f t="shared" ref="S1758:T1761" si="528">"22:16:52.000"</f>
        <v>22:16:52.000</v>
      </c>
      <c r="T1758" t="str">
        <f t="shared" si="528"/>
        <v>22:16:52.000</v>
      </c>
      <c r="U1758" t="str">
        <f t="shared" si="519"/>
        <v>A9D71F</v>
      </c>
      <c r="V1758">
        <v>0</v>
      </c>
      <c r="W1758">
        <v>0</v>
      </c>
      <c r="X1758">
        <v>2</v>
      </c>
      <c r="Z1758">
        <v>1</v>
      </c>
      <c r="AA1758">
        <v>8</v>
      </c>
      <c r="AB1758">
        <v>3</v>
      </c>
      <c r="AC1758">
        <v>0</v>
      </c>
      <c r="AD1758">
        <v>9</v>
      </c>
      <c r="AE1758">
        <v>0</v>
      </c>
      <c r="AF1758">
        <v>3</v>
      </c>
      <c r="AG1758">
        <v>1</v>
      </c>
      <c r="AH1758">
        <v>0</v>
      </c>
      <c r="AI1758" t="s">
        <v>930</v>
      </c>
      <c r="AJ1758">
        <v>33.058633999999998</v>
      </c>
      <c r="AK1758" t="s">
        <v>931</v>
      </c>
      <c r="AL1758">
        <v>-97.668392999999995</v>
      </c>
      <c r="AM1758">
        <v>25</v>
      </c>
      <c r="AN1758">
        <v>3400</v>
      </c>
      <c r="AO1758" t="s">
        <v>118</v>
      </c>
      <c r="AP1758">
        <v>35</v>
      </c>
      <c r="AQ1758">
        <v>-110</v>
      </c>
      <c r="AR1758">
        <v>192</v>
      </c>
      <c r="AZ1758">
        <v>1200</v>
      </c>
      <c r="BA1758">
        <v>1</v>
      </c>
      <c r="BB1758" t="str">
        <f t="shared" si="526"/>
        <v xml:space="preserve">N733KP  </v>
      </c>
      <c r="BC1758">
        <v>1</v>
      </c>
      <c r="BE1758">
        <v>0</v>
      </c>
      <c r="BF1758">
        <v>0</v>
      </c>
      <c r="BG1758">
        <v>0</v>
      </c>
      <c r="BH1758">
        <v>3400</v>
      </c>
      <c r="BI1758">
        <v>1</v>
      </c>
      <c r="BJ1758">
        <v>1</v>
      </c>
      <c r="BK1758">
        <v>0</v>
      </c>
      <c r="BL1758">
        <v>0</v>
      </c>
      <c r="BO1758">
        <v>0</v>
      </c>
      <c r="BP1758">
        <v>0</v>
      </c>
      <c r="BW1758" t="str">
        <f>"22:16:52.803"</f>
        <v>22:16:52.803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364</v>
      </c>
      <c r="CR1758">
        <v>0</v>
      </c>
      <c r="CW1758">
        <v>1432530</v>
      </c>
      <c r="CY1758">
        <v>1</v>
      </c>
      <c r="CZ1758">
        <v>0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>"03/24/2022 22:16:52.979"</f>
        <v>03/24/2022 22:16:52.979</v>
      </c>
      <c r="C1759" t="str">
        <f t="shared" si="524"/>
        <v>FFDFD3C0</v>
      </c>
      <c r="D1759" t="s">
        <v>113</v>
      </c>
      <c r="E1759">
        <v>24</v>
      </c>
      <c r="F1759">
        <v>2024</v>
      </c>
      <c r="G1759" t="s">
        <v>114</v>
      </c>
      <c r="J1759" t="s">
        <v>115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S1759" t="str">
        <f t="shared" si="528"/>
        <v>22:16:52.000</v>
      </c>
      <c r="T1759" t="str">
        <f t="shared" si="528"/>
        <v>22:16:52.000</v>
      </c>
      <c r="U1759" t="str">
        <f t="shared" si="519"/>
        <v>A9D71F</v>
      </c>
      <c r="V1759">
        <v>0</v>
      </c>
      <c r="W1759">
        <v>0</v>
      </c>
      <c r="X1759">
        <v>2</v>
      </c>
      <c r="Z1759">
        <v>1</v>
      </c>
      <c r="AA1759">
        <v>8</v>
      </c>
      <c r="AB1759">
        <v>3</v>
      </c>
      <c r="AC1759">
        <v>0</v>
      </c>
      <c r="AD1759">
        <v>9</v>
      </c>
      <c r="AE1759">
        <v>0</v>
      </c>
      <c r="AF1759">
        <v>3</v>
      </c>
      <c r="AG1759">
        <v>1</v>
      </c>
      <c r="AH1759">
        <v>0</v>
      </c>
      <c r="AI1759" t="s">
        <v>930</v>
      </c>
      <c r="AJ1759">
        <v>33.058633999999998</v>
      </c>
      <c r="AK1759" t="s">
        <v>931</v>
      </c>
      <c r="AL1759">
        <v>-97.668392999999995</v>
      </c>
      <c r="AM1759">
        <v>25</v>
      </c>
      <c r="AN1759">
        <v>3400</v>
      </c>
      <c r="AO1759" t="s">
        <v>118</v>
      </c>
      <c r="AP1759">
        <v>35</v>
      </c>
      <c r="AQ1759">
        <v>-110</v>
      </c>
      <c r="AR1759">
        <v>192</v>
      </c>
      <c r="AZ1759">
        <v>1200</v>
      </c>
      <c r="BA1759">
        <v>1</v>
      </c>
      <c r="BB1759" t="str">
        <f t="shared" si="526"/>
        <v xml:space="preserve">N733KP  </v>
      </c>
      <c r="BC1759">
        <v>1</v>
      </c>
      <c r="BE1759">
        <v>0</v>
      </c>
      <c r="BF1759">
        <v>0</v>
      </c>
      <c r="BG1759">
        <v>0</v>
      </c>
      <c r="BH1759">
        <v>3400</v>
      </c>
      <c r="BI1759">
        <v>1</v>
      </c>
      <c r="BJ1759">
        <v>1</v>
      </c>
      <c r="BK1759">
        <v>0</v>
      </c>
      <c r="BL1759">
        <v>0</v>
      </c>
      <c r="BO1759">
        <v>0</v>
      </c>
      <c r="BP1759">
        <v>0</v>
      </c>
      <c r="BW1759" t="str">
        <f>"22:16:52.803"</f>
        <v>22:16:52.803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7</v>
      </c>
      <c r="CP1759" t="s">
        <v>119</v>
      </c>
      <c r="CQ1759">
        <v>364</v>
      </c>
      <c r="CR1759">
        <v>0</v>
      </c>
      <c r="CW1759">
        <v>1432530</v>
      </c>
      <c r="CY1759">
        <v>1</v>
      </c>
      <c r="CZ1759">
        <v>0</v>
      </c>
      <c r="DA1759">
        <v>1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>"03/24/2022 22:16:53.025"</f>
        <v>03/24/2022 22:16:53.025</v>
      </c>
      <c r="C1760" t="str">
        <f t="shared" si="524"/>
        <v>FFDFD3C0</v>
      </c>
      <c r="D1760" t="s">
        <v>126</v>
      </c>
      <c r="E1760">
        <v>3</v>
      </c>
      <c r="H1760">
        <v>160</v>
      </c>
      <c r="I1760" t="s">
        <v>121</v>
      </c>
      <c r="J1760" t="s">
        <v>127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S1760" t="str">
        <f t="shared" si="528"/>
        <v>22:16:52.000</v>
      </c>
      <c r="T1760" t="str">
        <f t="shared" si="528"/>
        <v>22:16:52.000</v>
      </c>
      <c r="U1760" t="str">
        <f t="shared" si="519"/>
        <v>A9D71F</v>
      </c>
      <c r="V1760">
        <v>0</v>
      </c>
      <c r="W1760">
        <v>0</v>
      </c>
      <c r="X1760">
        <v>2</v>
      </c>
      <c r="Z1760">
        <v>1</v>
      </c>
      <c r="AA1760">
        <v>8</v>
      </c>
      <c r="AB1760">
        <v>3</v>
      </c>
      <c r="AC1760">
        <v>0</v>
      </c>
      <c r="AD1760">
        <v>9</v>
      </c>
      <c r="AE1760">
        <v>0</v>
      </c>
      <c r="AF1760">
        <v>3</v>
      </c>
      <c r="AG1760">
        <v>1</v>
      </c>
      <c r="AH1760">
        <v>0</v>
      </c>
      <c r="AI1760" t="s">
        <v>930</v>
      </c>
      <c r="AJ1760">
        <v>33.058633999999998</v>
      </c>
      <c r="AK1760" t="s">
        <v>931</v>
      </c>
      <c r="AL1760">
        <v>-97.668392999999995</v>
      </c>
      <c r="AM1760">
        <v>25</v>
      </c>
      <c r="AN1760">
        <v>3400</v>
      </c>
      <c r="AO1760" t="s">
        <v>118</v>
      </c>
      <c r="AP1760">
        <v>35</v>
      </c>
      <c r="AQ1760">
        <v>-110</v>
      </c>
      <c r="AR1760">
        <v>192</v>
      </c>
      <c r="AZ1760">
        <v>1200</v>
      </c>
      <c r="BA1760">
        <v>1</v>
      </c>
      <c r="BB1760" t="str">
        <f t="shared" si="526"/>
        <v xml:space="preserve">N733KP  </v>
      </c>
      <c r="BC1760">
        <v>1</v>
      </c>
      <c r="BE1760">
        <v>0</v>
      </c>
      <c r="BF1760">
        <v>0</v>
      </c>
      <c r="BG1760">
        <v>0</v>
      </c>
      <c r="BH1760">
        <v>3400</v>
      </c>
      <c r="BI1760">
        <v>1</v>
      </c>
      <c r="BJ1760">
        <v>1</v>
      </c>
      <c r="BK1760">
        <v>0</v>
      </c>
      <c r="BL1760">
        <v>0</v>
      </c>
      <c r="BO1760">
        <v>0</v>
      </c>
      <c r="BP1760">
        <v>0</v>
      </c>
      <c r="BW1760" t="str">
        <f>"22:16:52.803"</f>
        <v>22:16:52.803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7</v>
      </c>
      <c r="CP1760" t="s">
        <v>119</v>
      </c>
      <c r="CQ1760">
        <v>364</v>
      </c>
      <c r="CR1760">
        <v>0</v>
      </c>
      <c r="CW1760">
        <v>1432530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>"03/24/2022 22:16:53.088"</f>
        <v>03/24/2022 22:16:53.088</v>
      </c>
      <c r="C1761" t="str">
        <f t="shared" si="524"/>
        <v>FFDFD3C0</v>
      </c>
      <c r="D1761" t="s">
        <v>123</v>
      </c>
      <c r="E1761">
        <v>8</v>
      </c>
      <c r="H1761">
        <v>31</v>
      </c>
      <c r="I1761" t="s">
        <v>124</v>
      </c>
      <c r="J1761" t="s">
        <v>125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S1761" t="str">
        <f t="shared" si="528"/>
        <v>22:16:52.000</v>
      </c>
      <c r="T1761" t="str">
        <f t="shared" si="528"/>
        <v>22:16:52.000</v>
      </c>
      <c r="U1761" t="str">
        <f t="shared" si="519"/>
        <v>A9D71F</v>
      </c>
      <c r="V1761">
        <v>0</v>
      </c>
      <c r="W1761">
        <v>0</v>
      </c>
      <c r="X1761">
        <v>2</v>
      </c>
      <c r="Z1761">
        <v>1</v>
      </c>
      <c r="AA1761">
        <v>8</v>
      </c>
      <c r="AB1761">
        <v>3</v>
      </c>
      <c r="AC1761">
        <v>0</v>
      </c>
      <c r="AD1761">
        <v>9</v>
      </c>
      <c r="AE1761">
        <v>0</v>
      </c>
      <c r="AF1761">
        <v>3</v>
      </c>
      <c r="AG1761">
        <v>1</v>
      </c>
      <c r="AH1761">
        <v>0</v>
      </c>
      <c r="AI1761" t="s">
        <v>930</v>
      </c>
      <c r="AJ1761">
        <v>33.058633999999998</v>
      </c>
      <c r="AK1761" t="s">
        <v>931</v>
      </c>
      <c r="AL1761">
        <v>-97.668392999999995</v>
      </c>
      <c r="AM1761">
        <v>25</v>
      </c>
      <c r="AN1761">
        <v>3400</v>
      </c>
      <c r="AO1761" t="s">
        <v>118</v>
      </c>
      <c r="AP1761">
        <v>35</v>
      </c>
      <c r="AQ1761">
        <v>-110</v>
      </c>
      <c r="AR1761">
        <v>192</v>
      </c>
      <c r="AZ1761">
        <v>1200</v>
      </c>
      <c r="BA1761">
        <v>1</v>
      </c>
      <c r="BB1761" t="str">
        <f t="shared" si="526"/>
        <v xml:space="preserve">N733KP  </v>
      </c>
      <c r="BC1761">
        <v>1</v>
      </c>
      <c r="BE1761">
        <v>0</v>
      </c>
      <c r="BF1761">
        <v>0</v>
      </c>
      <c r="BG1761">
        <v>0</v>
      </c>
      <c r="BH1761">
        <v>3400</v>
      </c>
      <c r="BI1761">
        <v>1</v>
      </c>
      <c r="BJ1761">
        <v>1</v>
      </c>
      <c r="BK1761">
        <v>0</v>
      </c>
      <c r="BL1761">
        <v>0</v>
      </c>
      <c r="BO1761">
        <v>0</v>
      </c>
      <c r="BP1761">
        <v>0</v>
      </c>
      <c r="BW1761" t="str">
        <f>"22:16:52.803"</f>
        <v>22:16:52.803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119</v>
      </c>
      <c r="CQ1761">
        <v>364</v>
      </c>
      <c r="CR1761">
        <v>0</v>
      </c>
      <c r="CW1761">
        <v>1432530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>"03/24/2022 22:16:53.950"</f>
        <v>03/24/2022 22:16:53.950</v>
      </c>
      <c r="C1762" t="str">
        <f t="shared" si="524"/>
        <v>FFDFD3C0</v>
      </c>
      <c r="D1762" t="s">
        <v>126</v>
      </c>
      <c r="E1762">
        <v>3</v>
      </c>
      <c r="H1762">
        <v>160</v>
      </c>
      <c r="I1762" t="s">
        <v>121</v>
      </c>
      <c r="J1762" t="s">
        <v>127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S1762" t="str">
        <f t="shared" ref="S1762:T1765" si="529">"22:16:53.000"</f>
        <v>22:16:53.000</v>
      </c>
      <c r="T1762" t="str">
        <f t="shared" si="529"/>
        <v>22:16:53.000</v>
      </c>
      <c r="U1762" t="str">
        <f t="shared" si="519"/>
        <v>A9D71F</v>
      </c>
      <c r="V1762">
        <v>0</v>
      </c>
      <c r="W1762">
        <v>0</v>
      </c>
      <c r="X1762">
        <v>2</v>
      </c>
      <c r="Z1762">
        <v>1</v>
      </c>
      <c r="AA1762">
        <v>8</v>
      </c>
      <c r="AB1762">
        <v>3</v>
      </c>
      <c r="AC1762">
        <v>0</v>
      </c>
      <c r="AD1762">
        <v>9</v>
      </c>
      <c r="AE1762">
        <v>0</v>
      </c>
      <c r="AF1762">
        <v>3</v>
      </c>
      <c r="AG1762">
        <v>1</v>
      </c>
      <c r="AH1762">
        <v>0</v>
      </c>
      <c r="AI1762" t="s">
        <v>932</v>
      </c>
      <c r="AJ1762">
        <v>33.058140000000002</v>
      </c>
      <c r="AK1762" t="s">
        <v>933</v>
      </c>
      <c r="AL1762">
        <v>-97.668199999999999</v>
      </c>
      <c r="AM1762">
        <v>25</v>
      </c>
      <c r="AN1762">
        <v>3500</v>
      </c>
      <c r="AO1762" t="s">
        <v>118</v>
      </c>
      <c r="AP1762">
        <v>35</v>
      </c>
      <c r="AQ1762">
        <v>-109</v>
      </c>
      <c r="AR1762">
        <v>256</v>
      </c>
      <c r="AZ1762">
        <v>1200</v>
      </c>
      <c r="BA1762">
        <v>1</v>
      </c>
      <c r="BB1762" t="str">
        <f t="shared" si="526"/>
        <v xml:space="preserve">N733KP  </v>
      </c>
      <c r="BC1762">
        <v>1</v>
      </c>
      <c r="BE1762">
        <v>0</v>
      </c>
      <c r="BF1762">
        <v>0</v>
      </c>
      <c r="BG1762">
        <v>0</v>
      </c>
      <c r="BH1762">
        <v>3400</v>
      </c>
      <c r="BI1762">
        <v>1</v>
      </c>
      <c r="BJ1762">
        <v>1</v>
      </c>
      <c r="BK1762">
        <v>0</v>
      </c>
      <c r="BL1762">
        <v>0</v>
      </c>
      <c r="BO1762">
        <v>0</v>
      </c>
      <c r="BP1762">
        <v>0</v>
      </c>
      <c r="BW1762" t="str">
        <f>"22:16:53.774"</f>
        <v>22:16:53.774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364</v>
      </c>
      <c r="CR1762">
        <v>0</v>
      </c>
      <c r="CW1762">
        <v>1432660</v>
      </c>
      <c r="CY1762">
        <v>1</v>
      </c>
      <c r="CZ1762">
        <v>0</v>
      </c>
      <c r="DA1762">
        <v>0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>"03/24/2022 22:16:53.950"</f>
        <v>03/24/2022 22:16:53.950</v>
      </c>
      <c r="C1763" t="str">
        <f t="shared" si="524"/>
        <v>FFDFD3C0</v>
      </c>
      <c r="D1763" t="s">
        <v>123</v>
      </c>
      <c r="E1763">
        <v>8</v>
      </c>
      <c r="H1763">
        <v>31</v>
      </c>
      <c r="I1763" t="s">
        <v>124</v>
      </c>
      <c r="J1763" t="s">
        <v>125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S1763" t="str">
        <f t="shared" si="529"/>
        <v>22:16:53.000</v>
      </c>
      <c r="T1763" t="str">
        <f t="shared" si="529"/>
        <v>22:16:53.000</v>
      </c>
      <c r="U1763" t="str">
        <f t="shared" si="519"/>
        <v>A9D71F</v>
      </c>
      <c r="V1763">
        <v>0</v>
      </c>
      <c r="W1763">
        <v>0</v>
      </c>
      <c r="X1763">
        <v>2</v>
      </c>
      <c r="Z1763">
        <v>1</v>
      </c>
      <c r="AA1763">
        <v>8</v>
      </c>
      <c r="AB1763">
        <v>3</v>
      </c>
      <c r="AC1763">
        <v>0</v>
      </c>
      <c r="AD1763">
        <v>9</v>
      </c>
      <c r="AE1763">
        <v>0</v>
      </c>
      <c r="AF1763">
        <v>3</v>
      </c>
      <c r="AG1763">
        <v>1</v>
      </c>
      <c r="AH1763">
        <v>0</v>
      </c>
      <c r="AI1763" t="s">
        <v>932</v>
      </c>
      <c r="AJ1763">
        <v>33.058140000000002</v>
      </c>
      <c r="AK1763" t="s">
        <v>933</v>
      </c>
      <c r="AL1763">
        <v>-97.668199999999999</v>
      </c>
      <c r="AM1763">
        <v>25</v>
      </c>
      <c r="AN1763">
        <v>3500</v>
      </c>
      <c r="AO1763" t="s">
        <v>118</v>
      </c>
      <c r="AP1763">
        <v>35</v>
      </c>
      <c r="AQ1763">
        <v>-109</v>
      </c>
      <c r="AR1763">
        <v>256</v>
      </c>
      <c r="AZ1763">
        <v>1200</v>
      </c>
      <c r="BA1763">
        <v>1</v>
      </c>
      <c r="BB1763" t="str">
        <f t="shared" si="526"/>
        <v xml:space="preserve">N733KP  </v>
      </c>
      <c r="BC1763">
        <v>1</v>
      </c>
      <c r="BE1763">
        <v>0</v>
      </c>
      <c r="BF1763">
        <v>0</v>
      </c>
      <c r="BG1763">
        <v>0</v>
      </c>
      <c r="BH1763">
        <v>3400</v>
      </c>
      <c r="BI1763">
        <v>1</v>
      </c>
      <c r="BJ1763">
        <v>1</v>
      </c>
      <c r="BK1763">
        <v>0</v>
      </c>
      <c r="BL1763">
        <v>0</v>
      </c>
      <c r="BO1763">
        <v>0</v>
      </c>
      <c r="BP1763">
        <v>0</v>
      </c>
      <c r="BW1763" t="str">
        <f>"22:16:53.774"</f>
        <v>22:16:53.774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7</v>
      </c>
      <c r="CP1763" t="s">
        <v>119</v>
      </c>
      <c r="CQ1763">
        <v>364</v>
      </c>
      <c r="CR1763">
        <v>0</v>
      </c>
      <c r="CW1763">
        <v>1432660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>"03/24/2022 22:16:53.996"</f>
        <v>03/24/2022 22:16:53.996</v>
      </c>
      <c r="C1764" t="str">
        <f t="shared" si="524"/>
        <v>FFDFD3C0</v>
      </c>
      <c r="D1764" t="s">
        <v>120</v>
      </c>
      <c r="E1764">
        <v>14</v>
      </c>
      <c r="F1764">
        <v>1014</v>
      </c>
      <c r="G1764" t="s">
        <v>121</v>
      </c>
      <c r="J1764" t="s">
        <v>122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S1764" t="str">
        <f t="shared" si="529"/>
        <v>22:16:53.000</v>
      </c>
      <c r="T1764" t="str">
        <f t="shared" si="529"/>
        <v>22:16:53.000</v>
      </c>
      <c r="U1764" t="str">
        <f t="shared" si="519"/>
        <v>A9D71F</v>
      </c>
      <c r="V1764">
        <v>0</v>
      </c>
      <c r="W1764">
        <v>0</v>
      </c>
      <c r="X1764">
        <v>2</v>
      </c>
      <c r="Z1764">
        <v>1</v>
      </c>
      <c r="AA1764">
        <v>8</v>
      </c>
      <c r="AB1764">
        <v>3</v>
      </c>
      <c r="AC1764">
        <v>0</v>
      </c>
      <c r="AD1764">
        <v>9</v>
      </c>
      <c r="AE1764">
        <v>0</v>
      </c>
      <c r="AF1764">
        <v>3</v>
      </c>
      <c r="AG1764">
        <v>1</v>
      </c>
      <c r="AH1764">
        <v>0</v>
      </c>
      <c r="AI1764" t="s">
        <v>932</v>
      </c>
      <c r="AJ1764">
        <v>33.058140000000002</v>
      </c>
      <c r="AK1764" t="s">
        <v>933</v>
      </c>
      <c r="AL1764">
        <v>-97.668199999999999</v>
      </c>
      <c r="AM1764">
        <v>25</v>
      </c>
      <c r="AN1764">
        <v>3500</v>
      </c>
      <c r="AO1764" t="s">
        <v>118</v>
      </c>
      <c r="AP1764">
        <v>35</v>
      </c>
      <c r="AQ1764">
        <v>-109</v>
      </c>
      <c r="AR1764">
        <v>256</v>
      </c>
      <c r="AZ1764">
        <v>1200</v>
      </c>
      <c r="BA1764">
        <v>1</v>
      </c>
      <c r="BB1764" t="str">
        <f t="shared" si="526"/>
        <v xml:space="preserve">N733KP  </v>
      </c>
      <c r="BC1764">
        <v>1</v>
      </c>
      <c r="BE1764">
        <v>0</v>
      </c>
      <c r="BF1764">
        <v>0</v>
      </c>
      <c r="BG1764">
        <v>0</v>
      </c>
      <c r="BH1764">
        <v>3400</v>
      </c>
      <c r="BI1764">
        <v>1</v>
      </c>
      <c r="BJ1764">
        <v>1</v>
      </c>
      <c r="BK1764">
        <v>0</v>
      </c>
      <c r="BL1764">
        <v>0</v>
      </c>
      <c r="BO1764">
        <v>0</v>
      </c>
      <c r="BP1764">
        <v>0</v>
      </c>
      <c r="BW1764" t="str">
        <f>"22:16:53.774"</f>
        <v>22:16:53.774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364</v>
      </c>
      <c r="CR1764">
        <v>0</v>
      </c>
      <c r="CW1764">
        <v>1432660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>"03/24/2022 22:16:53.996"</f>
        <v>03/24/2022 22:16:53.996</v>
      </c>
      <c r="C1765" t="str">
        <f t="shared" si="524"/>
        <v>FFDFD3C0</v>
      </c>
      <c r="D1765" t="s">
        <v>113</v>
      </c>
      <c r="E1765">
        <v>24</v>
      </c>
      <c r="F1765">
        <v>2024</v>
      </c>
      <c r="G1765" t="s">
        <v>114</v>
      </c>
      <c r="J1765" t="s">
        <v>115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S1765" t="str">
        <f t="shared" si="529"/>
        <v>22:16:53.000</v>
      </c>
      <c r="T1765" t="str">
        <f t="shared" si="529"/>
        <v>22:16:53.000</v>
      </c>
      <c r="U1765" t="str">
        <f t="shared" si="519"/>
        <v>A9D71F</v>
      </c>
      <c r="V1765">
        <v>0</v>
      </c>
      <c r="W1765">
        <v>0</v>
      </c>
      <c r="X1765">
        <v>2</v>
      </c>
      <c r="Z1765">
        <v>1</v>
      </c>
      <c r="AA1765">
        <v>8</v>
      </c>
      <c r="AB1765">
        <v>3</v>
      </c>
      <c r="AC1765">
        <v>0</v>
      </c>
      <c r="AD1765">
        <v>9</v>
      </c>
      <c r="AE1765">
        <v>0</v>
      </c>
      <c r="AF1765">
        <v>3</v>
      </c>
      <c r="AG1765">
        <v>1</v>
      </c>
      <c r="AH1765">
        <v>0</v>
      </c>
      <c r="AI1765" t="s">
        <v>932</v>
      </c>
      <c r="AJ1765">
        <v>33.058140000000002</v>
      </c>
      <c r="AK1765" t="s">
        <v>933</v>
      </c>
      <c r="AL1765">
        <v>-97.668199999999999</v>
      </c>
      <c r="AM1765">
        <v>25</v>
      </c>
      <c r="AN1765">
        <v>3500</v>
      </c>
      <c r="AO1765" t="s">
        <v>118</v>
      </c>
      <c r="AP1765">
        <v>35</v>
      </c>
      <c r="AQ1765">
        <v>-109</v>
      </c>
      <c r="AR1765">
        <v>256</v>
      </c>
      <c r="AZ1765">
        <v>1200</v>
      </c>
      <c r="BA1765">
        <v>1</v>
      </c>
      <c r="BB1765" t="str">
        <f t="shared" si="526"/>
        <v xml:space="preserve">N733KP  </v>
      </c>
      <c r="BC1765">
        <v>1</v>
      </c>
      <c r="BE1765">
        <v>0</v>
      </c>
      <c r="BF1765">
        <v>0</v>
      </c>
      <c r="BG1765">
        <v>0</v>
      </c>
      <c r="BH1765">
        <v>3400</v>
      </c>
      <c r="BI1765">
        <v>1</v>
      </c>
      <c r="BJ1765">
        <v>1</v>
      </c>
      <c r="BK1765">
        <v>0</v>
      </c>
      <c r="BL1765">
        <v>0</v>
      </c>
      <c r="BO1765">
        <v>0</v>
      </c>
      <c r="BP1765">
        <v>0</v>
      </c>
      <c r="BW1765" t="str">
        <f>"22:16:53.774"</f>
        <v>22:16:53.774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119</v>
      </c>
      <c r="CQ1765">
        <v>364</v>
      </c>
      <c r="CR1765">
        <v>0</v>
      </c>
      <c r="CW1765">
        <v>1432660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"03/24/2022 22:16:55.059"</f>
        <v>03/24/2022 22:16:55.059</v>
      </c>
      <c r="C1766" t="str">
        <f t="shared" si="524"/>
        <v>FFDFD3C0</v>
      </c>
      <c r="D1766" t="s">
        <v>123</v>
      </c>
      <c r="E1766">
        <v>8</v>
      </c>
      <c r="H1766">
        <v>31</v>
      </c>
      <c r="I1766" t="s">
        <v>124</v>
      </c>
      <c r="J1766" t="s">
        <v>125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S1766" t="str">
        <f t="shared" ref="S1766:T1769" si="530">"22:16:54.000"</f>
        <v>22:16:54.000</v>
      </c>
      <c r="T1766" t="str">
        <f t="shared" si="530"/>
        <v>22:16:54.000</v>
      </c>
      <c r="U1766" t="str">
        <f t="shared" si="519"/>
        <v>A9D71F</v>
      </c>
      <c r="V1766">
        <v>0</v>
      </c>
      <c r="W1766">
        <v>0</v>
      </c>
      <c r="X1766">
        <v>2</v>
      </c>
      <c r="Z1766">
        <v>1</v>
      </c>
      <c r="AA1766">
        <v>8</v>
      </c>
      <c r="AB1766">
        <v>3</v>
      </c>
      <c r="AC1766">
        <v>0</v>
      </c>
      <c r="AD1766">
        <v>9</v>
      </c>
      <c r="AE1766">
        <v>0</v>
      </c>
      <c r="AF1766">
        <v>3</v>
      </c>
      <c r="AG1766">
        <v>1</v>
      </c>
      <c r="AH1766">
        <v>0</v>
      </c>
      <c r="AI1766" t="s">
        <v>934</v>
      </c>
      <c r="AJ1766">
        <v>33.057603999999998</v>
      </c>
      <c r="AK1766" t="s">
        <v>935</v>
      </c>
      <c r="AL1766">
        <v>-97.667985000000002</v>
      </c>
      <c r="AM1766">
        <v>25</v>
      </c>
      <c r="AN1766">
        <v>3500</v>
      </c>
      <c r="AO1766" t="s">
        <v>118</v>
      </c>
      <c r="AP1766">
        <v>34</v>
      </c>
      <c r="AQ1766">
        <v>-110</v>
      </c>
      <c r="AR1766">
        <v>256</v>
      </c>
      <c r="AZ1766">
        <v>1200</v>
      </c>
      <c r="BA1766">
        <v>1</v>
      </c>
      <c r="BB1766" t="str">
        <f t="shared" si="526"/>
        <v xml:space="preserve">N733KP  </v>
      </c>
      <c r="BC1766">
        <v>1</v>
      </c>
      <c r="BE1766">
        <v>0</v>
      </c>
      <c r="BF1766">
        <v>0</v>
      </c>
      <c r="BG1766">
        <v>0</v>
      </c>
      <c r="BH1766">
        <v>3400</v>
      </c>
      <c r="BI1766">
        <v>1</v>
      </c>
      <c r="BJ1766">
        <v>1</v>
      </c>
      <c r="BK1766">
        <v>0</v>
      </c>
      <c r="BL1766">
        <v>0</v>
      </c>
      <c r="BO1766">
        <v>0</v>
      </c>
      <c r="BP1766">
        <v>0</v>
      </c>
      <c r="BW1766" t="str">
        <f>"22:16:54.899"</f>
        <v>22:16:54.899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364</v>
      </c>
      <c r="CR1766">
        <v>0</v>
      </c>
      <c r="CW1766">
        <v>1432812</v>
      </c>
      <c r="CY1766">
        <v>1</v>
      </c>
      <c r="CZ1766">
        <v>0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"03/24/2022 22:16:55.122"</f>
        <v>03/24/2022 22:16:55.122</v>
      </c>
      <c r="C1767" t="str">
        <f t="shared" si="524"/>
        <v>FFDFD3C0</v>
      </c>
      <c r="D1767" t="s">
        <v>120</v>
      </c>
      <c r="E1767">
        <v>14</v>
      </c>
      <c r="F1767">
        <v>1014</v>
      </c>
      <c r="G1767" t="s">
        <v>121</v>
      </c>
      <c r="J1767" t="s">
        <v>122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S1767" t="str">
        <f t="shared" si="530"/>
        <v>22:16:54.000</v>
      </c>
      <c r="T1767" t="str">
        <f t="shared" si="530"/>
        <v>22:16:54.000</v>
      </c>
      <c r="U1767" t="str">
        <f t="shared" si="519"/>
        <v>A9D71F</v>
      </c>
      <c r="V1767">
        <v>0</v>
      </c>
      <c r="W1767">
        <v>0</v>
      </c>
      <c r="X1767">
        <v>2</v>
      </c>
      <c r="Z1767">
        <v>1</v>
      </c>
      <c r="AA1767">
        <v>8</v>
      </c>
      <c r="AB1767">
        <v>3</v>
      </c>
      <c r="AC1767">
        <v>0</v>
      </c>
      <c r="AD1767">
        <v>9</v>
      </c>
      <c r="AE1767">
        <v>0</v>
      </c>
      <c r="AF1767">
        <v>3</v>
      </c>
      <c r="AG1767">
        <v>1</v>
      </c>
      <c r="AH1767">
        <v>0</v>
      </c>
      <c r="AI1767" t="s">
        <v>934</v>
      </c>
      <c r="AJ1767">
        <v>33.057603999999998</v>
      </c>
      <c r="AK1767" t="s">
        <v>935</v>
      </c>
      <c r="AL1767">
        <v>-97.667985000000002</v>
      </c>
      <c r="AM1767">
        <v>25</v>
      </c>
      <c r="AN1767">
        <v>3500</v>
      </c>
      <c r="AO1767" t="s">
        <v>118</v>
      </c>
      <c r="AP1767">
        <v>34</v>
      </c>
      <c r="AQ1767">
        <v>-110</v>
      </c>
      <c r="AR1767">
        <v>256</v>
      </c>
      <c r="AZ1767">
        <v>1200</v>
      </c>
      <c r="BA1767">
        <v>1</v>
      </c>
      <c r="BB1767" t="str">
        <f t="shared" si="526"/>
        <v xml:space="preserve">N733KP  </v>
      </c>
      <c r="BC1767">
        <v>1</v>
      </c>
      <c r="BE1767">
        <v>0</v>
      </c>
      <c r="BF1767">
        <v>0</v>
      </c>
      <c r="BG1767">
        <v>0</v>
      </c>
      <c r="BH1767">
        <v>3400</v>
      </c>
      <c r="BI1767">
        <v>1</v>
      </c>
      <c r="BJ1767">
        <v>1</v>
      </c>
      <c r="BK1767">
        <v>0</v>
      </c>
      <c r="BL1767">
        <v>0</v>
      </c>
      <c r="BO1767">
        <v>0</v>
      </c>
      <c r="BP1767">
        <v>0</v>
      </c>
      <c r="BW1767" t="str">
        <f>"22:16:54.899"</f>
        <v>22:16:54.899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119</v>
      </c>
      <c r="CQ1767">
        <v>364</v>
      </c>
      <c r="CR1767">
        <v>0</v>
      </c>
      <c r="CW1767">
        <v>1432812</v>
      </c>
      <c r="CY1767">
        <v>1</v>
      </c>
      <c r="CZ1767">
        <v>0</v>
      </c>
      <c r="DA1767">
        <v>1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"03/24/2022 22:16:55.122"</f>
        <v>03/24/2022 22:16:55.122</v>
      </c>
      <c r="C1768" t="str">
        <f t="shared" si="524"/>
        <v>FFDFD3C0</v>
      </c>
      <c r="D1768" t="s">
        <v>113</v>
      </c>
      <c r="E1768">
        <v>24</v>
      </c>
      <c r="F1768">
        <v>2024</v>
      </c>
      <c r="G1768" t="s">
        <v>114</v>
      </c>
      <c r="J1768" t="s">
        <v>115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S1768" t="str">
        <f t="shared" si="530"/>
        <v>22:16:54.000</v>
      </c>
      <c r="T1768" t="str">
        <f t="shared" si="530"/>
        <v>22:16:54.000</v>
      </c>
      <c r="U1768" t="str">
        <f t="shared" si="519"/>
        <v>A9D71F</v>
      </c>
      <c r="V1768">
        <v>0</v>
      </c>
      <c r="W1768">
        <v>0</v>
      </c>
      <c r="X1768">
        <v>2</v>
      </c>
      <c r="Z1768">
        <v>1</v>
      </c>
      <c r="AA1768">
        <v>8</v>
      </c>
      <c r="AB1768">
        <v>3</v>
      </c>
      <c r="AC1768">
        <v>0</v>
      </c>
      <c r="AD1768">
        <v>9</v>
      </c>
      <c r="AE1768">
        <v>0</v>
      </c>
      <c r="AF1768">
        <v>3</v>
      </c>
      <c r="AG1768">
        <v>1</v>
      </c>
      <c r="AH1768">
        <v>0</v>
      </c>
      <c r="AI1768" t="s">
        <v>934</v>
      </c>
      <c r="AJ1768">
        <v>33.057603999999998</v>
      </c>
      <c r="AK1768" t="s">
        <v>935</v>
      </c>
      <c r="AL1768">
        <v>-97.667985000000002</v>
      </c>
      <c r="AM1768">
        <v>25</v>
      </c>
      <c r="AN1768">
        <v>3500</v>
      </c>
      <c r="AO1768" t="s">
        <v>118</v>
      </c>
      <c r="AP1768">
        <v>34</v>
      </c>
      <c r="AQ1768">
        <v>-110</v>
      </c>
      <c r="AR1768">
        <v>256</v>
      </c>
      <c r="AZ1768">
        <v>1200</v>
      </c>
      <c r="BA1768">
        <v>1</v>
      </c>
      <c r="BB1768" t="str">
        <f t="shared" si="526"/>
        <v xml:space="preserve">N733KP  </v>
      </c>
      <c r="BC1768">
        <v>1</v>
      </c>
      <c r="BE1768">
        <v>0</v>
      </c>
      <c r="BF1768">
        <v>0</v>
      </c>
      <c r="BG1768">
        <v>0</v>
      </c>
      <c r="BH1768">
        <v>3400</v>
      </c>
      <c r="BI1768">
        <v>1</v>
      </c>
      <c r="BJ1768">
        <v>1</v>
      </c>
      <c r="BK1768">
        <v>0</v>
      </c>
      <c r="BL1768">
        <v>0</v>
      </c>
      <c r="BO1768">
        <v>0</v>
      </c>
      <c r="BP1768">
        <v>0</v>
      </c>
      <c r="BW1768" t="str">
        <f>"22:16:54.899"</f>
        <v>22:16:54.899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7</v>
      </c>
      <c r="CP1768" t="s">
        <v>119</v>
      </c>
      <c r="CQ1768">
        <v>364</v>
      </c>
      <c r="CR1768">
        <v>0</v>
      </c>
      <c r="CW1768">
        <v>1432812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"03/24/2022 22:16:55.137"</f>
        <v>03/24/2022 22:16:55.137</v>
      </c>
      <c r="C1769" t="str">
        <f t="shared" si="524"/>
        <v>FFDFD3C0</v>
      </c>
      <c r="D1769" t="s">
        <v>126</v>
      </c>
      <c r="E1769">
        <v>3</v>
      </c>
      <c r="H1769">
        <v>160</v>
      </c>
      <c r="I1769" t="s">
        <v>121</v>
      </c>
      <c r="J1769" t="s">
        <v>127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S1769" t="str">
        <f t="shared" si="530"/>
        <v>22:16:54.000</v>
      </c>
      <c r="T1769" t="str">
        <f t="shared" si="530"/>
        <v>22:16:54.000</v>
      </c>
      <c r="U1769" t="str">
        <f t="shared" si="519"/>
        <v>A9D71F</v>
      </c>
      <c r="V1769">
        <v>0</v>
      </c>
      <c r="W1769">
        <v>0</v>
      </c>
      <c r="X1769">
        <v>2</v>
      </c>
      <c r="Z1769">
        <v>1</v>
      </c>
      <c r="AA1769">
        <v>8</v>
      </c>
      <c r="AB1769">
        <v>3</v>
      </c>
      <c r="AC1769">
        <v>0</v>
      </c>
      <c r="AD1769">
        <v>9</v>
      </c>
      <c r="AE1769">
        <v>0</v>
      </c>
      <c r="AF1769">
        <v>3</v>
      </c>
      <c r="AG1769">
        <v>1</v>
      </c>
      <c r="AH1769">
        <v>0</v>
      </c>
      <c r="AI1769" t="s">
        <v>934</v>
      </c>
      <c r="AJ1769">
        <v>33.057603999999998</v>
      </c>
      <c r="AK1769" t="s">
        <v>935</v>
      </c>
      <c r="AL1769">
        <v>-97.667985000000002</v>
      </c>
      <c r="AM1769">
        <v>25</v>
      </c>
      <c r="AN1769">
        <v>3500</v>
      </c>
      <c r="AO1769" t="s">
        <v>118</v>
      </c>
      <c r="AP1769">
        <v>34</v>
      </c>
      <c r="AQ1769">
        <v>-110</v>
      </c>
      <c r="AR1769">
        <v>256</v>
      </c>
      <c r="AZ1769">
        <v>1200</v>
      </c>
      <c r="BA1769">
        <v>1</v>
      </c>
      <c r="BB1769" t="str">
        <f t="shared" si="526"/>
        <v xml:space="preserve">N733KP  </v>
      </c>
      <c r="BC1769">
        <v>1</v>
      </c>
      <c r="BE1769">
        <v>0</v>
      </c>
      <c r="BF1769">
        <v>0</v>
      </c>
      <c r="BG1769">
        <v>0</v>
      </c>
      <c r="BH1769">
        <v>3400</v>
      </c>
      <c r="BI1769">
        <v>1</v>
      </c>
      <c r="BJ1769">
        <v>1</v>
      </c>
      <c r="BK1769">
        <v>0</v>
      </c>
      <c r="BL1769">
        <v>0</v>
      </c>
      <c r="BO1769">
        <v>0</v>
      </c>
      <c r="BP1769">
        <v>0</v>
      </c>
      <c r="BW1769" t="str">
        <f>"22:16:54.899"</f>
        <v>22:16:54.899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7</v>
      </c>
      <c r="CP1769" t="s">
        <v>119</v>
      </c>
      <c r="CQ1769">
        <v>364</v>
      </c>
      <c r="CR1769">
        <v>0</v>
      </c>
      <c r="CW1769">
        <v>1432812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"03/24/2022 22:16:56.059"</f>
        <v>03/24/2022 22:16:56.059</v>
      </c>
      <c r="C1770" t="str">
        <f t="shared" si="524"/>
        <v>FFDFD3C0</v>
      </c>
      <c r="D1770" t="s">
        <v>120</v>
      </c>
      <c r="E1770">
        <v>14</v>
      </c>
      <c r="F1770">
        <v>1014</v>
      </c>
      <c r="G1770" t="s">
        <v>121</v>
      </c>
      <c r="J1770" t="s">
        <v>122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S1770" t="str">
        <f t="shared" ref="S1770:T1773" si="531">"22:16:55.000"</f>
        <v>22:16:55.000</v>
      </c>
      <c r="T1770" t="str">
        <f t="shared" si="531"/>
        <v>22:16:55.000</v>
      </c>
      <c r="U1770" t="str">
        <f t="shared" si="519"/>
        <v>A9D71F</v>
      </c>
      <c r="V1770">
        <v>0</v>
      </c>
      <c r="W1770">
        <v>0</v>
      </c>
      <c r="X1770">
        <v>2</v>
      </c>
      <c r="Z1770">
        <v>1</v>
      </c>
      <c r="AA1770">
        <v>8</v>
      </c>
      <c r="AB1770">
        <v>3</v>
      </c>
      <c r="AC1770">
        <v>0</v>
      </c>
      <c r="AD1770">
        <v>9</v>
      </c>
      <c r="AE1770">
        <v>0</v>
      </c>
      <c r="AF1770">
        <v>3</v>
      </c>
      <c r="AG1770">
        <v>1</v>
      </c>
      <c r="AH1770">
        <v>0</v>
      </c>
      <c r="AI1770" t="s">
        <v>936</v>
      </c>
      <c r="AJ1770">
        <v>33.057088999999998</v>
      </c>
      <c r="AK1770" t="s">
        <v>937</v>
      </c>
      <c r="AL1770">
        <v>-97.667812999999995</v>
      </c>
      <c r="AM1770">
        <v>25</v>
      </c>
      <c r="AN1770">
        <v>3500</v>
      </c>
      <c r="AO1770" t="s">
        <v>118</v>
      </c>
      <c r="AP1770">
        <v>34</v>
      </c>
      <c r="AQ1770">
        <v>-109</v>
      </c>
      <c r="AR1770">
        <v>256</v>
      </c>
      <c r="AZ1770">
        <v>1200</v>
      </c>
      <c r="BA1770">
        <v>1</v>
      </c>
      <c r="BB1770" t="str">
        <f t="shared" si="526"/>
        <v xml:space="preserve">N733KP  </v>
      </c>
      <c r="BC1770">
        <v>1</v>
      </c>
      <c r="BE1770">
        <v>0</v>
      </c>
      <c r="BF1770">
        <v>0</v>
      </c>
      <c r="BG1770">
        <v>0</v>
      </c>
      <c r="BH1770">
        <v>3425</v>
      </c>
      <c r="BI1770">
        <v>1</v>
      </c>
      <c r="BJ1770">
        <v>1</v>
      </c>
      <c r="BK1770">
        <v>0</v>
      </c>
      <c r="BL1770">
        <v>0</v>
      </c>
      <c r="BO1770">
        <v>0</v>
      </c>
      <c r="BP1770">
        <v>0</v>
      </c>
      <c r="BW1770" t="str">
        <f>"22:16:55.875"</f>
        <v>22:16:55.875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7</v>
      </c>
      <c r="CP1770" t="s">
        <v>119</v>
      </c>
      <c r="CQ1770">
        <v>364</v>
      </c>
      <c r="CR1770">
        <v>0</v>
      </c>
      <c r="CW1770">
        <v>1432948</v>
      </c>
      <c r="CY1770">
        <v>1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"03/24/2022 22:16:56.059"</f>
        <v>03/24/2022 22:16:56.059</v>
      </c>
      <c r="C1771" t="str">
        <f t="shared" si="524"/>
        <v>FFDFD3C0</v>
      </c>
      <c r="D1771" t="s">
        <v>113</v>
      </c>
      <c r="E1771">
        <v>24</v>
      </c>
      <c r="F1771">
        <v>2024</v>
      </c>
      <c r="G1771" t="s">
        <v>114</v>
      </c>
      <c r="J1771" t="s">
        <v>115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S1771" t="str">
        <f t="shared" si="531"/>
        <v>22:16:55.000</v>
      </c>
      <c r="T1771" t="str">
        <f t="shared" si="531"/>
        <v>22:16:55.000</v>
      </c>
      <c r="U1771" t="str">
        <f t="shared" si="519"/>
        <v>A9D71F</v>
      </c>
      <c r="V1771">
        <v>0</v>
      </c>
      <c r="W1771">
        <v>0</v>
      </c>
      <c r="X1771">
        <v>2</v>
      </c>
      <c r="Z1771">
        <v>1</v>
      </c>
      <c r="AA1771">
        <v>8</v>
      </c>
      <c r="AB1771">
        <v>3</v>
      </c>
      <c r="AC1771">
        <v>0</v>
      </c>
      <c r="AD1771">
        <v>9</v>
      </c>
      <c r="AE1771">
        <v>0</v>
      </c>
      <c r="AF1771">
        <v>3</v>
      </c>
      <c r="AG1771">
        <v>1</v>
      </c>
      <c r="AH1771">
        <v>0</v>
      </c>
      <c r="AI1771" t="s">
        <v>936</v>
      </c>
      <c r="AJ1771">
        <v>33.057088999999998</v>
      </c>
      <c r="AK1771" t="s">
        <v>937</v>
      </c>
      <c r="AL1771">
        <v>-97.667812999999995</v>
      </c>
      <c r="AM1771">
        <v>25</v>
      </c>
      <c r="AN1771">
        <v>3500</v>
      </c>
      <c r="AO1771" t="s">
        <v>118</v>
      </c>
      <c r="AP1771">
        <v>34</v>
      </c>
      <c r="AQ1771">
        <v>-109</v>
      </c>
      <c r="AR1771">
        <v>256</v>
      </c>
      <c r="AZ1771">
        <v>1200</v>
      </c>
      <c r="BA1771">
        <v>1</v>
      </c>
      <c r="BB1771" t="str">
        <f t="shared" si="526"/>
        <v xml:space="preserve">N733KP  </v>
      </c>
      <c r="BC1771">
        <v>1</v>
      </c>
      <c r="BE1771">
        <v>0</v>
      </c>
      <c r="BF1771">
        <v>0</v>
      </c>
      <c r="BG1771">
        <v>0</v>
      </c>
      <c r="BH1771">
        <v>3425</v>
      </c>
      <c r="BI1771">
        <v>1</v>
      </c>
      <c r="BJ1771">
        <v>1</v>
      </c>
      <c r="BK1771">
        <v>0</v>
      </c>
      <c r="BL1771">
        <v>0</v>
      </c>
      <c r="BO1771">
        <v>0</v>
      </c>
      <c r="BP1771">
        <v>0</v>
      </c>
      <c r="BW1771" t="str">
        <f>"22:16:55.875"</f>
        <v>22:16:55.875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7</v>
      </c>
      <c r="CP1771" t="s">
        <v>119</v>
      </c>
      <c r="CQ1771">
        <v>364</v>
      </c>
      <c r="CR1771">
        <v>0</v>
      </c>
      <c r="CW1771">
        <v>1432948</v>
      </c>
      <c r="CY1771">
        <v>1</v>
      </c>
      <c r="CZ1771">
        <v>0</v>
      </c>
      <c r="DA1771">
        <v>1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"03/24/2022 22:16:56.059"</f>
        <v>03/24/2022 22:16:56.059</v>
      </c>
      <c r="C1772" t="str">
        <f t="shared" si="524"/>
        <v>FFDFD3C0</v>
      </c>
      <c r="D1772" t="s">
        <v>126</v>
      </c>
      <c r="E1772">
        <v>3</v>
      </c>
      <c r="H1772">
        <v>160</v>
      </c>
      <c r="I1772" t="s">
        <v>121</v>
      </c>
      <c r="J1772" t="s">
        <v>127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S1772" t="str">
        <f t="shared" si="531"/>
        <v>22:16:55.000</v>
      </c>
      <c r="T1772" t="str">
        <f t="shared" si="531"/>
        <v>22:16:55.000</v>
      </c>
      <c r="U1772" t="str">
        <f t="shared" si="519"/>
        <v>A9D71F</v>
      </c>
      <c r="V1772">
        <v>0</v>
      </c>
      <c r="W1772">
        <v>0</v>
      </c>
      <c r="X1772">
        <v>2</v>
      </c>
      <c r="Z1772">
        <v>1</v>
      </c>
      <c r="AA1772">
        <v>8</v>
      </c>
      <c r="AB1772">
        <v>3</v>
      </c>
      <c r="AC1772">
        <v>0</v>
      </c>
      <c r="AD1772">
        <v>9</v>
      </c>
      <c r="AE1772">
        <v>0</v>
      </c>
      <c r="AF1772">
        <v>3</v>
      </c>
      <c r="AG1772">
        <v>1</v>
      </c>
      <c r="AH1772">
        <v>0</v>
      </c>
      <c r="AI1772" t="s">
        <v>936</v>
      </c>
      <c r="AJ1772">
        <v>33.057088999999998</v>
      </c>
      <c r="AK1772" t="s">
        <v>937</v>
      </c>
      <c r="AL1772">
        <v>-97.667812999999995</v>
      </c>
      <c r="AM1772">
        <v>25</v>
      </c>
      <c r="AN1772">
        <v>3500</v>
      </c>
      <c r="AO1772" t="s">
        <v>118</v>
      </c>
      <c r="AP1772">
        <v>34</v>
      </c>
      <c r="AQ1772">
        <v>-109</v>
      </c>
      <c r="AR1772">
        <v>256</v>
      </c>
      <c r="AZ1772">
        <v>1200</v>
      </c>
      <c r="BA1772">
        <v>1</v>
      </c>
      <c r="BB1772" t="str">
        <f t="shared" si="526"/>
        <v xml:space="preserve">N733KP  </v>
      </c>
      <c r="BC1772">
        <v>1</v>
      </c>
      <c r="BE1772">
        <v>0</v>
      </c>
      <c r="BF1772">
        <v>0</v>
      </c>
      <c r="BG1772">
        <v>0</v>
      </c>
      <c r="BH1772">
        <v>3425</v>
      </c>
      <c r="BI1772">
        <v>1</v>
      </c>
      <c r="BJ1772">
        <v>1</v>
      </c>
      <c r="BK1772">
        <v>0</v>
      </c>
      <c r="BL1772">
        <v>0</v>
      </c>
      <c r="BO1772">
        <v>0</v>
      </c>
      <c r="BP1772">
        <v>0</v>
      </c>
      <c r="BW1772" t="str">
        <f>"22:16:55.875"</f>
        <v>22:16:55.875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119</v>
      </c>
      <c r="CQ1772">
        <v>364</v>
      </c>
      <c r="CR1772">
        <v>0</v>
      </c>
      <c r="CW1772">
        <v>1432948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"03/24/2022 22:16:56.059"</f>
        <v>03/24/2022 22:16:56.059</v>
      </c>
      <c r="C1773" t="str">
        <f t="shared" si="524"/>
        <v>FFDFD3C0</v>
      </c>
      <c r="D1773" t="s">
        <v>123</v>
      </c>
      <c r="E1773">
        <v>8</v>
      </c>
      <c r="H1773">
        <v>31</v>
      </c>
      <c r="I1773" t="s">
        <v>124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S1773" t="str">
        <f t="shared" si="531"/>
        <v>22:16:55.000</v>
      </c>
      <c r="T1773" t="str">
        <f t="shared" si="531"/>
        <v>22:16:55.000</v>
      </c>
      <c r="U1773" t="str">
        <f t="shared" si="519"/>
        <v>A9D71F</v>
      </c>
      <c r="V1773">
        <v>0</v>
      </c>
      <c r="W1773">
        <v>0</v>
      </c>
      <c r="X1773">
        <v>2</v>
      </c>
      <c r="Z1773">
        <v>1</v>
      </c>
      <c r="AA1773">
        <v>8</v>
      </c>
      <c r="AB1773">
        <v>3</v>
      </c>
      <c r="AC1773">
        <v>0</v>
      </c>
      <c r="AD1773">
        <v>9</v>
      </c>
      <c r="AE1773">
        <v>0</v>
      </c>
      <c r="AF1773">
        <v>3</v>
      </c>
      <c r="AG1773">
        <v>1</v>
      </c>
      <c r="AH1773">
        <v>0</v>
      </c>
      <c r="AI1773" t="s">
        <v>936</v>
      </c>
      <c r="AJ1773">
        <v>33.057088999999998</v>
      </c>
      <c r="AK1773" t="s">
        <v>937</v>
      </c>
      <c r="AL1773">
        <v>-97.667812999999995</v>
      </c>
      <c r="AM1773">
        <v>25</v>
      </c>
      <c r="AN1773">
        <v>3500</v>
      </c>
      <c r="AO1773" t="s">
        <v>118</v>
      </c>
      <c r="AP1773">
        <v>34</v>
      </c>
      <c r="AQ1773">
        <v>-109</v>
      </c>
      <c r="AR1773">
        <v>256</v>
      </c>
      <c r="AZ1773">
        <v>1200</v>
      </c>
      <c r="BA1773">
        <v>1</v>
      </c>
      <c r="BB1773" t="str">
        <f t="shared" si="526"/>
        <v xml:space="preserve">N733KP  </v>
      </c>
      <c r="BC1773">
        <v>1</v>
      </c>
      <c r="BE1773">
        <v>0</v>
      </c>
      <c r="BF1773">
        <v>0</v>
      </c>
      <c r="BG1773">
        <v>0</v>
      </c>
      <c r="BH1773">
        <v>3425</v>
      </c>
      <c r="BI1773">
        <v>1</v>
      </c>
      <c r="BJ1773">
        <v>1</v>
      </c>
      <c r="BK1773">
        <v>0</v>
      </c>
      <c r="BL1773">
        <v>0</v>
      </c>
      <c r="BO1773">
        <v>0</v>
      </c>
      <c r="BP1773">
        <v>0</v>
      </c>
      <c r="BW1773" t="str">
        <f>"22:16:55.875"</f>
        <v>22:16:55.875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7</v>
      </c>
      <c r="CP1773" t="s">
        <v>119</v>
      </c>
      <c r="CQ1773">
        <v>364</v>
      </c>
      <c r="CR1773">
        <v>0</v>
      </c>
      <c r="CW1773">
        <v>1432948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"03/24/2022 22:16:56.762"</f>
        <v>03/24/2022 22:16:56.762</v>
      </c>
      <c r="C1774" t="str">
        <f t="shared" si="524"/>
        <v>FFDFD3C0</v>
      </c>
      <c r="D1774" t="s">
        <v>126</v>
      </c>
      <c r="E1774">
        <v>3</v>
      </c>
      <c r="H1774">
        <v>160</v>
      </c>
      <c r="I1774" t="s">
        <v>121</v>
      </c>
      <c r="J1774" t="s">
        <v>127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S1774" t="str">
        <f t="shared" ref="S1774:T1777" si="532">"22:16:56.000"</f>
        <v>22:16:56.000</v>
      </c>
      <c r="T1774" t="str">
        <f t="shared" si="532"/>
        <v>22:16:56.000</v>
      </c>
      <c r="U1774" t="str">
        <f t="shared" si="519"/>
        <v>A9D71F</v>
      </c>
      <c r="V1774">
        <v>0</v>
      </c>
      <c r="W1774">
        <v>0</v>
      </c>
      <c r="X1774">
        <v>2</v>
      </c>
      <c r="Z1774">
        <v>1</v>
      </c>
      <c r="AA1774">
        <v>8</v>
      </c>
      <c r="AB1774">
        <v>3</v>
      </c>
      <c r="AC1774">
        <v>0</v>
      </c>
      <c r="AD1774">
        <v>9</v>
      </c>
      <c r="AE1774">
        <v>0</v>
      </c>
      <c r="AF1774">
        <v>3</v>
      </c>
      <c r="AG1774">
        <v>1</v>
      </c>
      <c r="AH1774">
        <v>0</v>
      </c>
      <c r="AI1774" t="s">
        <v>938</v>
      </c>
      <c r="AJ1774">
        <v>33.056595000000002</v>
      </c>
      <c r="AK1774" t="s">
        <v>939</v>
      </c>
      <c r="AL1774">
        <v>-97.667642000000001</v>
      </c>
      <c r="AM1774">
        <v>25</v>
      </c>
      <c r="AN1774">
        <v>3500</v>
      </c>
      <c r="AO1774" t="s">
        <v>118</v>
      </c>
      <c r="AP1774">
        <v>34</v>
      </c>
      <c r="AQ1774">
        <v>-110</v>
      </c>
      <c r="AR1774">
        <v>192</v>
      </c>
      <c r="AZ1774">
        <v>1200</v>
      </c>
      <c r="BA1774">
        <v>1</v>
      </c>
      <c r="BB1774" t="str">
        <f t="shared" si="526"/>
        <v xml:space="preserve">N733KP  </v>
      </c>
      <c r="BC1774">
        <v>1</v>
      </c>
      <c r="BE1774">
        <v>0</v>
      </c>
      <c r="BF1774">
        <v>0</v>
      </c>
      <c r="BG1774">
        <v>0</v>
      </c>
      <c r="BH1774">
        <v>3425</v>
      </c>
      <c r="BI1774">
        <v>1</v>
      </c>
      <c r="BJ1774">
        <v>1</v>
      </c>
      <c r="BK1774">
        <v>0</v>
      </c>
      <c r="BL1774">
        <v>0</v>
      </c>
      <c r="BO1774">
        <v>0</v>
      </c>
      <c r="BP1774">
        <v>0</v>
      </c>
      <c r="BW1774" t="str">
        <f>"22:16:56.588"</f>
        <v>22:16:56.588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7</v>
      </c>
      <c r="CP1774" t="s">
        <v>119</v>
      </c>
      <c r="CQ1774">
        <v>364</v>
      </c>
      <c r="CR1774">
        <v>0</v>
      </c>
      <c r="CW1774">
        <v>1433036</v>
      </c>
      <c r="CY1774">
        <v>1</v>
      </c>
      <c r="CZ1774">
        <v>0</v>
      </c>
      <c r="DA1774">
        <v>0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"03/24/2022 22:16:56.762"</f>
        <v>03/24/2022 22:16:56.762</v>
      </c>
      <c r="C1775" t="str">
        <f t="shared" si="524"/>
        <v>FFDFD3C0</v>
      </c>
      <c r="D1775" t="s">
        <v>123</v>
      </c>
      <c r="E1775">
        <v>8</v>
      </c>
      <c r="H1775">
        <v>31</v>
      </c>
      <c r="I1775" t="s">
        <v>124</v>
      </c>
      <c r="J1775" t="s">
        <v>125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S1775" t="str">
        <f t="shared" si="532"/>
        <v>22:16:56.000</v>
      </c>
      <c r="T1775" t="str">
        <f t="shared" si="532"/>
        <v>22:16:56.000</v>
      </c>
      <c r="U1775" t="str">
        <f t="shared" si="519"/>
        <v>A9D71F</v>
      </c>
      <c r="V1775">
        <v>0</v>
      </c>
      <c r="W1775">
        <v>0</v>
      </c>
      <c r="X1775">
        <v>2</v>
      </c>
      <c r="Z1775">
        <v>1</v>
      </c>
      <c r="AA1775">
        <v>8</v>
      </c>
      <c r="AB1775">
        <v>3</v>
      </c>
      <c r="AC1775">
        <v>0</v>
      </c>
      <c r="AD1775">
        <v>9</v>
      </c>
      <c r="AE1775">
        <v>0</v>
      </c>
      <c r="AF1775">
        <v>3</v>
      </c>
      <c r="AG1775">
        <v>1</v>
      </c>
      <c r="AH1775">
        <v>0</v>
      </c>
      <c r="AI1775" t="s">
        <v>938</v>
      </c>
      <c r="AJ1775">
        <v>33.056595000000002</v>
      </c>
      <c r="AK1775" t="s">
        <v>939</v>
      </c>
      <c r="AL1775">
        <v>-97.667642000000001</v>
      </c>
      <c r="AM1775">
        <v>25</v>
      </c>
      <c r="AN1775">
        <v>3500</v>
      </c>
      <c r="AO1775" t="s">
        <v>118</v>
      </c>
      <c r="AP1775">
        <v>34</v>
      </c>
      <c r="AQ1775">
        <v>-110</v>
      </c>
      <c r="AR1775">
        <v>192</v>
      </c>
      <c r="AZ1775">
        <v>1200</v>
      </c>
      <c r="BA1775">
        <v>1</v>
      </c>
      <c r="BB1775" t="str">
        <f t="shared" si="526"/>
        <v xml:space="preserve">N733KP  </v>
      </c>
      <c r="BC1775">
        <v>1</v>
      </c>
      <c r="BE1775">
        <v>0</v>
      </c>
      <c r="BF1775">
        <v>0</v>
      </c>
      <c r="BG1775">
        <v>0</v>
      </c>
      <c r="BH1775">
        <v>3425</v>
      </c>
      <c r="BI1775">
        <v>1</v>
      </c>
      <c r="BJ1775">
        <v>1</v>
      </c>
      <c r="BK1775">
        <v>0</v>
      </c>
      <c r="BL1775">
        <v>0</v>
      </c>
      <c r="BO1775">
        <v>0</v>
      </c>
      <c r="BP1775">
        <v>0</v>
      </c>
      <c r="BW1775" t="str">
        <f>"22:16:56.588"</f>
        <v>22:16:56.588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7</v>
      </c>
      <c r="CP1775" t="s">
        <v>119</v>
      </c>
      <c r="CQ1775">
        <v>364</v>
      </c>
      <c r="CR1775">
        <v>0</v>
      </c>
      <c r="CW1775">
        <v>1433036</v>
      </c>
      <c r="CY1775">
        <v>1</v>
      </c>
      <c r="CZ1775">
        <v>0</v>
      </c>
      <c r="DA1775">
        <v>1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"03/24/2022 22:16:56.762"</f>
        <v>03/24/2022 22:16:56.762</v>
      </c>
      <c r="C1776" t="str">
        <f t="shared" si="524"/>
        <v>FFDFD3C0</v>
      </c>
      <c r="D1776" t="s">
        <v>120</v>
      </c>
      <c r="E1776">
        <v>14</v>
      </c>
      <c r="F1776">
        <v>1014</v>
      </c>
      <c r="G1776" t="s">
        <v>121</v>
      </c>
      <c r="J1776" t="s">
        <v>122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S1776" t="str">
        <f t="shared" si="532"/>
        <v>22:16:56.000</v>
      </c>
      <c r="T1776" t="str">
        <f t="shared" si="532"/>
        <v>22:16:56.000</v>
      </c>
      <c r="U1776" t="str">
        <f t="shared" si="519"/>
        <v>A9D71F</v>
      </c>
      <c r="V1776">
        <v>0</v>
      </c>
      <c r="W1776">
        <v>0</v>
      </c>
      <c r="X1776">
        <v>2</v>
      </c>
      <c r="Z1776">
        <v>1</v>
      </c>
      <c r="AA1776">
        <v>8</v>
      </c>
      <c r="AB1776">
        <v>3</v>
      </c>
      <c r="AC1776">
        <v>0</v>
      </c>
      <c r="AD1776">
        <v>9</v>
      </c>
      <c r="AE1776">
        <v>0</v>
      </c>
      <c r="AF1776">
        <v>3</v>
      </c>
      <c r="AG1776">
        <v>1</v>
      </c>
      <c r="AH1776">
        <v>0</v>
      </c>
      <c r="AI1776" t="s">
        <v>938</v>
      </c>
      <c r="AJ1776">
        <v>33.056595000000002</v>
      </c>
      <c r="AK1776" t="s">
        <v>939</v>
      </c>
      <c r="AL1776">
        <v>-97.667642000000001</v>
      </c>
      <c r="AM1776">
        <v>25</v>
      </c>
      <c r="AN1776">
        <v>3500</v>
      </c>
      <c r="AO1776" t="s">
        <v>118</v>
      </c>
      <c r="AP1776">
        <v>34</v>
      </c>
      <c r="AQ1776">
        <v>-110</v>
      </c>
      <c r="AR1776">
        <v>192</v>
      </c>
      <c r="AZ1776">
        <v>1200</v>
      </c>
      <c r="BA1776">
        <v>1</v>
      </c>
      <c r="BB1776" t="str">
        <f t="shared" si="526"/>
        <v xml:space="preserve">N733KP  </v>
      </c>
      <c r="BC1776">
        <v>1</v>
      </c>
      <c r="BE1776">
        <v>0</v>
      </c>
      <c r="BF1776">
        <v>0</v>
      </c>
      <c r="BG1776">
        <v>0</v>
      </c>
      <c r="BH1776">
        <v>3425</v>
      </c>
      <c r="BI1776">
        <v>1</v>
      </c>
      <c r="BJ1776">
        <v>1</v>
      </c>
      <c r="BK1776">
        <v>0</v>
      </c>
      <c r="BL1776">
        <v>0</v>
      </c>
      <c r="BO1776">
        <v>0</v>
      </c>
      <c r="BP1776">
        <v>0</v>
      </c>
      <c r="BW1776" t="str">
        <f>"22:16:56.588"</f>
        <v>22:16:56.588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7</v>
      </c>
      <c r="CP1776" t="s">
        <v>119</v>
      </c>
      <c r="CQ1776">
        <v>364</v>
      </c>
      <c r="CR1776">
        <v>0</v>
      </c>
      <c r="CW1776">
        <v>1433036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"03/24/2022 22:16:56.762"</f>
        <v>03/24/2022 22:16:56.762</v>
      </c>
      <c r="C1777" t="str">
        <f t="shared" si="524"/>
        <v>FFDFD3C0</v>
      </c>
      <c r="D1777" t="s">
        <v>113</v>
      </c>
      <c r="E1777">
        <v>24</v>
      </c>
      <c r="F1777">
        <v>2024</v>
      </c>
      <c r="G1777" t="s">
        <v>114</v>
      </c>
      <c r="J1777" t="s">
        <v>115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S1777" t="str">
        <f t="shared" si="532"/>
        <v>22:16:56.000</v>
      </c>
      <c r="T1777" t="str">
        <f t="shared" si="532"/>
        <v>22:16:56.000</v>
      </c>
      <c r="U1777" t="str">
        <f t="shared" si="519"/>
        <v>A9D71F</v>
      </c>
      <c r="V1777">
        <v>0</v>
      </c>
      <c r="W1777">
        <v>0</v>
      </c>
      <c r="X1777">
        <v>2</v>
      </c>
      <c r="Z1777">
        <v>1</v>
      </c>
      <c r="AA1777">
        <v>8</v>
      </c>
      <c r="AB1777">
        <v>3</v>
      </c>
      <c r="AC1777">
        <v>0</v>
      </c>
      <c r="AD1777">
        <v>9</v>
      </c>
      <c r="AE1777">
        <v>0</v>
      </c>
      <c r="AF1777">
        <v>3</v>
      </c>
      <c r="AG1777">
        <v>1</v>
      </c>
      <c r="AH1777">
        <v>0</v>
      </c>
      <c r="AI1777" t="s">
        <v>938</v>
      </c>
      <c r="AJ1777">
        <v>33.056595000000002</v>
      </c>
      <c r="AK1777" t="s">
        <v>939</v>
      </c>
      <c r="AL1777">
        <v>-97.667642000000001</v>
      </c>
      <c r="AM1777">
        <v>25</v>
      </c>
      <c r="AN1777">
        <v>3500</v>
      </c>
      <c r="AO1777" t="s">
        <v>118</v>
      </c>
      <c r="AP1777">
        <v>34</v>
      </c>
      <c r="AQ1777">
        <v>-110</v>
      </c>
      <c r="AR1777">
        <v>192</v>
      </c>
      <c r="AZ1777">
        <v>1200</v>
      </c>
      <c r="BA1777">
        <v>1</v>
      </c>
      <c r="BB1777" t="str">
        <f t="shared" si="526"/>
        <v xml:space="preserve">N733KP  </v>
      </c>
      <c r="BC1777">
        <v>1</v>
      </c>
      <c r="BE1777">
        <v>0</v>
      </c>
      <c r="BF1777">
        <v>0</v>
      </c>
      <c r="BG1777">
        <v>0</v>
      </c>
      <c r="BH1777">
        <v>3425</v>
      </c>
      <c r="BI1777">
        <v>1</v>
      </c>
      <c r="BJ1777">
        <v>1</v>
      </c>
      <c r="BK1777">
        <v>0</v>
      </c>
      <c r="BL1777">
        <v>0</v>
      </c>
      <c r="BO1777">
        <v>0</v>
      </c>
      <c r="BP1777">
        <v>0</v>
      </c>
      <c r="BW1777" t="str">
        <f>"22:16:56.588"</f>
        <v>22:16:56.588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7</v>
      </c>
      <c r="CP1777" t="s">
        <v>119</v>
      </c>
      <c r="CQ1777">
        <v>364</v>
      </c>
      <c r="CR1777">
        <v>0</v>
      </c>
      <c r="CW1777">
        <v>1433036</v>
      </c>
      <c r="CY1777">
        <v>1</v>
      </c>
      <c r="CZ1777">
        <v>0</v>
      </c>
      <c r="DA1777">
        <v>1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"03/24/2022 22:16:57.545"</f>
        <v>03/24/2022 22:16:57.545</v>
      </c>
      <c r="C1778" t="str">
        <f t="shared" si="524"/>
        <v>FFDFD3C0</v>
      </c>
      <c r="D1778" t="s">
        <v>126</v>
      </c>
      <c r="E1778">
        <v>3</v>
      </c>
      <c r="H1778">
        <v>160</v>
      </c>
      <c r="I1778" t="s">
        <v>121</v>
      </c>
      <c r="J1778" t="s">
        <v>127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S1778" t="str">
        <f t="shared" ref="S1778:T1781" si="533">"22:16:57.000"</f>
        <v>22:16:57.000</v>
      </c>
      <c r="T1778" t="str">
        <f t="shared" si="533"/>
        <v>22:16:57.000</v>
      </c>
      <c r="U1778" t="str">
        <f t="shared" si="519"/>
        <v>A9D71F</v>
      </c>
      <c r="V1778">
        <v>0</v>
      </c>
      <c r="W1778">
        <v>0</v>
      </c>
      <c r="X1778">
        <v>2</v>
      </c>
      <c r="Z1778">
        <v>1</v>
      </c>
      <c r="AA1778">
        <v>8</v>
      </c>
      <c r="AB1778">
        <v>3</v>
      </c>
      <c r="AC1778">
        <v>0</v>
      </c>
      <c r="AD1778">
        <v>9</v>
      </c>
      <c r="AE1778">
        <v>0</v>
      </c>
      <c r="AF1778">
        <v>3</v>
      </c>
      <c r="AG1778">
        <v>1</v>
      </c>
      <c r="AH1778">
        <v>0</v>
      </c>
      <c r="AI1778" t="s">
        <v>940</v>
      </c>
      <c r="AJ1778">
        <v>33.056080000000001</v>
      </c>
      <c r="AK1778" t="s">
        <v>941</v>
      </c>
      <c r="AL1778">
        <v>-97.667449000000005</v>
      </c>
      <c r="AM1778">
        <v>25</v>
      </c>
      <c r="AN1778">
        <v>3500</v>
      </c>
      <c r="AO1778" t="s">
        <v>118</v>
      </c>
      <c r="AP1778">
        <v>34</v>
      </c>
      <c r="AQ1778">
        <v>-110</v>
      </c>
      <c r="AR1778">
        <v>192</v>
      </c>
      <c r="AZ1778">
        <v>1200</v>
      </c>
      <c r="BA1778">
        <v>1</v>
      </c>
      <c r="BB1778" t="str">
        <f t="shared" si="526"/>
        <v xml:space="preserve">N733KP  </v>
      </c>
      <c r="BC1778">
        <v>1</v>
      </c>
      <c r="BE1778">
        <v>0</v>
      </c>
      <c r="BF1778">
        <v>0</v>
      </c>
      <c r="BG1778">
        <v>0</v>
      </c>
      <c r="BH1778">
        <v>3425</v>
      </c>
      <c r="BI1778">
        <v>1</v>
      </c>
      <c r="BJ1778">
        <v>1</v>
      </c>
      <c r="BK1778">
        <v>0</v>
      </c>
      <c r="BL1778">
        <v>0</v>
      </c>
      <c r="BO1778">
        <v>0</v>
      </c>
      <c r="BP1778">
        <v>0</v>
      </c>
      <c r="BW1778" t="str">
        <f>"22:16:57.368"</f>
        <v>22:16:57.368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7</v>
      </c>
      <c r="CP1778" t="s">
        <v>119</v>
      </c>
      <c r="CQ1778">
        <v>364</v>
      </c>
      <c r="CR1778">
        <v>0</v>
      </c>
      <c r="CW1778">
        <v>1433155</v>
      </c>
      <c r="CY1778">
        <v>1</v>
      </c>
      <c r="CZ1778">
        <v>0</v>
      </c>
      <c r="DA1778">
        <v>0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"03/24/2022 22:16:57.545"</f>
        <v>03/24/2022 22:16:57.545</v>
      </c>
      <c r="C1779" t="str">
        <f t="shared" si="524"/>
        <v>FFDFD3C0</v>
      </c>
      <c r="D1779" t="s">
        <v>123</v>
      </c>
      <c r="E1779">
        <v>8</v>
      </c>
      <c r="H1779">
        <v>31</v>
      </c>
      <c r="I1779" t="s">
        <v>124</v>
      </c>
      <c r="J1779" t="s">
        <v>125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S1779" t="str">
        <f t="shared" si="533"/>
        <v>22:16:57.000</v>
      </c>
      <c r="T1779" t="str">
        <f t="shared" si="533"/>
        <v>22:16:57.000</v>
      </c>
      <c r="U1779" t="str">
        <f t="shared" si="519"/>
        <v>A9D71F</v>
      </c>
      <c r="V1779">
        <v>0</v>
      </c>
      <c r="W1779">
        <v>0</v>
      </c>
      <c r="X1779">
        <v>2</v>
      </c>
      <c r="Z1779">
        <v>1</v>
      </c>
      <c r="AA1779">
        <v>8</v>
      </c>
      <c r="AB1779">
        <v>3</v>
      </c>
      <c r="AC1779">
        <v>0</v>
      </c>
      <c r="AD1779">
        <v>9</v>
      </c>
      <c r="AE1779">
        <v>0</v>
      </c>
      <c r="AF1779">
        <v>3</v>
      </c>
      <c r="AG1779">
        <v>1</v>
      </c>
      <c r="AH1779">
        <v>0</v>
      </c>
      <c r="AI1779" t="s">
        <v>940</v>
      </c>
      <c r="AJ1779">
        <v>33.056080000000001</v>
      </c>
      <c r="AK1779" t="s">
        <v>941</v>
      </c>
      <c r="AL1779">
        <v>-97.667449000000005</v>
      </c>
      <c r="AM1779">
        <v>25</v>
      </c>
      <c r="AN1779">
        <v>3500</v>
      </c>
      <c r="AO1779" t="s">
        <v>118</v>
      </c>
      <c r="AP1779">
        <v>34</v>
      </c>
      <c r="AQ1779">
        <v>-110</v>
      </c>
      <c r="AR1779">
        <v>192</v>
      </c>
      <c r="AZ1779">
        <v>1200</v>
      </c>
      <c r="BA1779">
        <v>1</v>
      </c>
      <c r="BB1779" t="str">
        <f t="shared" si="526"/>
        <v xml:space="preserve">N733KP  </v>
      </c>
      <c r="BC1779">
        <v>1</v>
      </c>
      <c r="BE1779">
        <v>0</v>
      </c>
      <c r="BF1779">
        <v>0</v>
      </c>
      <c r="BG1779">
        <v>0</v>
      </c>
      <c r="BH1779">
        <v>3425</v>
      </c>
      <c r="BI1779">
        <v>1</v>
      </c>
      <c r="BJ1779">
        <v>1</v>
      </c>
      <c r="BK1779">
        <v>0</v>
      </c>
      <c r="BL1779">
        <v>0</v>
      </c>
      <c r="BO1779">
        <v>0</v>
      </c>
      <c r="BP1779">
        <v>0</v>
      </c>
      <c r="BW1779" t="str">
        <f>"22:16:57.368"</f>
        <v>22:16:57.368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7</v>
      </c>
      <c r="CP1779" t="s">
        <v>119</v>
      </c>
      <c r="CQ1779">
        <v>364</v>
      </c>
      <c r="CR1779">
        <v>0</v>
      </c>
      <c r="CW1779">
        <v>1433155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"03/24/2022 22:16:57.576"</f>
        <v>03/24/2022 22:16:57.576</v>
      </c>
      <c r="C1780" t="str">
        <f t="shared" si="524"/>
        <v>FFDFD3C0</v>
      </c>
      <c r="D1780" t="s">
        <v>120</v>
      </c>
      <c r="E1780">
        <v>14</v>
      </c>
      <c r="F1780">
        <v>1014</v>
      </c>
      <c r="G1780" t="s">
        <v>121</v>
      </c>
      <c r="J1780" t="s">
        <v>122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S1780" t="str">
        <f t="shared" si="533"/>
        <v>22:16:57.000</v>
      </c>
      <c r="T1780" t="str">
        <f t="shared" si="533"/>
        <v>22:16:57.000</v>
      </c>
      <c r="U1780" t="str">
        <f t="shared" si="519"/>
        <v>A9D71F</v>
      </c>
      <c r="V1780">
        <v>0</v>
      </c>
      <c r="W1780">
        <v>0</v>
      </c>
      <c r="X1780">
        <v>2</v>
      </c>
      <c r="Z1780">
        <v>1</v>
      </c>
      <c r="AA1780">
        <v>8</v>
      </c>
      <c r="AB1780">
        <v>3</v>
      </c>
      <c r="AC1780">
        <v>0</v>
      </c>
      <c r="AD1780">
        <v>9</v>
      </c>
      <c r="AE1780">
        <v>0</v>
      </c>
      <c r="AF1780">
        <v>3</v>
      </c>
      <c r="AG1780">
        <v>1</v>
      </c>
      <c r="AH1780">
        <v>0</v>
      </c>
      <c r="AI1780" t="s">
        <v>940</v>
      </c>
      <c r="AJ1780">
        <v>33.056080000000001</v>
      </c>
      <c r="AK1780" t="s">
        <v>941</v>
      </c>
      <c r="AL1780">
        <v>-97.667449000000005</v>
      </c>
      <c r="AM1780">
        <v>25</v>
      </c>
      <c r="AN1780">
        <v>3500</v>
      </c>
      <c r="AO1780" t="s">
        <v>118</v>
      </c>
      <c r="AP1780">
        <v>34</v>
      </c>
      <c r="AQ1780">
        <v>-110</v>
      </c>
      <c r="AR1780">
        <v>192</v>
      </c>
      <c r="AZ1780">
        <v>1200</v>
      </c>
      <c r="BA1780">
        <v>1</v>
      </c>
      <c r="BB1780" t="str">
        <f t="shared" si="526"/>
        <v xml:space="preserve">N733KP  </v>
      </c>
      <c r="BC1780">
        <v>1</v>
      </c>
      <c r="BE1780">
        <v>0</v>
      </c>
      <c r="BF1780">
        <v>0</v>
      </c>
      <c r="BG1780">
        <v>0</v>
      </c>
      <c r="BH1780">
        <v>3425</v>
      </c>
      <c r="BI1780">
        <v>1</v>
      </c>
      <c r="BJ1780">
        <v>1</v>
      </c>
      <c r="BK1780">
        <v>0</v>
      </c>
      <c r="BL1780">
        <v>0</v>
      </c>
      <c r="BO1780">
        <v>0</v>
      </c>
      <c r="BP1780">
        <v>0</v>
      </c>
      <c r="BW1780" t="str">
        <f>"22:16:57.368"</f>
        <v>22:16:57.368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7</v>
      </c>
      <c r="CP1780" t="s">
        <v>119</v>
      </c>
      <c r="CQ1780">
        <v>364</v>
      </c>
      <c r="CR1780">
        <v>0</v>
      </c>
      <c r="CW1780">
        <v>1433155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"03/24/2022 22:16:57.576"</f>
        <v>03/24/2022 22:16:57.576</v>
      </c>
      <c r="C1781" t="str">
        <f t="shared" si="524"/>
        <v>FFDFD3C0</v>
      </c>
      <c r="D1781" t="s">
        <v>113</v>
      </c>
      <c r="E1781">
        <v>24</v>
      </c>
      <c r="F1781">
        <v>2024</v>
      </c>
      <c r="G1781" t="s">
        <v>114</v>
      </c>
      <c r="J1781" t="s">
        <v>115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S1781" t="str">
        <f t="shared" si="533"/>
        <v>22:16:57.000</v>
      </c>
      <c r="T1781" t="str">
        <f t="shared" si="533"/>
        <v>22:16:57.000</v>
      </c>
      <c r="U1781" t="str">
        <f t="shared" si="519"/>
        <v>A9D71F</v>
      </c>
      <c r="V1781">
        <v>0</v>
      </c>
      <c r="W1781">
        <v>0</v>
      </c>
      <c r="X1781">
        <v>2</v>
      </c>
      <c r="Z1781">
        <v>1</v>
      </c>
      <c r="AA1781">
        <v>8</v>
      </c>
      <c r="AB1781">
        <v>3</v>
      </c>
      <c r="AC1781">
        <v>0</v>
      </c>
      <c r="AD1781">
        <v>9</v>
      </c>
      <c r="AE1781">
        <v>0</v>
      </c>
      <c r="AF1781">
        <v>3</v>
      </c>
      <c r="AG1781">
        <v>1</v>
      </c>
      <c r="AH1781">
        <v>0</v>
      </c>
      <c r="AI1781" t="s">
        <v>940</v>
      </c>
      <c r="AJ1781">
        <v>33.056080000000001</v>
      </c>
      <c r="AK1781" t="s">
        <v>941</v>
      </c>
      <c r="AL1781">
        <v>-97.667449000000005</v>
      </c>
      <c r="AM1781">
        <v>25</v>
      </c>
      <c r="AN1781">
        <v>3500</v>
      </c>
      <c r="AO1781" t="s">
        <v>118</v>
      </c>
      <c r="AP1781">
        <v>34</v>
      </c>
      <c r="AQ1781">
        <v>-110</v>
      </c>
      <c r="AR1781">
        <v>192</v>
      </c>
      <c r="AZ1781">
        <v>1200</v>
      </c>
      <c r="BA1781">
        <v>1</v>
      </c>
      <c r="BB1781" t="str">
        <f t="shared" si="526"/>
        <v xml:space="preserve">N733KP  </v>
      </c>
      <c r="BC1781">
        <v>1</v>
      </c>
      <c r="BE1781">
        <v>0</v>
      </c>
      <c r="BF1781">
        <v>0</v>
      </c>
      <c r="BG1781">
        <v>0</v>
      </c>
      <c r="BH1781">
        <v>3425</v>
      </c>
      <c r="BI1781">
        <v>1</v>
      </c>
      <c r="BJ1781">
        <v>1</v>
      </c>
      <c r="BK1781">
        <v>0</v>
      </c>
      <c r="BL1781">
        <v>0</v>
      </c>
      <c r="BO1781">
        <v>0</v>
      </c>
      <c r="BP1781">
        <v>0</v>
      </c>
      <c r="BW1781" t="str">
        <f>"22:16:57.368"</f>
        <v>22:16:57.368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7</v>
      </c>
      <c r="CP1781" t="s">
        <v>119</v>
      </c>
      <c r="CQ1781">
        <v>364</v>
      </c>
      <c r="CR1781">
        <v>0</v>
      </c>
      <c r="CW1781">
        <v>1433155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"03/24/2022 22:16:59.063"</f>
        <v>03/24/2022 22:16:59.063</v>
      </c>
      <c r="C1782" t="str">
        <f t="shared" si="524"/>
        <v>FFDFD3C0</v>
      </c>
      <c r="D1782" t="s">
        <v>126</v>
      </c>
      <c r="E1782">
        <v>3</v>
      </c>
      <c r="H1782">
        <v>160</v>
      </c>
      <c r="I1782" t="s">
        <v>121</v>
      </c>
      <c r="J1782" t="s">
        <v>127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S1782" t="str">
        <f t="shared" ref="S1782:T1785" si="534">"22:16:58.000"</f>
        <v>22:16:58.000</v>
      </c>
      <c r="T1782" t="str">
        <f t="shared" si="534"/>
        <v>22:16:58.000</v>
      </c>
      <c r="U1782" t="str">
        <f t="shared" si="519"/>
        <v>A9D71F</v>
      </c>
      <c r="V1782">
        <v>0</v>
      </c>
      <c r="W1782">
        <v>0</v>
      </c>
      <c r="X1782">
        <v>2</v>
      </c>
      <c r="Z1782">
        <v>1</v>
      </c>
      <c r="AA1782">
        <v>8</v>
      </c>
      <c r="AB1782">
        <v>3</v>
      </c>
      <c r="AC1782">
        <v>0</v>
      </c>
      <c r="AD1782">
        <v>9</v>
      </c>
      <c r="AE1782">
        <v>0</v>
      </c>
      <c r="AF1782">
        <v>3</v>
      </c>
      <c r="AG1782">
        <v>1</v>
      </c>
      <c r="AH1782">
        <v>0</v>
      </c>
      <c r="AI1782" t="s">
        <v>942</v>
      </c>
      <c r="AJ1782">
        <v>33.055565000000001</v>
      </c>
      <c r="AK1782" t="s">
        <v>943</v>
      </c>
      <c r="AL1782">
        <v>-97.667233999999993</v>
      </c>
      <c r="AM1782">
        <v>25</v>
      </c>
      <c r="AN1782">
        <v>3500</v>
      </c>
      <c r="AO1782" t="s">
        <v>118</v>
      </c>
      <c r="AP1782">
        <v>34</v>
      </c>
      <c r="AQ1782">
        <v>-110</v>
      </c>
      <c r="AR1782">
        <v>128</v>
      </c>
      <c r="AZ1782">
        <v>1200</v>
      </c>
      <c r="BA1782">
        <v>1</v>
      </c>
      <c r="BB1782" t="str">
        <f t="shared" si="526"/>
        <v xml:space="preserve">N733KP  </v>
      </c>
      <c r="BC1782">
        <v>1</v>
      </c>
      <c r="BE1782">
        <v>0</v>
      </c>
      <c r="BF1782">
        <v>0</v>
      </c>
      <c r="BG1782">
        <v>0</v>
      </c>
      <c r="BH1782">
        <v>3425</v>
      </c>
      <c r="BI1782">
        <v>1</v>
      </c>
      <c r="BJ1782">
        <v>1</v>
      </c>
      <c r="BK1782">
        <v>0</v>
      </c>
      <c r="BL1782">
        <v>0</v>
      </c>
      <c r="BO1782">
        <v>0</v>
      </c>
      <c r="BP1782">
        <v>0</v>
      </c>
      <c r="BW1782" t="str">
        <f>"22:16:58.869"</f>
        <v>22:16:58.869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4</v>
      </c>
      <c r="CP1782" t="s">
        <v>119</v>
      </c>
      <c r="CQ1782">
        <v>440</v>
      </c>
      <c r="CR1782">
        <v>0</v>
      </c>
      <c r="CW1782">
        <v>6712319</v>
      </c>
      <c r="CY1782">
        <v>1</v>
      </c>
      <c r="CZ1782">
        <v>0</v>
      </c>
      <c r="DA1782">
        <v>0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"03/24/2022 22:16:59.063"</f>
        <v>03/24/2022 22:16:59.063</v>
      </c>
      <c r="C1783" t="str">
        <f t="shared" si="524"/>
        <v>FFDFD3C0</v>
      </c>
      <c r="D1783" t="s">
        <v>123</v>
      </c>
      <c r="E1783">
        <v>8</v>
      </c>
      <c r="H1783">
        <v>31</v>
      </c>
      <c r="I1783" t="s">
        <v>124</v>
      </c>
      <c r="J1783" t="s">
        <v>125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S1783" t="str">
        <f t="shared" si="534"/>
        <v>22:16:58.000</v>
      </c>
      <c r="T1783" t="str">
        <f t="shared" si="534"/>
        <v>22:16:58.000</v>
      </c>
      <c r="U1783" t="str">
        <f t="shared" si="519"/>
        <v>A9D71F</v>
      </c>
      <c r="V1783">
        <v>0</v>
      </c>
      <c r="W1783">
        <v>0</v>
      </c>
      <c r="X1783">
        <v>2</v>
      </c>
      <c r="Z1783">
        <v>1</v>
      </c>
      <c r="AA1783">
        <v>8</v>
      </c>
      <c r="AB1783">
        <v>3</v>
      </c>
      <c r="AC1783">
        <v>0</v>
      </c>
      <c r="AD1783">
        <v>9</v>
      </c>
      <c r="AE1783">
        <v>0</v>
      </c>
      <c r="AF1783">
        <v>3</v>
      </c>
      <c r="AG1783">
        <v>1</v>
      </c>
      <c r="AH1783">
        <v>0</v>
      </c>
      <c r="AI1783" t="s">
        <v>942</v>
      </c>
      <c r="AJ1783">
        <v>33.055565000000001</v>
      </c>
      <c r="AK1783" t="s">
        <v>943</v>
      </c>
      <c r="AL1783">
        <v>-97.667233999999993</v>
      </c>
      <c r="AM1783">
        <v>25</v>
      </c>
      <c r="AN1783">
        <v>3500</v>
      </c>
      <c r="AO1783" t="s">
        <v>118</v>
      </c>
      <c r="AP1783">
        <v>34</v>
      </c>
      <c r="AQ1783">
        <v>-110</v>
      </c>
      <c r="AR1783">
        <v>128</v>
      </c>
      <c r="AZ1783">
        <v>1200</v>
      </c>
      <c r="BA1783">
        <v>1</v>
      </c>
      <c r="BB1783" t="str">
        <f t="shared" si="526"/>
        <v xml:space="preserve">N733KP  </v>
      </c>
      <c r="BC1783">
        <v>1</v>
      </c>
      <c r="BE1783">
        <v>0</v>
      </c>
      <c r="BF1783">
        <v>0</v>
      </c>
      <c r="BG1783">
        <v>0</v>
      </c>
      <c r="BH1783">
        <v>3425</v>
      </c>
      <c r="BI1783">
        <v>1</v>
      </c>
      <c r="BJ1783">
        <v>1</v>
      </c>
      <c r="BK1783">
        <v>0</v>
      </c>
      <c r="BL1783">
        <v>0</v>
      </c>
      <c r="BO1783">
        <v>0</v>
      </c>
      <c r="BP1783">
        <v>0</v>
      </c>
      <c r="BW1783" t="str">
        <f>"22:16:58.869"</f>
        <v>22:16:58.869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0</v>
      </c>
      <c r="CP1783" t="s">
        <v>119</v>
      </c>
      <c r="CQ1783">
        <v>366</v>
      </c>
      <c r="CR1783">
        <v>0</v>
      </c>
      <c r="CW1783">
        <v>10415389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"03/24/2022 22:16:59.125"</f>
        <v>03/24/2022 22:16:59.125</v>
      </c>
      <c r="C1784" t="str">
        <f t="shared" si="524"/>
        <v>FFDFD3C0</v>
      </c>
      <c r="D1784" t="s">
        <v>120</v>
      </c>
      <c r="E1784">
        <v>14</v>
      </c>
      <c r="F1784">
        <v>1014</v>
      </c>
      <c r="G1784" t="s">
        <v>121</v>
      </c>
      <c r="J1784" t="s">
        <v>122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S1784" t="str">
        <f t="shared" si="534"/>
        <v>22:16:58.000</v>
      </c>
      <c r="T1784" t="str">
        <f t="shared" si="534"/>
        <v>22:16:58.000</v>
      </c>
      <c r="U1784" t="str">
        <f t="shared" si="519"/>
        <v>A9D71F</v>
      </c>
      <c r="V1784">
        <v>0</v>
      </c>
      <c r="W1784">
        <v>0</v>
      </c>
      <c r="X1784">
        <v>2</v>
      </c>
      <c r="Z1784">
        <v>1</v>
      </c>
      <c r="AA1784">
        <v>8</v>
      </c>
      <c r="AB1784">
        <v>3</v>
      </c>
      <c r="AC1784">
        <v>0</v>
      </c>
      <c r="AD1784">
        <v>9</v>
      </c>
      <c r="AE1784">
        <v>0</v>
      </c>
      <c r="AF1784">
        <v>3</v>
      </c>
      <c r="AG1784">
        <v>1</v>
      </c>
      <c r="AH1784">
        <v>0</v>
      </c>
      <c r="AI1784" t="s">
        <v>942</v>
      </c>
      <c r="AJ1784">
        <v>33.055565000000001</v>
      </c>
      <c r="AK1784" t="s">
        <v>943</v>
      </c>
      <c r="AL1784">
        <v>-97.667233999999993</v>
      </c>
      <c r="AM1784">
        <v>25</v>
      </c>
      <c r="AN1784">
        <v>3500</v>
      </c>
      <c r="AO1784" t="s">
        <v>118</v>
      </c>
      <c r="AP1784">
        <v>34</v>
      </c>
      <c r="AQ1784">
        <v>-110</v>
      </c>
      <c r="AR1784">
        <v>128</v>
      </c>
      <c r="AZ1784">
        <v>1200</v>
      </c>
      <c r="BA1784">
        <v>1</v>
      </c>
      <c r="BB1784" t="str">
        <f t="shared" si="526"/>
        <v xml:space="preserve">N733KP  </v>
      </c>
      <c r="BC1784">
        <v>1</v>
      </c>
      <c r="BE1784">
        <v>0</v>
      </c>
      <c r="BF1784">
        <v>0</v>
      </c>
      <c r="BG1784">
        <v>0</v>
      </c>
      <c r="BH1784">
        <v>3425</v>
      </c>
      <c r="BI1784">
        <v>1</v>
      </c>
      <c r="BJ1784">
        <v>1</v>
      </c>
      <c r="BK1784">
        <v>0</v>
      </c>
      <c r="BL1784">
        <v>0</v>
      </c>
      <c r="BO1784">
        <v>0</v>
      </c>
      <c r="BP1784">
        <v>0</v>
      </c>
      <c r="BW1784" t="str">
        <f>"22:16:58.869"</f>
        <v>22:16:58.869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4</v>
      </c>
      <c r="CP1784" t="s">
        <v>119</v>
      </c>
      <c r="CQ1784">
        <v>440</v>
      </c>
      <c r="CR1784">
        <v>0</v>
      </c>
      <c r="CW1784">
        <v>6712319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"03/24/2022 22:16:59.125"</f>
        <v>03/24/2022 22:16:59.125</v>
      </c>
      <c r="C1785" t="str">
        <f t="shared" si="524"/>
        <v>FFDFD3C0</v>
      </c>
      <c r="D1785" t="s">
        <v>113</v>
      </c>
      <c r="E1785">
        <v>24</v>
      </c>
      <c r="F1785">
        <v>2024</v>
      </c>
      <c r="G1785" t="s">
        <v>114</v>
      </c>
      <c r="J1785" t="s">
        <v>115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S1785" t="str">
        <f t="shared" si="534"/>
        <v>22:16:58.000</v>
      </c>
      <c r="T1785" t="str">
        <f t="shared" si="534"/>
        <v>22:16:58.000</v>
      </c>
      <c r="U1785" t="str">
        <f t="shared" si="519"/>
        <v>A9D71F</v>
      </c>
      <c r="V1785">
        <v>0</v>
      </c>
      <c r="W1785">
        <v>0</v>
      </c>
      <c r="X1785">
        <v>2</v>
      </c>
      <c r="Z1785">
        <v>1</v>
      </c>
      <c r="AA1785">
        <v>8</v>
      </c>
      <c r="AB1785">
        <v>3</v>
      </c>
      <c r="AC1785">
        <v>0</v>
      </c>
      <c r="AD1785">
        <v>9</v>
      </c>
      <c r="AE1785">
        <v>0</v>
      </c>
      <c r="AF1785">
        <v>3</v>
      </c>
      <c r="AG1785">
        <v>1</v>
      </c>
      <c r="AH1785">
        <v>0</v>
      </c>
      <c r="AI1785" t="s">
        <v>942</v>
      </c>
      <c r="AJ1785">
        <v>33.055565000000001</v>
      </c>
      <c r="AK1785" t="s">
        <v>943</v>
      </c>
      <c r="AL1785">
        <v>-97.667233999999993</v>
      </c>
      <c r="AM1785">
        <v>25</v>
      </c>
      <c r="AN1785">
        <v>3500</v>
      </c>
      <c r="AO1785" t="s">
        <v>118</v>
      </c>
      <c r="AP1785">
        <v>34</v>
      </c>
      <c r="AQ1785">
        <v>-110</v>
      </c>
      <c r="AR1785">
        <v>128</v>
      </c>
      <c r="AZ1785">
        <v>1200</v>
      </c>
      <c r="BA1785">
        <v>1</v>
      </c>
      <c r="BB1785" t="str">
        <f t="shared" si="526"/>
        <v xml:space="preserve">N733KP  </v>
      </c>
      <c r="BC1785">
        <v>1</v>
      </c>
      <c r="BE1785">
        <v>0</v>
      </c>
      <c r="BF1785">
        <v>0</v>
      </c>
      <c r="BG1785">
        <v>0</v>
      </c>
      <c r="BH1785">
        <v>3425</v>
      </c>
      <c r="BI1785">
        <v>1</v>
      </c>
      <c r="BJ1785">
        <v>1</v>
      </c>
      <c r="BK1785">
        <v>0</v>
      </c>
      <c r="BL1785">
        <v>0</v>
      </c>
      <c r="BO1785">
        <v>0</v>
      </c>
      <c r="BP1785">
        <v>0</v>
      </c>
      <c r="BW1785" t="str">
        <f>"22:16:58.869"</f>
        <v>22:16:58.869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4</v>
      </c>
      <c r="CP1785" t="s">
        <v>119</v>
      </c>
      <c r="CQ1785">
        <v>440</v>
      </c>
      <c r="CR1785">
        <v>0</v>
      </c>
      <c r="CW1785">
        <v>6712319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"03/24/2022 22:16:59.844"</f>
        <v>03/24/2022 22:16:59.844</v>
      </c>
      <c r="C1786" t="str">
        <f t="shared" si="524"/>
        <v>FFDFD3C0</v>
      </c>
      <c r="D1786" t="s">
        <v>120</v>
      </c>
      <c r="E1786">
        <v>14</v>
      </c>
      <c r="F1786">
        <v>1014</v>
      </c>
      <c r="G1786" t="s">
        <v>121</v>
      </c>
      <c r="J1786" t="s">
        <v>122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S1786" t="str">
        <f t="shared" ref="S1786:T1789" si="535">"22:16:59.000"</f>
        <v>22:16:59.000</v>
      </c>
      <c r="T1786" t="str">
        <f t="shared" si="535"/>
        <v>22:16:59.000</v>
      </c>
      <c r="U1786" t="str">
        <f t="shared" si="519"/>
        <v>A9D71F</v>
      </c>
      <c r="V1786">
        <v>0</v>
      </c>
      <c r="W1786">
        <v>0</v>
      </c>
      <c r="X1786">
        <v>2</v>
      </c>
      <c r="Z1786">
        <v>1</v>
      </c>
      <c r="AA1786">
        <v>8</v>
      </c>
      <c r="AB1786">
        <v>3</v>
      </c>
      <c r="AC1786">
        <v>0</v>
      </c>
      <c r="AD1786">
        <v>9</v>
      </c>
      <c r="AE1786">
        <v>0</v>
      </c>
      <c r="AF1786">
        <v>3</v>
      </c>
      <c r="AG1786">
        <v>1</v>
      </c>
      <c r="AH1786">
        <v>0</v>
      </c>
      <c r="AI1786" t="s">
        <v>944</v>
      </c>
      <c r="AJ1786">
        <v>33.055050000000001</v>
      </c>
      <c r="AK1786" t="s">
        <v>945</v>
      </c>
      <c r="AL1786">
        <v>-97.667040999999998</v>
      </c>
      <c r="AM1786">
        <v>25</v>
      </c>
      <c r="AN1786">
        <v>3500</v>
      </c>
      <c r="AO1786" t="s">
        <v>118</v>
      </c>
      <c r="AP1786">
        <v>33</v>
      </c>
      <c r="AQ1786">
        <v>-110</v>
      </c>
      <c r="AR1786">
        <v>128</v>
      </c>
      <c r="AZ1786">
        <v>1200</v>
      </c>
      <c r="BA1786">
        <v>1</v>
      </c>
      <c r="BB1786" t="str">
        <f t="shared" si="526"/>
        <v xml:space="preserve">N733KP  </v>
      </c>
      <c r="BC1786">
        <v>1</v>
      </c>
      <c r="BE1786">
        <v>0</v>
      </c>
      <c r="BF1786">
        <v>0</v>
      </c>
      <c r="BG1786">
        <v>0</v>
      </c>
      <c r="BH1786">
        <v>3425</v>
      </c>
      <c r="BI1786">
        <v>1</v>
      </c>
      <c r="BJ1786">
        <v>1</v>
      </c>
      <c r="BK1786">
        <v>0</v>
      </c>
      <c r="BL1786">
        <v>0</v>
      </c>
      <c r="BO1786">
        <v>0</v>
      </c>
      <c r="BP1786">
        <v>0</v>
      </c>
      <c r="BW1786" t="str">
        <f>"22:16:59.653"</f>
        <v>22:16:59.653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364</v>
      </c>
      <c r="CR1786">
        <v>0</v>
      </c>
      <c r="CW1786">
        <v>1433459</v>
      </c>
      <c r="CY1786">
        <v>1</v>
      </c>
      <c r="CZ1786">
        <v>0</v>
      </c>
      <c r="DA1786">
        <v>0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"03/24/2022 22:16:59.844"</f>
        <v>03/24/2022 22:16:59.844</v>
      </c>
      <c r="C1787" t="str">
        <f t="shared" si="524"/>
        <v>FFDFD3C0</v>
      </c>
      <c r="D1787" t="s">
        <v>113</v>
      </c>
      <c r="E1787">
        <v>24</v>
      </c>
      <c r="F1787">
        <v>2024</v>
      </c>
      <c r="G1787" t="s">
        <v>114</v>
      </c>
      <c r="J1787" t="s">
        <v>115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S1787" t="str">
        <f t="shared" si="535"/>
        <v>22:16:59.000</v>
      </c>
      <c r="T1787" t="str">
        <f t="shared" si="535"/>
        <v>22:16:59.000</v>
      </c>
      <c r="U1787" t="str">
        <f t="shared" si="519"/>
        <v>A9D71F</v>
      </c>
      <c r="V1787">
        <v>0</v>
      </c>
      <c r="W1787">
        <v>0</v>
      </c>
      <c r="X1787">
        <v>2</v>
      </c>
      <c r="Z1787">
        <v>1</v>
      </c>
      <c r="AA1787">
        <v>8</v>
      </c>
      <c r="AB1787">
        <v>3</v>
      </c>
      <c r="AC1787">
        <v>0</v>
      </c>
      <c r="AD1787">
        <v>9</v>
      </c>
      <c r="AE1787">
        <v>0</v>
      </c>
      <c r="AF1787">
        <v>3</v>
      </c>
      <c r="AG1787">
        <v>1</v>
      </c>
      <c r="AH1787">
        <v>0</v>
      </c>
      <c r="AI1787" t="s">
        <v>944</v>
      </c>
      <c r="AJ1787">
        <v>33.055050000000001</v>
      </c>
      <c r="AK1787" t="s">
        <v>945</v>
      </c>
      <c r="AL1787">
        <v>-97.667040999999998</v>
      </c>
      <c r="AM1787">
        <v>25</v>
      </c>
      <c r="AN1787">
        <v>3500</v>
      </c>
      <c r="AO1787" t="s">
        <v>118</v>
      </c>
      <c r="AP1787">
        <v>33</v>
      </c>
      <c r="AQ1787">
        <v>-110</v>
      </c>
      <c r="AR1787">
        <v>128</v>
      </c>
      <c r="AZ1787">
        <v>1200</v>
      </c>
      <c r="BA1787">
        <v>1</v>
      </c>
      <c r="BB1787" t="str">
        <f t="shared" si="526"/>
        <v xml:space="preserve">N733KP  </v>
      </c>
      <c r="BC1787">
        <v>1</v>
      </c>
      <c r="BE1787">
        <v>0</v>
      </c>
      <c r="BF1787">
        <v>0</v>
      </c>
      <c r="BG1787">
        <v>0</v>
      </c>
      <c r="BH1787">
        <v>3425</v>
      </c>
      <c r="BI1787">
        <v>1</v>
      </c>
      <c r="BJ1787">
        <v>1</v>
      </c>
      <c r="BK1787">
        <v>0</v>
      </c>
      <c r="BL1787">
        <v>0</v>
      </c>
      <c r="BO1787">
        <v>0</v>
      </c>
      <c r="BP1787">
        <v>0</v>
      </c>
      <c r="BW1787" t="str">
        <f>"22:16:59.653"</f>
        <v>22:16:59.653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364</v>
      </c>
      <c r="CR1787">
        <v>0</v>
      </c>
      <c r="CW1787">
        <v>1433459</v>
      </c>
      <c r="CY1787">
        <v>1</v>
      </c>
      <c r="CZ1787">
        <v>0</v>
      </c>
      <c r="DA1787">
        <v>1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"03/24/2022 22:16:59.860"</f>
        <v>03/24/2022 22:16:59.860</v>
      </c>
      <c r="C1788" t="str">
        <f t="shared" si="524"/>
        <v>FFDFD3C0</v>
      </c>
      <c r="D1788" t="s">
        <v>126</v>
      </c>
      <c r="E1788">
        <v>3</v>
      </c>
      <c r="H1788">
        <v>160</v>
      </c>
      <c r="I1788" t="s">
        <v>121</v>
      </c>
      <c r="J1788" t="s">
        <v>127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S1788" t="str">
        <f t="shared" si="535"/>
        <v>22:16:59.000</v>
      </c>
      <c r="T1788" t="str">
        <f t="shared" si="535"/>
        <v>22:16:59.000</v>
      </c>
      <c r="U1788" t="str">
        <f t="shared" si="519"/>
        <v>A9D71F</v>
      </c>
      <c r="V1788">
        <v>0</v>
      </c>
      <c r="W1788">
        <v>0</v>
      </c>
      <c r="X1788">
        <v>2</v>
      </c>
      <c r="Z1788">
        <v>1</v>
      </c>
      <c r="AA1788">
        <v>8</v>
      </c>
      <c r="AB1788">
        <v>3</v>
      </c>
      <c r="AC1788">
        <v>0</v>
      </c>
      <c r="AD1788">
        <v>9</v>
      </c>
      <c r="AE1788">
        <v>0</v>
      </c>
      <c r="AF1788">
        <v>3</v>
      </c>
      <c r="AG1788">
        <v>1</v>
      </c>
      <c r="AH1788">
        <v>0</v>
      </c>
      <c r="AI1788" t="s">
        <v>944</v>
      </c>
      <c r="AJ1788">
        <v>33.055050000000001</v>
      </c>
      <c r="AK1788" t="s">
        <v>945</v>
      </c>
      <c r="AL1788">
        <v>-97.667040999999998</v>
      </c>
      <c r="AM1788">
        <v>25</v>
      </c>
      <c r="AN1788">
        <v>3500</v>
      </c>
      <c r="AO1788" t="s">
        <v>118</v>
      </c>
      <c r="AP1788">
        <v>33</v>
      </c>
      <c r="AQ1788">
        <v>-110</v>
      </c>
      <c r="AR1788">
        <v>128</v>
      </c>
      <c r="AZ1788">
        <v>1200</v>
      </c>
      <c r="BA1788">
        <v>1</v>
      </c>
      <c r="BB1788" t="str">
        <f t="shared" si="526"/>
        <v xml:space="preserve">N733KP  </v>
      </c>
      <c r="BC1788">
        <v>1</v>
      </c>
      <c r="BE1788">
        <v>0</v>
      </c>
      <c r="BF1788">
        <v>0</v>
      </c>
      <c r="BG1788">
        <v>0</v>
      </c>
      <c r="BH1788">
        <v>3425</v>
      </c>
      <c r="BI1788">
        <v>1</v>
      </c>
      <c r="BJ1788">
        <v>1</v>
      </c>
      <c r="BK1788">
        <v>0</v>
      </c>
      <c r="BL1788">
        <v>0</v>
      </c>
      <c r="BO1788">
        <v>0</v>
      </c>
      <c r="BP1788">
        <v>0</v>
      </c>
      <c r="BW1788" t="str">
        <f>"22:16:59.653"</f>
        <v>22:16:59.653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7</v>
      </c>
      <c r="CP1788" t="s">
        <v>119</v>
      </c>
      <c r="CQ1788">
        <v>364</v>
      </c>
      <c r="CR1788">
        <v>0</v>
      </c>
      <c r="CW1788">
        <v>1433459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"03/24/2022 22:16:59.875"</f>
        <v>03/24/2022 22:16:59.875</v>
      </c>
      <c r="C1789" t="str">
        <f t="shared" si="524"/>
        <v>FFDFD3C0</v>
      </c>
      <c r="D1789" t="s">
        <v>123</v>
      </c>
      <c r="E1789">
        <v>8</v>
      </c>
      <c r="H1789">
        <v>31</v>
      </c>
      <c r="I1789" t="s">
        <v>124</v>
      </c>
      <c r="J1789" t="s">
        <v>125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S1789" t="str">
        <f t="shared" si="535"/>
        <v>22:16:59.000</v>
      </c>
      <c r="T1789" t="str">
        <f t="shared" si="535"/>
        <v>22:16:59.000</v>
      </c>
      <c r="U1789" t="str">
        <f t="shared" si="519"/>
        <v>A9D71F</v>
      </c>
      <c r="V1789">
        <v>0</v>
      </c>
      <c r="W1789">
        <v>0</v>
      </c>
      <c r="X1789">
        <v>2</v>
      </c>
      <c r="Z1789">
        <v>1</v>
      </c>
      <c r="AA1789">
        <v>8</v>
      </c>
      <c r="AB1789">
        <v>3</v>
      </c>
      <c r="AC1789">
        <v>0</v>
      </c>
      <c r="AD1789">
        <v>9</v>
      </c>
      <c r="AE1789">
        <v>0</v>
      </c>
      <c r="AF1789">
        <v>3</v>
      </c>
      <c r="AG1789">
        <v>1</v>
      </c>
      <c r="AH1789">
        <v>0</v>
      </c>
      <c r="AI1789" t="s">
        <v>944</v>
      </c>
      <c r="AJ1789">
        <v>33.055050000000001</v>
      </c>
      <c r="AK1789" t="s">
        <v>945</v>
      </c>
      <c r="AL1789">
        <v>-97.667040999999998</v>
      </c>
      <c r="AM1789">
        <v>25</v>
      </c>
      <c r="AN1789">
        <v>3500</v>
      </c>
      <c r="AO1789" t="s">
        <v>118</v>
      </c>
      <c r="AP1789">
        <v>33</v>
      </c>
      <c r="AQ1789">
        <v>-110</v>
      </c>
      <c r="AR1789">
        <v>128</v>
      </c>
      <c r="AZ1789">
        <v>1200</v>
      </c>
      <c r="BA1789">
        <v>1</v>
      </c>
      <c r="BB1789" t="str">
        <f t="shared" si="526"/>
        <v xml:space="preserve">N733KP  </v>
      </c>
      <c r="BC1789">
        <v>1</v>
      </c>
      <c r="BE1789">
        <v>0</v>
      </c>
      <c r="BF1789">
        <v>0</v>
      </c>
      <c r="BG1789">
        <v>0</v>
      </c>
      <c r="BH1789">
        <v>3425</v>
      </c>
      <c r="BI1789">
        <v>1</v>
      </c>
      <c r="BJ1789">
        <v>1</v>
      </c>
      <c r="BK1789">
        <v>0</v>
      </c>
      <c r="BL1789">
        <v>0</v>
      </c>
      <c r="BO1789">
        <v>0</v>
      </c>
      <c r="BP1789">
        <v>0</v>
      </c>
      <c r="BW1789" t="str">
        <f>"22:16:59.653"</f>
        <v>22:16:59.653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364</v>
      </c>
      <c r="CR1789">
        <v>0</v>
      </c>
      <c r="CW1789">
        <v>1433459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"03/24/2022 22:17:00.907"</f>
        <v>03/24/2022 22:17:00.907</v>
      </c>
      <c r="C1790" t="str">
        <f t="shared" si="524"/>
        <v>FFDFD3C0</v>
      </c>
      <c r="D1790" t="s">
        <v>120</v>
      </c>
      <c r="E1790">
        <v>14</v>
      </c>
      <c r="F1790">
        <v>1014</v>
      </c>
      <c r="G1790" t="s">
        <v>121</v>
      </c>
      <c r="J1790" t="s">
        <v>122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S1790" t="str">
        <f t="shared" ref="S1790:T1793" si="536">"22:17:00.000"</f>
        <v>22:17:00.000</v>
      </c>
      <c r="T1790" t="str">
        <f t="shared" si="536"/>
        <v>22:17:00.000</v>
      </c>
      <c r="U1790" t="str">
        <f t="shared" si="519"/>
        <v>A9D71F</v>
      </c>
      <c r="V1790">
        <v>0</v>
      </c>
      <c r="W1790">
        <v>0</v>
      </c>
      <c r="X1790">
        <v>2</v>
      </c>
      <c r="Z1790">
        <v>1</v>
      </c>
      <c r="AA1790">
        <v>8</v>
      </c>
      <c r="AB1790">
        <v>3</v>
      </c>
      <c r="AC1790">
        <v>0</v>
      </c>
      <c r="AD1790">
        <v>9</v>
      </c>
      <c r="AE1790">
        <v>0</v>
      </c>
      <c r="AF1790">
        <v>3</v>
      </c>
      <c r="AG1790">
        <v>1</v>
      </c>
      <c r="AH1790">
        <v>0</v>
      </c>
      <c r="AI1790" t="s">
        <v>946</v>
      </c>
      <c r="AJ1790">
        <v>33.054557000000003</v>
      </c>
      <c r="AK1790" t="s">
        <v>947</v>
      </c>
      <c r="AL1790">
        <v>-97.666869000000005</v>
      </c>
      <c r="AM1790">
        <v>25</v>
      </c>
      <c r="AN1790">
        <v>3500</v>
      </c>
      <c r="AO1790" t="s">
        <v>118</v>
      </c>
      <c r="AP1790">
        <v>33</v>
      </c>
      <c r="AQ1790">
        <v>-111</v>
      </c>
      <c r="AR1790">
        <v>64</v>
      </c>
      <c r="AZ1790">
        <v>1200</v>
      </c>
      <c r="BA1790">
        <v>1</v>
      </c>
      <c r="BB1790" t="str">
        <f t="shared" si="526"/>
        <v xml:space="preserve">N733KP  </v>
      </c>
      <c r="BC1790">
        <v>1</v>
      </c>
      <c r="BE1790">
        <v>0</v>
      </c>
      <c r="BF1790">
        <v>0</v>
      </c>
      <c r="BG1790">
        <v>0</v>
      </c>
      <c r="BH1790">
        <v>3425</v>
      </c>
      <c r="BI1790">
        <v>1</v>
      </c>
      <c r="BJ1790">
        <v>1</v>
      </c>
      <c r="BK1790">
        <v>0</v>
      </c>
      <c r="BL1790">
        <v>0</v>
      </c>
      <c r="BO1790">
        <v>0</v>
      </c>
      <c r="BP1790">
        <v>0</v>
      </c>
      <c r="BW1790" t="str">
        <f>"22:17:00.743"</f>
        <v>22:17:00.743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6</v>
      </c>
      <c r="CP1790" t="s">
        <v>119</v>
      </c>
      <c r="CQ1790">
        <v>364</v>
      </c>
      <c r="CR1790">
        <v>0</v>
      </c>
      <c r="CW1790">
        <v>1433618</v>
      </c>
      <c r="CY1790">
        <v>1</v>
      </c>
      <c r="CZ1790">
        <v>0</v>
      </c>
      <c r="DA1790">
        <v>0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"03/24/2022 22:17:00.907"</f>
        <v>03/24/2022 22:17:00.907</v>
      </c>
      <c r="C1791" t="str">
        <f t="shared" si="524"/>
        <v>FFDFD3C0</v>
      </c>
      <c r="D1791" t="s">
        <v>113</v>
      </c>
      <c r="E1791">
        <v>24</v>
      </c>
      <c r="F1791">
        <v>2024</v>
      </c>
      <c r="G1791" t="s">
        <v>114</v>
      </c>
      <c r="J1791" t="s">
        <v>115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S1791" t="str">
        <f t="shared" si="536"/>
        <v>22:17:00.000</v>
      </c>
      <c r="T1791" t="str">
        <f t="shared" si="536"/>
        <v>22:17:00.000</v>
      </c>
      <c r="U1791" t="str">
        <f t="shared" si="519"/>
        <v>A9D71F</v>
      </c>
      <c r="V1791">
        <v>0</v>
      </c>
      <c r="W1791">
        <v>0</v>
      </c>
      <c r="X1791">
        <v>2</v>
      </c>
      <c r="Z1791">
        <v>1</v>
      </c>
      <c r="AA1791">
        <v>8</v>
      </c>
      <c r="AB1791">
        <v>3</v>
      </c>
      <c r="AC1791">
        <v>0</v>
      </c>
      <c r="AD1791">
        <v>9</v>
      </c>
      <c r="AE1791">
        <v>0</v>
      </c>
      <c r="AF1791">
        <v>3</v>
      </c>
      <c r="AG1791">
        <v>1</v>
      </c>
      <c r="AH1791">
        <v>0</v>
      </c>
      <c r="AI1791" t="s">
        <v>946</v>
      </c>
      <c r="AJ1791">
        <v>33.054557000000003</v>
      </c>
      <c r="AK1791" t="s">
        <v>947</v>
      </c>
      <c r="AL1791">
        <v>-97.666869000000005</v>
      </c>
      <c r="AM1791">
        <v>25</v>
      </c>
      <c r="AN1791">
        <v>3500</v>
      </c>
      <c r="AO1791" t="s">
        <v>118</v>
      </c>
      <c r="AP1791">
        <v>33</v>
      </c>
      <c r="AQ1791">
        <v>-111</v>
      </c>
      <c r="AR1791">
        <v>64</v>
      </c>
      <c r="AZ1791">
        <v>1200</v>
      </c>
      <c r="BA1791">
        <v>1</v>
      </c>
      <c r="BB1791" t="str">
        <f t="shared" si="526"/>
        <v xml:space="preserve">N733KP  </v>
      </c>
      <c r="BC1791">
        <v>1</v>
      </c>
      <c r="BE1791">
        <v>0</v>
      </c>
      <c r="BF1791">
        <v>0</v>
      </c>
      <c r="BG1791">
        <v>0</v>
      </c>
      <c r="BH1791">
        <v>3425</v>
      </c>
      <c r="BI1791">
        <v>1</v>
      </c>
      <c r="BJ1791">
        <v>1</v>
      </c>
      <c r="BK1791">
        <v>0</v>
      </c>
      <c r="BL1791">
        <v>0</v>
      </c>
      <c r="BO1791">
        <v>0</v>
      </c>
      <c r="BP1791">
        <v>0</v>
      </c>
      <c r="BW1791" t="str">
        <f>"22:17:00.743"</f>
        <v>22:17:00.743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6</v>
      </c>
      <c r="CP1791" t="s">
        <v>119</v>
      </c>
      <c r="CQ1791">
        <v>364</v>
      </c>
      <c r="CR1791">
        <v>0</v>
      </c>
      <c r="CW1791">
        <v>1433618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"03/24/2022 22:17:00.938"</f>
        <v>03/24/2022 22:17:00.938</v>
      </c>
      <c r="C1792" t="str">
        <f t="shared" si="524"/>
        <v>FFDFD3C0</v>
      </c>
      <c r="D1792" t="s">
        <v>126</v>
      </c>
      <c r="E1792">
        <v>3</v>
      </c>
      <c r="H1792">
        <v>160</v>
      </c>
      <c r="I1792" t="s">
        <v>121</v>
      </c>
      <c r="J1792" t="s">
        <v>127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S1792" t="str">
        <f t="shared" si="536"/>
        <v>22:17:00.000</v>
      </c>
      <c r="T1792" t="str">
        <f t="shared" si="536"/>
        <v>22:17:00.000</v>
      </c>
      <c r="U1792" t="str">
        <f t="shared" si="519"/>
        <v>A9D71F</v>
      </c>
      <c r="V1792">
        <v>0</v>
      </c>
      <c r="W1792">
        <v>0</v>
      </c>
      <c r="X1792">
        <v>2</v>
      </c>
      <c r="Z1792">
        <v>1</v>
      </c>
      <c r="AA1792">
        <v>8</v>
      </c>
      <c r="AB1792">
        <v>3</v>
      </c>
      <c r="AC1792">
        <v>0</v>
      </c>
      <c r="AD1792">
        <v>9</v>
      </c>
      <c r="AE1792">
        <v>0</v>
      </c>
      <c r="AF1792">
        <v>3</v>
      </c>
      <c r="AG1792">
        <v>1</v>
      </c>
      <c r="AH1792">
        <v>0</v>
      </c>
      <c r="AI1792" t="s">
        <v>946</v>
      </c>
      <c r="AJ1792">
        <v>33.054557000000003</v>
      </c>
      <c r="AK1792" t="s">
        <v>947</v>
      </c>
      <c r="AL1792">
        <v>-97.666869000000005</v>
      </c>
      <c r="AM1792">
        <v>25</v>
      </c>
      <c r="AN1792">
        <v>3500</v>
      </c>
      <c r="AO1792" t="s">
        <v>118</v>
      </c>
      <c r="AP1792">
        <v>33</v>
      </c>
      <c r="AQ1792">
        <v>-111</v>
      </c>
      <c r="AR1792">
        <v>64</v>
      </c>
      <c r="AZ1792">
        <v>1200</v>
      </c>
      <c r="BA1792">
        <v>1</v>
      </c>
      <c r="BB1792" t="str">
        <f t="shared" si="526"/>
        <v xml:space="preserve">N733KP  </v>
      </c>
      <c r="BC1792">
        <v>1</v>
      </c>
      <c r="BE1792">
        <v>0</v>
      </c>
      <c r="BF1792">
        <v>0</v>
      </c>
      <c r="BG1792">
        <v>0</v>
      </c>
      <c r="BH1792">
        <v>3425</v>
      </c>
      <c r="BI1792">
        <v>1</v>
      </c>
      <c r="BJ1792">
        <v>1</v>
      </c>
      <c r="BK1792">
        <v>0</v>
      </c>
      <c r="BL1792">
        <v>0</v>
      </c>
      <c r="BO1792">
        <v>0</v>
      </c>
      <c r="BP1792">
        <v>0</v>
      </c>
      <c r="BW1792" t="str">
        <f>"22:17:00.743"</f>
        <v>22:17:00.743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6</v>
      </c>
      <c r="CP1792" t="s">
        <v>119</v>
      </c>
      <c r="CQ1792">
        <v>364</v>
      </c>
      <c r="CR1792">
        <v>0</v>
      </c>
      <c r="CW1792">
        <v>1433618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>"03/24/2022 22:17:00.938"</f>
        <v>03/24/2022 22:17:00.938</v>
      </c>
      <c r="C1793" t="str">
        <f t="shared" si="524"/>
        <v>FFDFD3C0</v>
      </c>
      <c r="D1793" t="s">
        <v>123</v>
      </c>
      <c r="E1793">
        <v>8</v>
      </c>
      <c r="H1793">
        <v>31</v>
      </c>
      <c r="I1793" t="s">
        <v>124</v>
      </c>
      <c r="J1793" t="s">
        <v>125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S1793" t="str">
        <f t="shared" si="536"/>
        <v>22:17:00.000</v>
      </c>
      <c r="T1793" t="str">
        <f t="shared" si="536"/>
        <v>22:17:00.000</v>
      </c>
      <c r="U1793" t="str">
        <f t="shared" si="519"/>
        <v>A9D71F</v>
      </c>
      <c r="V1793">
        <v>0</v>
      </c>
      <c r="W1793">
        <v>0</v>
      </c>
      <c r="X1793">
        <v>2</v>
      </c>
      <c r="Z1793">
        <v>1</v>
      </c>
      <c r="AA1793">
        <v>8</v>
      </c>
      <c r="AB1793">
        <v>3</v>
      </c>
      <c r="AC1793">
        <v>0</v>
      </c>
      <c r="AD1793">
        <v>9</v>
      </c>
      <c r="AE1793">
        <v>0</v>
      </c>
      <c r="AF1793">
        <v>3</v>
      </c>
      <c r="AG1793">
        <v>1</v>
      </c>
      <c r="AH1793">
        <v>0</v>
      </c>
      <c r="AI1793" t="s">
        <v>946</v>
      </c>
      <c r="AJ1793">
        <v>33.054557000000003</v>
      </c>
      <c r="AK1793" t="s">
        <v>947</v>
      </c>
      <c r="AL1793">
        <v>-97.666869000000005</v>
      </c>
      <c r="AM1793">
        <v>25</v>
      </c>
      <c r="AN1793">
        <v>3500</v>
      </c>
      <c r="AO1793" t="s">
        <v>118</v>
      </c>
      <c r="AP1793">
        <v>33</v>
      </c>
      <c r="AQ1793">
        <v>-111</v>
      </c>
      <c r="AR1793">
        <v>64</v>
      </c>
      <c r="AZ1793">
        <v>1200</v>
      </c>
      <c r="BA1793">
        <v>1</v>
      </c>
      <c r="BB1793" t="str">
        <f t="shared" si="526"/>
        <v xml:space="preserve">N733KP  </v>
      </c>
      <c r="BC1793">
        <v>1</v>
      </c>
      <c r="BE1793">
        <v>0</v>
      </c>
      <c r="BF1793">
        <v>0</v>
      </c>
      <c r="BG1793">
        <v>0</v>
      </c>
      <c r="BH1793">
        <v>3425</v>
      </c>
      <c r="BI1793">
        <v>1</v>
      </c>
      <c r="BJ1793">
        <v>1</v>
      </c>
      <c r="BK1793">
        <v>0</v>
      </c>
      <c r="BL1793">
        <v>0</v>
      </c>
      <c r="BO1793">
        <v>0</v>
      </c>
      <c r="BP1793">
        <v>0</v>
      </c>
      <c r="BW1793" t="str">
        <f>"22:17:00.743"</f>
        <v>22:17:00.743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6</v>
      </c>
      <c r="CP1793" t="s">
        <v>119</v>
      </c>
      <c r="CQ1793">
        <v>364</v>
      </c>
      <c r="CR1793">
        <v>0</v>
      </c>
      <c r="CW1793">
        <v>1433618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>"03/24/2022 22:17:01.485"</f>
        <v>03/24/2022 22:17:01.485</v>
      </c>
      <c r="C1794" t="str">
        <f t="shared" si="524"/>
        <v>FFDFD3C0</v>
      </c>
      <c r="D1794" t="s">
        <v>123</v>
      </c>
      <c r="E1794">
        <v>8</v>
      </c>
      <c r="H1794">
        <v>31</v>
      </c>
      <c r="I1794" t="s">
        <v>124</v>
      </c>
      <c r="J1794" t="s">
        <v>125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S1794" t="str">
        <f t="shared" ref="S1794:T1797" si="537">"22:17:01.000"</f>
        <v>22:17:01.000</v>
      </c>
      <c r="T1794" t="str">
        <f t="shared" si="537"/>
        <v>22:17:01.000</v>
      </c>
      <c r="U1794" t="str">
        <f t="shared" ref="U1794:U1857" si="538">"A9D71F"</f>
        <v>A9D71F</v>
      </c>
      <c r="V1794">
        <v>0</v>
      </c>
      <c r="W1794">
        <v>0</v>
      </c>
      <c r="X1794">
        <v>2</v>
      </c>
      <c r="Z1794">
        <v>1</v>
      </c>
      <c r="AA1794">
        <v>8</v>
      </c>
      <c r="AB1794">
        <v>3</v>
      </c>
      <c r="AC1794">
        <v>0</v>
      </c>
      <c r="AD1794">
        <v>9</v>
      </c>
      <c r="AE1794">
        <v>0</v>
      </c>
      <c r="AF1794">
        <v>3</v>
      </c>
      <c r="AG1794">
        <v>1</v>
      </c>
      <c r="AH1794">
        <v>0</v>
      </c>
      <c r="AI1794" t="s">
        <v>948</v>
      </c>
      <c r="AJ1794">
        <v>33.054042000000003</v>
      </c>
      <c r="AK1794" t="s">
        <v>949</v>
      </c>
      <c r="AL1794">
        <v>-97.666675999999995</v>
      </c>
      <c r="AM1794">
        <v>25</v>
      </c>
      <c r="AN1794">
        <v>3500</v>
      </c>
      <c r="AO1794" t="s">
        <v>118</v>
      </c>
      <c r="AP1794">
        <v>33</v>
      </c>
      <c r="AQ1794">
        <v>-111</v>
      </c>
      <c r="AR1794">
        <v>64</v>
      </c>
      <c r="AZ1794">
        <v>1200</v>
      </c>
      <c r="BA1794">
        <v>1</v>
      </c>
      <c r="BB1794" t="str">
        <f t="shared" si="526"/>
        <v xml:space="preserve">N733KP  </v>
      </c>
      <c r="BC1794">
        <v>1</v>
      </c>
      <c r="BE1794">
        <v>0</v>
      </c>
      <c r="BF1794">
        <v>0</v>
      </c>
      <c r="BG1794">
        <v>0</v>
      </c>
      <c r="BH1794">
        <v>3425</v>
      </c>
      <c r="BI1794">
        <v>1</v>
      </c>
      <c r="BJ1794">
        <v>1</v>
      </c>
      <c r="BK1794">
        <v>0</v>
      </c>
      <c r="BL1794">
        <v>0</v>
      </c>
      <c r="BO1794">
        <v>0</v>
      </c>
      <c r="BP1794">
        <v>0</v>
      </c>
      <c r="BW1794" t="str">
        <f>"22:17:01.331"</f>
        <v>22:17:01.331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7</v>
      </c>
      <c r="CP1794" t="s">
        <v>119</v>
      </c>
      <c r="CQ1794">
        <v>364</v>
      </c>
      <c r="CR1794">
        <v>0</v>
      </c>
      <c r="CW1794">
        <v>1433704</v>
      </c>
      <c r="CY1794">
        <v>1</v>
      </c>
      <c r="CZ1794">
        <v>0</v>
      </c>
      <c r="DA1794">
        <v>0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>"03/24/2022 22:17:01.532"</f>
        <v>03/24/2022 22:17:01.532</v>
      </c>
      <c r="C1795" t="str">
        <f t="shared" si="524"/>
        <v>FFDFD3C0</v>
      </c>
      <c r="D1795" t="s">
        <v>120</v>
      </c>
      <c r="E1795">
        <v>14</v>
      </c>
      <c r="F1795">
        <v>1014</v>
      </c>
      <c r="G1795" t="s">
        <v>121</v>
      </c>
      <c r="J1795" t="s">
        <v>122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S1795" t="str">
        <f t="shared" si="537"/>
        <v>22:17:01.000</v>
      </c>
      <c r="T1795" t="str">
        <f t="shared" si="537"/>
        <v>22:17:01.000</v>
      </c>
      <c r="U1795" t="str">
        <f t="shared" si="538"/>
        <v>A9D71F</v>
      </c>
      <c r="V1795">
        <v>0</v>
      </c>
      <c r="W1795">
        <v>0</v>
      </c>
      <c r="X1795">
        <v>2</v>
      </c>
      <c r="Z1795">
        <v>1</v>
      </c>
      <c r="AA1795">
        <v>8</v>
      </c>
      <c r="AB1795">
        <v>3</v>
      </c>
      <c r="AC1795">
        <v>0</v>
      </c>
      <c r="AD1795">
        <v>9</v>
      </c>
      <c r="AE1795">
        <v>0</v>
      </c>
      <c r="AF1795">
        <v>3</v>
      </c>
      <c r="AG1795">
        <v>1</v>
      </c>
      <c r="AH1795">
        <v>0</v>
      </c>
      <c r="AI1795" t="s">
        <v>948</v>
      </c>
      <c r="AJ1795">
        <v>33.054042000000003</v>
      </c>
      <c r="AK1795" t="s">
        <v>949</v>
      </c>
      <c r="AL1795">
        <v>-97.666675999999995</v>
      </c>
      <c r="AM1795">
        <v>25</v>
      </c>
      <c r="AN1795">
        <v>3500</v>
      </c>
      <c r="AO1795" t="s">
        <v>118</v>
      </c>
      <c r="AP1795">
        <v>33</v>
      </c>
      <c r="AQ1795">
        <v>-111</v>
      </c>
      <c r="AR1795">
        <v>64</v>
      </c>
      <c r="AZ1795">
        <v>1200</v>
      </c>
      <c r="BA1795">
        <v>1</v>
      </c>
      <c r="BB1795" t="str">
        <f t="shared" si="526"/>
        <v xml:space="preserve">N733KP  </v>
      </c>
      <c r="BC1795">
        <v>1</v>
      </c>
      <c r="BE1795">
        <v>0</v>
      </c>
      <c r="BF1795">
        <v>0</v>
      </c>
      <c r="BG1795">
        <v>0</v>
      </c>
      <c r="BH1795">
        <v>3425</v>
      </c>
      <c r="BI1795">
        <v>1</v>
      </c>
      <c r="BJ1795">
        <v>1</v>
      </c>
      <c r="BK1795">
        <v>0</v>
      </c>
      <c r="BL1795">
        <v>0</v>
      </c>
      <c r="BO1795">
        <v>0</v>
      </c>
      <c r="BP1795">
        <v>0</v>
      </c>
      <c r="BW1795" t="str">
        <f>"22:17:01.331"</f>
        <v>22:17:01.331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7</v>
      </c>
      <c r="CP1795" t="s">
        <v>119</v>
      </c>
      <c r="CQ1795">
        <v>364</v>
      </c>
      <c r="CR1795">
        <v>0</v>
      </c>
      <c r="CW1795">
        <v>1433704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>"03/24/2022 22:17:01.532"</f>
        <v>03/24/2022 22:17:01.532</v>
      </c>
      <c r="C1796" t="str">
        <f t="shared" si="524"/>
        <v>FFDFD3C0</v>
      </c>
      <c r="D1796" t="s">
        <v>113</v>
      </c>
      <c r="E1796">
        <v>24</v>
      </c>
      <c r="F1796">
        <v>2024</v>
      </c>
      <c r="G1796" t="s">
        <v>114</v>
      </c>
      <c r="J1796" t="s">
        <v>115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S1796" t="str">
        <f t="shared" si="537"/>
        <v>22:17:01.000</v>
      </c>
      <c r="T1796" t="str">
        <f t="shared" si="537"/>
        <v>22:17:01.000</v>
      </c>
      <c r="U1796" t="str">
        <f t="shared" si="538"/>
        <v>A9D71F</v>
      </c>
      <c r="V1796">
        <v>0</v>
      </c>
      <c r="W1796">
        <v>0</v>
      </c>
      <c r="X1796">
        <v>2</v>
      </c>
      <c r="Z1796">
        <v>1</v>
      </c>
      <c r="AA1796">
        <v>8</v>
      </c>
      <c r="AB1796">
        <v>3</v>
      </c>
      <c r="AC1796">
        <v>0</v>
      </c>
      <c r="AD1796">
        <v>9</v>
      </c>
      <c r="AE1796">
        <v>0</v>
      </c>
      <c r="AF1796">
        <v>3</v>
      </c>
      <c r="AG1796">
        <v>1</v>
      </c>
      <c r="AH1796">
        <v>0</v>
      </c>
      <c r="AI1796" t="s">
        <v>948</v>
      </c>
      <c r="AJ1796">
        <v>33.054042000000003</v>
      </c>
      <c r="AK1796" t="s">
        <v>949</v>
      </c>
      <c r="AL1796">
        <v>-97.666675999999995</v>
      </c>
      <c r="AM1796">
        <v>25</v>
      </c>
      <c r="AN1796">
        <v>3500</v>
      </c>
      <c r="AO1796" t="s">
        <v>118</v>
      </c>
      <c r="AP1796">
        <v>33</v>
      </c>
      <c r="AQ1796">
        <v>-111</v>
      </c>
      <c r="AR1796">
        <v>64</v>
      </c>
      <c r="AZ1796">
        <v>1200</v>
      </c>
      <c r="BA1796">
        <v>1</v>
      </c>
      <c r="BB1796" t="str">
        <f t="shared" si="526"/>
        <v xml:space="preserve">N733KP  </v>
      </c>
      <c r="BC1796">
        <v>1</v>
      </c>
      <c r="BE1796">
        <v>0</v>
      </c>
      <c r="BF1796">
        <v>0</v>
      </c>
      <c r="BG1796">
        <v>0</v>
      </c>
      <c r="BH1796">
        <v>3425</v>
      </c>
      <c r="BI1796">
        <v>1</v>
      </c>
      <c r="BJ1796">
        <v>1</v>
      </c>
      <c r="BK1796">
        <v>0</v>
      </c>
      <c r="BL1796">
        <v>0</v>
      </c>
      <c r="BO1796">
        <v>0</v>
      </c>
      <c r="BP1796">
        <v>0</v>
      </c>
      <c r="BW1796" t="str">
        <f>"22:17:01.331"</f>
        <v>22:17:01.331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7</v>
      </c>
      <c r="CP1796" t="s">
        <v>119</v>
      </c>
      <c r="CQ1796">
        <v>364</v>
      </c>
      <c r="CR1796">
        <v>0</v>
      </c>
      <c r="CW1796">
        <v>1433704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>"03/24/2022 22:17:01.547"</f>
        <v>03/24/2022 22:17:01.547</v>
      </c>
      <c r="C1797" t="str">
        <f t="shared" si="524"/>
        <v>FFDFD3C0</v>
      </c>
      <c r="D1797" t="s">
        <v>126</v>
      </c>
      <c r="E1797">
        <v>3</v>
      </c>
      <c r="H1797">
        <v>160</v>
      </c>
      <c r="I1797" t="s">
        <v>121</v>
      </c>
      <c r="J1797" t="s">
        <v>127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S1797" t="str">
        <f t="shared" si="537"/>
        <v>22:17:01.000</v>
      </c>
      <c r="T1797" t="str">
        <f t="shared" si="537"/>
        <v>22:17:01.000</v>
      </c>
      <c r="U1797" t="str">
        <f t="shared" si="538"/>
        <v>A9D71F</v>
      </c>
      <c r="V1797">
        <v>0</v>
      </c>
      <c r="W1797">
        <v>0</v>
      </c>
      <c r="X1797">
        <v>2</v>
      </c>
      <c r="Z1797">
        <v>1</v>
      </c>
      <c r="AA1797">
        <v>8</v>
      </c>
      <c r="AB1797">
        <v>3</v>
      </c>
      <c r="AC1797">
        <v>0</v>
      </c>
      <c r="AD1797">
        <v>9</v>
      </c>
      <c r="AE1797">
        <v>0</v>
      </c>
      <c r="AF1797">
        <v>3</v>
      </c>
      <c r="AG1797">
        <v>1</v>
      </c>
      <c r="AH1797">
        <v>0</v>
      </c>
      <c r="AI1797" t="s">
        <v>948</v>
      </c>
      <c r="AJ1797">
        <v>33.054042000000003</v>
      </c>
      <c r="AK1797" t="s">
        <v>949</v>
      </c>
      <c r="AL1797">
        <v>-97.666675999999995</v>
      </c>
      <c r="AM1797">
        <v>25</v>
      </c>
      <c r="AN1797">
        <v>3500</v>
      </c>
      <c r="AO1797" t="s">
        <v>118</v>
      </c>
      <c r="AP1797">
        <v>33</v>
      </c>
      <c r="AQ1797">
        <v>-111</v>
      </c>
      <c r="AR1797">
        <v>64</v>
      </c>
      <c r="AZ1797">
        <v>1200</v>
      </c>
      <c r="BA1797">
        <v>1</v>
      </c>
      <c r="BB1797" t="str">
        <f t="shared" si="526"/>
        <v xml:space="preserve">N733KP  </v>
      </c>
      <c r="BC1797">
        <v>1</v>
      </c>
      <c r="BE1797">
        <v>0</v>
      </c>
      <c r="BF1797">
        <v>0</v>
      </c>
      <c r="BG1797">
        <v>0</v>
      </c>
      <c r="BH1797">
        <v>3425</v>
      </c>
      <c r="BI1797">
        <v>1</v>
      </c>
      <c r="BJ1797">
        <v>1</v>
      </c>
      <c r="BK1797">
        <v>0</v>
      </c>
      <c r="BL1797">
        <v>0</v>
      </c>
      <c r="BO1797">
        <v>0</v>
      </c>
      <c r="BP1797">
        <v>0</v>
      </c>
      <c r="BW1797" t="str">
        <f>"22:17:01.331"</f>
        <v>22:17:01.331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7</v>
      </c>
      <c r="CP1797" t="s">
        <v>119</v>
      </c>
      <c r="CQ1797">
        <v>364</v>
      </c>
      <c r="CR1797">
        <v>0</v>
      </c>
      <c r="CW1797">
        <v>1433704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>"03/24/2022 22:17:02.830"</f>
        <v>03/24/2022 22:17:02.830</v>
      </c>
      <c r="C1798" t="str">
        <f t="shared" si="524"/>
        <v>FFDFD3C0</v>
      </c>
      <c r="D1798" t="s">
        <v>113</v>
      </c>
      <c r="E1798">
        <v>24</v>
      </c>
      <c r="F1798">
        <v>2024</v>
      </c>
      <c r="G1798" t="s">
        <v>114</v>
      </c>
      <c r="J1798" t="s">
        <v>115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S1798" t="str">
        <f t="shared" ref="S1798:T1801" si="539">"22:17:02.000"</f>
        <v>22:17:02.000</v>
      </c>
      <c r="T1798" t="str">
        <f t="shared" si="539"/>
        <v>22:17:02.000</v>
      </c>
      <c r="U1798" t="str">
        <f t="shared" si="538"/>
        <v>A9D71F</v>
      </c>
      <c r="V1798">
        <v>0</v>
      </c>
      <c r="W1798">
        <v>0</v>
      </c>
      <c r="X1798">
        <v>2</v>
      </c>
      <c r="Z1798">
        <v>1</v>
      </c>
      <c r="AA1798">
        <v>8</v>
      </c>
      <c r="AB1798">
        <v>3</v>
      </c>
      <c r="AC1798">
        <v>0</v>
      </c>
      <c r="AD1798">
        <v>9</v>
      </c>
      <c r="AE1798">
        <v>0</v>
      </c>
      <c r="AF1798">
        <v>3</v>
      </c>
      <c r="AG1798">
        <v>1</v>
      </c>
      <c r="AH1798">
        <v>0</v>
      </c>
      <c r="AI1798" t="s">
        <v>950</v>
      </c>
      <c r="AJ1798">
        <v>33.053527000000003</v>
      </c>
      <c r="AK1798" t="s">
        <v>951</v>
      </c>
      <c r="AL1798">
        <v>-97.666504000000003</v>
      </c>
      <c r="AM1798">
        <v>25</v>
      </c>
      <c r="AN1798">
        <v>3500</v>
      </c>
      <c r="AO1798" t="s">
        <v>118</v>
      </c>
      <c r="AP1798">
        <v>33</v>
      </c>
      <c r="AQ1798">
        <v>-112</v>
      </c>
      <c r="AR1798">
        <v>0</v>
      </c>
      <c r="AZ1798">
        <v>1200</v>
      </c>
      <c r="BA1798">
        <v>1</v>
      </c>
      <c r="BB1798" t="str">
        <f t="shared" si="526"/>
        <v xml:space="preserve">N733KP  </v>
      </c>
      <c r="BC1798">
        <v>1</v>
      </c>
      <c r="BE1798">
        <v>0</v>
      </c>
      <c r="BF1798">
        <v>0</v>
      </c>
      <c r="BG1798">
        <v>0</v>
      </c>
      <c r="BH1798">
        <v>3425</v>
      </c>
      <c r="BI1798">
        <v>1</v>
      </c>
      <c r="BJ1798">
        <v>1</v>
      </c>
      <c r="BK1798">
        <v>0</v>
      </c>
      <c r="BL1798">
        <v>0</v>
      </c>
      <c r="BO1798">
        <v>0</v>
      </c>
      <c r="BP1798">
        <v>0</v>
      </c>
      <c r="BW1798" t="str">
        <f>"22:17:02.609"</f>
        <v>22:17:02.609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6</v>
      </c>
      <c r="CP1798" t="s">
        <v>119</v>
      </c>
      <c r="CQ1798">
        <v>364</v>
      </c>
      <c r="CR1798">
        <v>0</v>
      </c>
      <c r="CW1798">
        <v>1433889</v>
      </c>
      <c r="CY1798">
        <v>1</v>
      </c>
      <c r="CZ1798">
        <v>0</v>
      </c>
      <c r="DA1798">
        <v>0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"03/24/2022 22:17:02.830"</f>
        <v>03/24/2022 22:17:02.830</v>
      </c>
      <c r="C1799" t="str">
        <f t="shared" si="524"/>
        <v>FFDFD3C0</v>
      </c>
      <c r="D1799" t="s">
        <v>120</v>
      </c>
      <c r="E1799">
        <v>14</v>
      </c>
      <c r="F1799">
        <v>1014</v>
      </c>
      <c r="G1799" t="s">
        <v>121</v>
      </c>
      <c r="J1799" t="s">
        <v>122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S1799" t="str">
        <f t="shared" si="539"/>
        <v>22:17:02.000</v>
      </c>
      <c r="T1799" t="str">
        <f t="shared" si="539"/>
        <v>22:17:02.000</v>
      </c>
      <c r="U1799" t="str">
        <f t="shared" si="538"/>
        <v>A9D71F</v>
      </c>
      <c r="V1799">
        <v>0</v>
      </c>
      <c r="W1799">
        <v>0</v>
      </c>
      <c r="X1799">
        <v>2</v>
      </c>
      <c r="Z1799">
        <v>1</v>
      </c>
      <c r="AA1799">
        <v>8</v>
      </c>
      <c r="AB1799">
        <v>3</v>
      </c>
      <c r="AC1799">
        <v>0</v>
      </c>
      <c r="AD1799">
        <v>9</v>
      </c>
      <c r="AE1799">
        <v>0</v>
      </c>
      <c r="AF1799">
        <v>3</v>
      </c>
      <c r="AG1799">
        <v>1</v>
      </c>
      <c r="AH1799">
        <v>0</v>
      </c>
      <c r="AI1799" t="s">
        <v>950</v>
      </c>
      <c r="AJ1799">
        <v>33.053527000000003</v>
      </c>
      <c r="AK1799" t="s">
        <v>951</v>
      </c>
      <c r="AL1799">
        <v>-97.666504000000003</v>
      </c>
      <c r="AM1799">
        <v>25</v>
      </c>
      <c r="AN1799">
        <v>3500</v>
      </c>
      <c r="AO1799" t="s">
        <v>118</v>
      </c>
      <c r="AP1799">
        <v>33</v>
      </c>
      <c r="AQ1799">
        <v>-112</v>
      </c>
      <c r="AR1799">
        <v>0</v>
      </c>
      <c r="AZ1799">
        <v>1200</v>
      </c>
      <c r="BA1799">
        <v>1</v>
      </c>
      <c r="BB1799" t="str">
        <f t="shared" si="526"/>
        <v xml:space="preserve">N733KP  </v>
      </c>
      <c r="BC1799">
        <v>1</v>
      </c>
      <c r="BE1799">
        <v>0</v>
      </c>
      <c r="BF1799">
        <v>0</v>
      </c>
      <c r="BG1799">
        <v>0</v>
      </c>
      <c r="BH1799">
        <v>3425</v>
      </c>
      <c r="BI1799">
        <v>1</v>
      </c>
      <c r="BJ1799">
        <v>1</v>
      </c>
      <c r="BK1799">
        <v>0</v>
      </c>
      <c r="BL1799">
        <v>0</v>
      </c>
      <c r="BO1799">
        <v>0</v>
      </c>
      <c r="BP1799">
        <v>0</v>
      </c>
      <c r="BW1799" t="str">
        <f>"22:17:02.609"</f>
        <v>22:17:02.609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6</v>
      </c>
      <c r="CP1799" t="s">
        <v>119</v>
      </c>
      <c r="CQ1799">
        <v>364</v>
      </c>
      <c r="CR1799">
        <v>0</v>
      </c>
      <c r="CW1799">
        <v>1433889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"03/24/2022 22:17:02.830"</f>
        <v>03/24/2022 22:17:02.830</v>
      </c>
      <c r="C1800" t="str">
        <f t="shared" si="524"/>
        <v>FFDFD3C0</v>
      </c>
      <c r="D1800" t="s">
        <v>126</v>
      </c>
      <c r="E1800">
        <v>3</v>
      </c>
      <c r="H1800">
        <v>160</v>
      </c>
      <c r="I1800" t="s">
        <v>121</v>
      </c>
      <c r="J1800" t="s">
        <v>127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S1800" t="str">
        <f t="shared" si="539"/>
        <v>22:17:02.000</v>
      </c>
      <c r="T1800" t="str">
        <f t="shared" si="539"/>
        <v>22:17:02.000</v>
      </c>
      <c r="U1800" t="str">
        <f t="shared" si="538"/>
        <v>A9D71F</v>
      </c>
      <c r="V1800">
        <v>0</v>
      </c>
      <c r="W1800">
        <v>0</v>
      </c>
      <c r="X1800">
        <v>2</v>
      </c>
      <c r="Z1800">
        <v>1</v>
      </c>
      <c r="AA1800">
        <v>8</v>
      </c>
      <c r="AB1800">
        <v>3</v>
      </c>
      <c r="AC1800">
        <v>0</v>
      </c>
      <c r="AD1800">
        <v>9</v>
      </c>
      <c r="AE1800">
        <v>0</v>
      </c>
      <c r="AF1800">
        <v>3</v>
      </c>
      <c r="AG1800">
        <v>1</v>
      </c>
      <c r="AH1800">
        <v>0</v>
      </c>
      <c r="AI1800" t="s">
        <v>950</v>
      </c>
      <c r="AJ1800">
        <v>33.053527000000003</v>
      </c>
      <c r="AK1800" t="s">
        <v>951</v>
      </c>
      <c r="AL1800">
        <v>-97.666504000000003</v>
      </c>
      <c r="AM1800">
        <v>25</v>
      </c>
      <c r="AN1800">
        <v>3500</v>
      </c>
      <c r="AO1800" t="s">
        <v>118</v>
      </c>
      <c r="AP1800">
        <v>33</v>
      </c>
      <c r="AQ1800">
        <v>-112</v>
      </c>
      <c r="AR1800">
        <v>0</v>
      </c>
      <c r="AZ1800">
        <v>1200</v>
      </c>
      <c r="BA1800">
        <v>1</v>
      </c>
      <c r="BB1800" t="str">
        <f t="shared" si="526"/>
        <v xml:space="preserve">N733KP  </v>
      </c>
      <c r="BC1800">
        <v>1</v>
      </c>
      <c r="BE1800">
        <v>0</v>
      </c>
      <c r="BF1800">
        <v>0</v>
      </c>
      <c r="BG1800">
        <v>0</v>
      </c>
      <c r="BH1800">
        <v>3425</v>
      </c>
      <c r="BI1800">
        <v>1</v>
      </c>
      <c r="BJ1800">
        <v>1</v>
      </c>
      <c r="BK1800">
        <v>0</v>
      </c>
      <c r="BL1800">
        <v>0</v>
      </c>
      <c r="BO1800">
        <v>0</v>
      </c>
      <c r="BP1800">
        <v>0</v>
      </c>
      <c r="BW1800" t="str">
        <f>"22:17:02.609"</f>
        <v>22:17:02.609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6</v>
      </c>
      <c r="CP1800" t="s">
        <v>119</v>
      </c>
      <c r="CQ1800">
        <v>364</v>
      </c>
      <c r="CR1800">
        <v>0</v>
      </c>
      <c r="CW1800">
        <v>1433889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"03/24/2022 22:17:02.830"</f>
        <v>03/24/2022 22:17:02.830</v>
      </c>
      <c r="C1801" t="str">
        <f t="shared" si="524"/>
        <v>FFDFD3C0</v>
      </c>
      <c r="D1801" t="s">
        <v>123</v>
      </c>
      <c r="E1801">
        <v>8</v>
      </c>
      <c r="H1801">
        <v>31</v>
      </c>
      <c r="I1801" t="s">
        <v>124</v>
      </c>
      <c r="J1801" t="s">
        <v>125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S1801" t="str">
        <f t="shared" si="539"/>
        <v>22:17:02.000</v>
      </c>
      <c r="T1801" t="str">
        <f t="shared" si="539"/>
        <v>22:17:02.000</v>
      </c>
      <c r="U1801" t="str">
        <f t="shared" si="538"/>
        <v>A9D71F</v>
      </c>
      <c r="V1801">
        <v>0</v>
      </c>
      <c r="W1801">
        <v>0</v>
      </c>
      <c r="X1801">
        <v>2</v>
      </c>
      <c r="Z1801">
        <v>1</v>
      </c>
      <c r="AA1801">
        <v>8</v>
      </c>
      <c r="AB1801">
        <v>3</v>
      </c>
      <c r="AC1801">
        <v>0</v>
      </c>
      <c r="AD1801">
        <v>9</v>
      </c>
      <c r="AE1801">
        <v>0</v>
      </c>
      <c r="AF1801">
        <v>3</v>
      </c>
      <c r="AG1801">
        <v>1</v>
      </c>
      <c r="AH1801">
        <v>0</v>
      </c>
      <c r="AI1801" t="s">
        <v>950</v>
      </c>
      <c r="AJ1801">
        <v>33.053527000000003</v>
      </c>
      <c r="AK1801" t="s">
        <v>951</v>
      </c>
      <c r="AL1801">
        <v>-97.666504000000003</v>
      </c>
      <c r="AM1801">
        <v>25</v>
      </c>
      <c r="AN1801">
        <v>3500</v>
      </c>
      <c r="AO1801" t="s">
        <v>118</v>
      </c>
      <c r="AP1801">
        <v>33</v>
      </c>
      <c r="AQ1801">
        <v>-112</v>
      </c>
      <c r="AR1801">
        <v>0</v>
      </c>
      <c r="AZ1801">
        <v>1200</v>
      </c>
      <c r="BA1801">
        <v>1</v>
      </c>
      <c r="BB1801" t="str">
        <f t="shared" si="526"/>
        <v xml:space="preserve">N733KP  </v>
      </c>
      <c r="BC1801">
        <v>1</v>
      </c>
      <c r="BE1801">
        <v>0</v>
      </c>
      <c r="BF1801">
        <v>0</v>
      </c>
      <c r="BG1801">
        <v>0</v>
      </c>
      <c r="BH1801">
        <v>3425</v>
      </c>
      <c r="BI1801">
        <v>1</v>
      </c>
      <c r="BJ1801">
        <v>1</v>
      </c>
      <c r="BK1801">
        <v>0</v>
      </c>
      <c r="BL1801">
        <v>0</v>
      </c>
      <c r="BO1801">
        <v>0</v>
      </c>
      <c r="BP1801">
        <v>0</v>
      </c>
      <c r="BW1801" t="str">
        <f>"22:17:02.609"</f>
        <v>22:17:02.609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6</v>
      </c>
      <c r="CP1801" t="s">
        <v>119</v>
      </c>
      <c r="CQ1801">
        <v>364</v>
      </c>
      <c r="CR1801">
        <v>0</v>
      </c>
      <c r="CW1801">
        <v>1433889</v>
      </c>
      <c r="CY1801">
        <v>1</v>
      </c>
      <c r="CZ1801">
        <v>0</v>
      </c>
      <c r="DA1801">
        <v>1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"03/24/2022 22:17:03.566"</f>
        <v>03/24/2022 22:17:03.566</v>
      </c>
      <c r="C1802" t="str">
        <f t="shared" si="524"/>
        <v>FFDFD3C0</v>
      </c>
      <c r="D1802" t="s">
        <v>123</v>
      </c>
      <c r="E1802">
        <v>8</v>
      </c>
      <c r="H1802">
        <v>31</v>
      </c>
      <c r="I1802" t="s">
        <v>124</v>
      </c>
      <c r="J1802" t="s">
        <v>125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S1802" t="str">
        <f t="shared" ref="S1802:T1805" si="540">"22:17:03.000"</f>
        <v>22:17:03.000</v>
      </c>
      <c r="T1802" t="str">
        <f t="shared" si="540"/>
        <v>22:17:03.000</v>
      </c>
      <c r="U1802" t="str">
        <f t="shared" si="538"/>
        <v>A9D71F</v>
      </c>
      <c r="V1802">
        <v>0</v>
      </c>
      <c r="W1802">
        <v>0</v>
      </c>
      <c r="X1802">
        <v>2</v>
      </c>
      <c r="Z1802">
        <v>1</v>
      </c>
      <c r="AA1802">
        <v>8</v>
      </c>
      <c r="AB1802">
        <v>3</v>
      </c>
      <c r="AC1802">
        <v>0</v>
      </c>
      <c r="AD1802">
        <v>9</v>
      </c>
      <c r="AE1802">
        <v>0</v>
      </c>
      <c r="AF1802">
        <v>3</v>
      </c>
      <c r="AG1802">
        <v>1</v>
      </c>
      <c r="AH1802">
        <v>0</v>
      </c>
      <c r="AI1802" t="s">
        <v>952</v>
      </c>
      <c r="AJ1802">
        <v>33.053012000000003</v>
      </c>
      <c r="AK1802" t="s">
        <v>953</v>
      </c>
      <c r="AL1802">
        <v>-97.666310999999993</v>
      </c>
      <c r="AM1802">
        <v>25</v>
      </c>
      <c r="AN1802">
        <v>3500</v>
      </c>
      <c r="AO1802" t="s">
        <v>118</v>
      </c>
      <c r="AP1802">
        <v>33</v>
      </c>
      <c r="AQ1802">
        <v>-111</v>
      </c>
      <c r="AR1802">
        <v>0</v>
      </c>
      <c r="AZ1802">
        <v>1200</v>
      </c>
      <c r="BA1802">
        <v>1</v>
      </c>
      <c r="BB1802" t="str">
        <f t="shared" si="526"/>
        <v xml:space="preserve">N733KP  </v>
      </c>
      <c r="BC1802">
        <v>1</v>
      </c>
      <c r="BE1802">
        <v>0</v>
      </c>
      <c r="BF1802">
        <v>0</v>
      </c>
      <c r="BG1802">
        <v>0</v>
      </c>
      <c r="BH1802">
        <v>3425</v>
      </c>
      <c r="BI1802">
        <v>1</v>
      </c>
      <c r="BJ1802">
        <v>1</v>
      </c>
      <c r="BK1802">
        <v>0</v>
      </c>
      <c r="BL1802">
        <v>0</v>
      </c>
      <c r="BO1802">
        <v>0</v>
      </c>
      <c r="BP1802">
        <v>0</v>
      </c>
      <c r="BW1802" t="str">
        <f>"22:17:03.402"</f>
        <v>22:17:03.402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6</v>
      </c>
      <c r="CP1802" t="s">
        <v>119</v>
      </c>
      <c r="CQ1802">
        <v>364</v>
      </c>
      <c r="CR1802">
        <v>0</v>
      </c>
      <c r="CW1802">
        <v>1433988</v>
      </c>
      <c r="CY1802">
        <v>1</v>
      </c>
      <c r="CZ1802">
        <v>0</v>
      </c>
      <c r="DA1802">
        <v>0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"03/24/2022 22:17:03.566"</f>
        <v>03/24/2022 22:17:03.566</v>
      </c>
      <c r="C1803" t="str">
        <f t="shared" si="524"/>
        <v>FFDFD3C0</v>
      </c>
      <c r="D1803" t="s">
        <v>126</v>
      </c>
      <c r="E1803">
        <v>3</v>
      </c>
      <c r="H1803">
        <v>160</v>
      </c>
      <c r="I1803" t="s">
        <v>121</v>
      </c>
      <c r="J1803" t="s">
        <v>127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S1803" t="str">
        <f t="shared" si="540"/>
        <v>22:17:03.000</v>
      </c>
      <c r="T1803" t="str">
        <f t="shared" si="540"/>
        <v>22:17:03.000</v>
      </c>
      <c r="U1803" t="str">
        <f t="shared" si="538"/>
        <v>A9D71F</v>
      </c>
      <c r="V1803">
        <v>0</v>
      </c>
      <c r="W1803">
        <v>0</v>
      </c>
      <c r="X1803">
        <v>2</v>
      </c>
      <c r="Z1803">
        <v>1</v>
      </c>
      <c r="AA1803">
        <v>8</v>
      </c>
      <c r="AB1803">
        <v>3</v>
      </c>
      <c r="AC1803">
        <v>0</v>
      </c>
      <c r="AD1803">
        <v>9</v>
      </c>
      <c r="AE1803">
        <v>0</v>
      </c>
      <c r="AF1803">
        <v>3</v>
      </c>
      <c r="AG1803">
        <v>1</v>
      </c>
      <c r="AH1803">
        <v>0</v>
      </c>
      <c r="AI1803" t="s">
        <v>952</v>
      </c>
      <c r="AJ1803">
        <v>33.053012000000003</v>
      </c>
      <c r="AK1803" t="s">
        <v>953</v>
      </c>
      <c r="AL1803">
        <v>-97.666310999999993</v>
      </c>
      <c r="AM1803">
        <v>25</v>
      </c>
      <c r="AN1803">
        <v>3500</v>
      </c>
      <c r="AO1803" t="s">
        <v>118</v>
      </c>
      <c r="AP1803">
        <v>33</v>
      </c>
      <c r="AQ1803">
        <v>-111</v>
      </c>
      <c r="AR1803">
        <v>0</v>
      </c>
      <c r="AZ1803">
        <v>1200</v>
      </c>
      <c r="BA1803">
        <v>1</v>
      </c>
      <c r="BB1803" t="str">
        <f t="shared" si="526"/>
        <v xml:space="preserve">N733KP  </v>
      </c>
      <c r="BC1803">
        <v>1</v>
      </c>
      <c r="BE1803">
        <v>0</v>
      </c>
      <c r="BF1803">
        <v>0</v>
      </c>
      <c r="BG1803">
        <v>0</v>
      </c>
      <c r="BH1803">
        <v>3425</v>
      </c>
      <c r="BI1803">
        <v>1</v>
      </c>
      <c r="BJ1803">
        <v>1</v>
      </c>
      <c r="BK1803">
        <v>0</v>
      </c>
      <c r="BL1803">
        <v>0</v>
      </c>
      <c r="BO1803">
        <v>0</v>
      </c>
      <c r="BP1803">
        <v>0</v>
      </c>
      <c r="BW1803" t="str">
        <f>"22:17:03.402"</f>
        <v>22:17:03.402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6</v>
      </c>
      <c r="CP1803" t="s">
        <v>119</v>
      </c>
      <c r="CQ1803">
        <v>364</v>
      </c>
      <c r="CR1803">
        <v>0</v>
      </c>
      <c r="CW1803">
        <v>1433988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"03/24/2022 22:17:03.613"</f>
        <v>03/24/2022 22:17:03.613</v>
      </c>
      <c r="C1804" t="str">
        <f t="shared" si="524"/>
        <v>FFDFD3C0</v>
      </c>
      <c r="D1804" t="s">
        <v>113</v>
      </c>
      <c r="E1804">
        <v>24</v>
      </c>
      <c r="F1804">
        <v>2024</v>
      </c>
      <c r="G1804" t="s">
        <v>114</v>
      </c>
      <c r="J1804" t="s">
        <v>115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S1804" t="str">
        <f t="shared" si="540"/>
        <v>22:17:03.000</v>
      </c>
      <c r="T1804" t="str">
        <f t="shared" si="540"/>
        <v>22:17:03.000</v>
      </c>
      <c r="U1804" t="str">
        <f t="shared" si="538"/>
        <v>A9D71F</v>
      </c>
      <c r="V1804">
        <v>0</v>
      </c>
      <c r="W1804">
        <v>0</v>
      </c>
      <c r="X1804">
        <v>2</v>
      </c>
      <c r="Z1804">
        <v>1</v>
      </c>
      <c r="AA1804">
        <v>8</v>
      </c>
      <c r="AB1804">
        <v>3</v>
      </c>
      <c r="AC1804">
        <v>0</v>
      </c>
      <c r="AD1804">
        <v>9</v>
      </c>
      <c r="AE1804">
        <v>0</v>
      </c>
      <c r="AF1804">
        <v>3</v>
      </c>
      <c r="AG1804">
        <v>1</v>
      </c>
      <c r="AH1804">
        <v>0</v>
      </c>
      <c r="AI1804" t="s">
        <v>952</v>
      </c>
      <c r="AJ1804">
        <v>33.053012000000003</v>
      </c>
      <c r="AK1804" t="s">
        <v>953</v>
      </c>
      <c r="AL1804">
        <v>-97.666310999999993</v>
      </c>
      <c r="AM1804">
        <v>25</v>
      </c>
      <c r="AN1804">
        <v>3500</v>
      </c>
      <c r="AO1804" t="s">
        <v>118</v>
      </c>
      <c r="AP1804">
        <v>33</v>
      </c>
      <c r="AQ1804">
        <v>-111</v>
      </c>
      <c r="AR1804">
        <v>0</v>
      </c>
      <c r="AZ1804">
        <v>1200</v>
      </c>
      <c r="BA1804">
        <v>1</v>
      </c>
      <c r="BB1804" t="str">
        <f t="shared" si="526"/>
        <v xml:space="preserve">N733KP  </v>
      </c>
      <c r="BC1804">
        <v>1</v>
      </c>
      <c r="BE1804">
        <v>0</v>
      </c>
      <c r="BF1804">
        <v>0</v>
      </c>
      <c r="BG1804">
        <v>0</v>
      </c>
      <c r="BH1804">
        <v>3425</v>
      </c>
      <c r="BI1804">
        <v>1</v>
      </c>
      <c r="BJ1804">
        <v>1</v>
      </c>
      <c r="BK1804">
        <v>0</v>
      </c>
      <c r="BL1804">
        <v>0</v>
      </c>
      <c r="BO1804">
        <v>0</v>
      </c>
      <c r="BP1804">
        <v>0</v>
      </c>
      <c r="BW1804" t="str">
        <f>"22:17:03.402"</f>
        <v>22:17:03.402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6</v>
      </c>
      <c r="CP1804" t="s">
        <v>119</v>
      </c>
      <c r="CQ1804">
        <v>364</v>
      </c>
      <c r="CR1804">
        <v>0</v>
      </c>
      <c r="CW1804">
        <v>1433988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>"03/24/2022 22:17:03.613"</f>
        <v>03/24/2022 22:17:03.613</v>
      </c>
      <c r="C1805" t="str">
        <f t="shared" si="524"/>
        <v>FFDFD3C0</v>
      </c>
      <c r="D1805" t="s">
        <v>120</v>
      </c>
      <c r="E1805">
        <v>14</v>
      </c>
      <c r="F1805">
        <v>1014</v>
      </c>
      <c r="G1805" t="s">
        <v>121</v>
      </c>
      <c r="J1805" t="s">
        <v>122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S1805" t="str">
        <f t="shared" si="540"/>
        <v>22:17:03.000</v>
      </c>
      <c r="T1805" t="str">
        <f t="shared" si="540"/>
        <v>22:17:03.000</v>
      </c>
      <c r="U1805" t="str">
        <f t="shared" si="538"/>
        <v>A9D71F</v>
      </c>
      <c r="V1805">
        <v>0</v>
      </c>
      <c r="W1805">
        <v>0</v>
      </c>
      <c r="X1805">
        <v>2</v>
      </c>
      <c r="Z1805">
        <v>1</v>
      </c>
      <c r="AA1805">
        <v>8</v>
      </c>
      <c r="AB1805">
        <v>3</v>
      </c>
      <c r="AC1805">
        <v>0</v>
      </c>
      <c r="AD1805">
        <v>9</v>
      </c>
      <c r="AE1805">
        <v>0</v>
      </c>
      <c r="AF1805">
        <v>3</v>
      </c>
      <c r="AG1805">
        <v>1</v>
      </c>
      <c r="AH1805">
        <v>0</v>
      </c>
      <c r="AI1805" t="s">
        <v>952</v>
      </c>
      <c r="AJ1805">
        <v>33.053012000000003</v>
      </c>
      <c r="AK1805" t="s">
        <v>953</v>
      </c>
      <c r="AL1805">
        <v>-97.666310999999993</v>
      </c>
      <c r="AM1805">
        <v>25</v>
      </c>
      <c r="AN1805">
        <v>3500</v>
      </c>
      <c r="AO1805" t="s">
        <v>118</v>
      </c>
      <c r="AP1805">
        <v>33</v>
      </c>
      <c r="AQ1805">
        <v>-111</v>
      </c>
      <c r="AR1805">
        <v>0</v>
      </c>
      <c r="AZ1805">
        <v>1200</v>
      </c>
      <c r="BA1805">
        <v>1</v>
      </c>
      <c r="BB1805" t="str">
        <f t="shared" si="526"/>
        <v xml:space="preserve">N733KP  </v>
      </c>
      <c r="BC1805">
        <v>1</v>
      </c>
      <c r="BE1805">
        <v>0</v>
      </c>
      <c r="BF1805">
        <v>0</v>
      </c>
      <c r="BG1805">
        <v>0</v>
      </c>
      <c r="BH1805">
        <v>3425</v>
      </c>
      <c r="BI1805">
        <v>1</v>
      </c>
      <c r="BJ1805">
        <v>1</v>
      </c>
      <c r="BK1805">
        <v>0</v>
      </c>
      <c r="BL1805">
        <v>0</v>
      </c>
      <c r="BO1805">
        <v>0</v>
      </c>
      <c r="BP1805">
        <v>0</v>
      </c>
      <c r="BW1805" t="str">
        <f>"22:17:03.402"</f>
        <v>22:17:03.402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6</v>
      </c>
      <c r="CP1805" t="s">
        <v>119</v>
      </c>
      <c r="CQ1805">
        <v>364</v>
      </c>
      <c r="CR1805">
        <v>0</v>
      </c>
      <c r="CW1805">
        <v>1433988</v>
      </c>
      <c r="CY1805">
        <v>1</v>
      </c>
      <c r="CZ1805">
        <v>0</v>
      </c>
      <c r="DA1805">
        <v>1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>"03/24/2022 22:17:04.457"</f>
        <v>03/24/2022 22:17:04.457</v>
      </c>
      <c r="C1806" t="str">
        <f t="shared" si="524"/>
        <v>FFDFD3C0</v>
      </c>
      <c r="D1806" t="s">
        <v>120</v>
      </c>
      <c r="E1806">
        <v>14</v>
      </c>
      <c r="F1806">
        <v>1014</v>
      </c>
      <c r="G1806" t="s">
        <v>121</v>
      </c>
      <c r="J1806" t="s">
        <v>122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S1806" t="str">
        <f t="shared" ref="S1806:T1809" si="541">"22:17:04.000"</f>
        <v>22:17:04.000</v>
      </c>
      <c r="T1806" t="str">
        <f t="shared" si="541"/>
        <v>22:17:04.000</v>
      </c>
      <c r="U1806" t="str">
        <f t="shared" si="538"/>
        <v>A9D71F</v>
      </c>
      <c r="V1806">
        <v>0</v>
      </c>
      <c r="W1806">
        <v>0</v>
      </c>
      <c r="X1806">
        <v>2</v>
      </c>
      <c r="Z1806">
        <v>1</v>
      </c>
      <c r="AA1806">
        <v>8</v>
      </c>
      <c r="AB1806">
        <v>3</v>
      </c>
      <c r="AC1806">
        <v>0</v>
      </c>
      <c r="AD1806">
        <v>9</v>
      </c>
      <c r="AE1806">
        <v>0</v>
      </c>
      <c r="AF1806">
        <v>3</v>
      </c>
      <c r="AG1806">
        <v>1</v>
      </c>
      <c r="AH1806">
        <v>0</v>
      </c>
      <c r="AI1806" t="s">
        <v>954</v>
      </c>
      <c r="AJ1806">
        <v>33.052475000000001</v>
      </c>
      <c r="AK1806" t="s">
        <v>955</v>
      </c>
      <c r="AL1806">
        <v>-97.666117999999997</v>
      </c>
      <c r="AM1806">
        <v>25</v>
      </c>
      <c r="AN1806">
        <v>3500</v>
      </c>
      <c r="AO1806" t="s">
        <v>118</v>
      </c>
      <c r="AP1806">
        <v>33</v>
      </c>
      <c r="AQ1806">
        <v>-112</v>
      </c>
      <c r="AR1806">
        <v>0</v>
      </c>
      <c r="AZ1806">
        <v>1200</v>
      </c>
      <c r="BA1806">
        <v>1</v>
      </c>
      <c r="BB1806" t="str">
        <f t="shared" si="526"/>
        <v xml:space="preserve">N733KP  </v>
      </c>
      <c r="BC1806">
        <v>1</v>
      </c>
      <c r="BE1806">
        <v>0</v>
      </c>
      <c r="BF1806">
        <v>0</v>
      </c>
      <c r="BG1806">
        <v>0</v>
      </c>
      <c r="BH1806">
        <v>3425</v>
      </c>
      <c r="BI1806">
        <v>1</v>
      </c>
      <c r="BJ1806">
        <v>1</v>
      </c>
      <c r="BK1806">
        <v>0</v>
      </c>
      <c r="BL1806">
        <v>0</v>
      </c>
      <c r="BO1806">
        <v>0</v>
      </c>
      <c r="BP1806">
        <v>0</v>
      </c>
      <c r="BW1806" t="str">
        <f>"22:17:04.267"</f>
        <v>22:17:04.267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7</v>
      </c>
      <c r="CP1806" t="s">
        <v>119</v>
      </c>
      <c r="CQ1806">
        <v>364</v>
      </c>
      <c r="CR1806">
        <v>0</v>
      </c>
      <c r="CW1806">
        <v>1434119</v>
      </c>
      <c r="CY1806">
        <v>1</v>
      </c>
      <c r="CZ1806">
        <v>0</v>
      </c>
      <c r="DA1806">
        <v>0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>"03/24/2022 22:17:04.473"</f>
        <v>03/24/2022 22:17:04.473</v>
      </c>
      <c r="C1807" t="str">
        <f t="shared" si="524"/>
        <v>FFDFD3C0</v>
      </c>
      <c r="D1807" t="s">
        <v>126</v>
      </c>
      <c r="E1807">
        <v>3</v>
      </c>
      <c r="H1807">
        <v>160</v>
      </c>
      <c r="I1807" t="s">
        <v>121</v>
      </c>
      <c r="J1807" t="s">
        <v>127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S1807" t="str">
        <f t="shared" si="541"/>
        <v>22:17:04.000</v>
      </c>
      <c r="T1807" t="str">
        <f t="shared" si="541"/>
        <v>22:17:04.000</v>
      </c>
      <c r="U1807" t="str">
        <f t="shared" si="538"/>
        <v>A9D71F</v>
      </c>
      <c r="V1807">
        <v>0</v>
      </c>
      <c r="W1807">
        <v>0</v>
      </c>
      <c r="X1807">
        <v>2</v>
      </c>
      <c r="Z1807">
        <v>1</v>
      </c>
      <c r="AA1807">
        <v>8</v>
      </c>
      <c r="AB1807">
        <v>3</v>
      </c>
      <c r="AC1807">
        <v>0</v>
      </c>
      <c r="AD1807">
        <v>9</v>
      </c>
      <c r="AE1807">
        <v>0</v>
      </c>
      <c r="AF1807">
        <v>3</v>
      </c>
      <c r="AG1807">
        <v>1</v>
      </c>
      <c r="AH1807">
        <v>0</v>
      </c>
      <c r="AI1807" t="s">
        <v>954</v>
      </c>
      <c r="AJ1807">
        <v>33.052475000000001</v>
      </c>
      <c r="AK1807" t="s">
        <v>955</v>
      </c>
      <c r="AL1807">
        <v>-97.666117999999997</v>
      </c>
      <c r="AM1807">
        <v>25</v>
      </c>
      <c r="AN1807">
        <v>3500</v>
      </c>
      <c r="AO1807" t="s">
        <v>118</v>
      </c>
      <c r="AP1807">
        <v>33</v>
      </c>
      <c r="AQ1807">
        <v>-112</v>
      </c>
      <c r="AR1807">
        <v>0</v>
      </c>
      <c r="AZ1807">
        <v>1200</v>
      </c>
      <c r="BA1807">
        <v>1</v>
      </c>
      <c r="BB1807" t="str">
        <f t="shared" si="526"/>
        <v xml:space="preserve">N733KP  </v>
      </c>
      <c r="BC1807">
        <v>1</v>
      </c>
      <c r="BE1807">
        <v>0</v>
      </c>
      <c r="BF1807">
        <v>0</v>
      </c>
      <c r="BG1807">
        <v>0</v>
      </c>
      <c r="BH1807">
        <v>3425</v>
      </c>
      <c r="BI1807">
        <v>1</v>
      </c>
      <c r="BJ1807">
        <v>1</v>
      </c>
      <c r="BK1807">
        <v>0</v>
      </c>
      <c r="BL1807">
        <v>0</v>
      </c>
      <c r="BO1807">
        <v>0</v>
      </c>
      <c r="BP1807">
        <v>0</v>
      </c>
      <c r="BW1807" t="str">
        <f>"22:17:04.267"</f>
        <v>22:17:04.267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7</v>
      </c>
      <c r="CP1807" t="s">
        <v>119</v>
      </c>
      <c r="CQ1807">
        <v>364</v>
      </c>
      <c r="CR1807">
        <v>0</v>
      </c>
      <c r="CW1807">
        <v>1434119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>"03/24/2022 22:17:04.457"</f>
        <v>03/24/2022 22:17:04.457</v>
      </c>
      <c r="C1808" t="str">
        <f t="shared" si="524"/>
        <v>FFDFD3C0</v>
      </c>
      <c r="D1808" t="s">
        <v>113</v>
      </c>
      <c r="E1808">
        <v>24</v>
      </c>
      <c r="F1808">
        <v>2024</v>
      </c>
      <c r="G1808" t="s">
        <v>114</v>
      </c>
      <c r="J1808" t="s">
        <v>115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S1808" t="str">
        <f t="shared" si="541"/>
        <v>22:17:04.000</v>
      </c>
      <c r="T1808" t="str">
        <f t="shared" si="541"/>
        <v>22:17:04.000</v>
      </c>
      <c r="U1808" t="str">
        <f t="shared" si="538"/>
        <v>A9D71F</v>
      </c>
      <c r="V1808">
        <v>0</v>
      </c>
      <c r="W1808">
        <v>0</v>
      </c>
      <c r="X1808">
        <v>2</v>
      </c>
      <c r="Z1808">
        <v>1</v>
      </c>
      <c r="AA1808">
        <v>8</v>
      </c>
      <c r="AB1808">
        <v>3</v>
      </c>
      <c r="AC1808">
        <v>0</v>
      </c>
      <c r="AD1808">
        <v>9</v>
      </c>
      <c r="AE1808">
        <v>0</v>
      </c>
      <c r="AF1808">
        <v>3</v>
      </c>
      <c r="AG1808">
        <v>1</v>
      </c>
      <c r="AH1808">
        <v>0</v>
      </c>
      <c r="AI1808" t="s">
        <v>954</v>
      </c>
      <c r="AJ1808">
        <v>33.052475000000001</v>
      </c>
      <c r="AK1808" t="s">
        <v>955</v>
      </c>
      <c r="AL1808">
        <v>-97.666117999999997</v>
      </c>
      <c r="AM1808">
        <v>25</v>
      </c>
      <c r="AN1808">
        <v>3500</v>
      </c>
      <c r="AO1808" t="s">
        <v>118</v>
      </c>
      <c r="AP1808">
        <v>33</v>
      </c>
      <c r="AQ1808">
        <v>-112</v>
      </c>
      <c r="AR1808">
        <v>0</v>
      </c>
      <c r="AZ1808">
        <v>1200</v>
      </c>
      <c r="BA1808">
        <v>1</v>
      </c>
      <c r="BB1808" t="str">
        <f t="shared" si="526"/>
        <v xml:space="preserve">N733KP  </v>
      </c>
      <c r="BC1808">
        <v>1</v>
      </c>
      <c r="BE1808">
        <v>0</v>
      </c>
      <c r="BF1808">
        <v>0</v>
      </c>
      <c r="BG1808">
        <v>0</v>
      </c>
      <c r="BH1808">
        <v>3425</v>
      </c>
      <c r="BI1808">
        <v>1</v>
      </c>
      <c r="BJ1808">
        <v>1</v>
      </c>
      <c r="BK1808">
        <v>0</v>
      </c>
      <c r="BL1808">
        <v>0</v>
      </c>
      <c r="BO1808">
        <v>0</v>
      </c>
      <c r="BP1808">
        <v>0</v>
      </c>
      <c r="BW1808" t="str">
        <f>"22:17:04.267"</f>
        <v>22:17:04.267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7</v>
      </c>
      <c r="CP1808" t="s">
        <v>119</v>
      </c>
      <c r="CQ1808">
        <v>364</v>
      </c>
      <c r="CR1808">
        <v>0</v>
      </c>
      <c r="CW1808">
        <v>1434119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>"03/24/2022 22:17:04.473"</f>
        <v>03/24/2022 22:17:04.473</v>
      </c>
      <c r="C1809" t="str">
        <f t="shared" si="524"/>
        <v>FFDFD3C0</v>
      </c>
      <c r="D1809" t="s">
        <v>123</v>
      </c>
      <c r="E1809">
        <v>8</v>
      </c>
      <c r="H1809">
        <v>31</v>
      </c>
      <c r="I1809" t="s">
        <v>124</v>
      </c>
      <c r="J1809" t="s">
        <v>125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S1809" t="str">
        <f t="shared" si="541"/>
        <v>22:17:04.000</v>
      </c>
      <c r="T1809" t="str">
        <f t="shared" si="541"/>
        <v>22:17:04.000</v>
      </c>
      <c r="U1809" t="str">
        <f t="shared" si="538"/>
        <v>A9D71F</v>
      </c>
      <c r="V1809">
        <v>0</v>
      </c>
      <c r="W1809">
        <v>0</v>
      </c>
      <c r="X1809">
        <v>2</v>
      </c>
      <c r="Z1809">
        <v>1</v>
      </c>
      <c r="AA1809">
        <v>8</v>
      </c>
      <c r="AB1809">
        <v>3</v>
      </c>
      <c r="AC1809">
        <v>0</v>
      </c>
      <c r="AD1809">
        <v>9</v>
      </c>
      <c r="AE1809">
        <v>0</v>
      </c>
      <c r="AF1809">
        <v>3</v>
      </c>
      <c r="AG1809">
        <v>1</v>
      </c>
      <c r="AH1809">
        <v>0</v>
      </c>
      <c r="AI1809" t="s">
        <v>954</v>
      </c>
      <c r="AJ1809">
        <v>33.052475000000001</v>
      </c>
      <c r="AK1809" t="s">
        <v>955</v>
      </c>
      <c r="AL1809">
        <v>-97.666117999999997</v>
      </c>
      <c r="AM1809">
        <v>25</v>
      </c>
      <c r="AN1809">
        <v>3500</v>
      </c>
      <c r="AO1809" t="s">
        <v>118</v>
      </c>
      <c r="AP1809">
        <v>33</v>
      </c>
      <c r="AQ1809">
        <v>-112</v>
      </c>
      <c r="AR1809">
        <v>0</v>
      </c>
      <c r="AZ1809">
        <v>1200</v>
      </c>
      <c r="BA1809">
        <v>1</v>
      </c>
      <c r="BB1809" t="str">
        <f t="shared" si="526"/>
        <v xml:space="preserve">N733KP  </v>
      </c>
      <c r="BC1809">
        <v>1</v>
      </c>
      <c r="BE1809">
        <v>0</v>
      </c>
      <c r="BF1809">
        <v>0</v>
      </c>
      <c r="BG1809">
        <v>0</v>
      </c>
      <c r="BH1809">
        <v>3425</v>
      </c>
      <c r="BI1809">
        <v>1</v>
      </c>
      <c r="BJ1809">
        <v>1</v>
      </c>
      <c r="BK1809">
        <v>0</v>
      </c>
      <c r="BL1809">
        <v>0</v>
      </c>
      <c r="BO1809">
        <v>0</v>
      </c>
      <c r="BP1809">
        <v>0</v>
      </c>
      <c r="BW1809" t="str">
        <f>"22:17:04.267"</f>
        <v>22:17:04.267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7</v>
      </c>
      <c r="CP1809" t="s">
        <v>119</v>
      </c>
      <c r="CQ1809">
        <v>364</v>
      </c>
      <c r="CR1809">
        <v>0</v>
      </c>
      <c r="CW1809">
        <v>1434119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>"03/24/2022 22:17:05.410"</f>
        <v>03/24/2022 22:17:05.410</v>
      </c>
      <c r="C1810" t="str">
        <f t="shared" si="524"/>
        <v>FFDFD3C0</v>
      </c>
      <c r="D1810" t="s">
        <v>113</v>
      </c>
      <c r="E1810">
        <v>24</v>
      </c>
      <c r="F1810">
        <v>2024</v>
      </c>
      <c r="G1810" t="s">
        <v>114</v>
      </c>
      <c r="J1810" t="s">
        <v>115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S1810" t="str">
        <f t="shared" ref="S1810:T1813" si="542">"22:17:05.000"</f>
        <v>22:17:05.000</v>
      </c>
      <c r="T1810" t="str">
        <f t="shared" si="542"/>
        <v>22:17:05.000</v>
      </c>
      <c r="U1810" t="str">
        <f t="shared" si="538"/>
        <v>A9D71F</v>
      </c>
      <c r="V1810">
        <v>0</v>
      </c>
      <c r="W1810">
        <v>0</v>
      </c>
      <c r="X1810">
        <v>2</v>
      </c>
      <c r="Z1810">
        <v>1</v>
      </c>
      <c r="AA1810">
        <v>8</v>
      </c>
      <c r="AB1810">
        <v>3</v>
      </c>
      <c r="AC1810">
        <v>0</v>
      </c>
      <c r="AD1810">
        <v>9</v>
      </c>
      <c r="AE1810">
        <v>0</v>
      </c>
      <c r="AF1810">
        <v>3</v>
      </c>
      <c r="AG1810">
        <v>1</v>
      </c>
      <c r="AH1810">
        <v>0</v>
      </c>
      <c r="AI1810" t="s">
        <v>956</v>
      </c>
      <c r="AJ1810">
        <v>33.051960000000001</v>
      </c>
      <c r="AK1810" t="s">
        <v>957</v>
      </c>
      <c r="AL1810">
        <v>-97.665925000000001</v>
      </c>
      <c r="AM1810">
        <v>25</v>
      </c>
      <c r="AN1810">
        <v>3500</v>
      </c>
      <c r="AO1810" t="s">
        <v>118</v>
      </c>
      <c r="AP1810">
        <v>31</v>
      </c>
      <c r="AQ1810">
        <v>-110</v>
      </c>
      <c r="AR1810">
        <v>0</v>
      </c>
      <c r="AZ1810">
        <v>1200</v>
      </c>
      <c r="BA1810">
        <v>1</v>
      </c>
      <c r="BB1810" t="str">
        <f t="shared" si="526"/>
        <v xml:space="preserve">N733KP  </v>
      </c>
      <c r="BC1810">
        <v>1</v>
      </c>
      <c r="BE1810">
        <v>0</v>
      </c>
      <c r="BF1810">
        <v>0</v>
      </c>
      <c r="BG1810">
        <v>0</v>
      </c>
      <c r="BH1810">
        <v>3425</v>
      </c>
      <c r="BI1810">
        <v>1</v>
      </c>
      <c r="BJ1810">
        <v>1</v>
      </c>
      <c r="BK1810">
        <v>0</v>
      </c>
      <c r="BL1810">
        <v>0</v>
      </c>
      <c r="BO1810">
        <v>0</v>
      </c>
      <c r="BP1810">
        <v>0</v>
      </c>
      <c r="BW1810" t="str">
        <f>"22:17:05.265"</f>
        <v>22:17:05.265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364</v>
      </c>
      <c r="CR1810">
        <v>0</v>
      </c>
      <c r="CW1810">
        <v>1434265</v>
      </c>
      <c r="CY1810">
        <v>1</v>
      </c>
      <c r="CZ1810">
        <v>0</v>
      </c>
      <c r="DA1810">
        <v>0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>"03/24/2022 22:17:05.410"</f>
        <v>03/24/2022 22:17:05.410</v>
      </c>
      <c r="C1811" t="str">
        <f t="shared" si="524"/>
        <v>FFDFD3C0</v>
      </c>
      <c r="D1811" t="s">
        <v>120</v>
      </c>
      <c r="E1811">
        <v>14</v>
      </c>
      <c r="F1811">
        <v>1014</v>
      </c>
      <c r="G1811" t="s">
        <v>121</v>
      </c>
      <c r="J1811" t="s">
        <v>122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S1811" t="str">
        <f t="shared" si="542"/>
        <v>22:17:05.000</v>
      </c>
      <c r="T1811" t="str">
        <f t="shared" si="542"/>
        <v>22:17:05.000</v>
      </c>
      <c r="U1811" t="str">
        <f t="shared" si="538"/>
        <v>A9D71F</v>
      </c>
      <c r="V1811">
        <v>0</v>
      </c>
      <c r="W1811">
        <v>0</v>
      </c>
      <c r="X1811">
        <v>2</v>
      </c>
      <c r="Z1811">
        <v>1</v>
      </c>
      <c r="AA1811">
        <v>8</v>
      </c>
      <c r="AB1811">
        <v>3</v>
      </c>
      <c r="AC1811">
        <v>0</v>
      </c>
      <c r="AD1811">
        <v>9</v>
      </c>
      <c r="AE1811">
        <v>0</v>
      </c>
      <c r="AF1811">
        <v>3</v>
      </c>
      <c r="AG1811">
        <v>1</v>
      </c>
      <c r="AH1811">
        <v>0</v>
      </c>
      <c r="AI1811" t="s">
        <v>956</v>
      </c>
      <c r="AJ1811">
        <v>33.051960000000001</v>
      </c>
      <c r="AK1811" t="s">
        <v>957</v>
      </c>
      <c r="AL1811">
        <v>-97.665925000000001</v>
      </c>
      <c r="AM1811">
        <v>25</v>
      </c>
      <c r="AN1811">
        <v>3500</v>
      </c>
      <c r="AO1811" t="s">
        <v>118</v>
      </c>
      <c r="AP1811">
        <v>31</v>
      </c>
      <c r="AQ1811">
        <v>-110</v>
      </c>
      <c r="AR1811">
        <v>0</v>
      </c>
      <c r="AZ1811">
        <v>1200</v>
      </c>
      <c r="BA1811">
        <v>1</v>
      </c>
      <c r="BB1811" t="str">
        <f t="shared" si="526"/>
        <v xml:space="preserve">N733KP  </v>
      </c>
      <c r="BC1811">
        <v>1</v>
      </c>
      <c r="BE1811">
        <v>0</v>
      </c>
      <c r="BF1811">
        <v>0</v>
      </c>
      <c r="BG1811">
        <v>0</v>
      </c>
      <c r="BH1811">
        <v>3425</v>
      </c>
      <c r="BI1811">
        <v>1</v>
      </c>
      <c r="BJ1811">
        <v>1</v>
      </c>
      <c r="BK1811">
        <v>0</v>
      </c>
      <c r="BL1811">
        <v>0</v>
      </c>
      <c r="BO1811">
        <v>0</v>
      </c>
      <c r="BP1811">
        <v>0</v>
      </c>
      <c r="BW1811" t="str">
        <f>"22:17:05.265"</f>
        <v>22:17:05.265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7</v>
      </c>
      <c r="CP1811" t="s">
        <v>119</v>
      </c>
      <c r="CQ1811">
        <v>364</v>
      </c>
      <c r="CR1811">
        <v>0</v>
      </c>
      <c r="CW1811">
        <v>1434265</v>
      </c>
      <c r="CY1811">
        <v>1</v>
      </c>
      <c r="CZ1811">
        <v>0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>"03/24/2022 22:17:05.488"</f>
        <v>03/24/2022 22:17:05.488</v>
      </c>
      <c r="C1812" t="str">
        <f t="shared" si="524"/>
        <v>FFDFD3C0</v>
      </c>
      <c r="D1812" t="s">
        <v>126</v>
      </c>
      <c r="E1812">
        <v>3</v>
      </c>
      <c r="H1812">
        <v>160</v>
      </c>
      <c r="I1812" t="s">
        <v>121</v>
      </c>
      <c r="J1812" t="s">
        <v>127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S1812" t="str">
        <f t="shared" si="542"/>
        <v>22:17:05.000</v>
      </c>
      <c r="T1812" t="str">
        <f t="shared" si="542"/>
        <v>22:17:05.000</v>
      </c>
      <c r="U1812" t="str">
        <f t="shared" si="538"/>
        <v>A9D71F</v>
      </c>
      <c r="V1812">
        <v>0</v>
      </c>
      <c r="W1812">
        <v>0</v>
      </c>
      <c r="X1812">
        <v>2</v>
      </c>
      <c r="Z1812">
        <v>1</v>
      </c>
      <c r="AA1812">
        <v>8</v>
      </c>
      <c r="AB1812">
        <v>3</v>
      </c>
      <c r="AC1812">
        <v>0</v>
      </c>
      <c r="AD1812">
        <v>9</v>
      </c>
      <c r="AE1812">
        <v>0</v>
      </c>
      <c r="AF1812">
        <v>3</v>
      </c>
      <c r="AG1812">
        <v>1</v>
      </c>
      <c r="AH1812">
        <v>0</v>
      </c>
      <c r="AI1812" t="s">
        <v>956</v>
      </c>
      <c r="AJ1812">
        <v>33.051960000000001</v>
      </c>
      <c r="AK1812" t="s">
        <v>957</v>
      </c>
      <c r="AL1812">
        <v>-97.665925000000001</v>
      </c>
      <c r="AM1812">
        <v>25</v>
      </c>
      <c r="AN1812">
        <v>3500</v>
      </c>
      <c r="AO1812" t="s">
        <v>118</v>
      </c>
      <c r="AP1812">
        <v>31</v>
      </c>
      <c r="AQ1812">
        <v>-110</v>
      </c>
      <c r="AR1812">
        <v>0</v>
      </c>
      <c r="AZ1812">
        <v>1200</v>
      </c>
      <c r="BA1812">
        <v>1</v>
      </c>
      <c r="BB1812" t="str">
        <f t="shared" si="526"/>
        <v xml:space="preserve">N733KP  </v>
      </c>
      <c r="BC1812">
        <v>1</v>
      </c>
      <c r="BE1812">
        <v>0</v>
      </c>
      <c r="BF1812">
        <v>0</v>
      </c>
      <c r="BG1812">
        <v>0</v>
      </c>
      <c r="BH1812">
        <v>3425</v>
      </c>
      <c r="BI1812">
        <v>1</v>
      </c>
      <c r="BJ1812">
        <v>1</v>
      </c>
      <c r="BK1812">
        <v>0</v>
      </c>
      <c r="BL1812">
        <v>0</v>
      </c>
      <c r="BO1812">
        <v>0</v>
      </c>
      <c r="BP1812">
        <v>0</v>
      </c>
      <c r="BW1812" t="str">
        <f>"22:17:05.265"</f>
        <v>22:17:05.265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364</v>
      </c>
      <c r="CR1812">
        <v>0</v>
      </c>
      <c r="CW1812">
        <v>1434265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>"03/24/2022 22:17:05.488"</f>
        <v>03/24/2022 22:17:05.488</v>
      </c>
      <c r="C1813" t="str">
        <f t="shared" si="524"/>
        <v>FFDFD3C0</v>
      </c>
      <c r="D1813" t="s">
        <v>123</v>
      </c>
      <c r="E1813">
        <v>8</v>
      </c>
      <c r="H1813">
        <v>31</v>
      </c>
      <c r="I1813" t="s">
        <v>124</v>
      </c>
      <c r="J1813" t="s">
        <v>125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S1813" t="str">
        <f t="shared" si="542"/>
        <v>22:17:05.000</v>
      </c>
      <c r="T1813" t="str">
        <f t="shared" si="542"/>
        <v>22:17:05.000</v>
      </c>
      <c r="U1813" t="str">
        <f t="shared" si="538"/>
        <v>A9D71F</v>
      </c>
      <c r="V1813">
        <v>0</v>
      </c>
      <c r="W1813">
        <v>0</v>
      </c>
      <c r="X1813">
        <v>2</v>
      </c>
      <c r="Z1813">
        <v>1</v>
      </c>
      <c r="AA1813">
        <v>8</v>
      </c>
      <c r="AB1813">
        <v>3</v>
      </c>
      <c r="AC1813">
        <v>0</v>
      </c>
      <c r="AD1813">
        <v>9</v>
      </c>
      <c r="AE1813">
        <v>0</v>
      </c>
      <c r="AF1813">
        <v>3</v>
      </c>
      <c r="AG1813">
        <v>1</v>
      </c>
      <c r="AH1813">
        <v>0</v>
      </c>
      <c r="AI1813" t="s">
        <v>956</v>
      </c>
      <c r="AJ1813">
        <v>33.051960000000001</v>
      </c>
      <c r="AK1813" t="s">
        <v>957</v>
      </c>
      <c r="AL1813">
        <v>-97.665925000000001</v>
      </c>
      <c r="AM1813">
        <v>25</v>
      </c>
      <c r="AN1813">
        <v>3500</v>
      </c>
      <c r="AO1813" t="s">
        <v>118</v>
      </c>
      <c r="AP1813">
        <v>31</v>
      </c>
      <c r="AQ1813">
        <v>-110</v>
      </c>
      <c r="AR1813">
        <v>0</v>
      </c>
      <c r="AZ1813">
        <v>1200</v>
      </c>
      <c r="BA1813">
        <v>1</v>
      </c>
      <c r="BB1813" t="str">
        <f t="shared" si="526"/>
        <v xml:space="preserve">N733KP  </v>
      </c>
      <c r="BC1813">
        <v>1</v>
      </c>
      <c r="BE1813">
        <v>0</v>
      </c>
      <c r="BF1813">
        <v>0</v>
      </c>
      <c r="BG1813">
        <v>0</v>
      </c>
      <c r="BH1813">
        <v>3425</v>
      </c>
      <c r="BI1813">
        <v>1</v>
      </c>
      <c r="BJ1813">
        <v>1</v>
      </c>
      <c r="BK1813">
        <v>0</v>
      </c>
      <c r="BL1813">
        <v>0</v>
      </c>
      <c r="BO1813">
        <v>0</v>
      </c>
      <c r="BP1813">
        <v>0</v>
      </c>
      <c r="BW1813" t="str">
        <f>"22:17:05.265"</f>
        <v>22:17:05.265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7</v>
      </c>
      <c r="CP1813" t="s">
        <v>119</v>
      </c>
      <c r="CQ1813">
        <v>364</v>
      </c>
      <c r="CR1813">
        <v>0</v>
      </c>
      <c r="CW1813">
        <v>1434265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>"03/24/2022 22:17:06.879"</f>
        <v>03/24/2022 22:17:06.879</v>
      </c>
      <c r="C1814" t="str">
        <f t="shared" ref="C1814:C1877" si="543">"FFDFD3C0"</f>
        <v>FFDFD3C0</v>
      </c>
      <c r="D1814" t="s">
        <v>113</v>
      </c>
      <c r="E1814">
        <v>24</v>
      </c>
      <c r="F1814">
        <v>2024</v>
      </c>
      <c r="G1814" t="s">
        <v>114</v>
      </c>
      <c r="J1814" t="s">
        <v>115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S1814" t="str">
        <f t="shared" ref="S1814:T1817" si="544">"22:17:06.000"</f>
        <v>22:17:06.000</v>
      </c>
      <c r="T1814" t="str">
        <f t="shared" si="544"/>
        <v>22:17:06.000</v>
      </c>
      <c r="U1814" t="str">
        <f t="shared" si="538"/>
        <v>A9D71F</v>
      </c>
      <c r="V1814">
        <v>0</v>
      </c>
      <c r="W1814">
        <v>0</v>
      </c>
      <c r="X1814">
        <v>2</v>
      </c>
      <c r="Z1814">
        <v>1</v>
      </c>
      <c r="AA1814">
        <v>8</v>
      </c>
      <c r="AB1814">
        <v>3</v>
      </c>
      <c r="AC1814">
        <v>0</v>
      </c>
      <c r="AD1814">
        <v>9</v>
      </c>
      <c r="AE1814">
        <v>0</v>
      </c>
      <c r="AF1814">
        <v>3</v>
      </c>
      <c r="AG1814">
        <v>1</v>
      </c>
      <c r="AH1814">
        <v>0</v>
      </c>
      <c r="AI1814" t="s">
        <v>958</v>
      </c>
      <c r="AJ1814">
        <v>33.051423999999997</v>
      </c>
      <c r="AK1814" t="s">
        <v>959</v>
      </c>
      <c r="AL1814">
        <v>-97.665732000000006</v>
      </c>
      <c r="AM1814">
        <v>25</v>
      </c>
      <c r="AN1814">
        <v>3500</v>
      </c>
      <c r="AO1814" t="s">
        <v>118</v>
      </c>
      <c r="AP1814">
        <v>30</v>
      </c>
      <c r="AQ1814">
        <v>-107</v>
      </c>
      <c r="AR1814">
        <v>128</v>
      </c>
      <c r="AZ1814">
        <v>1200</v>
      </c>
      <c r="BA1814">
        <v>1</v>
      </c>
      <c r="BB1814" t="str">
        <f t="shared" ref="BB1814:BB1877" si="545">"N733KP  "</f>
        <v xml:space="preserve">N733KP  </v>
      </c>
      <c r="BC1814">
        <v>1</v>
      </c>
      <c r="BE1814">
        <v>0</v>
      </c>
      <c r="BF1814">
        <v>0</v>
      </c>
      <c r="BG1814">
        <v>0</v>
      </c>
      <c r="BH1814">
        <v>3425</v>
      </c>
      <c r="BI1814">
        <v>1</v>
      </c>
      <c r="BJ1814">
        <v>1</v>
      </c>
      <c r="BK1814">
        <v>0</v>
      </c>
      <c r="BL1814">
        <v>0</v>
      </c>
      <c r="BO1814">
        <v>0</v>
      </c>
      <c r="BP1814">
        <v>0</v>
      </c>
      <c r="BW1814" t="str">
        <f>"22:17:06.718"</f>
        <v>22:17:06.718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6</v>
      </c>
      <c r="CP1814" t="s">
        <v>119</v>
      </c>
      <c r="CQ1814">
        <v>364</v>
      </c>
      <c r="CR1814">
        <v>0</v>
      </c>
      <c r="CW1814">
        <v>1434459</v>
      </c>
      <c r="CY1814">
        <v>1</v>
      </c>
      <c r="CZ1814">
        <v>0</v>
      </c>
      <c r="DA1814">
        <v>0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>"03/24/2022 22:17:06.879"</f>
        <v>03/24/2022 22:17:06.879</v>
      </c>
      <c r="C1815" t="str">
        <f t="shared" si="543"/>
        <v>FFDFD3C0</v>
      </c>
      <c r="D1815" t="s">
        <v>120</v>
      </c>
      <c r="E1815">
        <v>14</v>
      </c>
      <c r="F1815">
        <v>1014</v>
      </c>
      <c r="G1815" t="s">
        <v>121</v>
      </c>
      <c r="J1815" t="s">
        <v>122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S1815" t="str">
        <f t="shared" si="544"/>
        <v>22:17:06.000</v>
      </c>
      <c r="T1815" t="str">
        <f t="shared" si="544"/>
        <v>22:17:06.000</v>
      </c>
      <c r="U1815" t="str">
        <f t="shared" si="538"/>
        <v>A9D71F</v>
      </c>
      <c r="V1815">
        <v>0</v>
      </c>
      <c r="W1815">
        <v>0</v>
      </c>
      <c r="X1815">
        <v>2</v>
      </c>
      <c r="Z1815">
        <v>1</v>
      </c>
      <c r="AA1815">
        <v>8</v>
      </c>
      <c r="AB1815">
        <v>3</v>
      </c>
      <c r="AC1815">
        <v>0</v>
      </c>
      <c r="AD1815">
        <v>9</v>
      </c>
      <c r="AE1815">
        <v>0</v>
      </c>
      <c r="AF1815">
        <v>3</v>
      </c>
      <c r="AG1815">
        <v>1</v>
      </c>
      <c r="AH1815">
        <v>0</v>
      </c>
      <c r="AI1815" t="s">
        <v>958</v>
      </c>
      <c r="AJ1815">
        <v>33.051423999999997</v>
      </c>
      <c r="AK1815" t="s">
        <v>959</v>
      </c>
      <c r="AL1815">
        <v>-97.665732000000006</v>
      </c>
      <c r="AM1815">
        <v>25</v>
      </c>
      <c r="AN1815">
        <v>3500</v>
      </c>
      <c r="AO1815" t="s">
        <v>118</v>
      </c>
      <c r="AP1815">
        <v>30</v>
      </c>
      <c r="AQ1815">
        <v>-107</v>
      </c>
      <c r="AR1815">
        <v>128</v>
      </c>
      <c r="AZ1815">
        <v>1200</v>
      </c>
      <c r="BA1815">
        <v>1</v>
      </c>
      <c r="BB1815" t="str">
        <f t="shared" si="545"/>
        <v xml:space="preserve">N733KP  </v>
      </c>
      <c r="BC1815">
        <v>1</v>
      </c>
      <c r="BE1815">
        <v>0</v>
      </c>
      <c r="BF1815">
        <v>0</v>
      </c>
      <c r="BG1815">
        <v>0</v>
      </c>
      <c r="BH1815">
        <v>3425</v>
      </c>
      <c r="BI1815">
        <v>1</v>
      </c>
      <c r="BJ1815">
        <v>1</v>
      </c>
      <c r="BK1815">
        <v>0</v>
      </c>
      <c r="BL1815">
        <v>0</v>
      </c>
      <c r="BO1815">
        <v>0</v>
      </c>
      <c r="BP1815">
        <v>0</v>
      </c>
      <c r="BW1815" t="str">
        <f>"22:17:06.718"</f>
        <v>22:17:06.718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6</v>
      </c>
      <c r="CP1815" t="s">
        <v>119</v>
      </c>
      <c r="CQ1815">
        <v>364</v>
      </c>
      <c r="CR1815">
        <v>0</v>
      </c>
      <c r="CW1815">
        <v>1434459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"03/24/2022 22:17:06.895"</f>
        <v>03/24/2022 22:17:06.895</v>
      </c>
      <c r="C1816" t="str">
        <f t="shared" si="543"/>
        <v>FFDFD3C0</v>
      </c>
      <c r="D1816" t="s">
        <v>123</v>
      </c>
      <c r="E1816">
        <v>8</v>
      </c>
      <c r="H1816">
        <v>31</v>
      </c>
      <c r="I1816" t="s">
        <v>124</v>
      </c>
      <c r="J1816" t="s">
        <v>125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S1816" t="str">
        <f t="shared" si="544"/>
        <v>22:17:06.000</v>
      </c>
      <c r="T1816" t="str">
        <f t="shared" si="544"/>
        <v>22:17:06.000</v>
      </c>
      <c r="U1816" t="str">
        <f t="shared" si="538"/>
        <v>A9D71F</v>
      </c>
      <c r="V1816">
        <v>0</v>
      </c>
      <c r="W1816">
        <v>0</v>
      </c>
      <c r="X1816">
        <v>2</v>
      </c>
      <c r="Z1816">
        <v>1</v>
      </c>
      <c r="AA1816">
        <v>8</v>
      </c>
      <c r="AB1816">
        <v>3</v>
      </c>
      <c r="AC1816">
        <v>0</v>
      </c>
      <c r="AD1816">
        <v>9</v>
      </c>
      <c r="AE1816">
        <v>0</v>
      </c>
      <c r="AF1816">
        <v>3</v>
      </c>
      <c r="AG1816">
        <v>1</v>
      </c>
      <c r="AH1816">
        <v>0</v>
      </c>
      <c r="AI1816" t="s">
        <v>958</v>
      </c>
      <c r="AJ1816">
        <v>33.051423999999997</v>
      </c>
      <c r="AK1816" t="s">
        <v>959</v>
      </c>
      <c r="AL1816">
        <v>-97.665732000000006</v>
      </c>
      <c r="AM1816">
        <v>25</v>
      </c>
      <c r="AN1816">
        <v>3500</v>
      </c>
      <c r="AO1816" t="s">
        <v>118</v>
      </c>
      <c r="AP1816">
        <v>30</v>
      </c>
      <c r="AQ1816">
        <v>-107</v>
      </c>
      <c r="AR1816">
        <v>128</v>
      </c>
      <c r="AZ1816">
        <v>1200</v>
      </c>
      <c r="BA1816">
        <v>1</v>
      </c>
      <c r="BB1816" t="str">
        <f t="shared" si="545"/>
        <v xml:space="preserve">N733KP  </v>
      </c>
      <c r="BC1816">
        <v>1</v>
      </c>
      <c r="BE1816">
        <v>0</v>
      </c>
      <c r="BF1816">
        <v>0</v>
      </c>
      <c r="BG1816">
        <v>0</v>
      </c>
      <c r="BH1816">
        <v>3425</v>
      </c>
      <c r="BI1816">
        <v>1</v>
      </c>
      <c r="BJ1816">
        <v>1</v>
      </c>
      <c r="BK1816">
        <v>0</v>
      </c>
      <c r="BL1816">
        <v>0</v>
      </c>
      <c r="BO1816">
        <v>0</v>
      </c>
      <c r="BP1816">
        <v>0</v>
      </c>
      <c r="BW1816" t="str">
        <f>"22:17:06.718"</f>
        <v>22:17:06.718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6</v>
      </c>
      <c r="CP1816" t="s">
        <v>119</v>
      </c>
      <c r="CQ1816">
        <v>364</v>
      </c>
      <c r="CR1816">
        <v>0</v>
      </c>
      <c r="CW1816">
        <v>1434459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"03/24/2022 22:17:06.895"</f>
        <v>03/24/2022 22:17:06.895</v>
      </c>
      <c r="C1817" t="str">
        <f t="shared" si="543"/>
        <v>FFDFD3C0</v>
      </c>
      <c r="D1817" t="s">
        <v>126</v>
      </c>
      <c r="E1817">
        <v>3</v>
      </c>
      <c r="H1817">
        <v>160</v>
      </c>
      <c r="I1817" t="s">
        <v>121</v>
      </c>
      <c r="J1817" t="s">
        <v>127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S1817" t="str">
        <f t="shared" si="544"/>
        <v>22:17:06.000</v>
      </c>
      <c r="T1817" t="str">
        <f t="shared" si="544"/>
        <v>22:17:06.000</v>
      </c>
      <c r="U1817" t="str">
        <f t="shared" si="538"/>
        <v>A9D71F</v>
      </c>
      <c r="V1817">
        <v>0</v>
      </c>
      <c r="W1817">
        <v>0</v>
      </c>
      <c r="X1817">
        <v>2</v>
      </c>
      <c r="Z1817">
        <v>1</v>
      </c>
      <c r="AA1817">
        <v>8</v>
      </c>
      <c r="AB1817">
        <v>3</v>
      </c>
      <c r="AC1817">
        <v>0</v>
      </c>
      <c r="AD1817">
        <v>9</v>
      </c>
      <c r="AE1817">
        <v>0</v>
      </c>
      <c r="AF1817">
        <v>3</v>
      </c>
      <c r="AG1817">
        <v>1</v>
      </c>
      <c r="AH1817">
        <v>0</v>
      </c>
      <c r="AI1817" t="s">
        <v>958</v>
      </c>
      <c r="AJ1817">
        <v>33.051423999999997</v>
      </c>
      <c r="AK1817" t="s">
        <v>959</v>
      </c>
      <c r="AL1817">
        <v>-97.665732000000006</v>
      </c>
      <c r="AM1817">
        <v>25</v>
      </c>
      <c r="AN1817">
        <v>3500</v>
      </c>
      <c r="AO1817" t="s">
        <v>118</v>
      </c>
      <c r="AP1817">
        <v>30</v>
      </c>
      <c r="AQ1817">
        <v>-107</v>
      </c>
      <c r="AR1817">
        <v>128</v>
      </c>
      <c r="AZ1817">
        <v>1200</v>
      </c>
      <c r="BA1817">
        <v>1</v>
      </c>
      <c r="BB1817" t="str">
        <f t="shared" si="545"/>
        <v xml:space="preserve">N733KP  </v>
      </c>
      <c r="BC1817">
        <v>1</v>
      </c>
      <c r="BE1817">
        <v>0</v>
      </c>
      <c r="BF1817">
        <v>0</v>
      </c>
      <c r="BG1817">
        <v>0</v>
      </c>
      <c r="BH1817">
        <v>3425</v>
      </c>
      <c r="BI1817">
        <v>1</v>
      </c>
      <c r="BJ1817">
        <v>1</v>
      </c>
      <c r="BK1817">
        <v>0</v>
      </c>
      <c r="BL1817">
        <v>0</v>
      </c>
      <c r="BO1817">
        <v>0</v>
      </c>
      <c r="BP1817">
        <v>0</v>
      </c>
      <c r="BW1817" t="str">
        <f>"22:17:06.718"</f>
        <v>22:17:06.718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6</v>
      </c>
      <c r="CP1817" t="s">
        <v>119</v>
      </c>
      <c r="CQ1817">
        <v>364</v>
      </c>
      <c r="CR1817">
        <v>0</v>
      </c>
      <c r="CW1817">
        <v>1434459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"03/24/2022 22:17:07.489"</f>
        <v>03/24/2022 22:17:07.489</v>
      </c>
      <c r="C1818" t="str">
        <f t="shared" si="543"/>
        <v>FFDFD3C0</v>
      </c>
      <c r="D1818" t="s">
        <v>113</v>
      </c>
      <c r="E1818">
        <v>24</v>
      </c>
      <c r="F1818">
        <v>2024</v>
      </c>
      <c r="G1818" t="s">
        <v>114</v>
      </c>
      <c r="J1818" t="s">
        <v>115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S1818" t="str">
        <f t="shared" ref="S1818:T1821" si="546">"22:17:07.000"</f>
        <v>22:17:07.000</v>
      </c>
      <c r="T1818" t="str">
        <f t="shared" si="546"/>
        <v>22:17:07.000</v>
      </c>
      <c r="U1818" t="str">
        <f t="shared" si="538"/>
        <v>A9D71F</v>
      </c>
      <c r="V1818">
        <v>0</v>
      </c>
      <c r="W1818">
        <v>0</v>
      </c>
      <c r="X1818">
        <v>2</v>
      </c>
      <c r="Z1818">
        <v>1</v>
      </c>
      <c r="AA1818">
        <v>8</v>
      </c>
      <c r="AB1818">
        <v>3</v>
      </c>
      <c r="AC1818">
        <v>0</v>
      </c>
      <c r="AD1818">
        <v>9</v>
      </c>
      <c r="AE1818">
        <v>0</v>
      </c>
      <c r="AF1818">
        <v>3</v>
      </c>
      <c r="AG1818">
        <v>1</v>
      </c>
      <c r="AH1818">
        <v>0</v>
      </c>
      <c r="AI1818" t="s">
        <v>960</v>
      </c>
      <c r="AJ1818">
        <v>33.050930999999999</v>
      </c>
      <c r="AK1818" t="s">
        <v>961</v>
      </c>
      <c r="AL1818">
        <v>-97.665559999999999</v>
      </c>
      <c r="AM1818">
        <v>25</v>
      </c>
      <c r="AN1818">
        <v>3500</v>
      </c>
      <c r="AO1818" t="s">
        <v>118</v>
      </c>
      <c r="AP1818">
        <v>29</v>
      </c>
      <c r="AQ1818">
        <v>-106</v>
      </c>
      <c r="AR1818">
        <v>128</v>
      </c>
      <c r="AZ1818">
        <v>1200</v>
      </c>
      <c r="BA1818">
        <v>1</v>
      </c>
      <c r="BB1818" t="str">
        <f t="shared" si="545"/>
        <v xml:space="preserve">N733KP  </v>
      </c>
      <c r="BC1818">
        <v>1</v>
      </c>
      <c r="BE1818">
        <v>0</v>
      </c>
      <c r="BF1818">
        <v>0</v>
      </c>
      <c r="BG1818">
        <v>0</v>
      </c>
      <c r="BH1818">
        <v>3425</v>
      </c>
      <c r="BI1818">
        <v>1</v>
      </c>
      <c r="BJ1818">
        <v>1</v>
      </c>
      <c r="BK1818">
        <v>0</v>
      </c>
      <c r="BL1818">
        <v>0</v>
      </c>
      <c r="BO1818">
        <v>0</v>
      </c>
      <c r="BP1818">
        <v>0</v>
      </c>
      <c r="BW1818" t="str">
        <f>"22:17:07.319"</f>
        <v>22:17:07.319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6</v>
      </c>
      <c r="CP1818" t="s">
        <v>119</v>
      </c>
      <c r="CQ1818">
        <v>364</v>
      </c>
      <c r="CR1818">
        <v>0</v>
      </c>
      <c r="CW1818">
        <v>1434544</v>
      </c>
      <c r="CY1818">
        <v>1</v>
      </c>
      <c r="CZ1818">
        <v>0</v>
      </c>
      <c r="DA1818">
        <v>0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"03/24/2022 22:17:07.489"</f>
        <v>03/24/2022 22:17:07.489</v>
      </c>
      <c r="C1819" t="str">
        <f t="shared" si="543"/>
        <v>FFDFD3C0</v>
      </c>
      <c r="D1819" t="s">
        <v>120</v>
      </c>
      <c r="E1819">
        <v>14</v>
      </c>
      <c r="F1819">
        <v>1014</v>
      </c>
      <c r="G1819" t="s">
        <v>121</v>
      </c>
      <c r="J1819" t="s">
        <v>122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S1819" t="str">
        <f t="shared" si="546"/>
        <v>22:17:07.000</v>
      </c>
      <c r="T1819" t="str">
        <f t="shared" si="546"/>
        <v>22:17:07.000</v>
      </c>
      <c r="U1819" t="str">
        <f t="shared" si="538"/>
        <v>A9D71F</v>
      </c>
      <c r="V1819">
        <v>0</v>
      </c>
      <c r="W1819">
        <v>0</v>
      </c>
      <c r="X1819">
        <v>2</v>
      </c>
      <c r="Z1819">
        <v>1</v>
      </c>
      <c r="AA1819">
        <v>8</v>
      </c>
      <c r="AB1819">
        <v>3</v>
      </c>
      <c r="AC1819">
        <v>0</v>
      </c>
      <c r="AD1819">
        <v>9</v>
      </c>
      <c r="AE1819">
        <v>0</v>
      </c>
      <c r="AF1819">
        <v>3</v>
      </c>
      <c r="AG1819">
        <v>1</v>
      </c>
      <c r="AH1819">
        <v>0</v>
      </c>
      <c r="AI1819" t="s">
        <v>960</v>
      </c>
      <c r="AJ1819">
        <v>33.050930999999999</v>
      </c>
      <c r="AK1819" t="s">
        <v>961</v>
      </c>
      <c r="AL1819">
        <v>-97.665559999999999</v>
      </c>
      <c r="AM1819">
        <v>25</v>
      </c>
      <c r="AN1819">
        <v>3500</v>
      </c>
      <c r="AO1819" t="s">
        <v>118</v>
      </c>
      <c r="AP1819">
        <v>29</v>
      </c>
      <c r="AQ1819">
        <v>-106</v>
      </c>
      <c r="AR1819">
        <v>128</v>
      </c>
      <c r="AZ1819">
        <v>1200</v>
      </c>
      <c r="BA1819">
        <v>1</v>
      </c>
      <c r="BB1819" t="str">
        <f t="shared" si="545"/>
        <v xml:space="preserve">N733KP  </v>
      </c>
      <c r="BC1819">
        <v>1</v>
      </c>
      <c r="BE1819">
        <v>0</v>
      </c>
      <c r="BF1819">
        <v>0</v>
      </c>
      <c r="BG1819">
        <v>0</v>
      </c>
      <c r="BH1819">
        <v>3425</v>
      </c>
      <c r="BI1819">
        <v>1</v>
      </c>
      <c r="BJ1819">
        <v>1</v>
      </c>
      <c r="BK1819">
        <v>0</v>
      </c>
      <c r="BL1819">
        <v>0</v>
      </c>
      <c r="BO1819">
        <v>0</v>
      </c>
      <c r="BP1819">
        <v>0</v>
      </c>
      <c r="BW1819" t="str">
        <f>"22:17:07.319"</f>
        <v>22:17:07.319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6</v>
      </c>
      <c r="CP1819" t="s">
        <v>119</v>
      </c>
      <c r="CQ1819">
        <v>364</v>
      </c>
      <c r="CR1819">
        <v>0</v>
      </c>
      <c r="CW1819">
        <v>1434544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"03/24/2022 22:17:07.505"</f>
        <v>03/24/2022 22:17:07.505</v>
      </c>
      <c r="C1820" t="str">
        <f t="shared" si="543"/>
        <v>FFDFD3C0</v>
      </c>
      <c r="D1820" t="s">
        <v>123</v>
      </c>
      <c r="E1820">
        <v>8</v>
      </c>
      <c r="H1820">
        <v>31</v>
      </c>
      <c r="I1820" t="s">
        <v>124</v>
      </c>
      <c r="J1820" t="s">
        <v>125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S1820" t="str">
        <f t="shared" si="546"/>
        <v>22:17:07.000</v>
      </c>
      <c r="T1820" t="str">
        <f t="shared" si="546"/>
        <v>22:17:07.000</v>
      </c>
      <c r="U1820" t="str">
        <f t="shared" si="538"/>
        <v>A9D71F</v>
      </c>
      <c r="V1820">
        <v>0</v>
      </c>
      <c r="W1820">
        <v>0</v>
      </c>
      <c r="X1820">
        <v>2</v>
      </c>
      <c r="Z1820">
        <v>1</v>
      </c>
      <c r="AA1820">
        <v>8</v>
      </c>
      <c r="AB1820">
        <v>3</v>
      </c>
      <c r="AC1820">
        <v>0</v>
      </c>
      <c r="AD1820">
        <v>9</v>
      </c>
      <c r="AE1820">
        <v>0</v>
      </c>
      <c r="AF1820">
        <v>3</v>
      </c>
      <c r="AG1820">
        <v>1</v>
      </c>
      <c r="AH1820">
        <v>0</v>
      </c>
      <c r="AI1820" t="s">
        <v>960</v>
      </c>
      <c r="AJ1820">
        <v>33.050930999999999</v>
      </c>
      <c r="AK1820" t="s">
        <v>961</v>
      </c>
      <c r="AL1820">
        <v>-97.665559999999999</v>
      </c>
      <c r="AM1820">
        <v>25</v>
      </c>
      <c r="AN1820">
        <v>3500</v>
      </c>
      <c r="AO1820" t="s">
        <v>118</v>
      </c>
      <c r="AP1820">
        <v>29</v>
      </c>
      <c r="AQ1820">
        <v>-106</v>
      </c>
      <c r="AR1820">
        <v>128</v>
      </c>
      <c r="AZ1820">
        <v>1200</v>
      </c>
      <c r="BA1820">
        <v>1</v>
      </c>
      <c r="BB1820" t="str">
        <f t="shared" si="545"/>
        <v xml:space="preserve">N733KP  </v>
      </c>
      <c r="BC1820">
        <v>1</v>
      </c>
      <c r="BE1820">
        <v>0</v>
      </c>
      <c r="BF1820">
        <v>0</v>
      </c>
      <c r="BG1820">
        <v>0</v>
      </c>
      <c r="BH1820">
        <v>3425</v>
      </c>
      <c r="BI1820">
        <v>1</v>
      </c>
      <c r="BJ1820">
        <v>1</v>
      </c>
      <c r="BK1820">
        <v>0</v>
      </c>
      <c r="BL1820">
        <v>0</v>
      </c>
      <c r="BO1820">
        <v>0</v>
      </c>
      <c r="BP1820">
        <v>0</v>
      </c>
      <c r="BW1820" t="str">
        <f>"22:17:07.319"</f>
        <v>22:17:07.319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6</v>
      </c>
      <c r="CP1820" t="s">
        <v>119</v>
      </c>
      <c r="CQ1820">
        <v>364</v>
      </c>
      <c r="CR1820">
        <v>0</v>
      </c>
      <c r="CW1820">
        <v>1434544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"03/24/2022 22:17:07.505"</f>
        <v>03/24/2022 22:17:07.505</v>
      </c>
      <c r="C1821" t="str">
        <f t="shared" si="543"/>
        <v>FFDFD3C0</v>
      </c>
      <c r="D1821" t="s">
        <v>126</v>
      </c>
      <c r="E1821">
        <v>3</v>
      </c>
      <c r="H1821">
        <v>160</v>
      </c>
      <c r="I1821" t="s">
        <v>121</v>
      </c>
      <c r="J1821" t="s">
        <v>127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S1821" t="str">
        <f t="shared" si="546"/>
        <v>22:17:07.000</v>
      </c>
      <c r="T1821" t="str">
        <f t="shared" si="546"/>
        <v>22:17:07.000</v>
      </c>
      <c r="U1821" t="str">
        <f t="shared" si="538"/>
        <v>A9D71F</v>
      </c>
      <c r="V1821">
        <v>0</v>
      </c>
      <c r="W1821">
        <v>0</v>
      </c>
      <c r="X1821">
        <v>2</v>
      </c>
      <c r="Z1821">
        <v>1</v>
      </c>
      <c r="AA1821">
        <v>8</v>
      </c>
      <c r="AB1821">
        <v>3</v>
      </c>
      <c r="AC1821">
        <v>0</v>
      </c>
      <c r="AD1821">
        <v>9</v>
      </c>
      <c r="AE1821">
        <v>0</v>
      </c>
      <c r="AF1821">
        <v>3</v>
      </c>
      <c r="AG1821">
        <v>1</v>
      </c>
      <c r="AH1821">
        <v>0</v>
      </c>
      <c r="AI1821" t="s">
        <v>960</v>
      </c>
      <c r="AJ1821">
        <v>33.050930999999999</v>
      </c>
      <c r="AK1821" t="s">
        <v>961</v>
      </c>
      <c r="AL1821">
        <v>-97.665559999999999</v>
      </c>
      <c r="AM1821">
        <v>25</v>
      </c>
      <c r="AN1821">
        <v>3500</v>
      </c>
      <c r="AO1821" t="s">
        <v>118</v>
      </c>
      <c r="AP1821">
        <v>29</v>
      </c>
      <c r="AQ1821">
        <v>-106</v>
      </c>
      <c r="AR1821">
        <v>128</v>
      </c>
      <c r="AZ1821">
        <v>1200</v>
      </c>
      <c r="BA1821">
        <v>1</v>
      </c>
      <c r="BB1821" t="str">
        <f t="shared" si="545"/>
        <v xml:space="preserve">N733KP  </v>
      </c>
      <c r="BC1821">
        <v>1</v>
      </c>
      <c r="BE1821">
        <v>0</v>
      </c>
      <c r="BF1821">
        <v>0</v>
      </c>
      <c r="BG1821">
        <v>0</v>
      </c>
      <c r="BH1821">
        <v>3425</v>
      </c>
      <c r="BI1821">
        <v>1</v>
      </c>
      <c r="BJ1821">
        <v>1</v>
      </c>
      <c r="BK1821">
        <v>0</v>
      </c>
      <c r="BL1821">
        <v>0</v>
      </c>
      <c r="BO1821">
        <v>0</v>
      </c>
      <c r="BP1821">
        <v>0</v>
      </c>
      <c r="BW1821" t="str">
        <f>"22:17:07.319"</f>
        <v>22:17:07.319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6</v>
      </c>
      <c r="CP1821" t="s">
        <v>119</v>
      </c>
      <c r="CQ1821">
        <v>364</v>
      </c>
      <c r="CR1821">
        <v>0</v>
      </c>
      <c r="CW1821">
        <v>1434544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"03/24/2022 22:17:08.726"</f>
        <v>03/24/2022 22:17:08.726</v>
      </c>
      <c r="C1822" t="str">
        <f t="shared" si="543"/>
        <v>FFDFD3C0</v>
      </c>
      <c r="D1822" t="s">
        <v>120</v>
      </c>
      <c r="E1822">
        <v>14</v>
      </c>
      <c r="F1822">
        <v>1014</v>
      </c>
      <c r="G1822" t="s">
        <v>121</v>
      </c>
      <c r="J1822" t="s">
        <v>122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S1822" t="str">
        <f t="shared" ref="S1822:T1825" si="547">"22:17:08.000"</f>
        <v>22:17:08.000</v>
      </c>
      <c r="T1822" t="str">
        <f t="shared" si="547"/>
        <v>22:17:08.000</v>
      </c>
      <c r="U1822" t="str">
        <f t="shared" si="538"/>
        <v>A9D71F</v>
      </c>
      <c r="V1822">
        <v>0</v>
      </c>
      <c r="W1822">
        <v>0</v>
      </c>
      <c r="X1822">
        <v>2</v>
      </c>
      <c r="Z1822">
        <v>1</v>
      </c>
      <c r="AA1822">
        <v>8</v>
      </c>
      <c r="AB1822">
        <v>3</v>
      </c>
      <c r="AC1822">
        <v>0</v>
      </c>
      <c r="AD1822">
        <v>9</v>
      </c>
      <c r="AE1822">
        <v>0</v>
      </c>
      <c r="AF1822">
        <v>3</v>
      </c>
      <c r="AG1822">
        <v>1</v>
      </c>
      <c r="AH1822">
        <v>0</v>
      </c>
      <c r="AI1822" t="s">
        <v>962</v>
      </c>
      <c r="AJ1822">
        <v>33.050457999999999</v>
      </c>
      <c r="AK1822" t="s">
        <v>963</v>
      </c>
      <c r="AL1822">
        <v>-97.665409999999994</v>
      </c>
      <c r="AM1822">
        <v>25</v>
      </c>
      <c r="AN1822">
        <v>3500</v>
      </c>
      <c r="AO1822" t="s">
        <v>118</v>
      </c>
      <c r="AP1822">
        <v>28</v>
      </c>
      <c r="AQ1822">
        <v>-103</v>
      </c>
      <c r="AR1822">
        <v>128</v>
      </c>
      <c r="AZ1822">
        <v>1200</v>
      </c>
      <c r="BA1822">
        <v>1</v>
      </c>
      <c r="BB1822" t="str">
        <f t="shared" si="545"/>
        <v xml:space="preserve">N733KP  </v>
      </c>
      <c r="BC1822">
        <v>1</v>
      </c>
      <c r="BE1822">
        <v>0</v>
      </c>
      <c r="BF1822">
        <v>0</v>
      </c>
      <c r="BG1822">
        <v>0</v>
      </c>
      <c r="BH1822">
        <v>3425</v>
      </c>
      <c r="BI1822">
        <v>1</v>
      </c>
      <c r="BJ1822">
        <v>1</v>
      </c>
      <c r="BK1822">
        <v>0</v>
      </c>
      <c r="BL1822">
        <v>0</v>
      </c>
      <c r="BO1822">
        <v>0</v>
      </c>
      <c r="BP1822">
        <v>0</v>
      </c>
      <c r="BW1822" t="str">
        <f>"22:17:08.561"</f>
        <v>22:17:08.561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6</v>
      </c>
      <c r="CP1822" t="s">
        <v>119</v>
      </c>
      <c r="CQ1822">
        <v>364</v>
      </c>
      <c r="CR1822">
        <v>0</v>
      </c>
      <c r="CW1822">
        <v>1434717</v>
      </c>
      <c r="CY1822">
        <v>1</v>
      </c>
      <c r="CZ1822">
        <v>0</v>
      </c>
      <c r="DA1822">
        <v>0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"03/24/2022 22:17:08.726"</f>
        <v>03/24/2022 22:17:08.726</v>
      </c>
      <c r="C1823" t="str">
        <f t="shared" si="543"/>
        <v>FFDFD3C0</v>
      </c>
      <c r="D1823" t="s">
        <v>123</v>
      </c>
      <c r="E1823">
        <v>8</v>
      </c>
      <c r="H1823">
        <v>31</v>
      </c>
      <c r="I1823" t="s">
        <v>124</v>
      </c>
      <c r="J1823" t="s">
        <v>125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S1823" t="str">
        <f t="shared" si="547"/>
        <v>22:17:08.000</v>
      </c>
      <c r="T1823" t="str">
        <f t="shared" si="547"/>
        <v>22:17:08.000</v>
      </c>
      <c r="U1823" t="str">
        <f t="shared" si="538"/>
        <v>A9D71F</v>
      </c>
      <c r="V1823">
        <v>0</v>
      </c>
      <c r="W1823">
        <v>0</v>
      </c>
      <c r="X1823">
        <v>2</v>
      </c>
      <c r="Z1823">
        <v>1</v>
      </c>
      <c r="AA1823">
        <v>8</v>
      </c>
      <c r="AB1823">
        <v>3</v>
      </c>
      <c r="AC1823">
        <v>0</v>
      </c>
      <c r="AD1823">
        <v>9</v>
      </c>
      <c r="AE1823">
        <v>0</v>
      </c>
      <c r="AF1823">
        <v>3</v>
      </c>
      <c r="AG1823">
        <v>1</v>
      </c>
      <c r="AH1823">
        <v>0</v>
      </c>
      <c r="AI1823" t="s">
        <v>962</v>
      </c>
      <c r="AJ1823">
        <v>33.050457999999999</v>
      </c>
      <c r="AK1823" t="s">
        <v>963</v>
      </c>
      <c r="AL1823">
        <v>-97.665409999999994</v>
      </c>
      <c r="AM1823">
        <v>25</v>
      </c>
      <c r="AN1823">
        <v>3500</v>
      </c>
      <c r="AO1823" t="s">
        <v>118</v>
      </c>
      <c r="AP1823">
        <v>28</v>
      </c>
      <c r="AQ1823">
        <v>-103</v>
      </c>
      <c r="AR1823">
        <v>128</v>
      </c>
      <c r="AZ1823">
        <v>1200</v>
      </c>
      <c r="BA1823">
        <v>1</v>
      </c>
      <c r="BB1823" t="str">
        <f t="shared" si="545"/>
        <v xml:space="preserve">N733KP  </v>
      </c>
      <c r="BC1823">
        <v>1</v>
      </c>
      <c r="BE1823">
        <v>0</v>
      </c>
      <c r="BF1823">
        <v>0</v>
      </c>
      <c r="BG1823">
        <v>0</v>
      </c>
      <c r="BH1823">
        <v>3425</v>
      </c>
      <c r="BI1823">
        <v>1</v>
      </c>
      <c r="BJ1823">
        <v>1</v>
      </c>
      <c r="BK1823">
        <v>0</v>
      </c>
      <c r="BL1823">
        <v>0</v>
      </c>
      <c r="BO1823">
        <v>0</v>
      </c>
      <c r="BP1823">
        <v>0</v>
      </c>
      <c r="BW1823" t="str">
        <f>"22:17:08.561"</f>
        <v>22:17:08.561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6</v>
      </c>
      <c r="CP1823" t="s">
        <v>119</v>
      </c>
      <c r="CQ1823">
        <v>364</v>
      </c>
      <c r="CR1823">
        <v>0</v>
      </c>
      <c r="CW1823">
        <v>1434717</v>
      </c>
      <c r="CY1823">
        <v>1</v>
      </c>
      <c r="CZ1823">
        <v>0</v>
      </c>
      <c r="DA1823">
        <v>1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"03/24/2022 22:17:08.726"</f>
        <v>03/24/2022 22:17:08.726</v>
      </c>
      <c r="C1824" t="str">
        <f t="shared" si="543"/>
        <v>FFDFD3C0</v>
      </c>
      <c r="D1824" t="s">
        <v>126</v>
      </c>
      <c r="E1824">
        <v>3</v>
      </c>
      <c r="H1824">
        <v>160</v>
      </c>
      <c r="I1824" t="s">
        <v>121</v>
      </c>
      <c r="J1824" t="s">
        <v>127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S1824" t="str">
        <f t="shared" si="547"/>
        <v>22:17:08.000</v>
      </c>
      <c r="T1824" t="str">
        <f t="shared" si="547"/>
        <v>22:17:08.000</v>
      </c>
      <c r="U1824" t="str">
        <f t="shared" si="538"/>
        <v>A9D71F</v>
      </c>
      <c r="V1824">
        <v>0</v>
      </c>
      <c r="W1824">
        <v>0</v>
      </c>
      <c r="X1824">
        <v>2</v>
      </c>
      <c r="Z1824">
        <v>1</v>
      </c>
      <c r="AA1824">
        <v>8</v>
      </c>
      <c r="AB1824">
        <v>3</v>
      </c>
      <c r="AC1824">
        <v>0</v>
      </c>
      <c r="AD1824">
        <v>9</v>
      </c>
      <c r="AE1824">
        <v>0</v>
      </c>
      <c r="AF1824">
        <v>3</v>
      </c>
      <c r="AG1824">
        <v>1</v>
      </c>
      <c r="AH1824">
        <v>0</v>
      </c>
      <c r="AI1824" t="s">
        <v>962</v>
      </c>
      <c r="AJ1824">
        <v>33.050457999999999</v>
      </c>
      <c r="AK1824" t="s">
        <v>963</v>
      </c>
      <c r="AL1824">
        <v>-97.665409999999994</v>
      </c>
      <c r="AM1824">
        <v>25</v>
      </c>
      <c r="AN1824">
        <v>3500</v>
      </c>
      <c r="AO1824" t="s">
        <v>118</v>
      </c>
      <c r="AP1824">
        <v>28</v>
      </c>
      <c r="AQ1824">
        <v>-103</v>
      </c>
      <c r="AR1824">
        <v>128</v>
      </c>
      <c r="AZ1824">
        <v>1200</v>
      </c>
      <c r="BA1824">
        <v>1</v>
      </c>
      <c r="BB1824" t="str">
        <f t="shared" si="545"/>
        <v xml:space="preserve">N733KP  </v>
      </c>
      <c r="BC1824">
        <v>1</v>
      </c>
      <c r="BE1824">
        <v>0</v>
      </c>
      <c r="BF1824">
        <v>0</v>
      </c>
      <c r="BG1824">
        <v>0</v>
      </c>
      <c r="BH1824">
        <v>3425</v>
      </c>
      <c r="BI1824">
        <v>1</v>
      </c>
      <c r="BJ1824">
        <v>1</v>
      </c>
      <c r="BK1824">
        <v>0</v>
      </c>
      <c r="BL1824">
        <v>0</v>
      </c>
      <c r="BO1824">
        <v>0</v>
      </c>
      <c r="BP1824">
        <v>0</v>
      </c>
      <c r="BW1824" t="str">
        <f>"22:17:08.561"</f>
        <v>22:17:08.561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6</v>
      </c>
      <c r="CP1824" t="s">
        <v>119</v>
      </c>
      <c r="CQ1824">
        <v>364</v>
      </c>
      <c r="CR1824">
        <v>0</v>
      </c>
      <c r="CW1824">
        <v>1434717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"03/24/2022 22:17:08.757"</f>
        <v>03/24/2022 22:17:08.757</v>
      </c>
      <c r="C1825" t="str">
        <f t="shared" si="543"/>
        <v>FFDFD3C0</v>
      </c>
      <c r="D1825" t="s">
        <v>113</v>
      </c>
      <c r="E1825">
        <v>24</v>
      </c>
      <c r="F1825">
        <v>2024</v>
      </c>
      <c r="G1825" t="s">
        <v>114</v>
      </c>
      <c r="J1825" t="s">
        <v>115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S1825" t="str">
        <f t="shared" si="547"/>
        <v>22:17:08.000</v>
      </c>
      <c r="T1825" t="str">
        <f t="shared" si="547"/>
        <v>22:17:08.000</v>
      </c>
      <c r="U1825" t="str">
        <f t="shared" si="538"/>
        <v>A9D71F</v>
      </c>
      <c r="V1825">
        <v>0</v>
      </c>
      <c r="W1825">
        <v>0</v>
      </c>
      <c r="X1825">
        <v>2</v>
      </c>
      <c r="Z1825">
        <v>1</v>
      </c>
      <c r="AA1825">
        <v>8</v>
      </c>
      <c r="AB1825">
        <v>3</v>
      </c>
      <c r="AC1825">
        <v>0</v>
      </c>
      <c r="AD1825">
        <v>9</v>
      </c>
      <c r="AE1825">
        <v>0</v>
      </c>
      <c r="AF1825">
        <v>3</v>
      </c>
      <c r="AG1825">
        <v>1</v>
      </c>
      <c r="AH1825">
        <v>0</v>
      </c>
      <c r="AI1825" t="s">
        <v>962</v>
      </c>
      <c r="AJ1825">
        <v>33.050457999999999</v>
      </c>
      <c r="AK1825" t="s">
        <v>963</v>
      </c>
      <c r="AL1825">
        <v>-97.665409999999994</v>
      </c>
      <c r="AM1825">
        <v>25</v>
      </c>
      <c r="AN1825">
        <v>3500</v>
      </c>
      <c r="AO1825" t="s">
        <v>118</v>
      </c>
      <c r="AP1825">
        <v>28</v>
      </c>
      <c r="AQ1825">
        <v>-103</v>
      </c>
      <c r="AR1825">
        <v>128</v>
      </c>
      <c r="AZ1825">
        <v>1200</v>
      </c>
      <c r="BA1825">
        <v>1</v>
      </c>
      <c r="BB1825" t="str">
        <f t="shared" si="545"/>
        <v xml:space="preserve">N733KP  </v>
      </c>
      <c r="BC1825">
        <v>1</v>
      </c>
      <c r="BE1825">
        <v>0</v>
      </c>
      <c r="BF1825">
        <v>0</v>
      </c>
      <c r="BG1825">
        <v>0</v>
      </c>
      <c r="BH1825">
        <v>3425</v>
      </c>
      <c r="BI1825">
        <v>1</v>
      </c>
      <c r="BJ1825">
        <v>1</v>
      </c>
      <c r="BK1825">
        <v>0</v>
      </c>
      <c r="BL1825">
        <v>0</v>
      </c>
      <c r="BO1825">
        <v>0</v>
      </c>
      <c r="BP1825">
        <v>0</v>
      </c>
      <c r="BW1825" t="str">
        <f>"22:17:08.561"</f>
        <v>22:17:08.561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6</v>
      </c>
      <c r="CP1825" t="s">
        <v>119</v>
      </c>
      <c r="CQ1825">
        <v>364</v>
      </c>
      <c r="CR1825">
        <v>0</v>
      </c>
      <c r="CW1825">
        <v>1434717</v>
      </c>
      <c r="CY1825">
        <v>1</v>
      </c>
      <c r="CZ1825">
        <v>0</v>
      </c>
      <c r="DA1825">
        <v>1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"03/24/2022 22:17:09.539"</f>
        <v>03/24/2022 22:17:09.539</v>
      </c>
      <c r="C1826" t="str">
        <f t="shared" si="543"/>
        <v>FFDFD3C0</v>
      </c>
      <c r="D1826" t="s">
        <v>113</v>
      </c>
      <c r="E1826">
        <v>24</v>
      </c>
      <c r="F1826">
        <v>2024</v>
      </c>
      <c r="G1826" t="s">
        <v>114</v>
      </c>
      <c r="J1826" t="s">
        <v>115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S1826" t="str">
        <f t="shared" ref="S1826:T1829" si="548">"22:17:09.000"</f>
        <v>22:17:09.000</v>
      </c>
      <c r="T1826" t="str">
        <f t="shared" si="548"/>
        <v>22:17:09.000</v>
      </c>
      <c r="U1826" t="str">
        <f t="shared" si="538"/>
        <v>A9D71F</v>
      </c>
      <c r="V1826">
        <v>0</v>
      </c>
      <c r="W1826">
        <v>0</v>
      </c>
      <c r="X1826">
        <v>2</v>
      </c>
      <c r="Z1826">
        <v>1</v>
      </c>
      <c r="AA1826">
        <v>8</v>
      </c>
      <c r="AB1826">
        <v>3</v>
      </c>
      <c r="AC1826">
        <v>0</v>
      </c>
      <c r="AD1826">
        <v>9</v>
      </c>
      <c r="AE1826">
        <v>0</v>
      </c>
      <c r="AF1826">
        <v>3</v>
      </c>
      <c r="AG1826">
        <v>1</v>
      </c>
      <c r="AH1826">
        <v>0</v>
      </c>
      <c r="AI1826" t="s">
        <v>964</v>
      </c>
      <c r="AJ1826">
        <v>33.049965</v>
      </c>
      <c r="AK1826" t="s">
        <v>965</v>
      </c>
      <c r="AL1826">
        <v>-97.665238000000002</v>
      </c>
      <c r="AM1826">
        <v>25</v>
      </c>
      <c r="AN1826">
        <v>3500</v>
      </c>
      <c r="AO1826" t="s">
        <v>118</v>
      </c>
      <c r="AP1826">
        <v>27</v>
      </c>
      <c r="AQ1826">
        <v>-101</v>
      </c>
      <c r="AR1826">
        <v>128</v>
      </c>
      <c r="AZ1826">
        <v>1200</v>
      </c>
      <c r="BA1826">
        <v>1</v>
      </c>
      <c r="BB1826" t="str">
        <f t="shared" si="545"/>
        <v xml:space="preserve">N733KP  </v>
      </c>
      <c r="BC1826">
        <v>1</v>
      </c>
      <c r="BE1826">
        <v>0</v>
      </c>
      <c r="BF1826">
        <v>0</v>
      </c>
      <c r="BG1826">
        <v>0</v>
      </c>
      <c r="BH1826">
        <v>3425</v>
      </c>
      <c r="BI1826">
        <v>1</v>
      </c>
      <c r="BJ1826">
        <v>1</v>
      </c>
      <c r="BK1826">
        <v>0</v>
      </c>
      <c r="BL1826">
        <v>0</v>
      </c>
      <c r="BO1826">
        <v>0</v>
      </c>
      <c r="BP1826">
        <v>0</v>
      </c>
      <c r="BW1826" t="str">
        <f>"22:17:09.367"</f>
        <v>22:17:09.367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5</v>
      </c>
      <c r="CP1826" t="s">
        <v>119</v>
      </c>
      <c r="CQ1826">
        <v>365</v>
      </c>
      <c r="CR1826">
        <v>0</v>
      </c>
      <c r="CW1826">
        <v>11499641</v>
      </c>
      <c r="CY1826">
        <v>1</v>
      </c>
      <c r="CZ1826">
        <v>0</v>
      </c>
      <c r="DA1826">
        <v>0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"03/24/2022 22:17:09.539"</f>
        <v>03/24/2022 22:17:09.539</v>
      </c>
      <c r="C1827" t="str">
        <f t="shared" si="543"/>
        <v>FFDFD3C0</v>
      </c>
      <c r="D1827" t="s">
        <v>123</v>
      </c>
      <c r="E1827">
        <v>8</v>
      </c>
      <c r="H1827">
        <v>31</v>
      </c>
      <c r="I1827" t="s">
        <v>124</v>
      </c>
      <c r="J1827" t="s">
        <v>125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S1827" t="str">
        <f t="shared" si="548"/>
        <v>22:17:09.000</v>
      </c>
      <c r="T1827" t="str">
        <f t="shared" si="548"/>
        <v>22:17:09.000</v>
      </c>
      <c r="U1827" t="str">
        <f t="shared" si="538"/>
        <v>A9D71F</v>
      </c>
      <c r="V1827">
        <v>0</v>
      </c>
      <c r="W1827">
        <v>0</v>
      </c>
      <c r="X1827">
        <v>2</v>
      </c>
      <c r="Z1827">
        <v>1</v>
      </c>
      <c r="AA1827">
        <v>8</v>
      </c>
      <c r="AB1827">
        <v>3</v>
      </c>
      <c r="AC1827">
        <v>0</v>
      </c>
      <c r="AD1827">
        <v>9</v>
      </c>
      <c r="AE1827">
        <v>0</v>
      </c>
      <c r="AF1827">
        <v>3</v>
      </c>
      <c r="AG1827">
        <v>1</v>
      </c>
      <c r="AH1827">
        <v>0</v>
      </c>
      <c r="AI1827" t="s">
        <v>964</v>
      </c>
      <c r="AJ1827">
        <v>33.049965</v>
      </c>
      <c r="AK1827" t="s">
        <v>965</v>
      </c>
      <c r="AL1827">
        <v>-97.665238000000002</v>
      </c>
      <c r="AM1827">
        <v>25</v>
      </c>
      <c r="AN1827">
        <v>3500</v>
      </c>
      <c r="AO1827" t="s">
        <v>118</v>
      </c>
      <c r="AP1827">
        <v>27</v>
      </c>
      <c r="AQ1827">
        <v>-101</v>
      </c>
      <c r="AR1827">
        <v>128</v>
      </c>
      <c r="AZ1827">
        <v>1200</v>
      </c>
      <c r="BA1827">
        <v>1</v>
      </c>
      <c r="BB1827" t="str">
        <f t="shared" si="545"/>
        <v xml:space="preserve">N733KP  </v>
      </c>
      <c r="BC1827">
        <v>1</v>
      </c>
      <c r="BE1827">
        <v>0</v>
      </c>
      <c r="BF1827">
        <v>0</v>
      </c>
      <c r="BG1827">
        <v>0</v>
      </c>
      <c r="BH1827">
        <v>3425</v>
      </c>
      <c r="BI1827">
        <v>1</v>
      </c>
      <c r="BJ1827">
        <v>1</v>
      </c>
      <c r="BK1827">
        <v>0</v>
      </c>
      <c r="BL1827">
        <v>0</v>
      </c>
      <c r="BO1827">
        <v>0</v>
      </c>
      <c r="BP1827">
        <v>0</v>
      </c>
      <c r="BW1827" t="str">
        <f>"22:17:09.367"</f>
        <v>22:17:09.367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5</v>
      </c>
      <c r="CP1827" t="s">
        <v>119</v>
      </c>
      <c r="CQ1827">
        <v>365</v>
      </c>
      <c r="CR1827">
        <v>0</v>
      </c>
      <c r="CW1827">
        <v>11499641</v>
      </c>
      <c r="CY1827">
        <v>1</v>
      </c>
      <c r="CZ1827">
        <v>0</v>
      </c>
      <c r="DA1827">
        <v>1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"03/24/2022 22:17:09.539"</f>
        <v>03/24/2022 22:17:09.539</v>
      </c>
      <c r="C1828" t="str">
        <f t="shared" si="543"/>
        <v>FFDFD3C0</v>
      </c>
      <c r="D1828" t="s">
        <v>120</v>
      </c>
      <c r="E1828">
        <v>14</v>
      </c>
      <c r="F1828">
        <v>1014</v>
      </c>
      <c r="G1828" t="s">
        <v>121</v>
      </c>
      <c r="J1828" t="s">
        <v>122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S1828" t="str">
        <f t="shared" si="548"/>
        <v>22:17:09.000</v>
      </c>
      <c r="T1828" t="str">
        <f t="shared" si="548"/>
        <v>22:17:09.000</v>
      </c>
      <c r="U1828" t="str">
        <f t="shared" si="538"/>
        <v>A9D71F</v>
      </c>
      <c r="V1828">
        <v>0</v>
      </c>
      <c r="W1828">
        <v>0</v>
      </c>
      <c r="X1828">
        <v>2</v>
      </c>
      <c r="Z1828">
        <v>1</v>
      </c>
      <c r="AA1828">
        <v>8</v>
      </c>
      <c r="AB1828">
        <v>3</v>
      </c>
      <c r="AC1828">
        <v>0</v>
      </c>
      <c r="AD1828">
        <v>9</v>
      </c>
      <c r="AE1828">
        <v>0</v>
      </c>
      <c r="AF1828">
        <v>3</v>
      </c>
      <c r="AG1828">
        <v>1</v>
      </c>
      <c r="AH1828">
        <v>0</v>
      </c>
      <c r="AI1828" t="s">
        <v>964</v>
      </c>
      <c r="AJ1828">
        <v>33.049965</v>
      </c>
      <c r="AK1828" t="s">
        <v>965</v>
      </c>
      <c r="AL1828">
        <v>-97.665238000000002</v>
      </c>
      <c r="AM1828">
        <v>25</v>
      </c>
      <c r="AN1828">
        <v>3500</v>
      </c>
      <c r="AO1828" t="s">
        <v>118</v>
      </c>
      <c r="AP1828">
        <v>27</v>
      </c>
      <c r="AQ1828">
        <v>-101</v>
      </c>
      <c r="AR1828">
        <v>128</v>
      </c>
      <c r="AZ1828">
        <v>1200</v>
      </c>
      <c r="BA1828">
        <v>1</v>
      </c>
      <c r="BB1828" t="str">
        <f t="shared" si="545"/>
        <v xml:space="preserve">N733KP  </v>
      </c>
      <c r="BC1828">
        <v>1</v>
      </c>
      <c r="BE1828">
        <v>0</v>
      </c>
      <c r="BF1828">
        <v>0</v>
      </c>
      <c r="BG1828">
        <v>0</v>
      </c>
      <c r="BH1828">
        <v>3425</v>
      </c>
      <c r="BI1828">
        <v>1</v>
      </c>
      <c r="BJ1828">
        <v>1</v>
      </c>
      <c r="BK1828">
        <v>0</v>
      </c>
      <c r="BL1828">
        <v>0</v>
      </c>
      <c r="BO1828">
        <v>0</v>
      </c>
      <c r="BP1828">
        <v>0</v>
      </c>
      <c r="BW1828" t="str">
        <f>"22:17:09.367"</f>
        <v>22:17:09.367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5</v>
      </c>
      <c r="CP1828" t="s">
        <v>119</v>
      </c>
      <c r="CQ1828">
        <v>365</v>
      </c>
      <c r="CR1828">
        <v>0</v>
      </c>
      <c r="CW1828">
        <v>11499641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"03/24/2022 22:17:09.539"</f>
        <v>03/24/2022 22:17:09.539</v>
      </c>
      <c r="C1829" t="str">
        <f t="shared" si="543"/>
        <v>FFDFD3C0</v>
      </c>
      <c r="D1829" t="s">
        <v>126</v>
      </c>
      <c r="E1829">
        <v>3</v>
      </c>
      <c r="H1829">
        <v>160</v>
      </c>
      <c r="I1829" t="s">
        <v>121</v>
      </c>
      <c r="J1829" t="s">
        <v>127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S1829" t="str">
        <f t="shared" si="548"/>
        <v>22:17:09.000</v>
      </c>
      <c r="T1829" t="str">
        <f t="shared" si="548"/>
        <v>22:17:09.000</v>
      </c>
      <c r="U1829" t="str">
        <f t="shared" si="538"/>
        <v>A9D71F</v>
      </c>
      <c r="V1829">
        <v>0</v>
      </c>
      <c r="W1829">
        <v>0</v>
      </c>
      <c r="X1829">
        <v>2</v>
      </c>
      <c r="Z1829">
        <v>1</v>
      </c>
      <c r="AA1829">
        <v>8</v>
      </c>
      <c r="AB1829">
        <v>3</v>
      </c>
      <c r="AC1829">
        <v>0</v>
      </c>
      <c r="AD1829">
        <v>9</v>
      </c>
      <c r="AE1829">
        <v>0</v>
      </c>
      <c r="AF1829">
        <v>3</v>
      </c>
      <c r="AG1829">
        <v>1</v>
      </c>
      <c r="AH1829">
        <v>0</v>
      </c>
      <c r="AI1829" t="s">
        <v>964</v>
      </c>
      <c r="AJ1829">
        <v>33.049965</v>
      </c>
      <c r="AK1829" t="s">
        <v>965</v>
      </c>
      <c r="AL1829">
        <v>-97.665238000000002</v>
      </c>
      <c r="AM1829">
        <v>25</v>
      </c>
      <c r="AN1829">
        <v>3500</v>
      </c>
      <c r="AO1829" t="s">
        <v>118</v>
      </c>
      <c r="AP1829">
        <v>27</v>
      </c>
      <c r="AQ1829">
        <v>-101</v>
      </c>
      <c r="AR1829">
        <v>128</v>
      </c>
      <c r="AZ1829">
        <v>1200</v>
      </c>
      <c r="BA1829">
        <v>1</v>
      </c>
      <c r="BB1829" t="str">
        <f t="shared" si="545"/>
        <v xml:space="preserve">N733KP  </v>
      </c>
      <c r="BC1829">
        <v>1</v>
      </c>
      <c r="BE1829">
        <v>0</v>
      </c>
      <c r="BF1829">
        <v>0</v>
      </c>
      <c r="BG1829">
        <v>0</v>
      </c>
      <c r="BH1829">
        <v>3425</v>
      </c>
      <c r="BI1829">
        <v>1</v>
      </c>
      <c r="BJ1829">
        <v>1</v>
      </c>
      <c r="BK1829">
        <v>0</v>
      </c>
      <c r="BL1829">
        <v>0</v>
      </c>
      <c r="BO1829">
        <v>0</v>
      </c>
      <c r="BP1829">
        <v>0</v>
      </c>
      <c r="BW1829" t="str">
        <f>"22:17:09.367"</f>
        <v>22:17:09.367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5</v>
      </c>
      <c r="CP1829" t="s">
        <v>119</v>
      </c>
      <c r="CQ1829">
        <v>365</v>
      </c>
      <c r="CR1829">
        <v>0</v>
      </c>
      <c r="CW1829">
        <v>11499641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"03/24/2022 22:17:10.820"</f>
        <v>03/24/2022 22:17:10.820</v>
      </c>
      <c r="C1830" t="str">
        <f t="shared" si="543"/>
        <v>FFDFD3C0</v>
      </c>
      <c r="D1830" t="s">
        <v>113</v>
      </c>
      <c r="E1830">
        <v>24</v>
      </c>
      <c r="F1830">
        <v>2024</v>
      </c>
      <c r="G1830" t="s">
        <v>114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S1830" t="str">
        <f t="shared" ref="S1830:T1833" si="549">"22:17:10.000"</f>
        <v>22:17:10.000</v>
      </c>
      <c r="T1830" t="str">
        <f t="shared" si="549"/>
        <v>22:17:10.000</v>
      </c>
      <c r="U1830" t="str">
        <f t="shared" si="538"/>
        <v>A9D71F</v>
      </c>
      <c r="V1830">
        <v>0</v>
      </c>
      <c r="W1830">
        <v>0</v>
      </c>
      <c r="X1830">
        <v>2</v>
      </c>
      <c r="Z1830">
        <v>1</v>
      </c>
      <c r="AA1830">
        <v>8</v>
      </c>
      <c r="AB1830">
        <v>3</v>
      </c>
      <c r="AC1830">
        <v>0</v>
      </c>
      <c r="AD1830">
        <v>9</v>
      </c>
      <c r="AE1830">
        <v>0</v>
      </c>
      <c r="AF1830">
        <v>3</v>
      </c>
      <c r="AG1830">
        <v>1</v>
      </c>
      <c r="AH1830">
        <v>0</v>
      </c>
      <c r="AI1830" t="s">
        <v>966</v>
      </c>
      <c r="AJ1830">
        <v>33.049492999999998</v>
      </c>
      <c r="AK1830" t="s">
        <v>967</v>
      </c>
      <c r="AL1830">
        <v>-97.665087999999997</v>
      </c>
      <c r="AM1830">
        <v>25</v>
      </c>
      <c r="AN1830">
        <v>3500</v>
      </c>
      <c r="AO1830" t="s">
        <v>118</v>
      </c>
      <c r="AP1830">
        <v>26</v>
      </c>
      <c r="AQ1830">
        <v>-100</v>
      </c>
      <c r="AR1830">
        <v>128</v>
      </c>
      <c r="AZ1830">
        <v>1200</v>
      </c>
      <c r="BA1830">
        <v>1</v>
      </c>
      <c r="BB1830" t="str">
        <f t="shared" si="545"/>
        <v xml:space="preserve">N733KP  </v>
      </c>
      <c r="BC1830">
        <v>1</v>
      </c>
      <c r="BE1830">
        <v>0</v>
      </c>
      <c r="BF1830">
        <v>0</v>
      </c>
      <c r="BG1830">
        <v>0</v>
      </c>
      <c r="BH1830">
        <v>3425</v>
      </c>
      <c r="BI1830">
        <v>1</v>
      </c>
      <c r="BJ1830">
        <v>1</v>
      </c>
      <c r="BK1830">
        <v>0</v>
      </c>
      <c r="BL1830">
        <v>0</v>
      </c>
      <c r="BO1830">
        <v>0</v>
      </c>
      <c r="BP1830">
        <v>0</v>
      </c>
      <c r="BW1830" t="str">
        <f>"22:17:10.597"</f>
        <v>22:17:10.597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6</v>
      </c>
      <c r="CP1830" t="s">
        <v>119</v>
      </c>
      <c r="CQ1830">
        <v>364</v>
      </c>
      <c r="CR1830">
        <v>0</v>
      </c>
      <c r="CW1830">
        <v>1435007</v>
      </c>
      <c r="CY1830">
        <v>1</v>
      </c>
      <c r="CZ1830">
        <v>0</v>
      </c>
      <c r="DA1830">
        <v>0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>"03/24/2022 22:17:10.820"</f>
        <v>03/24/2022 22:17:10.820</v>
      </c>
      <c r="C1831" t="str">
        <f t="shared" si="543"/>
        <v>FFDFD3C0</v>
      </c>
      <c r="D1831" t="s">
        <v>123</v>
      </c>
      <c r="E1831">
        <v>8</v>
      </c>
      <c r="H1831">
        <v>31</v>
      </c>
      <c r="I1831" t="s">
        <v>124</v>
      </c>
      <c r="J1831" t="s">
        <v>125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S1831" t="str">
        <f t="shared" si="549"/>
        <v>22:17:10.000</v>
      </c>
      <c r="T1831" t="str">
        <f t="shared" si="549"/>
        <v>22:17:10.000</v>
      </c>
      <c r="U1831" t="str">
        <f t="shared" si="538"/>
        <v>A9D71F</v>
      </c>
      <c r="V1831">
        <v>0</v>
      </c>
      <c r="W1831">
        <v>0</v>
      </c>
      <c r="X1831">
        <v>2</v>
      </c>
      <c r="Z1831">
        <v>1</v>
      </c>
      <c r="AA1831">
        <v>8</v>
      </c>
      <c r="AB1831">
        <v>3</v>
      </c>
      <c r="AC1831">
        <v>0</v>
      </c>
      <c r="AD1831">
        <v>9</v>
      </c>
      <c r="AE1831">
        <v>0</v>
      </c>
      <c r="AF1831">
        <v>3</v>
      </c>
      <c r="AG1831">
        <v>1</v>
      </c>
      <c r="AH1831">
        <v>0</v>
      </c>
      <c r="AI1831" t="s">
        <v>966</v>
      </c>
      <c r="AJ1831">
        <v>33.049492999999998</v>
      </c>
      <c r="AK1831" t="s">
        <v>967</v>
      </c>
      <c r="AL1831">
        <v>-97.665087999999997</v>
      </c>
      <c r="AM1831">
        <v>25</v>
      </c>
      <c r="AN1831">
        <v>3500</v>
      </c>
      <c r="AO1831" t="s">
        <v>118</v>
      </c>
      <c r="AP1831">
        <v>26</v>
      </c>
      <c r="AQ1831">
        <v>-100</v>
      </c>
      <c r="AR1831">
        <v>128</v>
      </c>
      <c r="AZ1831">
        <v>1200</v>
      </c>
      <c r="BA1831">
        <v>1</v>
      </c>
      <c r="BB1831" t="str">
        <f t="shared" si="545"/>
        <v xml:space="preserve">N733KP  </v>
      </c>
      <c r="BC1831">
        <v>1</v>
      </c>
      <c r="BE1831">
        <v>0</v>
      </c>
      <c r="BF1831">
        <v>0</v>
      </c>
      <c r="BG1831">
        <v>0</v>
      </c>
      <c r="BH1831">
        <v>3425</v>
      </c>
      <c r="BI1831">
        <v>1</v>
      </c>
      <c r="BJ1831">
        <v>1</v>
      </c>
      <c r="BK1831">
        <v>0</v>
      </c>
      <c r="BL1831">
        <v>0</v>
      </c>
      <c r="BO1831">
        <v>0</v>
      </c>
      <c r="BP1831">
        <v>0</v>
      </c>
      <c r="BW1831" t="str">
        <f>"22:17:10.597"</f>
        <v>22:17:10.597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6</v>
      </c>
      <c r="CP1831" t="s">
        <v>119</v>
      </c>
      <c r="CQ1831">
        <v>364</v>
      </c>
      <c r="CR1831">
        <v>0</v>
      </c>
      <c r="CW1831">
        <v>1435007</v>
      </c>
      <c r="CY1831">
        <v>1</v>
      </c>
      <c r="CZ1831">
        <v>0</v>
      </c>
      <c r="DA1831">
        <v>1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>"03/24/2022 22:17:10.820"</f>
        <v>03/24/2022 22:17:10.820</v>
      </c>
      <c r="C1832" t="str">
        <f t="shared" si="543"/>
        <v>FFDFD3C0</v>
      </c>
      <c r="D1832" t="s">
        <v>120</v>
      </c>
      <c r="E1832">
        <v>14</v>
      </c>
      <c r="F1832">
        <v>1014</v>
      </c>
      <c r="G1832" t="s">
        <v>121</v>
      </c>
      <c r="J1832" t="s">
        <v>122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S1832" t="str">
        <f t="shared" si="549"/>
        <v>22:17:10.000</v>
      </c>
      <c r="T1832" t="str">
        <f t="shared" si="549"/>
        <v>22:17:10.000</v>
      </c>
      <c r="U1832" t="str">
        <f t="shared" si="538"/>
        <v>A9D71F</v>
      </c>
      <c r="V1832">
        <v>0</v>
      </c>
      <c r="W1832">
        <v>0</v>
      </c>
      <c r="X1832">
        <v>2</v>
      </c>
      <c r="Z1832">
        <v>1</v>
      </c>
      <c r="AA1832">
        <v>8</v>
      </c>
      <c r="AB1832">
        <v>3</v>
      </c>
      <c r="AC1832">
        <v>0</v>
      </c>
      <c r="AD1832">
        <v>9</v>
      </c>
      <c r="AE1832">
        <v>0</v>
      </c>
      <c r="AF1832">
        <v>3</v>
      </c>
      <c r="AG1832">
        <v>1</v>
      </c>
      <c r="AH1832">
        <v>0</v>
      </c>
      <c r="AI1832" t="s">
        <v>966</v>
      </c>
      <c r="AJ1832">
        <v>33.049492999999998</v>
      </c>
      <c r="AK1832" t="s">
        <v>967</v>
      </c>
      <c r="AL1832">
        <v>-97.665087999999997</v>
      </c>
      <c r="AM1832">
        <v>25</v>
      </c>
      <c r="AN1832">
        <v>3500</v>
      </c>
      <c r="AO1832" t="s">
        <v>118</v>
      </c>
      <c r="AP1832">
        <v>26</v>
      </c>
      <c r="AQ1832">
        <v>-100</v>
      </c>
      <c r="AR1832">
        <v>128</v>
      </c>
      <c r="AZ1832">
        <v>1200</v>
      </c>
      <c r="BA1832">
        <v>1</v>
      </c>
      <c r="BB1832" t="str">
        <f t="shared" si="545"/>
        <v xml:space="preserve">N733KP  </v>
      </c>
      <c r="BC1832">
        <v>1</v>
      </c>
      <c r="BE1832">
        <v>0</v>
      </c>
      <c r="BF1832">
        <v>0</v>
      </c>
      <c r="BG1832">
        <v>0</v>
      </c>
      <c r="BH1832">
        <v>3425</v>
      </c>
      <c r="BI1832">
        <v>1</v>
      </c>
      <c r="BJ1832">
        <v>1</v>
      </c>
      <c r="BK1832">
        <v>0</v>
      </c>
      <c r="BL1832">
        <v>0</v>
      </c>
      <c r="BO1832">
        <v>0</v>
      </c>
      <c r="BP1832">
        <v>0</v>
      </c>
      <c r="BW1832" t="str">
        <f>"22:17:10.597"</f>
        <v>22:17:10.597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6</v>
      </c>
      <c r="CP1832" t="s">
        <v>119</v>
      </c>
      <c r="CQ1832">
        <v>364</v>
      </c>
      <c r="CR1832">
        <v>0</v>
      </c>
      <c r="CW1832">
        <v>1435007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>"03/24/2022 22:17:10.820"</f>
        <v>03/24/2022 22:17:10.820</v>
      </c>
      <c r="C1833" t="str">
        <f t="shared" si="543"/>
        <v>FFDFD3C0</v>
      </c>
      <c r="D1833" t="s">
        <v>126</v>
      </c>
      <c r="E1833">
        <v>3</v>
      </c>
      <c r="H1833">
        <v>160</v>
      </c>
      <c r="I1833" t="s">
        <v>121</v>
      </c>
      <c r="J1833" t="s">
        <v>127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S1833" t="str">
        <f t="shared" si="549"/>
        <v>22:17:10.000</v>
      </c>
      <c r="T1833" t="str">
        <f t="shared" si="549"/>
        <v>22:17:10.000</v>
      </c>
      <c r="U1833" t="str">
        <f t="shared" si="538"/>
        <v>A9D71F</v>
      </c>
      <c r="V1833">
        <v>0</v>
      </c>
      <c r="W1833">
        <v>0</v>
      </c>
      <c r="X1833">
        <v>2</v>
      </c>
      <c r="Z1833">
        <v>1</v>
      </c>
      <c r="AA1833">
        <v>8</v>
      </c>
      <c r="AB1833">
        <v>3</v>
      </c>
      <c r="AC1833">
        <v>0</v>
      </c>
      <c r="AD1833">
        <v>9</v>
      </c>
      <c r="AE1833">
        <v>0</v>
      </c>
      <c r="AF1833">
        <v>3</v>
      </c>
      <c r="AG1833">
        <v>1</v>
      </c>
      <c r="AH1833">
        <v>0</v>
      </c>
      <c r="AI1833" t="s">
        <v>966</v>
      </c>
      <c r="AJ1833">
        <v>33.049492999999998</v>
      </c>
      <c r="AK1833" t="s">
        <v>967</v>
      </c>
      <c r="AL1833">
        <v>-97.665087999999997</v>
      </c>
      <c r="AM1833">
        <v>25</v>
      </c>
      <c r="AN1833">
        <v>3500</v>
      </c>
      <c r="AO1833" t="s">
        <v>118</v>
      </c>
      <c r="AP1833">
        <v>26</v>
      </c>
      <c r="AQ1833">
        <v>-100</v>
      </c>
      <c r="AR1833">
        <v>128</v>
      </c>
      <c r="AZ1833">
        <v>1200</v>
      </c>
      <c r="BA1833">
        <v>1</v>
      </c>
      <c r="BB1833" t="str">
        <f t="shared" si="545"/>
        <v xml:space="preserve">N733KP  </v>
      </c>
      <c r="BC1833">
        <v>1</v>
      </c>
      <c r="BE1833">
        <v>0</v>
      </c>
      <c r="BF1833">
        <v>0</v>
      </c>
      <c r="BG1833">
        <v>0</v>
      </c>
      <c r="BH1833">
        <v>3425</v>
      </c>
      <c r="BI1833">
        <v>1</v>
      </c>
      <c r="BJ1833">
        <v>1</v>
      </c>
      <c r="BK1833">
        <v>0</v>
      </c>
      <c r="BL1833">
        <v>0</v>
      </c>
      <c r="BO1833">
        <v>0</v>
      </c>
      <c r="BP1833">
        <v>0</v>
      </c>
      <c r="BW1833" t="str">
        <f>"22:17:10.597"</f>
        <v>22:17:10.597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6</v>
      </c>
      <c r="CP1833" t="s">
        <v>119</v>
      </c>
      <c r="CQ1833">
        <v>364</v>
      </c>
      <c r="CR1833">
        <v>0</v>
      </c>
      <c r="CW1833">
        <v>1435007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>"03/24/2022 22:17:11.586"</f>
        <v>03/24/2022 22:17:11.586</v>
      </c>
      <c r="C1834" t="str">
        <f t="shared" si="543"/>
        <v>FFDFD3C0</v>
      </c>
      <c r="D1834" t="s">
        <v>113</v>
      </c>
      <c r="E1834">
        <v>24</v>
      </c>
      <c r="F1834">
        <v>2024</v>
      </c>
      <c r="G1834" t="s">
        <v>114</v>
      </c>
      <c r="J1834" t="s">
        <v>115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S1834" t="str">
        <f t="shared" ref="S1834:T1837" si="550">"22:17:11.000"</f>
        <v>22:17:11.000</v>
      </c>
      <c r="T1834" t="str">
        <f t="shared" si="550"/>
        <v>22:17:11.000</v>
      </c>
      <c r="U1834" t="str">
        <f t="shared" si="538"/>
        <v>A9D71F</v>
      </c>
      <c r="V1834">
        <v>0</v>
      </c>
      <c r="W1834">
        <v>0</v>
      </c>
      <c r="X1834">
        <v>2</v>
      </c>
      <c r="Z1834">
        <v>1</v>
      </c>
      <c r="AA1834">
        <v>8</v>
      </c>
      <c r="AB1834">
        <v>3</v>
      </c>
      <c r="AC1834">
        <v>0</v>
      </c>
      <c r="AD1834">
        <v>9</v>
      </c>
      <c r="AE1834">
        <v>0</v>
      </c>
      <c r="AF1834">
        <v>3</v>
      </c>
      <c r="AG1834">
        <v>1</v>
      </c>
      <c r="AH1834">
        <v>0</v>
      </c>
      <c r="AI1834" t="s">
        <v>968</v>
      </c>
      <c r="AJ1834">
        <v>33.049021000000003</v>
      </c>
      <c r="AK1834" t="s">
        <v>969</v>
      </c>
      <c r="AL1834">
        <v>-97.664938000000006</v>
      </c>
      <c r="AM1834">
        <v>25</v>
      </c>
      <c r="AN1834">
        <v>3500</v>
      </c>
      <c r="AO1834" t="s">
        <v>118</v>
      </c>
      <c r="AP1834">
        <v>26</v>
      </c>
      <c r="AQ1834">
        <v>-100</v>
      </c>
      <c r="AR1834">
        <v>128</v>
      </c>
      <c r="AZ1834">
        <v>1200</v>
      </c>
      <c r="BA1834">
        <v>1</v>
      </c>
      <c r="BB1834" t="str">
        <f t="shared" si="545"/>
        <v xml:space="preserve">N733KP  </v>
      </c>
      <c r="BC1834">
        <v>1</v>
      </c>
      <c r="BE1834">
        <v>0</v>
      </c>
      <c r="BF1834">
        <v>0</v>
      </c>
      <c r="BG1834">
        <v>0</v>
      </c>
      <c r="BH1834">
        <v>3450</v>
      </c>
      <c r="BI1834">
        <v>1</v>
      </c>
      <c r="BJ1834">
        <v>1</v>
      </c>
      <c r="BK1834">
        <v>0</v>
      </c>
      <c r="BL1834">
        <v>0</v>
      </c>
      <c r="BO1834">
        <v>0</v>
      </c>
      <c r="BP1834">
        <v>0</v>
      </c>
      <c r="BW1834" t="str">
        <f>"22:17:11.406"</f>
        <v>22:17:11.406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6</v>
      </c>
      <c r="CP1834" t="s">
        <v>119</v>
      </c>
      <c r="CQ1834">
        <v>364</v>
      </c>
      <c r="CR1834">
        <v>0</v>
      </c>
      <c r="CW1834">
        <v>1435127</v>
      </c>
      <c r="CY1834">
        <v>1</v>
      </c>
      <c r="CZ1834">
        <v>0</v>
      </c>
      <c r="DA1834">
        <v>0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"03/24/2022 22:17:11.601"</f>
        <v>03/24/2022 22:17:11.601</v>
      </c>
      <c r="C1835" t="str">
        <f t="shared" si="543"/>
        <v>FFDFD3C0</v>
      </c>
      <c r="D1835" t="s">
        <v>123</v>
      </c>
      <c r="E1835">
        <v>8</v>
      </c>
      <c r="H1835">
        <v>31</v>
      </c>
      <c r="I1835" t="s">
        <v>124</v>
      </c>
      <c r="J1835" t="s">
        <v>125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S1835" t="str">
        <f t="shared" si="550"/>
        <v>22:17:11.000</v>
      </c>
      <c r="T1835" t="str">
        <f t="shared" si="550"/>
        <v>22:17:11.000</v>
      </c>
      <c r="U1835" t="str">
        <f t="shared" si="538"/>
        <v>A9D71F</v>
      </c>
      <c r="V1835">
        <v>0</v>
      </c>
      <c r="W1835">
        <v>0</v>
      </c>
      <c r="X1835">
        <v>2</v>
      </c>
      <c r="Z1835">
        <v>1</v>
      </c>
      <c r="AA1835">
        <v>8</v>
      </c>
      <c r="AB1835">
        <v>3</v>
      </c>
      <c r="AC1835">
        <v>0</v>
      </c>
      <c r="AD1835">
        <v>9</v>
      </c>
      <c r="AE1835">
        <v>0</v>
      </c>
      <c r="AF1835">
        <v>3</v>
      </c>
      <c r="AG1835">
        <v>1</v>
      </c>
      <c r="AH1835">
        <v>0</v>
      </c>
      <c r="AI1835" t="s">
        <v>968</v>
      </c>
      <c r="AJ1835">
        <v>33.049021000000003</v>
      </c>
      <c r="AK1835" t="s">
        <v>969</v>
      </c>
      <c r="AL1835">
        <v>-97.664938000000006</v>
      </c>
      <c r="AM1835">
        <v>25</v>
      </c>
      <c r="AN1835">
        <v>3500</v>
      </c>
      <c r="AO1835" t="s">
        <v>118</v>
      </c>
      <c r="AP1835">
        <v>26</v>
      </c>
      <c r="AQ1835">
        <v>-100</v>
      </c>
      <c r="AR1835">
        <v>128</v>
      </c>
      <c r="AZ1835">
        <v>1200</v>
      </c>
      <c r="BA1835">
        <v>1</v>
      </c>
      <c r="BB1835" t="str">
        <f t="shared" si="545"/>
        <v xml:space="preserve">N733KP  </v>
      </c>
      <c r="BC1835">
        <v>1</v>
      </c>
      <c r="BE1835">
        <v>0</v>
      </c>
      <c r="BF1835">
        <v>0</v>
      </c>
      <c r="BG1835">
        <v>0</v>
      </c>
      <c r="BH1835">
        <v>3450</v>
      </c>
      <c r="BI1835">
        <v>1</v>
      </c>
      <c r="BJ1835">
        <v>1</v>
      </c>
      <c r="BK1835">
        <v>0</v>
      </c>
      <c r="BL1835">
        <v>0</v>
      </c>
      <c r="BO1835">
        <v>0</v>
      </c>
      <c r="BP1835">
        <v>0</v>
      </c>
      <c r="BW1835" t="str">
        <f>"22:17:11.406"</f>
        <v>22:17:11.406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6</v>
      </c>
      <c r="CP1835" t="s">
        <v>119</v>
      </c>
      <c r="CQ1835">
        <v>364</v>
      </c>
      <c r="CR1835">
        <v>0</v>
      </c>
      <c r="CW1835">
        <v>1435127</v>
      </c>
      <c r="CY1835">
        <v>1</v>
      </c>
      <c r="CZ1835">
        <v>0</v>
      </c>
      <c r="DA1835">
        <v>1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"03/24/2022 22:17:11.617"</f>
        <v>03/24/2022 22:17:11.617</v>
      </c>
      <c r="C1836" t="str">
        <f t="shared" si="543"/>
        <v>FFDFD3C0</v>
      </c>
      <c r="D1836" t="s">
        <v>120</v>
      </c>
      <c r="E1836">
        <v>14</v>
      </c>
      <c r="F1836">
        <v>1014</v>
      </c>
      <c r="G1836" t="s">
        <v>121</v>
      </c>
      <c r="J1836" t="s">
        <v>122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S1836" t="str">
        <f t="shared" si="550"/>
        <v>22:17:11.000</v>
      </c>
      <c r="T1836" t="str">
        <f t="shared" si="550"/>
        <v>22:17:11.000</v>
      </c>
      <c r="U1836" t="str">
        <f t="shared" si="538"/>
        <v>A9D71F</v>
      </c>
      <c r="V1836">
        <v>0</v>
      </c>
      <c r="W1836">
        <v>0</v>
      </c>
      <c r="X1836">
        <v>2</v>
      </c>
      <c r="Z1836">
        <v>1</v>
      </c>
      <c r="AA1836">
        <v>8</v>
      </c>
      <c r="AB1836">
        <v>3</v>
      </c>
      <c r="AC1836">
        <v>0</v>
      </c>
      <c r="AD1836">
        <v>9</v>
      </c>
      <c r="AE1836">
        <v>0</v>
      </c>
      <c r="AF1836">
        <v>3</v>
      </c>
      <c r="AG1836">
        <v>1</v>
      </c>
      <c r="AH1836">
        <v>0</v>
      </c>
      <c r="AI1836" t="s">
        <v>968</v>
      </c>
      <c r="AJ1836">
        <v>33.049021000000003</v>
      </c>
      <c r="AK1836" t="s">
        <v>969</v>
      </c>
      <c r="AL1836">
        <v>-97.664938000000006</v>
      </c>
      <c r="AM1836">
        <v>25</v>
      </c>
      <c r="AN1836">
        <v>3500</v>
      </c>
      <c r="AO1836" t="s">
        <v>118</v>
      </c>
      <c r="AP1836">
        <v>26</v>
      </c>
      <c r="AQ1836">
        <v>-100</v>
      </c>
      <c r="AR1836">
        <v>128</v>
      </c>
      <c r="AZ1836">
        <v>1200</v>
      </c>
      <c r="BA1836">
        <v>1</v>
      </c>
      <c r="BB1836" t="str">
        <f t="shared" si="545"/>
        <v xml:space="preserve">N733KP  </v>
      </c>
      <c r="BC1836">
        <v>1</v>
      </c>
      <c r="BE1836">
        <v>0</v>
      </c>
      <c r="BF1836">
        <v>0</v>
      </c>
      <c r="BG1836">
        <v>0</v>
      </c>
      <c r="BH1836">
        <v>3450</v>
      </c>
      <c r="BI1836">
        <v>1</v>
      </c>
      <c r="BJ1836">
        <v>1</v>
      </c>
      <c r="BK1836">
        <v>0</v>
      </c>
      <c r="BL1836">
        <v>0</v>
      </c>
      <c r="BO1836">
        <v>0</v>
      </c>
      <c r="BP1836">
        <v>0</v>
      </c>
      <c r="BW1836" t="str">
        <f>"22:17:11.406"</f>
        <v>22:17:11.406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6</v>
      </c>
      <c r="CP1836" t="s">
        <v>119</v>
      </c>
      <c r="CQ1836">
        <v>364</v>
      </c>
      <c r="CR1836">
        <v>0</v>
      </c>
      <c r="CW1836">
        <v>1435127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"03/24/2022 22:17:11.617"</f>
        <v>03/24/2022 22:17:11.617</v>
      </c>
      <c r="C1837" t="str">
        <f t="shared" si="543"/>
        <v>FFDFD3C0</v>
      </c>
      <c r="D1837" t="s">
        <v>126</v>
      </c>
      <c r="E1837">
        <v>3</v>
      </c>
      <c r="H1837">
        <v>160</v>
      </c>
      <c r="I1837" t="s">
        <v>121</v>
      </c>
      <c r="J1837" t="s">
        <v>127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S1837" t="str">
        <f t="shared" si="550"/>
        <v>22:17:11.000</v>
      </c>
      <c r="T1837" t="str">
        <f t="shared" si="550"/>
        <v>22:17:11.000</v>
      </c>
      <c r="U1837" t="str">
        <f t="shared" si="538"/>
        <v>A9D71F</v>
      </c>
      <c r="V1837">
        <v>0</v>
      </c>
      <c r="W1837">
        <v>0</v>
      </c>
      <c r="X1837">
        <v>2</v>
      </c>
      <c r="Z1837">
        <v>1</v>
      </c>
      <c r="AA1837">
        <v>8</v>
      </c>
      <c r="AB1837">
        <v>3</v>
      </c>
      <c r="AC1837">
        <v>0</v>
      </c>
      <c r="AD1837">
        <v>9</v>
      </c>
      <c r="AE1837">
        <v>0</v>
      </c>
      <c r="AF1837">
        <v>3</v>
      </c>
      <c r="AG1837">
        <v>1</v>
      </c>
      <c r="AH1837">
        <v>0</v>
      </c>
      <c r="AI1837" t="s">
        <v>968</v>
      </c>
      <c r="AJ1837">
        <v>33.049021000000003</v>
      </c>
      <c r="AK1837" t="s">
        <v>969</v>
      </c>
      <c r="AL1837">
        <v>-97.664938000000006</v>
      </c>
      <c r="AM1837">
        <v>25</v>
      </c>
      <c r="AN1837">
        <v>3500</v>
      </c>
      <c r="AO1837" t="s">
        <v>118</v>
      </c>
      <c r="AP1837">
        <v>26</v>
      </c>
      <c r="AQ1837">
        <v>-100</v>
      </c>
      <c r="AR1837">
        <v>128</v>
      </c>
      <c r="AZ1837">
        <v>1200</v>
      </c>
      <c r="BA1837">
        <v>1</v>
      </c>
      <c r="BB1837" t="str">
        <f t="shared" si="545"/>
        <v xml:space="preserve">N733KP  </v>
      </c>
      <c r="BC1837">
        <v>1</v>
      </c>
      <c r="BE1837">
        <v>0</v>
      </c>
      <c r="BF1837">
        <v>0</v>
      </c>
      <c r="BG1837">
        <v>0</v>
      </c>
      <c r="BH1837">
        <v>3450</v>
      </c>
      <c r="BI1837">
        <v>1</v>
      </c>
      <c r="BJ1837">
        <v>1</v>
      </c>
      <c r="BK1837">
        <v>0</v>
      </c>
      <c r="BL1837">
        <v>0</v>
      </c>
      <c r="BO1837">
        <v>0</v>
      </c>
      <c r="BP1837">
        <v>0</v>
      </c>
      <c r="BW1837" t="str">
        <f>"22:17:11.406"</f>
        <v>22:17:11.406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6</v>
      </c>
      <c r="CP1837" t="s">
        <v>119</v>
      </c>
      <c r="CQ1837">
        <v>364</v>
      </c>
      <c r="CR1837">
        <v>0</v>
      </c>
      <c r="CW1837">
        <v>1435127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"03/24/2022 22:17:12.447"</f>
        <v>03/24/2022 22:17:12.447</v>
      </c>
      <c r="C1838" t="str">
        <f t="shared" si="543"/>
        <v>FFDFD3C0</v>
      </c>
      <c r="D1838" t="s">
        <v>120</v>
      </c>
      <c r="E1838">
        <v>14</v>
      </c>
      <c r="F1838">
        <v>1014</v>
      </c>
      <c r="G1838" t="s">
        <v>121</v>
      </c>
      <c r="J1838" t="s">
        <v>122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S1838" t="str">
        <f t="shared" ref="S1838:T1841" si="551">"22:17:12.000"</f>
        <v>22:17:12.000</v>
      </c>
      <c r="T1838" t="str">
        <f t="shared" si="551"/>
        <v>22:17:12.000</v>
      </c>
      <c r="U1838" t="str">
        <f t="shared" si="538"/>
        <v>A9D71F</v>
      </c>
      <c r="V1838">
        <v>0</v>
      </c>
      <c r="W1838">
        <v>0</v>
      </c>
      <c r="X1838">
        <v>2</v>
      </c>
      <c r="Z1838">
        <v>1</v>
      </c>
      <c r="AA1838">
        <v>8</v>
      </c>
      <c r="AB1838">
        <v>3</v>
      </c>
      <c r="AC1838">
        <v>0</v>
      </c>
      <c r="AD1838">
        <v>9</v>
      </c>
      <c r="AE1838">
        <v>0</v>
      </c>
      <c r="AF1838">
        <v>3</v>
      </c>
      <c r="AG1838">
        <v>1</v>
      </c>
      <c r="AH1838">
        <v>0</v>
      </c>
      <c r="AI1838" t="s">
        <v>970</v>
      </c>
      <c r="AJ1838">
        <v>33.048549000000001</v>
      </c>
      <c r="AK1838" t="s">
        <v>971</v>
      </c>
      <c r="AL1838">
        <v>-97.664809000000005</v>
      </c>
      <c r="AM1838">
        <v>25</v>
      </c>
      <c r="AN1838">
        <v>3500</v>
      </c>
      <c r="AO1838" t="s">
        <v>118</v>
      </c>
      <c r="AP1838">
        <v>25</v>
      </c>
      <c r="AQ1838">
        <v>-99</v>
      </c>
      <c r="AR1838">
        <v>64</v>
      </c>
      <c r="AZ1838">
        <v>1200</v>
      </c>
      <c r="BA1838">
        <v>1</v>
      </c>
      <c r="BB1838" t="str">
        <f t="shared" si="545"/>
        <v xml:space="preserve">N733KP  </v>
      </c>
      <c r="BC1838">
        <v>1</v>
      </c>
      <c r="BE1838">
        <v>0</v>
      </c>
      <c r="BF1838">
        <v>0</v>
      </c>
      <c r="BG1838">
        <v>0</v>
      </c>
      <c r="BH1838">
        <v>3450</v>
      </c>
      <c r="BI1838">
        <v>1</v>
      </c>
      <c r="BJ1838">
        <v>1</v>
      </c>
      <c r="BK1838">
        <v>0</v>
      </c>
      <c r="BL1838">
        <v>0</v>
      </c>
      <c r="BO1838">
        <v>0</v>
      </c>
      <c r="BP1838">
        <v>0</v>
      </c>
      <c r="BW1838" t="str">
        <f>"22:17:12.225"</f>
        <v>22:17:12.225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4</v>
      </c>
      <c r="CP1838" t="s">
        <v>119</v>
      </c>
      <c r="CQ1838">
        <v>440</v>
      </c>
      <c r="CR1838">
        <v>0</v>
      </c>
      <c r="CW1838">
        <v>6712760</v>
      </c>
      <c r="CY1838">
        <v>1</v>
      </c>
      <c r="CZ1838">
        <v>0</v>
      </c>
      <c r="DA1838">
        <v>0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"03/24/2022 22:17:12.432"</f>
        <v>03/24/2022 22:17:12.432</v>
      </c>
      <c r="C1839" t="str">
        <f t="shared" si="543"/>
        <v>FFDFD3C0</v>
      </c>
      <c r="D1839" t="s">
        <v>123</v>
      </c>
      <c r="E1839">
        <v>8</v>
      </c>
      <c r="H1839">
        <v>31</v>
      </c>
      <c r="I1839" t="s">
        <v>124</v>
      </c>
      <c r="J1839" t="s">
        <v>125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S1839" t="str">
        <f t="shared" si="551"/>
        <v>22:17:12.000</v>
      </c>
      <c r="T1839" t="str">
        <f t="shared" si="551"/>
        <v>22:17:12.000</v>
      </c>
      <c r="U1839" t="str">
        <f t="shared" si="538"/>
        <v>A9D71F</v>
      </c>
      <c r="V1839">
        <v>0</v>
      </c>
      <c r="W1839">
        <v>0</v>
      </c>
      <c r="X1839">
        <v>2</v>
      </c>
      <c r="Z1839">
        <v>1</v>
      </c>
      <c r="AA1839">
        <v>8</v>
      </c>
      <c r="AB1839">
        <v>3</v>
      </c>
      <c r="AC1839">
        <v>0</v>
      </c>
      <c r="AD1839">
        <v>9</v>
      </c>
      <c r="AE1839">
        <v>0</v>
      </c>
      <c r="AF1839">
        <v>3</v>
      </c>
      <c r="AG1839">
        <v>1</v>
      </c>
      <c r="AH1839">
        <v>0</v>
      </c>
      <c r="AI1839" t="s">
        <v>970</v>
      </c>
      <c r="AJ1839">
        <v>33.048549000000001</v>
      </c>
      <c r="AK1839" t="s">
        <v>971</v>
      </c>
      <c r="AL1839">
        <v>-97.664809000000005</v>
      </c>
      <c r="AM1839">
        <v>25</v>
      </c>
      <c r="AN1839">
        <v>3500</v>
      </c>
      <c r="AO1839" t="s">
        <v>118</v>
      </c>
      <c r="AP1839">
        <v>25</v>
      </c>
      <c r="AQ1839">
        <v>-99</v>
      </c>
      <c r="AR1839">
        <v>64</v>
      </c>
      <c r="AZ1839">
        <v>1200</v>
      </c>
      <c r="BA1839">
        <v>1</v>
      </c>
      <c r="BB1839" t="str">
        <f t="shared" si="545"/>
        <v xml:space="preserve">N733KP  </v>
      </c>
      <c r="BC1839">
        <v>1</v>
      </c>
      <c r="BE1839">
        <v>0</v>
      </c>
      <c r="BF1839">
        <v>0</v>
      </c>
      <c r="BG1839">
        <v>0</v>
      </c>
      <c r="BH1839">
        <v>3450</v>
      </c>
      <c r="BI1839">
        <v>1</v>
      </c>
      <c r="BJ1839">
        <v>1</v>
      </c>
      <c r="BK1839">
        <v>0</v>
      </c>
      <c r="BL1839">
        <v>0</v>
      </c>
      <c r="BO1839">
        <v>0</v>
      </c>
      <c r="BP1839">
        <v>0</v>
      </c>
      <c r="BW1839" t="str">
        <f>"22:17:12.226"</f>
        <v>22:17:12.226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2</v>
      </c>
      <c r="CP1839" t="s">
        <v>119</v>
      </c>
      <c r="CQ1839">
        <v>366</v>
      </c>
      <c r="CR1839">
        <v>0</v>
      </c>
      <c r="CW1839">
        <v>10415930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"03/24/2022 22:17:12.447"</f>
        <v>03/24/2022 22:17:12.447</v>
      </c>
      <c r="C1840" t="str">
        <f t="shared" si="543"/>
        <v>FFDFD3C0</v>
      </c>
      <c r="D1840" t="s">
        <v>126</v>
      </c>
      <c r="E1840">
        <v>3</v>
      </c>
      <c r="H1840">
        <v>160</v>
      </c>
      <c r="I1840" t="s">
        <v>121</v>
      </c>
      <c r="J1840" t="s">
        <v>127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S1840" t="str">
        <f t="shared" si="551"/>
        <v>22:17:12.000</v>
      </c>
      <c r="T1840" t="str">
        <f t="shared" si="551"/>
        <v>22:17:12.000</v>
      </c>
      <c r="U1840" t="str">
        <f t="shared" si="538"/>
        <v>A9D71F</v>
      </c>
      <c r="V1840">
        <v>0</v>
      </c>
      <c r="W1840">
        <v>0</v>
      </c>
      <c r="X1840">
        <v>2</v>
      </c>
      <c r="Z1840">
        <v>1</v>
      </c>
      <c r="AA1840">
        <v>8</v>
      </c>
      <c r="AB1840">
        <v>3</v>
      </c>
      <c r="AC1840">
        <v>0</v>
      </c>
      <c r="AD1840">
        <v>9</v>
      </c>
      <c r="AE1840">
        <v>0</v>
      </c>
      <c r="AF1840">
        <v>3</v>
      </c>
      <c r="AG1840">
        <v>1</v>
      </c>
      <c r="AH1840">
        <v>0</v>
      </c>
      <c r="AI1840" t="s">
        <v>970</v>
      </c>
      <c r="AJ1840">
        <v>33.048549000000001</v>
      </c>
      <c r="AK1840" t="s">
        <v>971</v>
      </c>
      <c r="AL1840">
        <v>-97.664809000000005</v>
      </c>
      <c r="AM1840">
        <v>25</v>
      </c>
      <c r="AN1840">
        <v>3500</v>
      </c>
      <c r="AO1840" t="s">
        <v>118</v>
      </c>
      <c r="AP1840">
        <v>25</v>
      </c>
      <c r="AQ1840">
        <v>-99</v>
      </c>
      <c r="AR1840">
        <v>64</v>
      </c>
      <c r="AZ1840">
        <v>1200</v>
      </c>
      <c r="BA1840">
        <v>1</v>
      </c>
      <c r="BB1840" t="str">
        <f t="shared" si="545"/>
        <v xml:space="preserve">N733KP  </v>
      </c>
      <c r="BC1840">
        <v>1</v>
      </c>
      <c r="BE1840">
        <v>0</v>
      </c>
      <c r="BF1840">
        <v>0</v>
      </c>
      <c r="BG1840">
        <v>0</v>
      </c>
      <c r="BH1840">
        <v>3450</v>
      </c>
      <c r="BI1840">
        <v>1</v>
      </c>
      <c r="BJ1840">
        <v>1</v>
      </c>
      <c r="BK1840">
        <v>0</v>
      </c>
      <c r="BL1840">
        <v>0</v>
      </c>
      <c r="BO1840">
        <v>0</v>
      </c>
      <c r="BP1840">
        <v>0</v>
      </c>
      <c r="BW1840" t="str">
        <f>"22:17:12.225"</f>
        <v>22:17:12.225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4</v>
      </c>
      <c r="CP1840" t="s">
        <v>119</v>
      </c>
      <c r="CQ1840">
        <v>440</v>
      </c>
      <c r="CR1840">
        <v>0</v>
      </c>
      <c r="CW1840">
        <v>6712760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"03/24/2022 22:17:12.447"</f>
        <v>03/24/2022 22:17:12.447</v>
      </c>
      <c r="C1841" t="str">
        <f t="shared" si="543"/>
        <v>FFDFD3C0</v>
      </c>
      <c r="D1841" t="s">
        <v>113</v>
      </c>
      <c r="E1841">
        <v>24</v>
      </c>
      <c r="F1841">
        <v>2024</v>
      </c>
      <c r="G1841" t="s">
        <v>114</v>
      </c>
      <c r="J1841" t="s">
        <v>115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S1841" t="str">
        <f t="shared" si="551"/>
        <v>22:17:12.000</v>
      </c>
      <c r="T1841" t="str">
        <f t="shared" si="551"/>
        <v>22:17:12.000</v>
      </c>
      <c r="U1841" t="str">
        <f t="shared" si="538"/>
        <v>A9D71F</v>
      </c>
      <c r="V1841">
        <v>0</v>
      </c>
      <c r="W1841">
        <v>0</v>
      </c>
      <c r="X1841">
        <v>2</v>
      </c>
      <c r="Z1841">
        <v>1</v>
      </c>
      <c r="AA1841">
        <v>8</v>
      </c>
      <c r="AB1841">
        <v>3</v>
      </c>
      <c r="AC1841">
        <v>0</v>
      </c>
      <c r="AD1841">
        <v>9</v>
      </c>
      <c r="AE1841">
        <v>0</v>
      </c>
      <c r="AF1841">
        <v>3</v>
      </c>
      <c r="AG1841">
        <v>1</v>
      </c>
      <c r="AH1841">
        <v>0</v>
      </c>
      <c r="AI1841" t="s">
        <v>970</v>
      </c>
      <c r="AJ1841">
        <v>33.048549000000001</v>
      </c>
      <c r="AK1841" t="s">
        <v>971</v>
      </c>
      <c r="AL1841">
        <v>-97.664809000000005</v>
      </c>
      <c r="AM1841">
        <v>25</v>
      </c>
      <c r="AN1841">
        <v>3500</v>
      </c>
      <c r="AO1841" t="s">
        <v>118</v>
      </c>
      <c r="AP1841">
        <v>25</v>
      </c>
      <c r="AQ1841">
        <v>-99</v>
      </c>
      <c r="AR1841">
        <v>64</v>
      </c>
      <c r="AZ1841">
        <v>1200</v>
      </c>
      <c r="BA1841">
        <v>1</v>
      </c>
      <c r="BB1841" t="str">
        <f t="shared" si="545"/>
        <v xml:space="preserve">N733KP  </v>
      </c>
      <c r="BC1841">
        <v>1</v>
      </c>
      <c r="BE1841">
        <v>0</v>
      </c>
      <c r="BF1841">
        <v>0</v>
      </c>
      <c r="BG1841">
        <v>0</v>
      </c>
      <c r="BH1841">
        <v>3450</v>
      </c>
      <c r="BI1841">
        <v>1</v>
      </c>
      <c r="BJ1841">
        <v>1</v>
      </c>
      <c r="BK1841">
        <v>0</v>
      </c>
      <c r="BL1841">
        <v>0</v>
      </c>
      <c r="BO1841">
        <v>0</v>
      </c>
      <c r="BP1841">
        <v>0</v>
      </c>
      <c r="BW1841" t="str">
        <f>"22:17:12.225"</f>
        <v>22:17:12.225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4</v>
      </c>
      <c r="CP1841" t="s">
        <v>119</v>
      </c>
      <c r="CQ1841">
        <v>440</v>
      </c>
      <c r="CR1841">
        <v>0</v>
      </c>
      <c r="CW1841">
        <v>6712760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>"03/24/2022 22:17:13.668"</f>
        <v>03/24/2022 22:17:13.668</v>
      </c>
      <c r="C1842" t="str">
        <f t="shared" si="543"/>
        <v>FFDFD3C0</v>
      </c>
      <c r="D1842" t="s">
        <v>113</v>
      </c>
      <c r="E1842">
        <v>24</v>
      </c>
      <c r="F1842">
        <v>2024</v>
      </c>
      <c r="G1842" t="s">
        <v>114</v>
      </c>
      <c r="J1842" t="s">
        <v>115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S1842" t="str">
        <f t="shared" ref="S1842:T1845" si="552">"22:17:13.000"</f>
        <v>22:17:13.000</v>
      </c>
      <c r="T1842" t="str">
        <f t="shared" si="552"/>
        <v>22:17:13.000</v>
      </c>
      <c r="U1842" t="str">
        <f t="shared" si="538"/>
        <v>A9D71F</v>
      </c>
      <c r="V1842">
        <v>0</v>
      </c>
      <c r="W1842">
        <v>0</v>
      </c>
      <c r="X1842">
        <v>2</v>
      </c>
      <c r="Z1842">
        <v>1</v>
      </c>
      <c r="AA1842">
        <v>8</v>
      </c>
      <c r="AB1842">
        <v>3</v>
      </c>
      <c r="AC1842">
        <v>0</v>
      </c>
      <c r="AD1842">
        <v>9</v>
      </c>
      <c r="AE1842">
        <v>0</v>
      </c>
      <c r="AF1842">
        <v>3</v>
      </c>
      <c r="AG1842">
        <v>1</v>
      </c>
      <c r="AH1842">
        <v>0</v>
      </c>
      <c r="AI1842" t="s">
        <v>972</v>
      </c>
      <c r="AJ1842">
        <v>33.048098000000003</v>
      </c>
      <c r="AK1842" t="s">
        <v>973</v>
      </c>
      <c r="AL1842">
        <v>-97.664659</v>
      </c>
      <c r="AM1842">
        <v>25</v>
      </c>
      <c r="AN1842">
        <v>3500</v>
      </c>
      <c r="AO1842" t="s">
        <v>118</v>
      </c>
      <c r="AP1842">
        <v>25</v>
      </c>
      <c r="AQ1842">
        <v>-100</v>
      </c>
      <c r="AR1842">
        <v>0</v>
      </c>
      <c r="AZ1842">
        <v>1200</v>
      </c>
      <c r="BA1842">
        <v>1</v>
      </c>
      <c r="BB1842" t="str">
        <f t="shared" si="545"/>
        <v xml:space="preserve">N733KP  </v>
      </c>
      <c r="BC1842">
        <v>1</v>
      </c>
      <c r="BE1842">
        <v>0</v>
      </c>
      <c r="BF1842">
        <v>0</v>
      </c>
      <c r="BG1842">
        <v>0</v>
      </c>
      <c r="BH1842">
        <v>3450</v>
      </c>
      <c r="BI1842">
        <v>1</v>
      </c>
      <c r="BJ1842">
        <v>1</v>
      </c>
      <c r="BK1842">
        <v>0</v>
      </c>
      <c r="BL1842">
        <v>0</v>
      </c>
      <c r="BO1842">
        <v>0</v>
      </c>
      <c r="BP1842">
        <v>0</v>
      </c>
      <c r="BW1842" t="str">
        <f>"22:17:13.438"</f>
        <v>22:17:13.438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6</v>
      </c>
      <c r="CP1842" t="s">
        <v>119</v>
      </c>
      <c r="CQ1842">
        <v>364</v>
      </c>
      <c r="CR1842">
        <v>0</v>
      </c>
      <c r="CW1842">
        <v>1435448</v>
      </c>
      <c r="CY1842">
        <v>1</v>
      </c>
      <c r="CZ1842">
        <v>0</v>
      </c>
      <c r="DA1842">
        <v>0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>"03/24/2022 22:17:13.668"</f>
        <v>03/24/2022 22:17:13.668</v>
      </c>
      <c r="C1843" t="str">
        <f t="shared" si="543"/>
        <v>FFDFD3C0</v>
      </c>
      <c r="D1843" t="s">
        <v>123</v>
      </c>
      <c r="E1843">
        <v>8</v>
      </c>
      <c r="H1843">
        <v>31</v>
      </c>
      <c r="I1843" t="s">
        <v>124</v>
      </c>
      <c r="J1843" t="s">
        <v>125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S1843" t="str">
        <f t="shared" si="552"/>
        <v>22:17:13.000</v>
      </c>
      <c r="T1843" t="str">
        <f t="shared" si="552"/>
        <v>22:17:13.000</v>
      </c>
      <c r="U1843" t="str">
        <f t="shared" si="538"/>
        <v>A9D71F</v>
      </c>
      <c r="V1843">
        <v>0</v>
      </c>
      <c r="W1843">
        <v>0</v>
      </c>
      <c r="X1843">
        <v>2</v>
      </c>
      <c r="Z1843">
        <v>1</v>
      </c>
      <c r="AA1843">
        <v>8</v>
      </c>
      <c r="AB1843">
        <v>3</v>
      </c>
      <c r="AC1843">
        <v>0</v>
      </c>
      <c r="AD1843">
        <v>9</v>
      </c>
      <c r="AE1843">
        <v>0</v>
      </c>
      <c r="AF1843">
        <v>3</v>
      </c>
      <c r="AG1843">
        <v>1</v>
      </c>
      <c r="AH1843">
        <v>0</v>
      </c>
      <c r="AI1843" t="s">
        <v>972</v>
      </c>
      <c r="AJ1843">
        <v>33.048098000000003</v>
      </c>
      <c r="AK1843" t="s">
        <v>973</v>
      </c>
      <c r="AL1843">
        <v>-97.664659</v>
      </c>
      <c r="AM1843">
        <v>25</v>
      </c>
      <c r="AN1843">
        <v>3500</v>
      </c>
      <c r="AO1843" t="s">
        <v>118</v>
      </c>
      <c r="AP1843">
        <v>25</v>
      </c>
      <c r="AQ1843">
        <v>-100</v>
      </c>
      <c r="AR1843">
        <v>0</v>
      </c>
      <c r="AZ1843">
        <v>1200</v>
      </c>
      <c r="BA1843">
        <v>1</v>
      </c>
      <c r="BB1843" t="str">
        <f t="shared" si="545"/>
        <v xml:space="preserve">N733KP  </v>
      </c>
      <c r="BC1843">
        <v>1</v>
      </c>
      <c r="BE1843">
        <v>0</v>
      </c>
      <c r="BF1843">
        <v>0</v>
      </c>
      <c r="BG1843">
        <v>0</v>
      </c>
      <c r="BH1843">
        <v>3450</v>
      </c>
      <c r="BI1843">
        <v>1</v>
      </c>
      <c r="BJ1843">
        <v>1</v>
      </c>
      <c r="BK1843">
        <v>0</v>
      </c>
      <c r="BL1843">
        <v>0</v>
      </c>
      <c r="BO1843">
        <v>0</v>
      </c>
      <c r="BP1843">
        <v>0</v>
      </c>
      <c r="BW1843" t="str">
        <f>"22:17:13.438"</f>
        <v>22:17:13.438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6</v>
      </c>
      <c r="CP1843" t="s">
        <v>119</v>
      </c>
      <c r="CQ1843">
        <v>364</v>
      </c>
      <c r="CR1843">
        <v>0</v>
      </c>
      <c r="CW1843">
        <v>1435448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>"03/24/2022 22:17:13.668"</f>
        <v>03/24/2022 22:17:13.668</v>
      </c>
      <c r="C1844" t="str">
        <f t="shared" si="543"/>
        <v>FFDFD3C0</v>
      </c>
      <c r="D1844" t="s">
        <v>126</v>
      </c>
      <c r="E1844">
        <v>3</v>
      </c>
      <c r="H1844">
        <v>160</v>
      </c>
      <c r="I1844" t="s">
        <v>121</v>
      </c>
      <c r="J1844" t="s">
        <v>127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S1844" t="str">
        <f t="shared" si="552"/>
        <v>22:17:13.000</v>
      </c>
      <c r="T1844" t="str">
        <f t="shared" si="552"/>
        <v>22:17:13.000</v>
      </c>
      <c r="U1844" t="str">
        <f t="shared" si="538"/>
        <v>A9D71F</v>
      </c>
      <c r="V1844">
        <v>0</v>
      </c>
      <c r="W1844">
        <v>0</v>
      </c>
      <c r="X1844">
        <v>2</v>
      </c>
      <c r="Z1844">
        <v>1</v>
      </c>
      <c r="AA1844">
        <v>8</v>
      </c>
      <c r="AB1844">
        <v>3</v>
      </c>
      <c r="AC1844">
        <v>0</v>
      </c>
      <c r="AD1844">
        <v>9</v>
      </c>
      <c r="AE1844">
        <v>0</v>
      </c>
      <c r="AF1844">
        <v>3</v>
      </c>
      <c r="AG1844">
        <v>1</v>
      </c>
      <c r="AH1844">
        <v>0</v>
      </c>
      <c r="AI1844" t="s">
        <v>972</v>
      </c>
      <c r="AJ1844">
        <v>33.048098000000003</v>
      </c>
      <c r="AK1844" t="s">
        <v>973</v>
      </c>
      <c r="AL1844">
        <v>-97.664659</v>
      </c>
      <c r="AM1844">
        <v>25</v>
      </c>
      <c r="AN1844">
        <v>3500</v>
      </c>
      <c r="AO1844" t="s">
        <v>118</v>
      </c>
      <c r="AP1844">
        <v>25</v>
      </c>
      <c r="AQ1844">
        <v>-100</v>
      </c>
      <c r="AR1844">
        <v>0</v>
      </c>
      <c r="AZ1844">
        <v>1200</v>
      </c>
      <c r="BA1844">
        <v>1</v>
      </c>
      <c r="BB1844" t="str">
        <f t="shared" si="545"/>
        <v xml:space="preserve">N733KP  </v>
      </c>
      <c r="BC1844">
        <v>1</v>
      </c>
      <c r="BE1844">
        <v>0</v>
      </c>
      <c r="BF1844">
        <v>0</v>
      </c>
      <c r="BG1844">
        <v>0</v>
      </c>
      <c r="BH1844">
        <v>3450</v>
      </c>
      <c r="BI1844">
        <v>1</v>
      </c>
      <c r="BJ1844">
        <v>1</v>
      </c>
      <c r="BK1844">
        <v>0</v>
      </c>
      <c r="BL1844">
        <v>0</v>
      </c>
      <c r="BO1844">
        <v>0</v>
      </c>
      <c r="BP1844">
        <v>0</v>
      </c>
      <c r="BW1844" t="str">
        <f>"22:17:13.438"</f>
        <v>22:17:13.438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6</v>
      </c>
      <c r="CP1844" t="s">
        <v>119</v>
      </c>
      <c r="CQ1844">
        <v>364</v>
      </c>
      <c r="CR1844">
        <v>0</v>
      </c>
      <c r="CW1844">
        <v>1435448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>"03/24/2022 22:17:13.668"</f>
        <v>03/24/2022 22:17:13.668</v>
      </c>
      <c r="C1845" t="str">
        <f t="shared" si="543"/>
        <v>FFDFD3C0</v>
      </c>
      <c r="D1845" t="s">
        <v>120</v>
      </c>
      <c r="E1845">
        <v>14</v>
      </c>
      <c r="F1845">
        <v>1014</v>
      </c>
      <c r="G1845" t="s">
        <v>121</v>
      </c>
      <c r="J1845" t="s">
        <v>122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S1845" t="str">
        <f t="shared" si="552"/>
        <v>22:17:13.000</v>
      </c>
      <c r="T1845" t="str">
        <f t="shared" si="552"/>
        <v>22:17:13.000</v>
      </c>
      <c r="U1845" t="str">
        <f t="shared" si="538"/>
        <v>A9D71F</v>
      </c>
      <c r="V1845">
        <v>0</v>
      </c>
      <c r="W1845">
        <v>0</v>
      </c>
      <c r="X1845">
        <v>2</v>
      </c>
      <c r="Z1845">
        <v>1</v>
      </c>
      <c r="AA1845">
        <v>8</v>
      </c>
      <c r="AB1845">
        <v>3</v>
      </c>
      <c r="AC1845">
        <v>0</v>
      </c>
      <c r="AD1845">
        <v>9</v>
      </c>
      <c r="AE1845">
        <v>0</v>
      </c>
      <c r="AF1845">
        <v>3</v>
      </c>
      <c r="AG1845">
        <v>1</v>
      </c>
      <c r="AH1845">
        <v>0</v>
      </c>
      <c r="AI1845" t="s">
        <v>972</v>
      </c>
      <c r="AJ1845">
        <v>33.048098000000003</v>
      </c>
      <c r="AK1845" t="s">
        <v>973</v>
      </c>
      <c r="AL1845">
        <v>-97.664659</v>
      </c>
      <c r="AM1845">
        <v>25</v>
      </c>
      <c r="AN1845">
        <v>3500</v>
      </c>
      <c r="AO1845" t="s">
        <v>118</v>
      </c>
      <c r="AP1845">
        <v>25</v>
      </c>
      <c r="AQ1845">
        <v>-100</v>
      </c>
      <c r="AR1845">
        <v>0</v>
      </c>
      <c r="AZ1845">
        <v>1200</v>
      </c>
      <c r="BA1845">
        <v>1</v>
      </c>
      <c r="BB1845" t="str">
        <f t="shared" si="545"/>
        <v xml:space="preserve">N733KP  </v>
      </c>
      <c r="BC1845">
        <v>1</v>
      </c>
      <c r="BE1845">
        <v>0</v>
      </c>
      <c r="BF1845">
        <v>0</v>
      </c>
      <c r="BG1845">
        <v>0</v>
      </c>
      <c r="BH1845">
        <v>3450</v>
      </c>
      <c r="BI1845">
        <v>1</v>
      </c>
      <c r="BJ1845">
        <v>1</v>
      </c>
      <c r="BK1845">
        <v>0</v>
      </c>
      <c r="BL1845">
        <v>0</v>
      </c>
      <c r="BO1845">
        <v>0</v>
      </c>
      <c r="BP1845">
        <v>0</v>
      </c>
      <c r="BW1845" t="str">
        <f>"22:17:13.438"</f>
        <v>22:17:13.438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6</v>
      </c>
      <c r="CP1845" t="s">
        <v>119</v>
      </c>
      <c r="CQ1845">
        <v>364</v>
      </c>
      <c r="CR1845">
        <v>0</v>
      </c>
      <c r="CW1845">
        <v>1435448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>"03/24/2022 22:17:15.001"</f>
        <v>03/24/2022 22:17:15.001</v>
      </c>
      <c r="C1846" t="str">
        <f t="shared" si="543"/>
        <v>FFDFD3C0</v>
      </c>
      <c r="D1846" t="s">
        <v>120</v>
      </c>
      <c r="E1846">
        <v>14</v>
      </c>
      <c r="F1846">
        <v>1014</v>
      </c>
      <c r="G1846" t="s">
        <v>121</v>
      </c>
      <c r="J1846" t="s">
        <v>122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S1846" t="str">
        <f t="shared" ref="S1846:T1849" si="553">"22:17:14.000"</f>
        <v>22:17:14.000</v>
      </c>
      <c r="T1846" t="str">
        <f t="shared" si="553"/>
        <v>22:17:14.000</v>
      </c>
      <c r="U1846" t="str">
        <f t="shared" si="538"/>
        <v>A9D71F</v>
      </c>
      <c r="V1846">
        <v>0</v>
      </c>
      <c r="W1846">
        <v>0</v>
      </c>
      <c r="X1846">
        <v>2</v>
      </c>
      <c r="Z1846">
        <v>1</v>
      </c>
      <c r="AA1846">
        <v>8</v>
      </c>
      <c r="AB1846">
        <v>3</v>
      </c>
      <c r="AC1846">
        <v>0</v>
      </c>
      <c r="AD1846">
        <v>9</v>
      </c>
      <c r="AE1846">
        <v>0</v>
      </c>
      <c r="AF1846">
        <v>3</v>
      </c>
      <c r="AG1846">
        <v>1</v>
      </c>
      <c r="AH1846">
        <v>0</v>
      </c>
      <c r="AI1846" t="s">
        <v>974</v>
      </c>
      <c r="AJ1846">
        <v>33.047646999999998</v>
      </c>
      <c r="AK1846" t="s">
        <v>975</v>
      </c>
      <c r="AL1846">
        <v>-97.664508999999995</v>
      </c>
      <c r="AM1846">
        <v>25</v>
      </c>
      <c r="AN1846">
        <v>3500</v>
      </c>
      <c r="AO1846" t="s">
        <v>118</v>
      </c>
      <c r="AP1846">
        <v>26</v>
      </c>
      <c r="AQ1846">
        <v>-99</v>
      </c>
      <c r="AR1846">
        <v>0</v>
      </c>
      <c r="AZ1846">
        <v>1200</v>
      </c>
      <c r="BA1846">
        <v>1</v>
      </c>
      <c r="BB1846" t="str">
        <f t="shared" si="545"/>
        <v xml:space="preserve">N733KP  </v>
      </c>
      <c r="BC1846">
        <v>1</v>
      </c>
      <c r="BE1846">
        <v>0</v>
      </c>
      <c r="BF1846">
        <v>0</v>
      </c>
      <c r="BG1846">
        <v>0</v>
      </c>
      <c r="BH1846">
        <v>3450</v>
      </c>
      <c r="BI1846">
        <v>1</v>
      </c>
      <c r="BJ1846">
        <v>1</v>
      </c>
      <c r="BK1846">
        <v>0</v>
      </c>
      <c r="BL1846">
        <v>0</v>
      </c>
      <c r="BO1846">
        <v>0</v>
      </c>
      <c r="BP1846">
        <v>0</v>
      </c>
      <c r="BW1846" t="str">
        <f>"22:17:14.846"</f>
        <v>22:17:14.846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6</v>
      </c>
      <c r="CP1846" t="s">
        <v>119</v>
      </c>
      <c r="CQ1846">
        <v>364</v>
      </c>
      <c r="CR1846">
        <v>0</v>
      </c>
      <c r="CW1846">
        <v>1435647</v>
      </c>
      <c r="CY1846">
        <v>1</v>
      </c>
      <c r="CZ1846">
        <v>0</v>
      </c>
      <c r="DA1846">
        <v>0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>"03/24/2022 22:17:15.032"</f>
        <v>03/24/2022 22:17:15.032</v>
      </c>
      <c r="C1847" t="str">
        <f t="shared" si="543"/>
        <v>FFDFD3C0</v>
      </c>
      <c r="D1847" t="s">
        <v>113</v>
      </c>
      <c r="E1847">
        <v>24</v>
      </c>
      <c r="F1847">
        <v>2024</v>
      </c>
      <c r="G1847" t="s">
        <v>114</v>
      </c>
      <c r="J1847" t="s">
        <v>115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S1847" t="str">
        <f t="shared" si="553"/>
        <v>22:17:14.000</v>
      </c>
      <c r="T1847" t="str">
        <f t="shared" si="553"/>
        <v>22:17:14.000</v>
      </c>
      <c r="U1847" t="str">
        <f t="shared" si="538"/>
        <v>A9D71F</v>
      </c>
      <c r="V1847">
        <v>0</v>
      </c>
      <c r="W1847">
        <v>0</v>
      </c>
      <c r="X1847">
        <v>2</v>
      </c>
      <c r="Z1847">
        <v>1</v>
      </c>
      <c r="AA1847">
        <v>8</v>
      </c>
      <c r="AB1847">
        <v>3</v>
      </c>
      <c r="AC1847">
        <v>0</v>
      </c>
      <c r="AD1847">
        <v>9</v>
      </c>
      <c r="AE1847">
        <v>0</v>
      </c>
      <c r="AF1847">
        <v>3</v>
      </c>
      <c r="AG1847">
        <v>1</v>
      </c>
      <c r="AH1847">
        <v>0</v>
      </c>
      <c r="AI1847" t="s">
        <v>974</v>
      </c>
      <c r="AJ1847">
        <v>33.047646999999998</v>
      </c>
      <c r="AK1847" t="s">
        <v>975</v>
      </c>
      <c r="AL1847">
        <v>-97.664508999999995</v>
      </c>
      <c r="AM1847">
        <v>25</v>
      </c>
      <c r="AN1847">
        <v>3500</v>
      </c>
      <c r="AO1847" t="s">
        <v>118</v>
      </c>
      <c r="AP1847">
        <v>26</v>
      </c>
      <c r="AQ1847">
        <v>-99</v>
      </c>
      <c r="AR1847">
        <v>0</v>
      </c>
      <c r="AZ1847">
        <v>1200</v>
      </c>
      <c r="BA1847">
        <v>1</v>
      </c>
      <c r="BB1847" t="str">
        <f t="shared" si="545"/>
        <v xml:space="preserve">N733KP  </v>
      </c>
      <c r="BC1847">
        <v>1</v>
      </c>
      <c r="BE1847">
        <v>0</v>
      </c>
      <c r="BF1847">
        <v>0</v>
      </c>
      <c r="BG1847">
        <v>0</v>
      </c>
      <c r="BH1847">
        <v>3450</v>
      </c>
      <c r="BI1847">
        <v>1</v>
      </c>
      <c r="BJ1847">
        <v>1</v>
      </c>
      <c r="BK1847">
        <v>0</v>
      </c>
      <c r="BL1847">
        <v>0</v>
      </c>
      <c r="BO1847">
        <v>0</v>
      </c>
      <c r="BP1847">
        <v>0</v>
      </c>
      <c r="BW1847" t="str">
        <f>"22:17:14.846"</f>
        <v>22:17:14.846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6</v>
      </c>
      <c r="CP1847" t="s">
        <v>119</v>
      </c>
      <c r="CQ1847">
        <v>364</v>
      </c>
      <c r="CR1847">
        <v>0</v>
      </c>
      <c r="CW1847">
        <v>1435647</v>
      </c>
      <c r="CY1847">
        <v>1</v>
      </c>
      <c r="CZ1847">
        <v>0</v>
      </c>
      <c r="DA1847">
        <v>1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>"03/24/2022 22:17:15.032"</f>
        <v>03/24/2022 22:17:15.032</v>
      </c>
      <c r="C1848" t="str">
        <f t="shared" si="543"/>
        <v>FFDFD3C0</v>
      </c>
      <c r="D1848" t="s">
        <v>123</v>
      </c>
      <c r="E1848">
        <v>8</v>
      </c>
      <c r="H1848">
        <v>31</v>
      </c>
      <c r="I1848" t="s">
        <v>124</v>
      </c>
      <c r="J1848" t="s">
        <v>125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S1848" t="str">
        <f t="shared" si="553"/>
        <v>22:17:14.000</v>
      </c>
      <c r="T1848" t="str">
        <f t="shared" si="553"/>
        <v>22:17:14.000</v>
      </c>
      <c r="U1848" t="str">
        <f t="shared" si="538"/>
        <v>A9D71F</v>
      </c>
      <c r="V1848">
        <v>0</v>
      </c>
      <c r="W1848">
        <v>0</v>
      </c>
      <c r="X1848">
        <v>2</v>
      </c>
      <c r="Z1848">
        <v>1</v>
      </c>
      <c r="AA1848">
        <v>8</v>
      </c>
      <c r="AB1848">
        <v>3</v>
      </c>
      <c r="AC1848">
        <v>0</v>
      </c>
      <c r="AD1848">
        <v>9</v>
      </c>
      <c r="AE1848">
        <v>0</v>
      </c>
      <c r="AF1848">
        <v>3</v>
      </c>
      <c r="AG1848">
        <v>1</v>
      </c>
      <c r="AH1848">
        <v>0</v>
      </c>
      <c r="AI1848" t="s">
        <v>974</v>
      </c>
      <c r="AJ1848">
        <v>33.047646999999998</v>
      </c>
      <c r="AK1848" t="s">
        <v>975</v>
      </c>
      <c r="AL1848">
        <v>-97.664508999999995</v>
      </c>
      <c r="AM1848">
        <v>25</v>
      </c>
      <c r="AN1848">
        <v>3500</v>
      </c>
      <c r="AO1848" t="s">
        <v>118</v>
      </c>
      <c r="AP1848">
        <v>26</v>
      </c>
      <c r="AQ1848">
        <v>-99</v>
      </c>
      <c r="AR1848">
        <v>0</v>
      </c>
      <c r="AZ1848">
        <v>1200</v>
      </c>
      <c r="BA1848">
        <v>1</v>
      </c>
      <c r="BB1848" t="str">
        <f t="shared" si="545"/>
        <v xml:space="preserve">N733KP  </v>
      </c>
      <c r="BC1848">
        <v>1</v>
      </c>
      <c r="BE1848">
        <v>0</v>
      </c>
      <c r="BF1848">
        <v>0</v>
      </c>
      <c r="BG1848">
        <v>0</v>
      </c>
      <c r="BH1848">
        <v>3450</v>
      </c>
      <c r="BI1848">
        <v>1</v>
      </c>
      <c r="BJ1848">
        <v>1</v>
      </c>
      <c r="BK1848">
        <v>0</v>
      </c>
      <c r="BL1848">
        <v>0</v>
      </c>
      <c r="BO1848">
        <v>0</v>
      </c>
      <c r="BP1848">
        <v>0</v>
      </c>
      <c r="BW1848" t="str">
        <f>"22:17:14.846"</f>
        <v>22:17:14.846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6</v>
      </c>
      <c r="CP1848" t="s">
        <v>119</v>
      </c>
      <c r="CQ1848">
        <v>364</v>
      </c>
      <c r="CR1848">
        <v>0</v>
      </c>
      <c r="CW1848">
        <v>1435647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"03/24/2022 22:17:15.032"</f>
        <v>03/24/2022 22:17:15.032</v>
      </c>
      <c r="C1849" t="str">
        <f t="shared" si="543"/>
        <v>FFDFD3C0</v>
      </c>
      <c r="D1849" t="s">
        <v>126</v>
      </c>
      <c r="E1849">
        <v>3</v>
      </c>
      <c r="H1849">
        <v>160</v>
      </c>
      <c r="I1849" t="s">
        <v>121</v>
      </c>
      <c r="J1849" t="s">
        <v>127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S1849" t="str">
        <f t="shared" si="553"/>
        <v>22:17:14.000</v>
      </c>
      <c r="T1849" t="str">
        <f t="shared" si="553"/>
        <v>22:17:14.000</v>
      </c>
      <c r="U1849" t="str">
        <f t="shared" si="538"/>
        <v>A9D71F</v>
      </c>
      <c r="V1849">
        <v>0</v>
      </c>
      <c r="W1849">
        <v>0</v>
      </c>
      <c r="X1849">
        <v>2</v>
      </c>
      <c r="Z1849">
        <v>1</v>
      </c>
      <c r="AA1849">
        <v>8</v>
      </c>
      <c r="AB1849">
        <v>3</v>
      </c>
      <c r="AC1849">
        <v>0</v>
      </c>
      <c r="AD1849">
        <v>9</v>
      </c>
      <c r="AE1849">
        <v>0</v>
      </c>
      <c r="AF1849">
        <v>3</v>
      </c>
      <c r="AG1849">
        <v>1</v>
      </c>
      <c r="AH1849">
        <v>0</v>
      </c>
      <c r="AI1849" t="s">
        <v>974</v>
      </c>
      <c r="AJ1849">
        <v>33.047646999999998</v>
      </c>
      <c r="AK1849" t="s">
        <v>975</v>
      </c>
      <c r="AL1849">
        <v>-97.664508999999995</v>
      </c>
      <c r="AM1849">
        <v>25</v>
      </c>
      <c r="AN1849">
        <v>3500</v>
      </c>
      <c r="AO1849" t="s">
        <v>118</v>
      </c>
      <c r="AP1849">
        <v>26</v>
      </c>
      <c r="AQ1849">
        <v>-99</v>
      </c>
      <c r="AR1849">
        <v>0</v>
      </c>
      <c r="AZ1849">
        <v>1200</v>
      </c>
      <c r="BA1849">
        <v>1</v>
      </c>
      <c r="BB1849" t="str">
        <f t="shared" si="545"/>
        <v xml:space="preserve">N733KP  </v>
      </c>
      <c r="BC1849">
        <v>1</v>
      </c>
      <c r="BE1849">
        <v>0</v>
      </c>
      <c r="BF1849">
        <v>0</v>
      </c>
      <c r="BG1849">
        <v>0</v>
      </c>
      <c r="BH1849">
        <v>3450</v>
      </c>
      <c r="BI1849">
        <v>1</v>
      </c>
      <c r="BJ1849">
        <v>1</v>
      </c>
      <c r="BK1849">
        <v>0</v>
      </c>
      <c r="BL1849">
        <v>0</v>
      </c>
      <c r="BO1849">
        <v>0</v>
      </c>
      <c r="BP1849">
        <v>0</v>
      </c>
      <c r="BW1849" t="str">
        <f>"22:17:14.846"</f>
        <v>22:17:14.846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6</v>
      </c>
      <c r="CP1849" t="s">
        <v>119</v>
      </c>
      <c r="CQ1849">
        <v>364</v>
      </c>
      <c r="CR1849">
        <v>0</v>
      </c>
      <c r="CW1849">
        <v>1435647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"03/24/2022 22:17:15.501"</f>
        <v>03/24/2022 22:17:15.501</v>
      </c>
      <c r="C1850" t="str">
        <f t="shared" si="543"/>
        <v>FFDFD3C0</v>
      </c>
      <c r="D1850" t="s">
        <v>120</v>
      </c>
      <c r="E1850">
        <v>14</v>
      </c>
      <c r="F1850">
        <v>1014</v>
      </c>
      <c r="G1850" t="s">
        <v>121</v>
      </c>
      <c r="J1850" t="s">
        <v>122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S1850" t="str">
        <f t="shared" ref="S1850:T1853" si="554">"22:17:15.000"</f>
        <v>22:17:15.000</v>
      </c>
      <c r="T1850" t="str">
        <f t="shared" si="554"/>
        <v>22:17:15.000</v>
      </c>
      <c r="U1850" t="str">
        <f t="shared" si="538"/>
        <v>A9D71F</v>
      </c>
      <c r="V1850">
        <v>0</v>
      </c>
      <c r="W1850">
        <v>0</v>
      </c>
      <c r="X1850">
        <v>2</v>
      </c>
      <c r="Z1850">
        <v>1</v>
      </c>
      <c r="AA1850">
        <v>8</v>
      </c>
      <c r="AB1850">
        <v>3</v>
      </c>
      <c r="AC1850">
        <v>0</v>
      </c>
      <c r="AD1850">
        <v>9</v>
      </c>
      <c r="AE1850">
        <v>0</v>
      </c>
      <c r="AF1850">
        <v>3</v>
      </c>
      <c r="AG1850">
        <v>1</v>
      </c>
      <c r="AH1850">
        <v>0</v>
      </c>
      <c r="AI1850" t="s">
        <v>976</v>
      </c>
      <c r="AJ1850">
        <v>33.047196999999997</v>
      </c>
      <c r="AK1850" t="s">
        <v>977</v>
      </c>
      <c r="AL1850">
        <v>-97.664379999999994</v>
      </c>
      <c r="AM1850">
        <v>25</v>
      </c>
      <c r="AN1850">
        <v>3500</v>
      </c>
      <c r="AO1850" t="s">
        <v>118</v>
      </c>
      <c r="AP1850">
        <v>25</v>
      </c>
      <c r="AQ1850">
        <v>-99</v>
      </c>
      <c r="AR1850">
        <v>0</v>
      </c>
      <c r="AZ1850">
        <v>1200</v>
      </c>
      <c r="BA1850">
        <v>1</v>
      </c>
      <c r="BB1850" t="str">
        <f t="shared" si="545"/>
        <v xml:space="preserve">N733KP  </v>
      </c>
      <c r="BC1850">
        <v>1</v>
      </c>
      <c r="BE1850">
        <v>0</v>
      </c>
      <c r="BF1850">
        <v>0</v>
      </c>
      <c r="BG1850">
        <v>0</v>
      </c>
      <c r="BH1850">
        <v>3450</v>
      </c>
      <c r="BI1850">
        <v>1</v>
      </c>
      <c r="BJ1850">
        <v>1</v>
      </c>
      <c r="BK1850">
        <v>0</v>
      </c>
      <c r="BL1850">
        <v>0</v>
      </c>
      <c r="BO1850">
        <v>0</v>
      </c>
      <c r="BP1850">
        <v>0</v>
      </c>
      <c r="BW1850" t="str">
        <f>"22:17:15.262"</f>
        <v>22:17:15.262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6</v>
      </c>
      <c r="CP1850" t="s">
        <v>119</v>
      </c>
      <c r="CQ1850">
        <v>364</v>
      </c>
      <c r="CR1850">
        <v>0</v>
      </c>
      <c r="CW1850">
        <v>1435703</v>
      </c>
      <c r="CY1850">
        <v>1</v>
      </c>
      <c r="CZ1850">
        <v>0</v>
      </c>
      <c r="DA1850">
        <v>0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"03/24/2022 22:17:15.517"</f>
        <v>03/24/2022 22:17:15.517</v>
      </c>
      <c r="C1851" t="str">
        <f t="shared" si="543"/>
        <v>FFDFD3C0</v>
      </c>
      <c r="D1851" t="s">
        <v>113</v>
      </c>
      <c r="E1851">
        <v>24</v>
      </c>
      <c r="F1851">
        <v>2024</v>
      </c>
      <c r="G1851" t="s">
        <v>114</v>
      </c>
      <c r="J1851" t="s">
        <v>115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S1851" t="str">
        <f t="shared" si="554"/>
        <v>22:17:15.000</v>
      </c>
      <c r="T1851" t="str">
        <f t="shared" si="554"/>
        <v>22:17:15.000</v>
      </c>
      <c r="U1851" t="str">
        <f t="shared" si="538"/>
        <v>A9D71F</v>
      </c>
      <c r="V1851">
        <v>0</v>
      </c>
      <c r="W1851">
        <v>0</v>
      </c>
      <c r="X1851">
        <v>2</v>
      </c>
      <c r="Z1851">
        <v>1</v>
      </c>
      <c r="AA1851">
        <v>8</v>
      </c>
      <c r="AB1851">
        <v>3</v>
      </c>
      <c r="AC1851">
        <v>0</v>
      </c>
      <c r="AD1851">
        <v>9</v>
      </c>
      <c r="AE1851">
        <v>0</v>
      </c>
      <c r="AF1851">
        <v>3</v>
      </c>
      <c r="AG1851">
        <v>1</v>
      </c>
      <c r="AH1851">
        <v>0</v>
      </c>
      <c r="AI1851" t="s">
        <v>976</v>
      </c>
      <c r="AJ1851">
        <v>33.047196999999997</v>
      </c>
      <c r="AK1851" t="s">
        <v>977</v>
      </c>
      <c r="AL1851">
        <v>-97.664379999999994</v>
      </c>
      <c r="AM1851">
        <v>25</v>
      </c>
      <c r="AN1851">
        <v>3500</v>
      </c>
      <c r="AO1851" t="s">
        <v>118</v>
      </c>
      <c r="AP1851">
        <v>25</v>
      </c>
      <c r="AQ1851">
        <v>-99</v>
      </c>
      <c r="AR1851">
        <v>0</v>
      </c>
      <c r="AZ1851">
        <v>1200</v>
      </c>
      <c r="BA1851">
        <v>1</v>
      </c>
      <c r="BB1851" t="str">
        <f t="shared" si="545"/>
        <v xml:space="preserve">N733KP  </v>
      </c>
      <c r="BC1851">
        <v>1</v>
      </c>
      <c r="BE1851">
        <v>0</v>
      </c>
      <c r="BF1851">
        <v>0</v>
      </c>
      <c r="BG1851">
        <v>0</v>
      </c>
      <c r="BH1851">
        <v>3450</v>
      </c>
      <c r="BI1851">
        <v>1</v>
      </c>
      <c r="BJ1851">
        <v>1</v>
      </c>
      <c r="BK1851">
        <v>0</v>
      </c>
      <c r="BL1851">
        <v>0</v>
      </c>
      <c r="BO1851">
        <v>0</v>
      </c>
      <c r="BP1851">
        <v>0</v>
      </c>
      <c r="BW1851" t="str">
        <f>"22:17:15.262"</f>
        <v>22:17:15.262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6</v>
      </c>
      <c r="CP1851" t="s">
        <v>119</v>
      </c>
      <c r="CQ1851">
        <v>364</v>
      </c>
      <c r="CR1851">
        <v>0</v>
      </c>
      <c r="CW1851">
        <v>1435703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"03/24/2022 22:17:15.517"</f>
        <v>03/24/2022 22:17:15.517</v>
      </c>
      <c r="C1852" t="str">
        <f t="shared" si="543"/>
        <v>FFDFD3C0</v>
      </c>
      <c r="D1852" t="s">
        <v>123</v>
      </c>
      <c r="E1852">
        <v>8</v>
      </c>
      <c r="H1852">
        <v>31</v>
      </c>
      <c r="I1852" t="s">
        <v>124</v>
      </c>
      <c r="J1852" t="s">
        <v>125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S1852" t="str">
        <f t="shared" si="554"/>
        <v>22:17:15.000</v>
      </c>
      <c r="T1852" t="str">
        <f t="shared" si="554"/>
        <v>22:17:15.000</v>
      </c>
      <c r="U1852" t="str">
        <f t="shared" si="538"/>
        <v>A9D71F</v>
      </c>
      <c r="V1852">
        <v>0</v>
      </c>
      <c r="W1852">
        <v>0</v>
      </c>
      <c r="X1852">
        <v>2</v>
      </c>
      <c r="Z1852">
        <v>1</v>
      </c>
      <c r="AA1852">
        <v>8</v>
      </c>
      <c r="AB1852">
        <v>3</v>
      </c>
      <c r="AC1852">
        <v>0</v>
      </c>
      <c r="AD1852">
        <v>9</v>
      </c>
      <c r="AE1852">
        <v>0</v>
      </c>
      <c r="AF1852">
        <v>3</v>
      </c>
      <c r="AG1852">
        <v>1</v>
      </c>
      <c r="AH1852">
        <v>0</v>
      </c>
      <c r="AI1852" t="s">
        <v>976</v>
      </c>
      <c r="AJ1852">
        <v>33.047196999999997</v>
      </c>
      <c r="AK1852" t="s">
        <v>977</v>
      </c>
      <c r="AL1852">
        <v>-97.664379999999994</v>
      </c>
      <c r="AM1852">
        <v>25</v>
      </c>
      <c r="AN1852">
        <v>3500</v>
      </c>
      <c r="AO1852" t="s">
        <v>118</v>
      </c>
      <c r="AP1852">
        <v>25</v>
      </c>
      <c r="AQ1852">
        <v>-99</v>
      </c>
      <c r="AR1852">
        <v>0</v>
      </c>
      <c r="AZ1852">
        <v>1200</v>
      </c>
      <c r="BA1852">
        <v>1</v>
      </c>
      <c r="BB1852" t="str">
        <f t="shared" si="545"/>
        <v xml:space="preserve">N733KP  </v>
      </c>
      <c r="BC1852">
        <v>1</v>
      </c>
      <c r="BE1852">
        <v>0</v>
      </c>
      <c r="BF1852">
        <v>0</v>
      </c>
      <c r="BG1852">
        <v>0</v>
      </c>
      <c r="BH1852">
        <v>3450</v>
      </c>
      <c r="BI1852">
        <v>1</v>
      </c>
      <c r="BJ1852">
        <v>1</v>
      </c>
      <c r="BK1852">
        <v>0</v>
      </c>
      <c r="BL1852">
        <v>0</v>
      </c>
      <c r="BO1852">
        <v>0</v>
      </c>
      <c r="BP1852">
        <v>0</v>
      </c>
      <c r="BW1852" t="str">
        <f>"22:17:15.262"</f>
        <v>22:17:15.262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6</v>
      </c>
      <c r="CP1852" t="s">
        <v>119</v>
      </c>
      <c r="CQ1852">
        <v>364</v>
      </c>
      <c r="CR1852">
        <v>0</v>
      </c>
      <c r="CW1852">
        <v>1435703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"03/24/2022 22:17:15.517"</f>
        <v>03/24/2022 22:17:15.517</v>
      </c>
      <c r="C1853" t="str">
        <f t="shared" si="543"/>
        <v>FFDFD3C0</v>
      </c>
      <c r="D1853" t="s">
        <v>126</v>
      </c>
      <c r="E1853">
        <v>3</v>
      </c>
      <c r="H1853">
        <v>160</v>
      </c>
      <c r="I1853" t="s">
        <v>121</v>
      </c>
      <c r="J1853" t="s">
        <v>127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S1853" t="str">
        <f t="shared" si="554"/>
        <v>22:17:15.000</v>
      </c>
      <c r="T1853" t="str">
        <f t="shared" si="554"/>
        <v>22:17:15.000</v>
      </c>
      <c r="U1853" t="str">
        <f t="shared" si="538"/>
        <v>A9D71F</v>
      </c>
      <c r="V1853">
        <v>0</v>
      </c>
      <c r="W1853">
        <v>0</v>
      </c>
      <c r="X1853">
        <v>2</v>
      </c>
      <c r="Z1853">
        <v>1</v>
      </c>
      <c r="AA1853">
        <v>8</v>
      </c>
      <c r="AB1853">
        <v>3</v>
      </c>
      <c r="AC1853">
        <v>0</v>
      </c>
      <c r="AD1853">
        <v>9</v>
      </c>
      <c r="AE1853">
        <v>0</v>
      </c>
      <c r="AF1853">
        <v>3</v>
      </c>
      <c r="AG1853">
        <v>1</v>
      </c>
      <c r="AH1853">
        <v>0</v>
      </c>
      <c r="AI1853" t="s">
        <v>976</v>
      </c>
      <c r="AJ1853">
        <v>33.047196999999997</v>
      </c>
      <c r="AK1853" t="s">
        <v>977</v>
      </c>
      <c r="AL1853">
        <v>-97.664379999999994</v>
      </c>
      <c r="AM1853">
        <v>25</v>
      </c>
      <c r="AN1853">
        <v>3500</v>
      </c>
      <c r="AO1853" t="s">
        <v>118</v>
      </c>
      <c r="AP1853">
        <v>25</v>
      </c>
      <c r="AQ1853">
        <v>-99</v>
      </c>
      <c r="AR1853">
        <v>0</v>
      </c>
      <c r="AZ1853">
        <v>1200</v>
      </c>
      <c r="BA1853">
        <v>1</v>
      </c>
      <c r="BB1853" t="str">
        <f t="shared" si="545"/>
        <v xml:space="preserve">N733KP  </v>
      </c>
      <c r="BC1853">
        <v>1</v>
      </c>
      <c r="BE1853">
        <v>0</v>
      </c>
      <c r="BF1853">
        <v>0</v>
      </c>
      <c r="BG1853">
        <v>0</v>
      </c>
      <c r="BH1853">
        <v>3450</v>
      </c>
      <c r="BI1853">
        <v>1</v>
      </c>
      <c r="BJ1853">
        <v>1</v>
      </c>
      <c r="BK1853">
        <v>0</v>
      </c>
      <c r="BL1853">
        <v>0</v>
      </c>
      <c r="BO1853">
        <v>0</v>
      </c>
      <c r="BP1853">
        <v>0</v>
      </c>
      <c r="BW1853" t="str">
        <f>"22:17:15.262"</f>
        <v>22:17:15.262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6</v>
      </c>
      <c r="CP1853" t="s">
        <v>119</v>
      </c>
      <c r="CQ1853">
        <v>364</v>
      </c>
      <c r="CR1853">
        <v>0</v>
      </c>
      <c r="CW1853">
        <v>1435703</v>
      </c>
      <c r="CY1853">
        <v>1</v>
      </c>
      <c r="CZ1853">
        <v>0</v>
      </c>
      <c r="DA1853">
        <v>1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"03/24/2022 22:17:16.485"</f>
        <v>03/24/2022 22:17:16.485</v>
      </c>
      <c r="C1854" t="str">
        <f t="shared" si="543"/>
        <v>FFDFD3C0</v>
      </c>
      <c r="D1854" t="s">
        <v>113</v>
      </c>
      <c r="E1854">
        <v>24</v>
      </c>
      <c r="F1854">
        <v>2024</v>
      </c>
      <c r="G1854" t="s">
        <v>114</v>
      </c>
      <c r="J1854" t="s">
        <v>115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S1854" t="str">
        <f t="shared" ref="S1854:T1857" si="555">"22:17:16.000"</f>
        <v>22:17:16.000</v>
      </c>
      <c r="T1854" t="str">
        <f t="shared" si="555"/>
        <v>22:17:16.000</v>
      </c>
      <c r="U1854" t="str">
        <f t="shared" si="538"/>
        <v>A9D71F</v>
      </c>
      <c r="V1854">
        <v>0</v>
      </c>
      <c r="W1854">
        <v>0</v>
      </c>
      <c r="X1854">
        <v>2</v>
      </c>
      <c r="Z1854">
        <v>1</v>
      </c>
      <c r="AA1854">
        <v>8</v>
      </c>
      <c r="AB1854">
        <v>3</v>
      </c>
      <c r="AC1854">
        <v>0</v>
      </c>
      <c r="AD1854">
        <v>9</v>
      </c>
      <c r="AE1854">
        <v>0</v>
      </c>
      <c r="AF1854">
        <v>3</v>
      </c>
      <c r="AG1854">
        <v>1</v>
      </c>
      <c r="AH1854">
        <v>0</v>
      </c>
      <c r="AI1854" t="s">
        <v>978</v>
      </c>
      <c r="AJ1854">
        <v>33.046725000000002</v>
      </c>
      <c r="AK1854" t="s">
        <v>979</v>
      </c>
      <c r="AL1854">
        <v>-97.664230000000003</v>
      </c>
      <c r="AM1854">
        <v>25</v>
      </c>
      <c r="AN1854">
        <v>3400</v>
      </c>
      <c r="AO1854" t="s">
        <v>118</v>
      </c>
      <c r="AP1854">
        <v>27</v>
      </c>
      <c r="AQ1854">
        <v>-98</v>
      </c>
      <c r="AR1854">
        <v>-64</v>
      </c>
      <c r="AZ1854">
        <v>1200</v>
      </c>
      <c r="BA1854">
        <v>1</v>
      </c>
      <c r="BB1854" t="str">
        <f t="shared" si="545"/>
        <v xml:space="preserve">N733KP  </v>
      </c>
      <c r="BC1854">
        <v>1</v>
      </c>
      <c r="BE1854">
        <v>0</v>
      </c>
      <c r="BF1854">
        <v>0</v>
      </c>
      <c r="BG1854">
        <v>0</v>
      </c>
      <c r="BH1854">
        <v>3450</v>
      </c>
      <c r="BI1854">
        <v>1</v>
      </c>
      <c r="BJ1854">
        <v>1</v>
      </c>
      <c r="BK1854">
        <v>0</v>
      </c>
      <c r="BL1854">
        <v>0</v>
      </c>
      <c r="BO1854">
        <v>0</v>
      </c>
      <c r="BP1854">
        <v>0</v>
      </c>
      <c r="BW1854" t="str">
        <f>"22:17:16.284"</f>
        <v>22:17:16.284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4</v>
      </c>
      <c r="CP1854" t="s">
        <v>119</v>
      </c>
      <c r="CQ1854">
        <v>440</v>
      </c>
      <c r="CR1854">
        <v>0</v>
      </c>
      <c r="CW1854">
        <v>6712844</v>
      </c>
      <c r="CY1854">
        <v>1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"03/24/2022 22:17:16.485"</f>
        <v>03/24/2022 22:17:16.485</v>
      </c>
      <c r="C1855" t="str">
        <f t="shared" si="543"/>
        <v>FFDFD3C0</v>
      </c>
      <c r="D1855" t="s">
        <v>123</v>
      </c>
      <c r="E1855">
        <v>8</v>
      </c>
      <c r="H1855">
        <v>31</v>
      </c>
      <c r="I1855" t="s">
        <v>124</v>
      </c>
      <c r="J1855" t="s">
        <v>125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S1855" t="str">
        <f t="shared" si="555"/>
        <v>22:17:16.000</v>
      </c>
      <c r="T1855" t="str">
        <f t="shared" si="555"/>
        <v>22:17:16.000</v>
      </c>
      <c r="U1855" t="str">
        <f t="shared" si="538"/>
        <v>A9D71F</v>
      </c>
      <c r="V1855">
        <v>0</v>
      </c>
      <c r="W1855">
        <v>0</v>
      </c>
      <c r="X1855">
        <v>2</v>
      </c>
      <c r="Z1855">
        <v>1</v>
      </c>
      <c r="AA1855">
        <v>8</v>
      </c>
      <c r="AB1855">
        <v>3</v>
      </c>
      <c r="AC1855">
        <v>0</v>
      </c>
      <c r="AD1855">
        <v>9</v>
      </c>
      <c r="AE1855">
        <v>0</v>
      </c>
      <c r="AF1855">
        <v>3</v>
      </c>
      <c r="AG1855">
        <v>1</v>
      </c>
      <c r="AH1855">
        <v>0</v>
      </c>
      <c r="AI1855" t="s">
        <v>978</v>
      </c>
      <c r="AJ1855">
        <v>33.046725000000002</v>
      </c>
      <c r="AK1855" t="s">
        <v>979</v>
      </c>
      <c r="AL1855">
        <v>-97.664230000000003</v>
      </c>
      <c r="AM1855">
        <v>25</v>
      </c>
      <c r="AN1855">
        <v>3400</v>
      </c>
      <c r="AO1855" t="s">
        <v>118</v>
      </c>
      <c r="AP1855">
        <v>27</v>
      </c>
      <c r="AQ1855">
        <v>-98</v>
      </c>
      <c r="AR1855">
        <v>-64</v>
      </c>
      <c r="AZ1855">
        <v>1200</v>
      </c>
      <c r="BA1855">
        <v>1</v>
      </c>
      <c r="BB1855" t="str">
        <f t="shared" si="545"/>
        <v xml:space="preserve">N733KP  </v>
      </c>
      <c r="BC1855">
        <v>1</v>
      </c>
      <c r="BE1855">
        <v>0</v>
      </c>
      <c r="BF1855">
        <v>0</v>
      </c>
      <c r="BG1855">
        <v>0</v>
      </c>
      <c r="BH1855">
        <v>3450</v>
      </c>
      <c r="BI1855">
        <v>1</v>
      </c>
      <c r="BJ1855">
        <v>1</v>
      </c>
      <c r="BK1855">
        <v>0</v>
      </c>
      <c r="BL1855">
        <v>0</v>
      </c>
      <c r="BO1855">
        <v>0</v>
      </c>
      <c r="BP1855">
        <v>0</v>
      </c>
      <c r="BW1855" t="str">
        <f>"22:17:16.284"</f>
        <v>22:17:16.284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1</v>
      </c>
      <c r="CP1855" t="s">
        <v>119</v>
      </c>
      <c r="CQ1855">
        <v>366</v>
      </c>
      <c r="CR1855">
        <v>0</v>
      </c>
      <c r="CW1855">
        <v>10416115</v>
      </c>
      <c r="CY1855">
        <v>1</v>
      </c>
      <c r="CZ1855">
        <v>0</v>
      </c>
      <c r="DA1855">
        <v>1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"03/24/2022 22:17:16.485"</f>
        <v>03/24/2022 22:17:16.485</v>
      </c>
      <c r="C1856" t="str">
        <f t="shared" si="543"/>
        <v>FFDFD3C0</v>
      </c>
      <c r="D1856" t="s">
        <v>126</v>
      </c>
      <c r="E1856">
        <v>3</v>
      </c>
      <c r="H1856">
        <v>160</v>
      </c>
      <c r="I1856" t="s">
        <v>121</v>
      </c>
      <c r="J1856" t="s">
        <v>127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S1856" t="str">
        <f t="shared" si="555"/>
        <v>22:17:16.000</v>
      </c>
      <c r="T1856" t="str">
        <f t="shared" si="555"/>
        <v>22:17:16.000</v>
      </c>
      <c r="U1856" t="str">
        <f t="shared" si="538"/>
        <v>A9D71F</v>
      </c>
      <c r="V1856">
        <v>0</v>
      </c>
      <c r="W1856">
        <v>0</v>
      </c>
      <c r="X1856">
        <v>2</v>
      </c>
      <c r="Z1856">
        <v>1</v>
      </c>
      <c r="AA1856">
        <v>8</v>
      </c>
      <c r="AB1856">
        <v>3</v>
      </c>
      <c r="AC1856">
        <v>0</v>
      </c>
      <c r="AD1856">
        <v>9</v>
      </c>
      <c r="AE1856">
        <v>0</v>
      </c>
      <c r="AF1856">
        <v>3</v>
      </c>
      <c r="AG1856">
        <v>1</v>
      </c>
      <c r="AH1856">
        <v>0</v>
      </c>
      <c r="AI1856" t="s">
        <v>978</v>
      </c>
      <c r="AJ1856">
        <v>33.046725000000002</v>
      </c>
      <c r="AK1856" t="s">
        <v>979</v>
      </c>
      <c r="AL1856">
        <v>-97.664230000000003</v>
      </c>
      <c r="AM1856">
        <v>25</v>
      </c>
      <c r="AN1856">
        <v>3400</v>
      </c>
      <c r="AO1856" t="s">
        <v>118</v>
      </c>
      <c r="AP1856">
        <v>27</v>
      </c>
      <c r="AQ1856">
        <v>-98</v>
      </c>
      <c r="AR1856">
        <v>-64</v>
      </c>
      <c r="AZ1856">
        <v>1200</v>
      </c>
      <c r="BA1856">
        <v>1</v>
      </c>
      <c r="BB1856" t="str">
        <f t="shared" si="545"/>
        <v xml:space="preserve">N733KP  </v>
      </c>
      <c r="BC1856">
        <v>1</v>
      </c>
      <c r="BE1856">
        <v>0</v>
      </c>
      <c r="BF1856">
        <v>0</v>
      </c>
      <c r="BG1856">
        <v>0</v>
      </c>
      <c r="BH1856">
        <v>3450</v>
      </c>
      <c r="BI1856">
        <v>1</v>
      </c>
      <c r="BJ1856">
        <v>1</v>
      </c>
      <c r="BK1856">
        <v>0</v>
      </c>
      <c r="BL1856">
        <v>0</v>
      </c>
      <c r="BO1856">
        <v>0</v>
      </c>
      <c r="BP1856">
        <v>0</v>
      </c>
      <c r="BW1856" t="str">
        <f>"22:17:16.284"</f>
        <v>22:17:16.284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4</v>
      </c>
      <c r="CP1856" t="s">
        <v>119</v>
      </c>
      <c r="CQ1856">
        <v>440</v>
      </c>
      <c r="CR1856">
        <v>0</v>
      </c>
      <c r="CW1856">
        <v>6712844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"03/24/2022 22:17:16.485"</f>
        <v>03/24/2022 22:17:16.485</v>
      </c>
      <c r="C1857" t="str">
        <f t="shared" si="543"/>
        <v>FFDFD3C0</v>
      </c>
      <c r="D1857" t="s">
        <v>120</v>
      </c>
      <c r="E1857">
        <v>14</v>
      </c>
      <c r="F1857">
        <v>1014</v>
      </c>
      <c r="G1857" t="s">
        <v>121</v>
      </c>
      <c r="J1857" t="s">
        <v>122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S1857" t="str">
        <f t="shared" si="555"/>
        <v>22:17:16.000</v>
      </c>
      <c r="T1857" t="str">
        <f t="shared" si="555"/>
        <v>22:17:16.000</v>
      </c>
      <c r="U1857" t="str">
        <f t="shared" si="538"/>
        <v>A9D71F</v>
      </c>
      <c r="V1857">
        <v>0</v>
      </c>
      <c r="W1857">
        <v>0</v>
      </c>
      <c r="X1857">
        <v>2</v>
      </c>
      <c r="Z1857">
        <v>1</v>
      </c>
      <c r="AA1857">
        <v>8</v>
      </c>
      <c r="AB1857">
        <v>3</v>
      </c>
      <c r="AC1857">
        <v>0</v>
      </c>
      <c r="AD1857">
        <v>9</v>
      </c>
      <c r="AE1857">
        <v>0</v>
      </c>
      <c r="AF1857">
        <v>3</v>
      </c>
      <c r="AG1857">
        <v>1</v>
      </c>
      <c r="AH1857">
        <v>0</v>
      </c>
      <c r="AI1857" t="s">
        <v>978</v>
      </c>
      <c r="AJ1857">
        <v>33.046725000000002</v>
      </c>
      <c r="AK1857" t="s">
        <v>979</v>
      </c>
      <c r="AL1857">
        <v>-97.664230000000003</v>
      </c>
      <c r="AM1857">
        <v>25</v>
      </c>
      <c r="AN1857">
        <v>3400</v>
      </c>
      <c r="AO1857" t="s">
        <v>118</v>
      </c>
      <c r="AP1857">
        <v>27</v>
      </c>
      <c r="AQ1857">
        <v>-98</v>
      </c>
      <c r="AR1857">
        <v>-64</v>
      </c>
      <c r="AZ1857">
        <v>1200</v>
      </c>
      <c r="BA1857">
        <v>1</v>
      </c>
      <c r="BB1857" t="str">
        <f t="shared" si="545"/>
        <v xml:space="preserve">N733KP  </v>
      </c>
      <c r="BC1857">
        <v>1</v>
      </c>
      <c r="BE1857">
        <v>0</v>
      </c>
      <c r="BF1857">
        <v>0</v>
      </c>
      <c r="BG1857">
        <v>0</v>
      </c>
      <c r="BH1857">
        <v>3450</v>
      </c>
      <c r="BI1857">
        <v>1</v>
      </c>
      <c r="BJ1857">
        <v>1</v>
      </c>
      <c r="BK1857">
        <v>0</v>
      </c>
      <c r="BL1857">
        <v>0</v>
      </c>
      <c r="BO1857">
        <v>0</v>
      </c>
      <c r="BP1857">
        <v>0</v>
      </c>
      <c r="BW1857" t="str">
        <f>"22:17:16.284"</f>
        <v>22:17:16.284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4</v>
      </c>
      <c r="CP1857" t="s">
        <v>119</v>
      </c>
      <c r="CQ1857">
        <v>440</v>
      </c>
      <c r="CR1857">
        <v>0</v>
      </c>
      <c r="CW1857">
        <v>6712844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"03/24/2022 22:17:17.518"</f>
        <v>03/24/2022 22:17:17.518</v>
      </c>
      <c r="C1858" t="str">
        <f t="shared" si="543"/>
        <v>FFDFD3C0</v>
      </c>
      <c r="D1858" t="s">
        <v>113</v>
      </c>
      <c r="E1858">
        <v>24</v>
      </c>
      <c r="F1858">
        <v>2024</v>
      </c>
      <c r="G1858" t="s">
        <v>114</v>
      </c>
      <c r="J1858" t="s">
        <v>115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S1858" t="str">
        <f t="shared" ref="S1858:T1861" si="556">"22:17:17.000"</f>
        <v>22:17:17.000</v>
      </c>
      <c r="T1858" t="str">
        <f t="shared" si="556"/>
        <v>22:17:17.000</v>
      </c>
      <c r="U1858" t="str">
        <f t="shared" ref="U1858:U1921" si="557">"A9D71F"</f>
        <v>A9D71F</v>
      </c>
      <c r="V1858">
        <v>0</v>
      </c>
      <c r="W1858">
        <v>0</v>
      </c>
      <c r="X1858">
        <v>2</v>
      </c>
      <c r="Z1858">
        <v>1</v>
      </c>
      <c r="AA1858">
        <v>8</v>
      </c>
      <c r="AB1858">
        <v>3</v>
      </c>
      <c r="AC1858">
        <v>0</v>
      </c>
      <c r="AD1858">
        <v>9</v>
      </c>
      <c r="AE1858">
        <v>0</v>
      </c>
      <c r="AF1858">
        <v>3</v>
      </c>
      <c r="AG1858">
        <v>1</v>
      </c>
      <c r="AH1858">
        <v>0</v>
      </c>
      <c r="AI1858" t="s">
        <v>980</v>
      </c>
      <c r="AJ1858">
        <v>33.046273999999997</v>
      </c>
      <c r="AK1858" t="s">
        <v>981</v>
      </c>
      <c r="AL1858">
        <v>-97.664079999999998</v>
      </c>
      <c r="AM1858">
        <v>25</v>
      </c>
      <c r="AN1858">
        <v>3400</v>
      </c>
      <c r="AO1858" t="s">
        <v>118</v>
      </c>
      <c r="AP1858">
        <v>25</v>
      </c>
      <c r="AQ1858">
        <v>-97</v>
      </c>
      <c r="AR1858">
        <v>0</v>
      </c>
      <c r="AZ1858">
        <v>1200</v>
      </c>
      <c r="BA1858">
        <v>1</v>
      </c>
      <c r="BB1858" t="str">
        <f t="shared" si="545"/>
        <v xml:space="preserve">N733KP  </v>
      </c>
      <c r="BC1858">
        <v>1</v>
      </c>
      <c r="BE1858">
        <v>0</v>
      </c>
      <c r="BF1858">
        <v>0</v>
      </c>
      <c r="BG1858">
        <v>0</v>
      </c>
      <c r="BH1858">
        <v>3450</v>
      </c>
      <c r="BI1858">
        <v>1</v>
      </c>
      <c r="BJ1858">
        <v>1</v>
      </c>
      <c r="BK1858">
        <v>0</v>
      </c>
      <c r="BL1858">
        <v>0</v>
      </c>
      <c r="BO1858">
        <v>0</v>
      </c>
      <c r="BP1858">
        <v>0</v>
      </c>
      <c r="BW1858" t="str">
        <f>"22:17:17.303"</f>
        <v>22:17:17.303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6</v>
      </c>
      <c r="CP1858" t="s">
        <v>119</v>
      </c>
      <c r="CQ1858">
        <v>364</v>
      </c>
      <c r="CR1858">
        <v>0</v>
      </c>
      <c r="CW1858">
        <v>1436016</v>
      </c>
      <c r="CY1858">
        <v>1</v>
      </c>
      <c r="CZ1858">
        <v>0</v>
      </c>
      <c r="DA1858">
        <v>0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"03/24/2022 22:17:17.518"</f>
        <v>03/24/2022 22:17:17.518</v>
      </c>
      <c r="C1859" t="str">
        <f t="shared" si="543"/>
        <v>FFDFD3C0</v>
      </c>
      <c r="D1859" t="s">
        <v>123</v>
      </c>
      <c r="E1859">
        <v>8</v>
      </c>
      <c r="H1859">
        <v>31</v>
      </c>
      <c r="I1859" t="s">
        <v>124</v>
      </c>
      <c r="J1859" t="s">
        <v>125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S1859" t="str">
        <f t="shared" si="556"/>
        <v>22:17:17.000</v>
      </c>
      <c r="T1859" t="str">
        <f t="shared" si="556"/>
        <v>22:17:17.000</v>
      </c>
      <c r="U1859" t="str">
        <f t="shared" si="557"/>
        <v>A9D71F</v>
      </c>
      <c r="V1859">
        <v>0</v>
      </c>
      <c r="W1859">
        <v>0</v>
      </c>
      <c r="X1859">
        <v>2</v>
      </c>
      <c r="Z1859">
        <v>1</v>
      </c>
      <c r="AA1859">
        <v>8</v>
      </c>
      <c r="AB1859">
        <v>3</v>
      </c>
      <c r="AC1859">
        <v>0</v>
      </c>
      <c r="AD1859">
        <v>9</v>
      </c>
      <c r="AE1859">
        <v>0</v>
      </c>
      <c r="AF1859">
        <v>3</v>
      </c>
      <c r="AG1859">
        <v>1</v>
      </c>
      <c r="AH1859">
        <v>0</v>
      </c>
      <c r="AI1859" t="s">
        <v>980</v>
      </c>
      <c r="AJ1859">
        <v>33.046273999999997</v>
      </c>
      <c r="AK1859" t="s">
        <v>981</v>
      </c>
      <c r="AL1859">
        <v>-97.664079999999998</v>
      </c>
      <c r="AM1859">
        <v>25</v>
      </c>
      <c r="AN1859">
        <v>3400</v>
      </c>
      <c r="AO1859" t="s">
        <v>118</v>
      </c>
      <c r="AP1859">
        <v>25</v>
      </c>
      <c r="AQ1859">
        <v>-97</v>
      </c>
      <c r="AR1859">
        <v>0</v>
      </c>
      <c r="AZ1859">
        <v>1200</v>
      </c>
      <c r="BA1859">
        <v>1</v>
      </c>
      <c r="BB1859" t="str">
        <f t="shared" si="545"/>
        <v xml:space="preserve">N733KP  </v>
      </c>
      <c r="BC1859">
        <v>1</v>
      </c>
      <c r="BE1859">
        <v>0</v>
      </c>
      <c r="BF1859">
        <v>0</v>
      </c>
      <c r="BG1859">
        <v>0</v>
      </c>
      <c r="BH1859">
        <v>3450</v>
      </c>
      <c r="BI1859">
        <v>1</v>
      </c>
      <c r="BJ1859">
        <v>1</v>
      </c>
      <c r="BK1859">
        <v>0</v>
      </c>
      <c r="BL1859">
        <v>0</v>
      </c>
      <c r="BO1859">
        <v>0</v>
      </c>
      <c r="BP1859">
        <v>0</v>
      </c>
      <c r="BW1859" t="str">
        <f>"22:17:17.303"</f>
        <v>22:17:17.303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6</v>
      </c>
      <c r="CP1859" t="s">
        <v>119</v>
      </c>
      <c r="CQ1859">
        <v>364</v>
      </c>
      <c r="CR1859">
        <v>0</v>
      </c>
      <c r="CW1859">
        <v>1436016</v>
      </c>
      <c r="CY1859">
        <v>1</v>
      </c>
      <c r="CZ1859">
        <v>0</v>
      </c>
      <c r="DA1859">
        <v>1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"03/24/2022 22:17:17.518"</f>
        <v>03/24/2022 22:17:17.518</v>
      </c>
      <c r="C1860" t="str">
        <f t="shared" si="543"/>
        <v>FFDFD3C0</v>
      </c>
      <c r="D1860" t="s">
        <v>126</v>
      </c>
      <c r="E1860">
        <v>3</v>
      </c>
      <c r="H1860">
        <v>160</v>
      </c>
      <c r="I1860" t="s">
        <v>121</v>
      </c>
      <c r="J1860" t="s">
        <v>127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S1860" t="str">
        <f t="shared" si="556"/>
        <v>22:17:17.000</v>
      </c>
      <c r="T1860" t="str">
        <f t="shared" si="556"/>
        <v>22:17:17.000</v>
      </c>
      <c r="U1860" t="str">
        <f t="shared" si="557"/>
        <v>A9D71F</v>
      </c>
      <c r="V1860">
        <v>0</v>
      </c>
      <c r="W1860">
        <v>0</v>
      </c>
      <c r="X1860">
        <v>2</v>
      </c>
      <c r="Z1860">
        <v>1</v>
      </c>
      <c r="AA1860">
        <v>8</v>
      </c>
      <c r="AB1860">
        <v>3</v>
      </c>
      <c r="AC1860">
        <v>0</v>
      </c>
      <c r="AD1860">
        <v>9</v>
      </c>
      <c r="AE1860">
        <v>0</v>
      </c>
      <c r="AF1860">
        <v>3</v>
      </c>
      <c r="AG1860">
        <v>1</v>
      </c>
      <c r="AH1860">
        <v>0</v>
      </c>
      <c r="AI1860" t="s">
        <v>980</v>
      </c>
      <c r="AJ1860">
        <v>33.046273999999997</v>
      </c>
      <c r="AK1860" t="s">
        <v>981</v>
      </c>
      <c r="AL1860">
        <v>-97.664079999999998</v>
      </c>
      <c r="AM1860">
        <v>25</v>
      </c>
      <c r="AN1860">
        <v>3400</v>
      </c>
      <c r="AO1860" t="s">
        <v>118</v>
      </c>
      <c r="AP1860">
        <v>25</v>
      </c>
      <c r="AQ1860">
        <v>-97</v>
      </c>
      <c r="AR1860">
        <v>0</v>
      </c>
      <c r="AZ1860">
        <v>1200</v>
      </c>
      <c r="BA1860">
        <v>1</v>
      </c>
      <c r="BB1860" t="str">
        <f t="shared" si="545"/>
        <v xml:space="preserve">N733KP  </v>
      </c>
      <c r="BC1860">
        <v>1</v>
      </c>
      <c r="BE1860">
        <v>0</v>
      </c>
      <c r="BF1860">
        <v>0</v>
      </c>
      <c r="BG1860">
        <v>0</v>
      </c>
      <c r="BH1860">
        <v>3450</v>
      </c>
      <c r="BI1860">
        <v>1</v>
      </c>
      <c r="BJ1860">
        <v>1</v>
      </c>
      <c r="BK1860">
        <v>0</v>
      </c>
      <c r="BL1860">
        <v>0</v>
      </c>
      <c r="BO1860">
        <v>0</v>
      </c>
      <c r="BP1860">
        <v>0</v>
      </c>
      <c r="BW1860" t="str">
        <f>"22:17:17.303"</f>
        <v>22:17:17.303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6</v>
      </c>
      <c r="CP1860" t="s">
        <v>119</v>
      </c>
      <c r="CQ1860">
        <v>364</v>
      </c>
      <c r="CR1860">
        <v>0</v>
      </c>
      <c r="CW1860">
        <v>1436016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"03/24/2022 22:17:17.518"</f>
        <v>03/24/2022 22:17:17.518</v>
      </c>
      <c r="C1861" t="str">
        <f t="shared" si="543"/>
        <v>FFDFD3C0</v>
      </c>
      <c r="D1861" t="s">
        <v>120</v>
      </c>
      <c r="E1861">
        <v>14</v>
      </c>
      <c r="F1861">
        <v>1014</v>
      </c>
      <c r="G1861" t="s">
        <v>121</v>
      </c>
      <c r="J1861" t="s">
        <v>122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S1861" t="str">
        <f t="shared" si="556"/>
        <v>22:17:17.000</v>
      </c>
      <c r="T1861" t="str">
        <f t="shared" si="556"/>
        <v>22:17:17.000</v>
      </c>
      <c r="U1861" t="str">
        <f t="shared" si="557"/>
        <v>A9D71F</v>
      </c>
      <c r="V1861">
        <v>0</v>
      </c>
      <c r="W1861">
        <v>0</v>
      </c>
      <c r="X1861">
        <v>2</v>
      </c>
      <c r="Z1861">
        <v>1</v>
      </c>
      <c r="AA1861">
        <v>8</v>
      </c>
      <c r="AB1861">
        <v>3</v>
      </c>
      <c r="AC1861">
        <v>0</v>
      </c>
      <c r="AD1861">
        <v>9</v>
      </c>
      <c r="AE1861">
        <v>0</v>
      </c>
      <c r="AF1861">
        <v>3</v>
      </c>
      <c r="AG1861">
        <v>1</v>
      </c>
      <c r="AH1861">
        <v>0</v>
      </c>
      <c r="AI1861" t="s">
        <v>980</v>
      </c>
      <c r="AJ1861">
        <v>33.046273999999997</v>
      </c>
      <c r="AK1861" t="s">
        <v>981</v>
      </c>
      <c r="AL1861">
        <v>-97.664079999999998</v>
      </c>
      <c r="AM1861">
        <v>25</v>
      </c>
      <c r="AN1861">
        <v>3400</v>
      </c>
      <c r="AO1861" t="s">
        <v>118</v>
      </c>
      <c r="AP1861">
        <v>25</v>
      </c>
      <c r="AQ1861">
        <v>-97</v>
      </c>
      <c r="AR1861">
        <v>0</v>
      </c>
      <c r="AZ1861">
        <v>1200</v>
      </c>
      <c r="BA1861">
        <v>1</v>
      </c>
      <c r="BB1861" t="str">
        <f t="shared" si="545"/>
        <v xml:space="preserve">N733KP  </v>
      </c>
      <c r="BC1861">
        <v>1</v>
      </c>
      <c r="BE1861">
        <v>0</v>
      </c>
      <c r="BF1861">
        <v>0</v>
      </c>
      <c r="BG1861">
        <v>0</v>
      </c>
      <c r="BH1861">
        <v>3450</v>
      </c>
      <c r="BI1861">
        <v>1</v>
      </c>
      <c r="BJ1861">
        <v>1</v>
      </c>
      <c r="BK1861">
        <v>0</v>
      </c>
      <c r="BL1861">
        <v>0</v>
      </c>
      <c r="BO1861">
        <v>0</v>
      </c>
      <c r="BP1861">
        <v>0</v>
      </c>
      <c r="BW1861" t="str">
        <f>"22:17:17.303"</f>
        <v>22:17:17.303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6</v>
      </c>
      <c r="CP1861" t="s">
        <v>119</v>
      </c>
      <c r="CQ1861">
        <v>364</v>
      </c>
      <c r="CR1861">
        <v>0</v>
      </c>
      <c r="CW1861">
        <v>1436016</v>
      </c>
      <c r="CY1861">
        <v>1</v>
      </c>
      <c r="CZ1861">
        <v>0</v>
      </c>
      <c r="DA1861">
        <v>1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"03/24/2022 22:17:18.715"</f>
        <v>03/24/2022 22:17:18.715</v>
      </c>
      <c r="C1862" t="str">
        <f t="shared" si="543"/>
        <v>FFDFD3C0</v>
      </c>
      <c r="D1862" t="s">
        <v>123</v>
      </c>
      <c r="E1862">
        <v>8</v>
      </c>
      <c r="H1862">
        <v>31</v>
      </c>
      <c r="I1862" t="s">
        <v>124</v>
      </c>
      <c r="J1862" t="s">
        <v>125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S1862" t="str">
        <f t="shared" ref="S1862:T1865" si="558">"22:17:18.000"</f>
        <v>22:17:18.000</v>
      </c>
      <c r="T1862" t="str">
        <f t="shared" si="558"/>
        <v>22:17:18.000</v>
      </c>
      <c r="U1862" t="str">
        <f t="shared" si="557"/>
        <v>A9D71F</v>
      </c>
      <c r="V1862">
        <v>0</v>
      </c>
      <c r="W1862">
        <v>0</v>
      </c>
      <c r="X1862">
        <v>2</v>
      </c>
      <c r="Z1862">
        <v>1</v>
      </c>
      <c r="AA1862">
        <v>8</v>
      </c>
      <c r="AB1862">
        <v>3</v>
      </c>
      <c r="AC1862">
        <v>0</v>
      </c>
      <c r="AD1862">
        <v>9</v>
      </c>
      <c r="AE1862">
        <v>0</v>
      </c>
      <c r="AF1862">
        <v>3</v>
      </c>
      <c r="AG1862">
        <v>1</v>
      </c>
      <c r="AH1862">
        <v>0</v>
      </c>
      <c r="AI1862" t="s">
        <v>982</v>
      </c>
      <c r="AJ1862">
        <v>33.045824000000003</v>
      </c>
      <c r="AK1862" t="s">
        <v>983</v>
      </c>
      <c r="AL1862">
        <v>-97.663950999999997</v>
      </c>
      <c r="AM1862">
        <v>25</v>
      </c>
      <c r="AN1862">
        <v>3400</v>
      </c>
      <c r="AO1862" t="s">
        <v>118</v>
      </c>
      <c r="AP1862">
        <v>24</v>
      </c>
      <c r="AQ1862">
        <v>-96</v>
      </c>
      <c r="AR1862">
        <v>0</v>
      </c>
      <c r="AZ1862">
        <v>1200</v>
      </c>
      <c r="BA1862">
        <v>1</v>
      </c>
      <c r="BB1862" t="str">
        <f t="shared" si="545"/>
        <v xml:space="preserve">N733KP  </v>
      </c>
      <c r="BC1862">
        <v>1</v>
      </c>
      <c r="BE1862">
        <v>0</v>
      </c>
      <c r="BF1862">
        <v>0</v>
      </c>
      <c r="BG1862">
        <v>0</v>
      </c>
      <c r="BH1862">
        <v>3450</v>
      </c>
      <c r="BI1862">
        <v>1</v>
      </c>
      <c r="BJ1862">
        <v>1</v>
      </c>
      <c r="BK1862">
        <v>0</v>
      </c>
      <c r="BL1862">
        <v>0</v>
      </c>
      <c r="BO1862">
        <v>0</v>
      </c>
      <c r="BP1862">
        <v>0</v>
      </c>
      <c r="BW1862" t="str">
        <f>"22:17:18.515"</f>
        <v>22:17:18.515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6</v>
      </c>
      <c r="CP1862" t="s">
        <v>119</v>
      </c>
      <c r="CQ1862">
        <v>364</v>
      </c>
      <c r="CR1862">
        <v>0</v>
      </c>
      <c r="CW1862">
        <v>1436205</v>
      </c>
      <c r="CY1862">
        <v>1</v>
      </c>
      <c r="CZ1862">
        <v>0</v>
      </c>
      <c r="DA1862">
        <v>0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"03/24/2022 22:17:18.715"</f>
        <v>03/24/2022 22:17:18.715</v>
      </c>
      <c r="C1863" t="str">
        <f t="shared" si="543"/>
        <v>FFDFD3C0</v>
      </c>
      <c r="D1863" t="s">
        <v>113</v>
      </c>
      <c r="E1863">
        <v>24</v>
      </c>
      <c r="F1863">
        <v>2024</v>
      </c>
      <c r="G1863" t="s">
        <v>114</v>
      </c>
      <c r="J1863" t="s">
        <v>115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S1863" t="str">
        <f t="shared" si="558"/>
        <v>22:17:18.000</v>
      </c>
      <c r="T1863" t="str">
        <f t="shared" si="558"/>
        <v>22:17:18.000</v>
      </c>
      <c r="U1863" t="str">
        <f t="shared" si="557"/>
        <v>A9D71F</v>
      </c>
      <c r="V1863">
        <v>0</v>
      </c>
      <c r="W1863">
        <v>0</v>
      </c>
      <c r="X1863">
        <v>2</v>
      </c>
      <c r="Z1863">
        <v>1</v>
      </c>
      <c r="AA1863">
        <v>8</v>
      </c>
      <c r="AB1863">
        <v>3</v>
      </c>
      <c r="AC1863">
        <v>0</v>
      </c>
      <c r="AD1863">
        <v>9</v>
      </c>
      <c r="AE1863">
        <v>0</v>
      </c>
      <c r="AF1863">
        <v>3</v>
      </c>
      <c r="AG1863">
        <v>1</v>
      </c>
      <c r="AH1863">
        <v>0</v>
      </c>
      <c r="AI1863" t="s">
        <v>982</v>
      </c>
      <c r="AJ1863">
        <v>33.045824000000003</v>
      </c>
      <c r="AK1863" t="s">
        <v>983</v>
      </c>
      <c r="AL1863">
        <v>-97.663950999999997</v>
      </c>
      <c r="AM1863">
        <v>25</v>
      </c>
      <c r="AN1863">
        <v>3400</v>
      </c>
      <c r="AO1863" t="s">
        <v>118</v>
      </c>
      <c r="AP1863">
        <v>24</v>
      </c>
      <c r="AQ1863">
        <v>-96</v>
      </c>
      <c r="AR1863">
        <v>0</v>
      </c>
      <c r="AZ1863">
        <v>1200</v>
      </c>
      <c r="BA1863">
        <v>1</v>
      </c>
      <c r="BB1863" t="str">
        <f t="shared" si="545"/>
        <v xml:space="preserve">N733KP  </v>
      </c>
      <c r="BC1863">
        <v>1</v>
      </c>
      <c r="BE1863">
        <v>0</v>
      </c>
      <c r="BF1863">
        <v>0</v>
      </c>
      <c r="BG1863">
        <v>0</v>
      </c>
      <c r="BH1863">
        <v>3450</v>
      </c>
      <c r="BI1863">
        <v>1</v>
      </c>
      <c r="BJ1863">
        <v>1</v>
      </c>
      <c r="BK1863">
        <v>0</v>
      </c>
      <c r="BL1863">
        <v>0</v>
      </c>
      <c r="BO1863">
        <v>0</v>
      </c>
      <c r="BP1863">
        <v>0</v>
      </c>
      <c r="BW1863" t="str">
        <f>"22:17:18.515"</f>
        <v>22:17:18.515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6</v>
      </c>
      <c r="CP1863" t="s">
        <v>119</v>
      </c>
      <c r="CQ1863">
        <v>364</v>
      </c>
      <c r="CR1863">
        <v>0</v>
      </c>
      <c r="CW1863">
        <v>1436205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>"03/24/2022 22:17:18.715"</f>
        <v>03/24/2022 22:17:18.715</v>
      </c>
      <c r="C1864" t="str">
        <f t="shared" si="543"/>
        <v>FFDFD3C0</v>
      </c>
      <c r="D1864" t="s">
        <v>126</v>
      </c>
      <c r="E1864">
        <v>3</v>
      </c>
      <c r="H1864">
        <v>160</v>
      </c>
      <c r="I1864" t="s">
        <v>121</v>
      </c>
      <c r="J1864" t="s">
        <v>127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S1864" t="str">
        <f t="shared" si="558"/>
        <v>22:17:18.000</v>
      </c>
      <c r="T1864" t="str">
        <f t="shared" si="558"/>
        <v>22:17:18.000</v>
      </c>
      <c r="U1864" t="str">
        <f t="shared" si="557"/>
        <v>A9D71F</v>
      </c>
      <c r="V1864">
        <v>0</v>
      </c>
      <c r="W1864">
        <v>0</v>
      </c>
      <c r="X1864">
        <v>2</v>
      </c>
      <c r="Z1864">
        <v>1</v>
      </c>
      <c r="AA1864">
        <v>8</v>
      </c>
      <c r="AB1864">
        <v>3</v>
      </c>
      <c r="AC1864">
        <v>0</v>
      </c>
      <c r="AD1864">
        <v>9</v>
      </c>
      <c r="AE1864">
        <v>0</v>
      </c>
      <c r="AF1864">
        <v>3</v>
      </c>
      <c r="AG1864">
        <v>1</v>
      </c>
      <c r="AH1864">
        <v>0</v>
      </c>
      <c r="AI1864" t="s">
        <v>982</v>
      </c>
      <c r="AJ1864">
        <v>33.045824000000003</v>
      </c>
      <c r="AK1864" t="s">
        <v>983</v>
      </c>
      <c r="AL1864">
        <v>-97.663950999999997</v>
      </c>
      <c r="AM1864">
        <v>25</v>
      </c>
      <c r="AN1864">
        <v>3400</v>
      </c>
      <c r="AO1864" t="s">
        <v>118</v>
      </c>
      <c r="AP1864">
        <v>24</v>
      </c>
      <c r="AQ1864">
        <v>-96</v>
      </c>
      <c r="AR1864">
        <v>0</v>
      </c>
      <c r="AZ1864">
        <v>1200</v>
      </c>
      <c r="BA1864">
        <v>1</v>
      </c>
      <c r="BB1864" t="str">
        <f t="shared" si="545"/>
        <v xml:space="preserve">N733KP  </v>
      </c>
      <c r="BC1864">
        <v>1</v>
      </c>
      <c r="BE1864">
        <v>0</v>
      </c>
      <c r="BF1864">
        <v>0</v>
      </c>
      <c r="BG1864">
        <v>0</v>
      </c>
      <c r="BH1864">
        <v>3450</v>
      </c>
      <c r="BI1864">
        <v>1</v>
      </c>
      <c r="BJ1864">
        <v>1</v>
      </c>
      <c r="BK1864">
        <v>0</v>
      </c>
      <c r="BL1864">
        <v>0</v>
      </c>
      <c r="BO1864">
        <v>0</v>
      </c>
      <c r="BP1864">
        <v>0</v>
      </c>
      <c r="BW1864" t="str">
        <f>"22:17:18.515"</f>
        <v>22:17:18.515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6</v>
      </c>
      <c r="CP1864" t="s">
        <v>119</v>
      </c>
      <c r="CQ1864">
        <v>364</v>
      </c>
      <c r="CR1864">
        <v>0</v>
      </c>
      <c r="CW1864">
        <v>1436205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>"03/24/2022 22:17:18.746"</f>
        <v>03/24/2022 22:17:18.746</v>
      </c>
      <c r="C1865" t="str">
        <f t="shared" si="543"/>
        <v>FFDFD3C0</v>
      </c>
      <c r="D1865" t="s">
        <v>120</v>
      </c>
      <c r="E1865">
        <v>14</v>
      </c>
      <c r="F1865">
        <v>1014</v>
      </c>
      <c r="G1865" t="s">
        <v>121</v>
      </c>
      <c r="J1865" t="s">
        <v>122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S1865" t="str">
        <f t="shared" si="558"/>
        <v>22:17:18.000</v>
      </c>
      <c r="T1865" t="str">
        <f t="shared" si="558"/>
        <v>22:17:18.000</v>
      </c>
      <c r="U1865" t="str">
        <f t="shared" si="557"/>
        <v>A9D71F</v>
      </c>
      <c r="V1865">
        <v>0</v>
      </c>
      <c r="W1865">
        <v>0</v>
      </c>
      <c r="X1865">
        <v>2</v>
      </c>
      <c r="Z1865">
        <v>1</v>
      </c>
      <c r="AA1865">
        <v>8</v>
      </c>
      <c r="AB1865">
        <v>3</v>
      </c>
      <c r="AC1865">
        <v>0</v>
      </c>
      <c r="AD1865">
        <v>9</v>
      </c>
      <c r="AE1865">
        <v>0</v>
      </c>
      <c r="AF1865">
        <v>3</v>
      </c>
      <c r="AG1865">
        <v>1</v>
      </c>
      <c r="AH1865">
        <v>0</v>
      </c>
      <c r="AI1865" t="s">
        <v>982</v>
      </c>
      <c r="AJ1865">
        <v>33.045824000000003</v>
      </c>
      <c r="AK1865" t="s">
        <v>983</v>
      </c>
      <c r="AL1865">
        <v>-97.663950999999997</v>
      </c>
      <c r="AM1865">
        <v>25</v>
      </c>
      <c r="AN1865">
        <v>3400</v>
      </c>
      <c r="AO1865" t="s">
        <v>118</v>
      </c>
      <c r="AP1865">
        <v>24</v>
      </c>
      <c r="AQ1865">
        <v>-96</v>
      </c>
      <c r="AR1865">
        <v>0</v>
      </c>
      <c r="AZ1865">
        <v>1200</v>
      </c>
      <c r="BA1865">
        <v>1</v>
      </c>
      <c r="BB1865" t="str">
        <f t="shared" si="545"/>
        <v xml:space="preserve">N733KP  </v>
      </c>
      <c r="BC1865">
        <v>1</v>
      </c>
      <c r="BE1865">
        <v>0</v>
      </c>
      <c r="BF1865">
        <v>0</v>
      </c>
      <c r="BG1865">
        <v>0</v>
      </c>
      <c r="BH1865">
        <v>3450</v>
      </c>
      <c r="BI1865">
        <v>1</v>
      </c>
      <c r="BJ1865">
        <v>1</v>
      </c>
      <c r="BK1865">
        <v>0</v>
      </c>
      <c r="BL1865">
        <v>0</v>
      </c>
      <c r="BO1865">
        <v>0</v>
      </c>
      <c r="BP1865">
        <v>0</v>
      </c>
      <c r="BW1865" t="str">
        <f>"22:17:18.515"</f>
        <v>22:17:18.515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6</v>
      </c>
      <c r="CP1865" t="s">
        <v>119</v>
      </c>
      <c r="CQ1865">
        <v>364</v>
      </c>
      <c r="CR1865">
        <v>0</v>
      </c>
      <c r="CW1865">
        <v>1436205</v>
      </c>
      <c r="CY1865">
        <v>1</v>
      </c>
      <c r="CZ1865">
        <v>0</v>
      </c>
      <c r="DA1865">
        <v>1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>"03/24/2022 22:17:19.512"</f>
        <v>03/24/2022 22:17:19.512</v>
      </c>
      <c r="C1866" t="str">
        <f t="shared" si="543"/>
        <v>FFDFD3C0</v>
      </c>
      <c r="D1866" t="s">
        <v>123</v>
      </c>
      <c r="E1866">
        <v>8</v>
      </c>
      <c r="H1866">
        <v>31</v>
      </c>
      <c r="I1866" t="s">
        <v>124</v>
      </c>
      <c r="J1866" t="s">
        <v>125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S1866" t="str">
        <f t="shared" ref="S1866:T1869" si="559">"22:17:19.000"</f>
        <v>22:17:19.000</v>
      </c>
      <c r="T1866" t="str">
        <f t="shared" si="559"/>
        <v>22:17:19.000</v>
      </c>
      <c r="U1866" t="str">
        <f t="shared" si="557"/>
        <v>A9D71F</v>
      </c>
      <c r="V1866">
        <v>0</v>
      </c>
      <c r="W1866">
        <v>0</v>
      </c>
      <c r="X1866">
        <v>2</v>
      </c>
      <c r="Z1866">
        <v>1</v>
      </c>
      <c r="AA1866">
        <v>8</v>
      </c>
      <c r="AB1866">
        <v>3</v>
      </c>
      <c r="AC1866">
        <v>0</v>
      </c>
      <c r="AD1866">
        <v>9</v>
      </c>
      <c r="AE1866">
        <v>0</v>
      </c>
      <c r="AF1866">
        <v>3</v>
      </c>
      <c r="AG1866">
        <v>1</v>
      </c>
      <c r="AH1866">
        <v>0</v>
      </c>
      <c r="AI1866" t="s">
        <v>984</v>
      </c>
      <c r="AJ1866">
        <v>33.045372999999998</v>
      </c>
      <c r="AK1866" t="s">
        <v>985</v>
      </c>
      <c r="AL1866">
        <v>-97.663801000000007</v>
      </c>
      <c r="AM1866">
        <v>25</v>
      </c>
      <c r="AN1866">
        <v>3400</v>
      </c>
      <c r="AO1866" t="s">
        <v>118</v>
      </c>
      <c r="AP1866">
        <v>24</v>
      </c>
      <c r="AQ1866">
        <v>-95</v>
      </c>
      <c r="AR1866">
        <v>0</v>
      </c>
      <c r="AZ1866">
        <v>1200</v>
      </c>
      <c r="BA1866">
        <v>1</v>
      </c>
      <c r="BB1866" t="str">
        <f t="shared" si="545"/>
        <v xml:space="preserve">N733KP  </v>
      </c>
      <c r="BC1866">
        <v>1</v>
      </c>
      <c r="BE1866">
        <v>0</v>
      </c>
      <c r="BF1866">
        <v>0</v>
      </c>
      <c r="BG1866">
        <v>0</v>
      </c>
      <c r="BH1866">
        <v>3450</v>
      </c>
      <c r="BI1866">
        <v>1</v>
      </c>
      <c r="BJ1866">
        <v>1</v>
      </c>
      <c r="BK1866">
        <v>0</v>
      </c>
      <c r="BL1866">
        <v>0</v>
      </c>
      <c r="BO1866">
        <v>0</v>
      </c>
      <c r="BP1866">
        <v>0</v>
      </c>
      <c r="BW1866" t="str">
        <f>"22:17:19.337"</f>
        <v>22:17:19.337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6</v>
      </c>
      <c r="CP1866" t="s">
        <v>119</v>
      </c>
      <c r="CQ1866">
        <v>364</v>
      </c>
      <c r="CR1866">
        <v>0</v>
      </c>
      <c r="CW1866">
        <v>1436331</v>
      </c>
      <c r="CY1866">
        <v>1</v>
      </c>
      <c r="CZ1866">
        <v>0</v>
      </c>
      <c r="DA1866">
        <v>0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>"03/24/2022 22:17:19.512"</f>
        <v>03/24/2022 22:17:19.512</v>
      </c>
      <c r="C1867" t="str">
        <f t="shared" si="543"/>
        <v>FFDFD3C0</v>
      </c>
      <c r="D1867" t="s">
        <v>113</v>
      </c>
      <c r="E1867">
        <v>24</v>
      </c>
      <c r="F1867">
        <v>2024</v>
      </c>
      <c r="G1867" t="s">
        <v>114</v>
      </c>
      <c r="J1867" t="s">
        <v>115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S1867" t="str">
        <f t="shared" si="559"/>
        <v>22:17:19.000</v>
      </c>
      <c r="T1867" t="str">
        <f t="shared" si="559"/>
        <v>22:17:19.000</v>
      </c>
      <c r="U1867" t="str">
        <f t="shared" si="557"/>
        <v>A9D71F</v>
      </c>
      <c r="V1867">
        <v>0</v>
      </c>
      <c r="W1867">
        <v>0</v>
      </c>
      <c r="X1867">
        <v>2</v>
      </c>
      <c r="Z1867">
        <v>1</v>
      </c>
      <c r="AA1867">
        <v>8</v>
      </c>
      <c r="AB1867">
        <v>3</v>
      </c>
      <c r="AC1867">
        <v>0</v>
      </c>
      <c r="AD1867">
        <v>9</v>
      </c>
      <c r="AE1867">
        <v>0</v>
      </c>
      <c r="AF1867">
        <v>3</v>
      </c>
      <c r="AG1867">
        <v>1</v>
      </c>
      <c r="AH1867">
        <v>0</v>
      </c>
      <c r="AI1867" t="s">
        <v>984</v>
      </c>
      <c r="AJ1867">
        <v>33.045372999999998</v>
      </c>
      <c r="AK1867" t="s">
        <v>985</v>
      </c>
      <c r="AL1867">
        <v>-97.663801000000007</v>
      </c>
      <c r="AM1867">
        <v>25</v>
      </c>
      <c r="AN1867">
        <v>3400</v>
      </c>
      <c r="AO1867" t="s">
        <v>118</v>
      </c>
      <c r="AP1867">
        <v>24</v>
      </c>
      <c r="AQ1867">
        <v>-95</v>
      </c>
      <c r="AR1867">
        <v>0</v>
      </c>
      <c r="AZ1867">
        <v>1200</v>
      </c>
      <c r="BA1867">
        <v>1</v>
      </c>
      <c r="BB1867" t="str">
        <f t="shared" si="545"/>
        <v xml:space="preserve">N733KP  </v>
      </c>
      <c r="BC1867">
        <v>1</v>
      </c>
      <c r="BE1867">
        <v>0</v>
      </c>
      <c r="BF1867">
        <v>0</v>
      </c>
      <c r="BG1867">
        <v>0</v>
      </c>
      <c r="BH1867">
        <v>3450</v>
      </c>
      <c r="BI1867">
        <v>1</v>
      </c>
      <c r="BJ1867">
        <v>1</v>
      </c>
      <c r="BK1867">
        <v>0</v>
      </c>
      <c r="BL1867">
        <v>0</v>
      </c>
      <c r="BO1867">
        <v>0</v>
      </c>
      <c r="BP1867">
        <v>0</v>
      </c>
      <c r="BW1867" t="str">
        <f>"22:17:19.337"</f>
        <v>22:17:19.337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6</v>
      </c>
      <c r="CP1867" t="s">
        <v>119</v>
      </c>
      <c r="CQ1867">
        <v>364</v>
      </c>
      <c r="CR1867">
        <v>0</v>
      </c>
      <c r="CW1867">
        <v>1436331</v>
      </c>
      <c r="CY1867">
        <v>1</v>
      </c>
      <c r="CZ1867">
        <v>0</v>
      </c>
      <c r="DA1867">
        <v>1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>"03/24/2022 22:17:19.512"</f>
        <v>03/24/2022 22:17:19.512</v>
      </c>
      <c r="C1868" t="str">
        <f t="shared" si="543"/>
        <v>FFDFD3C0</v>
      </c>
      <c r="D1868" t="s">
        <v>126</v>
      </c>
      <c r="E1868">
        <v>3</v>
      </c>
      <c r="H1868">
        <v>160</v>
      </c>
      <c r="I1868" t="s">
        <v>121</v>
      </c>
      <c r="J1868" t="s">
        <v>127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S1868" t="str">
        <f t="shared" si="559"/>
        <v>22:17:19.000</v>
      </c>
      <c r="T1868" t="str">
        <f t="shared" si="559"/>
        <v>22:17:19.000</v>
      </c>
      <c r="U1868" t="str">
        <f t="shared" si="557"/>
        <v>A9D71F</v>
      </c>
      <c r="V1868">
        <v>0</v>
      </c>
      <c r="W1868">
        <v>0</v>
      </c>
      <c r="X1868">
        <v>2</v>
      </c>
      <c r="Z1868">
        <v>1</v>
      </c>
      <c r="AA1868">
        <v>8</v>
      </c>
      <c r="AB1868">
        <v>3</v>
      </c>
      <c r="AC1868">
        <v>0</v>
      </c>
      <c r="AD1868">
        <v>9</v>
      </c>
      <c r="AE1868">
        <v>0</v>
      </c>
      <c r="AF1868">
        <v>3</v>
      </c>
      <c r="AG1868">
        <v>1</v>
      </c>
      <c r="AH1868">
        <v>0</v>
      </c>
      <c r="AI1868" t="s">
        <v>984</v>
      </c>
      <c r="AJ1868">
        <v>33.045372999999998</v>
      </c>
      <c r="AK1868" t="s">
        <v>985</v>
      </c>
      <c r="AL1868">
        <v>-97.663801000000007</v>
      </c>
      <c r="AM1868">
        <v>25</v>
      </c>
      <c r="AN1868">
        <v>3400</v>
      </c>
      <c r="AO1868" t="s">
        <v>118</v>
      </c>
      <c r="AP1868">
        <v>24</v>
      </c>
      <c r="AQ1868">
        <v>-95</v>
      </c>
      <c r="AR1868">
        <v>0</v>
      </c>
      <c r="AZ1868">
        <v>1200</v>
      </c>
      <c r="BA1868">
        <v>1</v>
      </c>
      <c r="BB1868" t="str">
        <f t="shared" si="545"/>
        <v xml:space="preserve">N733KP  </v>
      </c>
      <c r="BC1868">
        <v>1</v>
      </c>
      <c r="BE1868">
        <v>0</v>
      </c>
      <c r="BF1868">
        <v>0</v>
      </c>
      <c r="BG1868">
        <v>0</v>
      </c>
      <c r="BH1868">
        <v>3450</v>
      </c>
      <c r="BI1868">
        <v>1</v>
      </c>
      <c r="BJ1868">
        <v>1</v>
      </c>
      <c r="BK1868">
        <v>0</v>
      </c>
      <c r="BL1868">
        <v>0</v>
      </c>
      <c r="BO1868">
        <v>0</v>
      </c>
      <c r="BP1868">
        <v>0</v>
      </c>
      <c r="BW1868" t="str">
        <f>"22:17:19.337"</f>
        <v>22:17:19.337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6</v>
      </c>
      <c r="CP1868" t="s">
        <v>119</v>
      </c>
      <c r="CQ1868">
        <v>364</v>
      </c>
      <c r="CR1868">
        <v>0</v>
      </c>
      <c r="CW1868">
        <v>1436331</v>
      </c>
      <c r="CY1868">
        <v>1</v>
      </c>
      <c r="CZ1868">
        <v>0</v>
      </c>
      <c r="DA1868">
        <v>1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>"03/24/2022 22:17:19.512"</f>
        <v>03/24/2022 22:17:19.512</v>
      </c>
      <c r="C1869" t="str">
        <f t="shared" si="543"/>
        <v>FFDFD3C0</v>
      </c>
      <c r="D1869" t="s">
        <v>120</v>
      </c>
      <c r="E1869">
        <v>14</v>
      </c>
      <c r="F1869">
        <v>1014</v>
      </c>
      <c r="G1869" t="s">
        <v>121</v>
      </c>
      <c r="J1869" t="s">
        <v>122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S1869" t="str">
        <f t="shared" si="559"/>
        <v>22:17:19.000</v>
      </c>
      <c r="T1869" t="str">
        <f t="shared" si="559"/>
        <v>22:17:19.000</v>
      </c>
      <c r="U1869" t="str">
        <f t="shared" si="557"/>
        <v>A9D71F</v>
      </c>
      <c r="V1869">
        <v>0</v>
      </c>
      <c r="W1869">
        <v>0</v>
      </c>
      <c r="X1869">
        <v>2</v>
      </c>
      <c r="Z1869">
        <v>1</v>
      </c>
      <c r="AA1869">
        <v>8</v>
      </c>
      <c r="AB1869">
        <v>3</v>
      </c>
      <c r="AC1869">
        <v>0</v>
      </c>
      <c r="AD1869">
        <v>9</v>
      </c>
      <c r="AE1869">
        <v>0</v>
      </c>
      <c r="AF1869">
        <v>3</v>
      </c>
      <c r="AG1869">
        <v>1</v>
      </c>
      <c r="AH1869">
        <v>0</v>
      </c>
      <c r="AI1869" t="s">
        <v>984</v>
      </c>
      <c r="AJ1869">
        <v>33.045372999999998</v>
      </c>
      <c r="AK1869" t="s">
        <v>985</v>
      </c>
      <c r="AL1869">
        <v>-97.663801000000007</v>
      </c>
      <c r="AM1869">
        <v>25</v>
      </c>
      <c r="AN1869">
        <v>3400</v>
      </c>
      <c r="AO1869" t="s">
        <v>118</v>
      </c>
      <c r="AP1869">
        <v>24</v>
      </c>
      <c r="AQ1869">
        <v>-95</v>
      </c>
      <c r="AR1869">
        <v>0</v>
      </c>
      <c r="AZ1869">
        <v>1200</v>
      </c>
      <c r="BA1869">
        <v>1</v>
      </c>
      <c r="BB1869" t="str">
        <f t="shared" si="545"/>
        <v xml:space="preserve">N733KP  </v>
      </c>
      <c r="BC1869">
        <v>1</v>
      </c>
      <c r="BE1869">
        <v>0</v>
      </c>
      <c r="BF1869">
        <v>0</v>
      </c>
      <c r="BG1869">
        <v>0</v>
      </c>
      <c r="BH1869">
        <v>3450</v>
      </c>
      <c r="BI1869">
        <v>1</v>
      </c>
      <c r="BJ1869">
        <v>1</v>
      </c>
      <c r="BK1869">
        <v>0</v>
      </c>
      <c r="BL1869">
        <v>0</v>
      </c>
      <c r="BO1869">
        <v>0</v>
      </c>
      <c r="BP1869">
        <v>0</v>
      </c>
      <c r="BW1869" t="str">
        <f>"22:17:19.337"</f>
        <v>22:17:19.337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6</v>
      </c>
      <c r="CP1869" t="s">
        <v>119</v>
      </c>
      <c r="CQ1869">
        <v>364</v>
      </c>
      <c r="CR1869">
        <v>0</v>
      </c>
      <c r="CW1869">
        <v>1436331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>"03/24/2022 22:17:20.981"</f>
        <v>03/24/2022 22:17:20.981</v>
      </c>
      <c r="C1870" t="str">
        <f t="shared" si="543"/>
        <v>FFDFD3C0</v>
      </c>
      <c r="D1870" t="s">
        <v>123</v>
      </c>
      <c r="E1870">
        <v>8</v>
      </c>
      <c r="H1870">
        <v>31</v>
      </c>
      <c r="I1870" t="s">
        <v>124</v>
      </c>
      <c r="J1870" t="s">
        <v>125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S1870" t="str">
        <f t="shared" ref="S1870:T1873" si="560">"22:17:20.000"</f>
        <v>22:17:20.000</v>
      </c>
      <c r="T1870" t="str">
        <f t="shared" si="560"/>
        <v>22:17:20.000</v>
      </c>
      <c r="U1870" t="str">
        <f t="shared" si="557"/>
        <v>A9D71F</v>
      </c>
      <c r="V1870">
        <v>0</v>
      </c>
      <c r="W1870">
        <v>0</v>
      </c>
      <c r="X1870">
        <v>2</v>
      </c>
      <c r="Z1870">
        <v>1</v>
      </c>
      <c r="AA1870">
        <v>8</v>
      </c>
      <c r="AB1870">
        <v>3</v>
      </c>
      <c r="AC1870">
        <v>0</v>
      </c>
      <c r="AD1870">
        <v>9</v>
      </c>
      <c r="AE1870">
        <v>0</v>
      </c>
      <c r="AF1870">
        <v>3</v>
      </c>
      <c r="AG1870">
        <v>1</v>
      </c>
      <c r="AH1870">
        <v>0</v>
      </c>
      <c r="AI1870" t="s">
        <v>986</v>
      </c>
      <c r="AJ1870">
        <v>33.044922</v>
      </c>
      <c r="AK1870" t="s">
        <v>987</v>
      </c>
      <c r="AL1870">
        <v>-97.663672000000005</v>
      </c>
      <c r="AM1870">
        <v>25</v>
      </c>
      <c r="AN1870">
        <v>3400</v>
      </c>
      <c r="AO1870" t="s">
        <v>118</v>
      </c>
      <c r="AP1870">
        <v>23</v>
      </c>
      <c r="AQ1870">
        <v>-93</v>
      </c>
      <c r="AR1870">
        <v>64</v>
      </c>
      <c r="AZ1870">
        <v>1200</v>
      </c>
      <c r="BA1870">
        <v>1</v>
      </c>
      <c r="BB1870" t="str">
        <f t="shared" si="545"/>
        <v xml:space="preserve">N733KP  </v>
      </c>
      <c r="BC1870">
        <v>1</v>
      </c>
      <c r="BE1870">
        <v>0</v>
      </c>
      <c r="BF1870">
        <v>0</v>
      </c>
      <c r="BG1870">
        <v>0</v>
      </c>
      <c r="BH1870">
        <v>3450</v>
      </c>
      <c r="BI1870">
        <v>1</v>
      </c>
      <c r="BJ1870">
        <v>1</v>
      </c>
      <c r="BK1870">
        <v>0</v>
      </c>
      <c r="BL1870">
        <v>0</v>
      </c>
      <c r="BO1870">
        <v>0</v>
      </c>
      <c r="BP1870">
        <v>0</v>
      </c>
      <c r="BW1870" t="str">
        <f>"22:17:20.538"</f>
        <v>22:17:20.538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5</v>
      </c>
      <c r="CP1870" t="s">
        <v>119</v>
      </c>
      <c r="CQ1870">
        <v>365</v>
      </c>
      <c r="CR1870">
        <v>0</v>
      </c>
      <c r="CW1870">
        <v>11502344</v>
      </c>
      <c r="CY1870">
        <v>1</v>
      </c>
      <c r="CZ1870">
        <v>0</v>
      </c>
      <c r="DA1870">
        <v>0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"03/24/2022 22:17:20.981"</f>
        <v>03/24/2022 22:17:20.981</v>
      </c>
      <c r="C1871" t="str">
        <f t="shared" si="543"/>
        <v>FFDFD3C0</v>
      </c>
      <c r="D1871" t="s">
        <v>126</v>
      </c>
      <c r="E1871">
        <v>3</v>
      </c>
      <c r="H1871">
        <v>160</v>
      </c>
      <c r="I1871" t="s">
        <v>121</v>
      </c>
      <c r="J1871" t="s">
        <v>127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S1871" t="str">
        <f t="shared" si="560"/>
        <v>22:17:20.000</v>
      </c>
      <c r="T1871" t="str">
        <f t="shared" si="560"/>
        <v>22:17:20.000</v>
      </c>
      <c r="U1871" t="str">
        <f t="shared" si="557"/>
        <v>A9D71F</v>
      </c>
      <c r="V1871">
        <v>0</v>
      </c>
      <c r="W1871">
        <v>0</v>
      </c>
      <c r="X1871">
        <v>2</v>
      </c>
      <c r="Z1871">
        <v>1</v>
      </c>
      <c r="AA1871">
        <v>8</v>
      </c>
      <c r="AB1871">
        <v>3</v>
      </c>
      <c r="AC1871">
        <v>0</v>
      </c>
      <c r="AD1871">
        <v>9</v>
      </c>
      <c r="AE1871">
        <v>0</v>
      </c>
      <c r="AF1871">
        <v>3</v>
      </c>
      <c r="AG1871">
        <v>1</v>
      </c>
      <c r="AH1871">
        <v>0</v>
      </c>
      <c r="AI1871" t="s">
        <v>986</v>
      </c>
      <c r="AJ1871">
        <v>33.044922</v>
      </c>
      <c r="AK1871" t="s">
        <v>987</v>
      </c>
      <c r="AL1871">
        <v>-97.663672000000005</v>
      </c>
      <c r="AM1871">
        <v>25</v>
      </c>
      <c r="AN1871">
        <v>3400</v>
      </c>
      <c r="AO1871" t="s">
        <v>118</v>
      </c>
      <c r="AP1871">
        <v>23</v>
      </c>
      <c r="AQ1871">
        <v>-93</v>
      </c>
      <c r="AR1871">
        <v>64</v>
      </c>
      <c r="AZ1871">
        <v>1200</v>
      </c>
      <c r="BA1871">
        <v>1</v>
      </c>
      <c r="BB1871" t="str">
        <f t="shared" si="545"/>
        <v xml:space="preserve">N733KP  </v>
      </c>
      <c r="BC1871">
        <v>1</v>
      </c>
      <c r="BE1871">
        <v>0</v>
      </c>
      <c r="BF1871">
        <v>0</v>
      </c>
      <c r="BG1871">
        <v>0</v>
      </c>
      <c r="BH1871">
        <v>3450</v>
      </c>
      <c r="BI1871">
        <v>1</v>
      </c>
      <c r="BJ1871">
        <v>1</v>
      </c>
      <c r="BK1871">
        <v>0</v>
      </c>
      <c r="BL1871">
        <v>0</v>
      </c>
      <c r="BO1871">
        <v>0</v>
      </c>
      <c r="BP1871">
        <v>0</v>
      </c>
      <c r="BW1871" t="str">
        <f>"22:17:20.538"</f>
        <v>22:17:20.538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5</v>
      </c>
      <c r="CP1871" t="s">
        <v>119</v>
      </c>
      <c r="CQ1871">
        <v>365</v>
      </c>
      <c r="CR1871">
        <v>0</v>
      </c>
      <c r="CW1871">
        <v>11502344</v>
      </c>
      <c r="CY1871">
        <v>1</v>
      </c>
      <c r="CZ1871">
        <v>0</v>
      </c>
      <c r="DA1871">
        <v>1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"03/24/2022 22:17:20.981"</f>
        <v>03/24/2022 22:17:20.981</v>
      </c>
      <c r="C1872" t="str">
        <f t="shared" si="543"/>
        <v>FFDFD3C0</v>
      </c>
      <c r="D1872" t="s">
        <v>113</v>
      </c>
      <c r="E1872">
        <v>24</v>
      </c>
      <c r="F1872">
        <v>2024</v>
      </c>
      <c r="G1872" t="s">
        <v>114</v>
      </c>
      <c r="J1872" t="s">
        <v>115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S1872" t="str">
        <f t="shared" si="560"/>
        <v>22:17:20.000</v>
      </c>
      <c r="T1872" t="str">
        <f t="shared" si="560"/>
        <v>22:17:20.000</v>
      </c>
      <c r="U1872" t="str">
        <f t="shared" si="557"/>
        <v>A9D71F</v>
      </c>
      <c r="V1872">
        <v>0</v>
      </c>
      <c r="W1872">
        <v>0</v>
      </c>
      <c r="X1872">
        <v>2</v>
      </c>
      <c r="Z1872">
        <v>1</v>
      </c>
      <c r="AA1872">
        <v>8</v>
      </c>
      <c r="AB1872">
        <v>3</v>
      </c>
      <c r="AC1872">
        <v>0</v>
      </c>
      <c r="AD1872">
        <v>9</v>
      </c>
      <c r="AE1872">
        <v>0</v>
      </c>
      <c r="AF1872">
        <v>3</v>
      </c>
      <c r="AG1872">
        <v>1</v>
      </c>
      <c r="AH1872">
        <v>0</v>
      </c>
      <c r="AI1872" t="s">
        <v>986</v>
      </c>
      <c r="AJ1872">
        <v>33.044922</v>
      </c>
      <c r="AK1872" t="s">
        <v>987</v>
      </c>
      <c r="AL1872">
        <v>-97.663672000000005</v>
      </c>
      <c r="AM1872">
        <v>25</v>
      </c>
      <c r="AN1872">
        <v>3400</v>
      </c>
      <c r="AO1872" t="s">
        <v>118</v>
      </c>
      <c r="AP1872">
        <v>23</v>
      </c>
      <c r="AQ1872">
        <v>-93</v>
      </c>
      <c r="AR1872">
        <v>64</v>
      </c>
      <c r="AZ1872">
        <v>1200</v>
      </c>
      <c r="BA1872">
        <v>1</v>
      </c>
      <c r="BB1872" t="str">
        <f t="shared" si="545"/>
        <v xml:space="preserve">N733KP  </v>
      </c>
      <c r="BC1872">
        <v>1</v>
      </c>
      <c r="BE1872">
        <v>0</v>
      </c>
      <c r="BF1872">
        <v>0</v>
      </c>
      <c r="BG1872">
        <v>0</v>
      </c>
      <c r="BH1872">
        <v>3450</v>
      </c>
      <c r="BI1872">
        <v>1</v>
      </c>
      <c r="BJ1872">
        <v>1</v>
      </c>
      <c r="BK1872">
        <v>0</v>
      </c>
      <c r="BL1872">
        <v>0</v>
      </c>
      <c r="BO1872">
        <v>0</v>
      </c>
      <c r="BP1872">
        <v>0</v>
      </c>
      <c r="BW1872" t="str">
        <f>"22:17:20.538"</f>
        <v>22:17:20.538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5</v>
      </c>
      <c r="CP1872" t="s">
        <v>119</v>
      </c>
      <c r="CQ1872">
        <v>365</v>
      </c>
      <c r="CR1872">
        <v>0</v>
      </c>
      <c r="CW1872">
        <v>11502344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"03/24/2022 22:17:20.981"</f>
        <v>03/24/2022 22:17:20.981</v>
      </c>
      <c r="C1873" t="str">
        <f t="shared" si="543"/>
        <v>FFDFD3C0</v>
      </c>
      <c r="D1873" t="s">
        <v>120</v>
      </c>
      <c r="E1873">
        <v>14</v>
      </c>
      <c r="F1873">
        <v>1014</v>
      </c>
      <c r="G1873" t="s">
        <v>121</v>
      </c>
      <c r="J1873" t="s">
        <v>122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S1873" t="str">
        <f t="shared" si="560"/>
        <v>22:17:20.000</v>
      </c>
      <c r="T1873" t="str">
        <f t="shared" si="560"/>
        <v>22:17:20.000</v>
      </c>
      <c r="U1873" t="str">
        <f t="shared" si="557"/>
        <v>A9D71F</v>
      </c>
      <c r="V1873">
        <v>0</v>
      </c>
      <c r="W1873">
        <v>0</v>
      </c>
      <c r="X1873">
        <v>2</v>
      </c>
      <c r="Z1873">
        <v>1</v>
      </c>
      <c r="AA1873">
        <v>8</v>
      </c>
      <c r="AB1873">
        <v>3</v>
      </c>
      <c r="AC1873">
        <v>0</v>
      </c>
      <c r="AD1873">
        <v>9</v>
      </c>
      <c r="AE1873">
        <v>0</v>
      </c>
      <c r="AF1873">
        <v>3</v>
      </c>
      <c r="AG1873">
        <v>1</v>
      </c>
      <c r="AH1873">
        <v>0</v>
      </c>
      <c r="AI1873" t="s">
        <v>986</v>
      </c>
      <c r="AJ1873">
        <v>33.044922</v>
      </c>
      <c r="AK1873" t="s">
        <v>987</v>
      </c>
      <c r="AL1873">
        <v>-97.663672000000005</v>
      </c>
      <c r="AM1873">
        <v>25</v>
      </c>
      <c r="AN1873">
        <v>3400</v>
      </c>
      <c r="AO1873" t="s">
        <v>118</v>
      </c>
      <c r="AP1873">
        <v>23</v>
      </c>
      <c r="AQ1873">
        <v>-93</v>
      </c>
      <c r="AR1873">
        <v>64</v>
      </c>
      <c r="AZ1873">
        <v>1200</v>
      </c>
      <c r="BA1873">
        <v>1</v>
      </c>
      <c r="BB1873" t="str">
        <f t="shared" si="545"/>
        <v xml:space="preserve">N733KP  </v>
      </c>
      <c r="BC1873">
        <v>1</v>
      </c>
      <c r="BE1873">
        <v>0</v>
      </c>
      <c r="BF1873">
        <v>0</v>
      </c>
      <c r="BG1873">
        <v>0</v>
      </c>
      <c r="BH1873">
        <v>3450</v>
      </c>
      <c r="BI1873">
        <v>1</v>
      </c>
      <c r="BJ1873">
        <v>1</v>
      </c>
      <c r="BK1873">
        <v>0</v>
      </c>
      <c r="BL1873">
        <v>0</v>
      </c>
      <c r="BO1873">
        <v>0</v>
      </c>
      <c r="BP1873">
        <v>0</v>
      </c>
      <c r="BW1873" t="str">
        <f>"22:17:20.538"</f>
        <v>22:17:20.538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5</v>
      </c>
      <c r="CP1873" t="s">
        <v>119</v>
      </c>
      <c r="CQ1873">
        <v>365</v>
      </c>
      <c r="CR1873">
        <v>0</v>
      </c>
      <c r="CW1873">
        <v>11502344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"03/24/2022 22:17:21.731"</f>
        <v>03/24/2022 22:17:21.731</v>
      </c>
      <c r="C1874" t="str">
        <f t="shared" si="543"/>
        <v>FFDFD3C0</v>
      </c>
      <c r="D1874" t="s">
        <v>123</v>
      </c>
      <c r="E1874">
        <v>8</v>
      </c>
      <c r="H1874">
        <v>31</v>
      </c>
      <c r="I1874" t="s">
        <v>124</v>
      </c>
      <c r="J1874" t="s">
        <v>125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S1874" t="str">
        <f t="shared" ref="S1874:T1877" si="561">"22:17:21.000"</f>
        <v>22:17:21.000</v>
      </c>
      <c r="T1874" t="str">
        <f t="shared" si="561"/>
        <v>22:17:21.000</v>
      </c>
      <c r="U1874" t="str">
        <f t="shared" si="557"/>
        <v>A9D71F</v>
      </c>
      <c r="V1874">
        <v>0</v>
      </c>
      <c r="W1874">
        <v>0</v>
      </c>
      <c r="X1874">
        <v>2</v>
      </c>
      <c r="Z1874">
        <v>1</v>
      </c>
      <c r="AA1874">
        <v>8</v>
      </c>
      <c r="AB1874">
        <v>3</v>
      </c>
      <c r="AC1874">
        <v>0</v>
      </c>
      <c r="AD1874">
        <v>9</v>
      </c>
      <c r="AE1874">
        <v>0</v>
      </c>
      <c r="AF1874">
        <v>3</v>
      </c>
      <c r="AG1874">
        <v>1</v>
      </c>
      <c r="AH1874">
        <v>0</v>
      </c>
      <c r="AI1874" t="s">
        <v>988</v>
      </c>
      <c r="AJ1874">
        <v>33.044471999999999</v>
      </c>
      <c r="AK1874" t="s">
        <v>989</v>
      </c>
      <c r="AL1874">
        <v>-97.663543000000004</v>
      </c>
      <c r="AM1874">
        <v>25</v>
      </c>
      <c r="AN1874">
        <v>3400</v>
      </c>
      <c r="AO1874" t="s">
        <v>118</v>
      </c>
      <c r="AP1874">
        <v>24</v>
      </c>
      <c r="AQ1874">
        <v>-93</v>
      </c>
      <c r="AR1874">
        <v>128</v>
      </c>
      <c r="AZ1874">
        <v>1200</v>
      </c>
      <c r="BA1874">
        <v>1</v>
      </c>
      <c r="BB1874" t="str">
        <f t="shared" si="545"/>
        <v xml:space="preserve">N733KP  </v>
      </c>
      <c r="BC1874">
        <v>1</v>
      </c>
      <c r="BE1874">
        <v>0</v>
      </c>
      <c r="BF1874">
        <v>0</v>
      </c>
      <c r="BG1874">
        <v>0</v>
      </c>
      <c r="BH1874">
        <v>3450</v>
      </c>
      <c r="BI1874">
        <v>1</v>
      </c>
      <c r="BJ1874">
        <v>1</v>
      </c>
      <c r="BK1874">
        <v>0</v>
      </c>
      <c r="BL1874">
        <v>0</v>
      </c>
      <c r="BO1874">
        <v>0</v>
      </c>
      <c r="BP1874">
        <v>0</v>
      </c>
      <c r="BW1874" t="str">
        <f>"22:17:21.563"</f>
        <v>22:17:21.563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6</v>
      </c>
      <c r="CP1874" t="s">
        <v>119</v>
      </c>
      <c r="CQ1874">
        <v>364</v>
      </c>
      <c r="CR1874">
        <v>0</v>
      </c>
      <c r="CW1874">
        <v>1436666</v>
      </c>
      <c r="CY1874">
        <v>1</v>
      </c>
      <c r="CZ1874">
        <v>0</v>
      </c>
      <c r="DA1874">
        <v>0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"03/24/2022 22:17:21.731"</f>
        <v>03/24/2022 22:17:21.731</v>
      </c>
      <c r="C1875" t="str">
        <f t="shared" si="543"/>
        <v>FFDFD3C0</v>
      </c>
      <c r="D1875" t="s">
        <v>126</v>
      </c>
      <c r="E1875">
        <v>3</v>
      </c>
      <c r="H1875">
        <v>160</v>
      </c>
      <c r="I1875" t="s">
        <v>121</v>
      </c>
      <c r="J1875" t="s">
        <v>127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S1875" t="str">
        <f t="shared" si="561"/>
        <v>22:17:21.000</v>
      </c>
      <c r="T1875" t="str">
        <f t="shared" si="561"/>
        <v>22:17:21.000</v>
      </c>
      <c r="U1875" t="str">
        <f t="shared" si="557"/>
        <v>A9D71F</v>
      </c>
      <c r="V1875">
        <v>0</v>
      </c>
      <c r="W1875">
        <v>0</v>
      </c>
      <c r="X1875">
        <v>2</v>
      </c>
      <c r="Z1875">
        <v>1</v>
      </c>
      <c r="AA1875">
        <v>8</v>
      </c>
      <c r="AB1875">
        <v>3</v>
      </c>
      <c r="AC1875">
        <v>0</v>
      </c>
      <c r="AD1875">
        <v>9</v>
      </c>
      <c r="AE1875">
        <v>0</v>
      </c>
      <c r="AF1875">
        <v>3</v>
      </c>
      <c r="AG1875">
        <v>1</v>
      </c>
      <c r="AH1875">
        <v>0</v>
      </c>
      <c r="AI1875" t="s">
        <v>988</v>
      </c>
      <c r="AJ1875">
        <v>33.044471999999999</v>
      </c>
      <c r="AK1875" t="s">
        <v>989</v>
      </c>
      <c r="AL1875">
        <v>-97.663543000000004</v>
      </c>
      <c r="AM1875">
        <v>25</v>
      </c>
      <c r="AN1875">
        <v>3400</v>
      </c>
      <c r="AO1875" t="s">
        <v>118</v>
      </c>
      <c r="AP1875">
        <v>24</v>
      </c>
      <c r="AQ1875">
        <v>-93</v>
      </c>
      <c r="AR1875">
        <v>128</v>
      </c>
      <c r="AZ1875">
        <v>1200</v>
      </c>
      <c r="BA1875">
        <v>1</v>
      </c>
      <c r="BB1875" t="str">
        <f t="shared" si="545"/>
        <v xml:space="preserve">N733KP  </v>
      </c>
      <c r="BC1875">
        <v>1</v>
      </c>
      <c r="BE1875">
        <v>0</v>
      </c>
      <c r="BF1875">
        <v>0</v>
      </c>
      <c r="BG1875">
        <v>0</v>
      </c>
      <c r="BH1875">
        <v>3450</v>
      </c>
      <c r="BI1875">
        <v>1</v>
      </c>
      <c r="BJ1875">
        <v>1</v>
      </c>
      <c r="BK1875">
        <v>0</v>
      </c>
      <c r="BL1875">
        <v>0</v>
      </c>
      <c r="BO1875">
        <v>0</v>
      </c>
      <c r="BP1875">
        <v>0</v>
      </c>
      <c r="BW1875" t="str">
        <f>"22:17:21.563"</f>
        <v>22:17:21.563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6</v>
      </c>
      <c r="CP1875" t="s">
        <v>119</v>
      </c>
      <c r="CQ1875">
        <v>364</v>
      </c>
      <c r="CR1875">
        <v>0</v>
      </c>
      <c r="CW1875">
        <v>1436666</v>
      </c>
      <c r="CY1875">
        <v>1</v>
      </c>
      <c r="CZ1875">
        <v>0</v>
      </c>
      <c r="DA1875">
        <v>1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"03/24/2022 22:17:21.731"</f>
        <v>03/24/2022 22:17:21.731</v>
      </c>
      <c r="C1876" t="str">
        <f t="shared" si="543"/>
        <v>FFDFD3C0</v>
      </c>
      <c r="D1876" t="s">
        <v>113</v>
      </c>
      <c r="E1876">
        <v>24</v>
      </c>
      <c r="F1876">
        <v>2024</v>
      </c>
      <c r="G1876" t="s">
        <v>114</v>
      </c>
      <c r="J1876" t="s">
        <v>115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S1876" t="str">
        <f t="shared" si="561"/>
        <v>22:17:21.000</v>
      </c>
      <c r="T1876" t="str">
        <f t="shared" si="561"/>
        <v>22:17:21.000</v>
      </c>
      <c r="U1876" t="str">
        <f t="shared" si="557"/>
        <v>A9D71F</v>
      </c>
      <c r="V1876">
        <v>0</v>
      </c>
      <c r="W1876">
        <v>0</v>
      </c>
      <c r="X1876">
        <v>2</v>
      </c>
      <c r="Z1876">
        <v>1</v>
      </c>
      <c r="AA1876">
        <v>8</v>
      </c>
      <c r="AB1876">
        <v>3</v>
      </c>
      <c r="AC1876">
        <v>0</v>
      </c>
      <c r="AD1876">
        <v>9</v>
      </c>
      <c r="AE1876">
        <v>0</v>
      </c>
      <c r="AF1876">
        <v>3</v>
      </c>
      <c r="AG1876">
        <v>1</v>
      </c>
      <c r="AH1876">
        <v>0</v>
      </c>
      <c r="AI1876" t="s">
        <v>988</v>
      </c>
      <c r="AJ1876">
        <v>33.044471999999999</v>
      </c>
      <c r="AK1876" t="s">
        <v>989</v>
      </c>
      <c r="AL1876">
        <v>-97.663543000000004</v>
      </c>
      <c r="AM1876">
        <v>25</v>
      </c>
      <c r="AN1876">
        <v>3400</v>
      </c>
      <c r="AO1876" t="s">
        <v>118</v>
      </c>
      <c r="AP1876">
        <v>24</v>
      </c>
      <c r="AQ1876">
        <v>-93</v>
      </c>
      <c r="AR1876">
        <v>128</v>
      </c>
      <c r="AZ1876">
        <v>1200</v>
      </c>
      <c r="BA1876">
        <v>1</v>
      </c>
      <c r="BB1876" t="str">
        <f t="shared" si="545"/>
        <v xml:space="preserve">N733KP  </v>
      </c>
      <c r="BC1876">
        <v>1</v>
      </c>
      <c r="BE1876">
        <v>0</v>
      </c>
      <c r="BF1876">
        <v>0</v>
      </c>
      <c r="BG1876">
        <v>0</v>
      </c>
      <c r="BH1876">
        <v>3450</v>
      </c>
      <c r="BI1876">
        <v>1</v>
      </c>
      <c r="BJ1876">
        <v>1</v>
      </c>
      <c r="BK1876">
        <v>0</v>
      </c>
      <c r="BL1876">
        <v>0</v>
      </c>
      <c r="BO1876">
        <v>0</v>
      </c>
      <c r="BP1876">
        <v>0</v>
      </c>
      <c r="BW1876" t="str">
        <f>"22:17:21.563"</f>
        <v>22:17:21.563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6</v>
      </c>
      <c r="CP1876" t="s">
        <v>119</v>
      </c>
      <c r="CQ1876">
        <v>364</v>
      </c>
      <c r="CR1876">
        <v>0</v>
      </c>
      <c r="CW1876">
        <v>1436666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"03/24/2022 22:17:21.747"</f>
        <v>03/24/2022 22:17:21.747</v>
      </c>
      <c r="C1877" t="str">
        <f t="shared" si="543"/>
        <v>FFDFD3C0</v>
      </c>
      <c r="D1877" t="s">
        <v>120</v>
      </c>
      <c r="E1877">
        <v>14</v>
      </c>
      <c r="F1877">
        <v>1014</v>
      </c>
      <c r="G1877" t="s">
        <v>121</v>
      </c>
      <c r="J1877" t="s">
        <v>122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S1877" t="str">
        <f t="shared" si="561"/>
        <v>22:17:21.000</v>
      </c>
      <c r="T1877" t="str">
        <f t="shared" si="561"/>
        <v>22:17:21.000</v>
      </c>
      <c r="U1877" t="str">
        <f t="shared" si="557"/>
        <v>A9D71F</v>
      </c>
      <c r="V1877">
        <v>0</v>
      </c>
      <c r="W1877">
        <v>0</v>
      </c>
      <c r="X1877">
        <v>2</v>
      </c>
      <c r="Z1877">
        <v>1</v>
      </c>
      <c r="AA1877">
        <v>8</v>
      </c>
      <c r="AB1877">
        <v>3</v>
      </c>
      <c r="AC1877">
        <v>0</v>
      </c>
      <c r="AD1877">
        <v>9</v>
      </c>
      <c r="AE1877">
        <v>0</v>
      </c>
      <c r="AF1877">
        <v>3</v>
      </c>
      <c r="AG1877">
        <v>1</v>
      </c>
      <c r="AH1877">
        <v>0</v>
      </c>
      <c r="AI1877" t="s">
        <v>988</v>
      </c>
      <c r="AJ1877">
        <v>33.044471999999999</v>
      </c>
      <c r="AK1877" t="s">
        <v>989</v>
      </c>
      <c r="AL1877">
        <v>-97.663543000000004</v>
      </c>
      <c r="AM1877">
        <v>25</v>
      </c>
      <c r="AN1877">
        <v>3400</v>
      </c>
      <c r="AO1877" t="s">
        <v>118</v>
      </c>
      <c r="AP1877">
        <v>24</v>
      </c>
      <c r="AQ1877">
        <v>-93</v>
      </c>
      <c r="AR1877">
        <v>128</v>
      </c>
      <c r="AZ1877">
        <v>1200</v>
      </c>
      <c r="BA1877">
        <v>1</v>
      </c>
      <c r="BB1877" t="str">
        <f t="shared" si="545"/>
        <v xml:space="preserve">N733KP  </v>
      </c>
      <c r="BC1877">
        <v>1</v>
      </c>
      <c r="BE1877">
        <v>0</v>
      </c>
      <c r="BF1877">
        <v>0</v>
      </c>
      <c r="BG1877">
        <v>0</v>
      </c>
      <c r="BH1877">
        <v>3450</v>
      </c>
      <c r="BI1877">
        <v>1</v>
      </c>
      <c r="BJ1877">
        <v>1</v>
      </c>
      <c r="BK1877">
        <v>0</v>
      </c>
      <c r="BL1877">
        <v>0</v>
      </c>
      <c r="BO1877">
        <v>0</v>
      </c>
      <c r="BP1877">
        <v>0</v>
      </c>
      <c r="BW1877" t="str">
        <f>"22:17:21.563"</f>
        <v>22:17:21.563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6</v>
      </c>
      <c r="CP1877" t="s">
        <v>119</v>
      </c>
      <c r="CQ1877">
        <v>364</v>
      </c>
      <c r="CR1877">
        <v>0</v>
      </c>
      <c r="CW1877">
        <v>1436666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"03/24/2022 22:17:23.154"</f>
        <v>03/24/2022 22:17:23.154</v>
      </c>
      <c r="C1878" t="str">
        <f t="shared" ref="C1878:C1941" si="562">"FFDFD3C0"</f>
        <v>FFDFD3C0</v>
      </c>
      <c r="D1878" t="s">
        <v>120</v>
      </c>
      <c r="E1878">
        <v>14</v>
      </c>
      <c r="F1878">
        <v>1014</v>
      </c>
      <c r="G1878" t="s">
        <v>121</v>
      </c>
      <c r="J1878" t="s">
        <v>122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S1878" t="str">
        <f t="shared" ref="S1878:T1881" si="563">"22:17:22.000"</f>
        <v>22:17:22.000</v>
      </c>
      <c r="T1878" t="str">
        <f t="shared" si="563"/>
        <v>22:17:22.000</v>
      </c>
      <c r="U1878" t="str">
        <f t="shared" si="557"/>
        <v>A9D71F</v>
      </c>
      <c r="V1878">
        <v>0</v>
      </c>
      <c r="W1878">
        <v>0</v>
      </c>
      <c r="X1878">
        <v>2</v>
      </c>
      <c r="Z1878">
        <v>1</v>
      </c>
      <c r="AA1878">
        <v>8</v>
      </c>
      <c r="AB1878">
        <v>3</v>
      </c>
      <c r="AC1878">
        <v>0</v>
      </c>
      <c r="AD1878">
        <v>9</v>
      </c>
      <c r="AE1878">
        <v>0</v>
      </c>
      <c r="AF1878">
        <v>3</v>
      </c>
      <c r="AG1878">
        <v>1</v>
      </c>
      <c r="AH1878">
        <v>0</v>
      </c>
      <c r="AI1878" t="s">
        <v>990</v>
      </c>
      <c r="AJ1878">
        <v>33.044043000000002</v>
      </c>
      <c r="AK1878" t="s">
        <v>991</v>
      </c>
      <c r="AL1878">
        <v>-97.663414000000003</v>
      </c>
      <c r="AM1878">
        <v>25</v>
      </c>
      <c r="AN1878">
        <v>3400</v>
      </c>
      <c r="AO1878" t="s">
        <v>118</v>
      </c>
      <c r="AP1878">
        <v>23</v>
      </c>
      <c r="AQ1878">
        <v>-90</v>
      </c>
      <c r="AR1878">
        <v>128</v>
      </c>
      <c r="AZ1878">
        <v>1200</v>
      </c>
      <c r="BA1878">
        <v>1</v>
      </c>
      <c r="BB1878" t="str">
        <f t="shared" ref="BB1878:BB1941" si="564">"N733KP  "</f>
        <v xml:space="preserve">N733KP  </v>
      </c>
      <c r="BC1878">
        <v>1</v>
      </c>
      <c r="BE1878">
        <v>0</v>
      </c>
      <c r="BF1878">
        <v>0</v>
      </c>
      <c r="BG1878">
        <v>0</v>
      </c>
      <c r="BH1878">
        <v>3450</v>
      </c>
      <c r="BI1878">
        <v>1</v>
      </c>
      <c r="BJ1878">
        <v>1</v>
      </c>
      <c r="BK1878">
        <v>0</v>
      </c>
      <c r="BL1878">
        <v>0</v>
      </c>
      <c r="BO1878">
        <v>0</v>
      </c>
      <c r="BP1878">
        <v>0</v>
      </c>
      <c r="BW1878" t="str">
        <f>"22:17:22.954"</f>
        <v>22:17:22.954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364</v>
      </c>
      <c r="CR1878">
        <v>0</v>
      </c>
      <c r="CW1878">
        <v>1436905</v>
      </c>
      <c r="CY1878">
        <v>1</v>
      </c>
      <c r="CZ1878">
        <v>0</v>
      </c>
      <c r="DA1878">
        <v>0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"03/24/2022 22:17:23.154"</f>
        <v>03/24/2022 22:17:23.154</v>
      </c>
      <c r="C1879" t="str">
        <f t="shared" si="562"/>
        <v>FFDFD3C0</v>
      </c>
      <c r="D1879" t="s">
        <v>123</v>
      </c>
      <c r="E1879">
        <v>8</v>
      </c>
      <c r="H1879">
        <v>31</v>
      </c>
      <c r="I1879" t="s">
        <v>124</v>
      </c>
      <c r="J1879" t="s">
        <v>125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S1879" t="str">
        <f t="shared" si="563"/>
        <v>22:17:22.000</v>
      </c>
      <c r="T1879" t="str">
        <f t="shared" si="563"/>
        <v>22:17:22.000</v>
      </c>
      <c r="U1879" t="str">
        <f t="shared" si="557"/>
        <v>A9D71F</v>
      </c>
      <c r="V1879">
        <v>0</v>
      </c>
      <c r="W1879">
        <v>0</v>
      </c>
      <c r="X1879">
        <v>2</v>
      </c>
      <c r="Z1879">
        <v>1</v>
      </c>
      <c r="AA1879">
        <v>8</v>
      </c>
      <c r="AB1879">
        <v>3</v>
      </c>
      <c r="AC1879">
        <v>0</v>
      </c>
      <c r="AD1879">
        <v>9</v>
      </c>
      <c r="AE1879">
        <v>0</v>
      </c>
      <c r="AF1879">
        <v>3</v>
      </c>
      <c r="AG1879">
        <v>1</v>
      </c>
      <c r="AH1879">
        <v>0</v>
      </c>
      <c r="AI1879" t="s">
        <v>990</v>
      </c>
      <c r="AJ1879">
        <v>33.044043000000002</v>
      </c>
      <c r="AK1879" t="s">
        <v>991</v>
      </c>
      <c r="AL1879">
        <v>-97.663414000000003</v>
      </c>
      <c r="AM1879">
        <v>25</v>
      </c>
      <c r="AN1879">
        <v>3400</v>
      </c>
      <c r="AO1879" t="s">
        <v>118</v>
      </c>
      <c r="AP1879">
        <v>23</v>
      </c>
      <c r="AQ1879">
        <v>-90</v>
      </c>
      <c r="AR1879">
        <v>128</v>
      </c>
      <c r="AZ1879">
        <v>1200</v>
      </c>
      <c r="BA1879">
        <v>1</v>
      </c>
      <c r="BB1879" t="str">
        <f t="shared" si="564"/>
        <v xml:space="preserve">N733KP  </v>
      </c>
      <c r="BC1879">
        <v>1</v>
      </c>
      <c r="BE1879">
        <v>0</v>
      </c>
      <c r="BF1879">
        <v>0</v>
      </c>
      <c r="BG1879">
        <v>0</v>
      </c>
      <c r="BH1879">
        <v>3450</v>
      </c>
      <c r="BI1879">
        <v>1</v>
      </c>
      <c r="BJ1879">
        <v>1</v>
      </c>
      <c r="BK1879">
        <v>0</v>
      </c>
      <c r="BL1879">
        <v>0</v>
      </c>
      <c r="BO1879">
        <v>0</v>
      </c>
      <c r="BP1879">
        <v>0</v>
      </c>
      <c r="BW1879" t="str">
        <f>"22:17:22.954"</f>
        <v>22:17:22.954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7</v>
      </c>
      <c r="CP1879" t="s">
        <v>119</v>
      </c>
      <c r="CQ1879">
        <v>364</v>
      </c>
      <c r="CR1879">
        <v>0</v>
      </c>
      <c r="CW1879">
        <v>1436905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"03/24/2022 22:17:23.154"</f>
        <v>03/24/2022 22:17:23.154</v>
      </c>
      <c r="C1880" t="str">
        <f t="shared" si="562"/>
        <v>FFDFD3C0</v>
      </c>
      <c r="D1880" t="s">
        <v>126</v>
      </c>
      <c r="E1880">
        <v>3</v>
      </c>
      <c r="H1880">
        <v>160</v>
      </c>
      <c r="I1880" t="s">
        <v>121</v>
      </c>
      <c r="J1880" t="s">
        <v>127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S1880" t="str">
        <f t="shared" si="563"/>
        <v>22:17:22.000</v>
      </c>
      <c r="T1880" t="str">
        <f t="shared" si="563"/>
        <v>22:17:22.000</v>
      </c>
      <c r="U1880" t="str">
        <f t="shared" si="557"/>
        <v>A9D71F</v>
      </c>
      <c r="V1880">
        <v>0</v>
      </c>
      <c r="W1880">
        <v>0</v>
      </c>
      <c r="X1880">
        <v>2</v>
      </c>
      <c r="Z1880">
        <v>1</v>
      </c>
      <c r="AA1880">
        <v>8</v>
      </c>
      <c r="AB1880">
        <v>3</v>
      </c>
      <c r="AC1880">
        <v>0</v>
      </c>
      <c r="AD1880">
        <v>9</v>
      </c>
      <c r="AE1880">
        <v>0</v>
      </c>
      <c r="AF1880">
        <v>3</v>
      </c>
      <c r="AG1880">
        <v>1</v>
      </c>
      <c r="AH1880">
        <v>0</v>
      </c>
      <c r="AI1880" t="s">
        <v>990</v>
      </c>
      <c r="AJ1880">
        <v>33.044043000000002</v>
      </c>
      <c r="AK1880" t="s">
        <v>991</v>
      </c>
      <c r="AL1880">
        <v>-97.663414000000003</v>
      </c>
      <c r="AM1880">
        <v>25</v>
      </c>
      <c r="AN1880">
        <v>3400</v>
      </c>
      <c r="AO1880" t="s">
        <v>118</v>
      </c>
      <c r="AP1880">
        <v>23</v>
      </c>
      <c r="AQ1880">
        <v>-90</v>
      </c>
      <c r="AR1880">
        <v>128</v>
      </c>
      <c r="AZ1880">
        <v>1200</v>
      </c>
      <c r="BA1880">
        <v>1</v>
      </c>
      <c r="BB1880" t="str">
        <f t="shared" si="564"/>
        <v xml:space="preserve">N733KP  </v>
      </c>
      <c r="BC1880">
        <v>1</v>
      </c>
      <c r="BE1880">
        <v>0</v>
      </c>
      <c r="BF1880">
        <v>0</v>
      </c>
      <c r="BG1880">
        <v>0</v>
      </c>
      <c r="BH1880">
        <v>3450</v>
      </c>
      <c r="BI1880">
        <v>1</v>
      </c>
      <c r="BJ1880">
        <v>1</v>
      </c>
      <c r="BK1880">
        <v>0</v>
      </c>
      <c r="BL1880">
        <v>0</v>
      </c>
      <c r="BO1880">
        <v>0</v>
      </c>
      <c r="BP1880">
        <v>0</v>
      </c>
      <c r="BW1880" t="str">
        <f>"22:17:22.954"</f>
        <v>22:17:22.954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364</v>
      </c>
      <c r="CR1880">
        <v>0</v>
      </c>
      <c r="CW1880">
        <v>1436905</v>
      </c>
      <c r="CY1880">
        <v>1</v>
      </c>
      <c r="CZ1880">
        <v>0</v>
      </c>
      <c r="DA1880">
        <v>1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"03/24/2022 22:17:23.154"</f>
        <v>03/24/2022 22:17:23.154</v>
      </c>
      <c r="C1881" t="str">
        <f t="shared" si="562"/>
        <v>FFDFD3C0</v>
      </c>
      <c r="D1881" t="s">
        <v>113</v>
      </c>
      <c r="E1881">
        <v>24</v>
      </c>
      <c r="F1881">
        <v>2024</v>
      </c>
      <c r="G1881" t="s">
        <v>114</v>
      </c>
      <c r="J1881" t="s">
        <v>115</v>
      </c>
      <c r="K1881">
        <v>0</v>
      </c>
      <c r="L1881">
        <v>3</v>
      </c>
      <c r="M1881">
        <v>0</v>
      </c>
      <c r="N1881">
        <v>2</v>
      </c>
      <c r="O1881">
        <v>0</v>
      </c>
      <c r="P1881">
        <v>1</v>
      </c>
      <c r="Q1881">
        <v>0</v>
      </c>
      <c r="S1881" t="str">
        <f t="shared" si="563"/>
        <v>22:17:22.000</v>
      </c>
      <c r="T1881" t="str">
        <f t="shared" si="563"/>
        <v>22:17:22.000</v>
      </c>
      <c r="U1881" t="str">
        <f t="shared" si="557"/>
        <v>A9D71F</v>
      </c>
      <c r="V1881">
        <v>0</v>
      </c>
      <c r="W1881">
        <v>0</v>
      </c>
      <c r="X1881">
        <v>2</v>
      </c>
      <c r="Z1881">
        <v>1</v>
      </c>
      <c r="AA1881">
        <v>8</v>
      </c>
      <c r="AB1881">
        <v>3</v>
      </c>
      <c r="AC1881">
        <v>0</v>
      </c>
      <c r="AD1881">
        <v>9</v>
      </c>
      <c r="AE1881">
        <v>0</v>
      </c>
      <c r="AF1881">
        <v>3</v>
      </c>
      <c r="AG1881">
        <v>1</v>
      </c>
      <c r="AH1881">
        <v>0</v>
      </c>
      <c r="AI1881" t="s">
        <v>990</v>
      </c>
      <c r="AJ1881">
        <v>33.044043000000002</v>
      </c>
      <c r="AK1881" t="s">
        <v>991</v>
      </c>
      <c r="AL1881">
        <v>-97.663414000000003</v>
      </c>
      <c r="AM1881">
        <v>25</v>
      </c>
      <c r="AN1881">
        <v>3400</v>
      </c>
      <c r="AO1881" t="s">
        <v>118</v>
      </c>
      <c r="AP1881">
        <v>23</v>
      </c>
      <c r="AQ1881">
        <v>-90</v>
      </c>
      <c r="AR1881">
        <v>128</v>
      </c>
      <c r="AZ1881">
        <v>1200</v>
      </c>
      <c r="BA1881">
        <v>1</v>
      </c>
      <c r="BB1881" t="str">
        <f t="shared" si="564"/>
        <v xml:space="preserve">N733KP  </v>
      </c>
      <c r="BC1881">
        <v>1</v>
      </c>
      <c r="BE1881">
        <v>0</v>
      </c>
      <c r="BF1881">
        <v>0</v>
      </c>
      <c r="BG1881">
        <v>0</v>
      </c>
      <c r="BH1881">
        <v>3450</v>
      </c>
      <c r="BI1881">
        <v>1</v>
      </c>
      <c r="BJ1881">
        <v>1</v>
      </c>
      <c r="BK1881">
        <v>0</v>
      </c>
      <c r="BL1881">
        <v>0</v>
      </c>
      <c r="BO1881">
        <v>0</v>
      </c>
      <c r="BP1881">
        <v>0</v>
      </c>
      <c r="BW1881" t="str">
        <f>"22:17:22.954"</f>
        <v>22:17:22.954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7</v>
      </c>
      <c r="CP1881" t="s">
        <v>119</v>
      </c>
      <c r="CQ1881">
        <v>364</v>
      </c>
      <c r="CR1881">
        <v>0</v>
      </c>
      <c r="CW1881">
        <v>1436905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"03/24/2022 22:17:23.672"</f>
        <v>03/24/2022 22:17:23.672</v>
      </c>
      <c r="C1882" t="str">
        <f t="shared" si="562"/>
        <v>FFDFD3C0</v>
      </c>
      <c r="D1882" t="s">
        <v>123</v>
      </c>
      <c r="E1882">
        <v>8</v>
      </c>
      <c r="H1882">
        <v>31</v>
      </c>
      <c r="I1882" t="s">
        <v>124</v>
      </c>
      <c r="J1882" t="s">
        <v>125</v>
      </c>
      <c r="K1882">
        <v>0</v>
      </c>
      <c r="L1882">
        <v>3</v>
      </c>
      <c r="M1882">
        <v>0</v>
      </c>
      <c r="N1882">
        <v>2</v>
      </c>
      <c r="O1882">
        <v>0</v>
      </c>
      <c r="P1882">
        <v>1</v>
      </c>
      <c r="Q1882">
        <v>0</v>
      </c>
      <c r="S1882" t="str">
        <f t="shared" ref="S1882:T1885" si="565">"22:17:23.000"</f>
        <v>22:17:23.000</v>
      </c>
      <c r="T1882" t="str">
        <f t="shared" si="565"/>
        <v>22:17:23.000</v>
      </c>
      <c r="U1882" t="str">
        <f t="shared" si="557"/>
        <v>A9D71F</v>
      </c>
      <c r="V1882">
        <v>0</v>
      </c>
      <c r="W1882">
        <v>0</v>
      </c>
      <c r="X1882">
        <v>2</v>
      </c>
      <c r="Z1882">
        <v>1</v>
      </c>
      <c r="AA1882">
        <v>8</v>
      </c>
      <c r="AB1882">
        <v>3</v>
      </c>
      <c r="AC1882">
        <v>0</v>
      </c>
      <c r="AD1882">
        <v>9</v>
      </c>
      <c r="AE1882">
        <v>0</v>
      </c>
      <c r="AF1882">
        <v>3</v>
      </c>
      <c r="AG1882">
        <v>1</v>
      </c>
      <c r="AH1882">
        <v>0</v>
      </c>
      <c r="AI1882" t="s">
        <v>992</v>
      </c>
      <c r="AJ1882">
        <v>33.043613000000001</v>
      </c>
      <c r="AK1882" t="s">
        <v>993</v>
      </c>
      <c r="AL1882">
        <v>-97.663285999999999</v>
      </c>
      <c r="AM1882">
        <v>25</v>
      </c>
      <c r="AN1882">
        <v>3400</v>
      </c>
      <c r="AO1882" t="s">
        <v>118</v>
      </c>
      <c r="AP1882">
        <v>23</v>
      </c>
      <c r="AQ1882">
        <v>-89</v>
      </c>
      <c r="AR1882">
        <v>128</v>
      </c>
      <c r="AZ1882">
        <v>1200</v>
      </c>
      <c r="BA1882">
        <v>1</v>
      </c>
      <c r="BB1882" t="str">
        <f t="shared" si="564"/>
        <v xml:space="preserve">N733KP  </v>
      </c>
      <c r="BC1882">
        <v>1</v>
      </c>
      <c r="BE1882">
        <v>0</v>
      </c>
      <c r="BF1882">
        <v>0</v>
      </c>
      <c r="BG1882">
        <v>0</v>
      </c>
      <c r="BH1882">
        <v>3450</v>
      </c>
      <c r="BI1882">
        <v>1</v>
      </c>
      <c r="BJ1882">
        <v>1</v>
      </c>
      <c r="BK1882">
        <v>0</v>
      </c>
      <c r="BL1882">
        <v>0</v>
      </c>
      <c r="BO1882">
        <v>0</v>
      </c>
      <c r="BP1882">
        <v>0</v>
      </c>
      <c r="BW1882" t="str">
        <f>"22:17:23.383"</f>
        <v>22:17:23.383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6</v>
      </c>
      <c r="CP1882" t="s">
        <v>119</v>
      </c>
      <c r="CQ1882">
        <v>364</v>
      </c>
      <c r="CR1882">
        <v>0</v>
      </c>
      <c r="CW1882">
        <v>1436968</v>
      </c>
      <c r="CY1882">
        <v>1</v>
      </c>
      <c r="CZ1882">
        <v>0</v>
      </c>
      <c r="DA1882">
        <v>0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"03/24/2022 22:17:23.672"</f>
        <v>03/24/2022 22:17:23.672</v>
      </c>
      <c r="C1883" t="str">
        <f t="shared" si="562"/>
        <v>FFDFD3C0</v>
      </c>
      <c r="D1883" t="s">
        <v>126</v>
      </c>
      <c r="E1883">
        <v>3</v>
      </c>
      <c r="H1883">
        <v>160</v>
      </c>
      <c r="I1883" t="s">
        <v>121</v>
      </c>
      <c r="J1883" t="s">
        <v>127</v>
      </c>
      <c r="K1883">
        <v>0</v>
      </c>
      <c r="L1883">
        <v>3</v>
      </c>
      <c r="M1883">
        <v>0</v>
      </c>
      <c r="N1883">
        <v>2</v>
      </c>
      <c r="O1883">
        <v>0</v>
      </c>
      <c r="P1883">
        <v>1</v>
      </c>
      <c r="Q1883">
        <v>0</v>
      </c>
      <c r="S1883" t="str">
        <f t="shared" si="565"/>
        <v>22:17:23.000</v>
      </c>
      <c r="T1883" t="str">
        <f t="shared" si="565"/>
        <v>22:17:23.000</v>
      </c>
      <c r="U1883" t="str">
        <f t="shared" si="557"/>
        <v>A9D71F</v>
      </c>
      <c r="V1883">
        <v>0</v>
      </c>
      <c r="W1883">
        <v>0</v>
      </c>
      <c r="X1883">
        <v>2</v>
      </c>
      <c r="Z1883">
        <v>1</v>
      </c>
      <c r="AA1883">
        <v>8</v>
      </c>
      <c r="AB1883">
        <v>3</v>
      </c>
      <c r="AC1883">
        <v>0</v>
      </c>
      <c r="AD1883">
        <v>9</v>
      </c>
      <c r="AE1883">
        <v>0</v>
      </c>
      <c r="AF1883">
        <v>3</v>
      </c>
      <c r="AG1883">
        <v>1</v>
      </c>
      <c r="AH1883">
        <v>0</v>
      </c>
      <c r="AI1883" t="s">
        <v>992</v>
      </c>
      <c r="AJ1883">
        <v>33.043613000000001</v>
      </c>
      <c r="AK1883" t="s">
        <v>993</v>
      </c>
      <c r="AL1883">
        <v>-97.663285999999999</v>
      </c>
      <c r="AM1883">
        <v>25</v>
      </c>
      <c r="AN1883">
        <v>3400</v>
      </c>
      <c r="AO1883" t="s">
        <v>118</v>
      </c>
      <c r="AP1883">
        <v>23</v>
      </c>
      <c r="AQ1883">
        <v>-89</v>
      </c>
      <c r="AR1883">
        <v>128</v>
      </c>
      <c r="AZ1883">
        <v>1200</v>
      </c>
      <c r="BA1883">
        <v>1</v>
      </c>
      <c r="BB1883" t="str">
        <f t="shared" si="564"/>
        <v xml:space="preserve">N733KP  </v>
      </c>
      <c r="BC1883">
        <v>1</v>
      </c>
      <c r="BE1883">
        <v>0</v>
      </c>
      <c r="BF1883">
        <v>0</v>
      </c>
      <c r="BG1883">
        <v>0</v>
      </c>
      <c r="BH1883">
        <v>3450</v>
      </c>
      <c r="BI1883">
        <v>1</v>
      </c>
      <c r="BJ1883">
        <v>1</v>
      </c>
      <c r="BK1883">
        <v>0</v>
      </c>
      <c r="BL1883">
        <v>0</v>
      </c>
      <c r="BO1883">
        <v>0</v>
      </c>
      <c r="BP1883">
        <v>0</v>
      </c>
      <c r="BW1883" t="str">
        <f>"22:17:23.383"</f>
        <v>22:17:23.383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6</v>
      </c>
      <c r="CP1883" t="s">
        <v>119</v>
      </c>
      <c r="CQ1883">
        <v>364</v>
      </c>
      <c r="CR1883">
        <v>0</v>
      </c>
      <c r="CW1883">
        <v>1436968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"03/24/2022 22:17:23.672"</f>
        <v>03/24/2022 22:17:23.672</v>
      </c>
      <c r="C1884" t="str">
        <f t="shared" si="562"/>
        <v>FFDFD3C0</v>
      </c>
      <c r="D1884" t="s">
        <v>113</v>
      </c>
      <c r="E1884">
        <v>24</v>
      </c>
      <c r="F1884">
        <v>2024</v>
      </c>
      <c r="G1884" t="s">
        <v>114</v>
      </c>
      <c r="J1884" t="s">
        <v>115</v>
      </c>
      <c r="K1884">
        <v>0</v>
      </c>
      <c r="L1884">
        <v>3</v>
      </c>
      <c r="M1884">
        <v>0</v>
      </c>
      <c r="N1884">
        <v>2</v>
      </c>
      <c r="O1884">
        <v>0</v>
      </c>
      <c r="P1884">
        <v>1</v>
      </c>
      <c r="Q1884">
        <v>0</v>
      </c>
      <c r="S1884" t="str">
        <f t="shared" si="565"/>
        <v>22:17:23.000</v>
      </c>
      <c r="T1884" t="str">
        <f t="shared" si="565"/>
        <v>22:17:23.000</v>
      </c>
      <c r="U1884" t="str">
        <f t="shared" si="557"/>
        <v>A9D71F</v>
      </c>
      <c r="V1884">
        <v>0</v>
      </c>
      <c r="W1884">
        <v>0</v>
      </c>
      <c r="X1884">
        <v>2</v>
      </c>
      <c r="Z1884">
        <v>1</v>
      </c>
      <c r="AA1884">
        <v>8</v>
      </c>
      <c r="AB1884">
        <v>3</v>
      </c>
      <c r="AC1884">
        <v>0</v>
      </c>
      <c r="AD1884">
        <v>9</v>
      </c>
      <c r="AE1884">
        <v>0</v>
      </c>
      <c r="AF1884">
        <v>3</v>
      </c>
      <c r="AG1884">
        <v>1</v>
      </c>
      <c r="AH1884">
        <v>0</v>
      </c>
      <c r="AI1884" t="s">
        <v>992</v>
      </c>
      <c r="AJ1884">
        <v>33.043613000000001</v>
      </c>
      <c r="AK1884" t="s">
        <v>993</v>
      </c>
      <c r="AL1884">
        <v>-97.663285999999999</v>
      </c>
      <c r="AM1884">
        <v>25</v>
      </c>
      <c r="AN1884">
        <v>3400</v>
      </c>
      <c r="AO1884" t="s">
        <v>118</v>
      </c>
      <c r="AP1884">
        <v>23</v>
      </c>
      <c r="AQ1884">
        <v>-89</v>
      </c>
      <c r="AR1884">
        <v>128</v>
      </c>
      <c r="AZ1884">
        <v>1200</v>
      </c>
      <c r="BA1884">
        <v>1</v>
      </c>
      <c r="BB1884" t="str">
        <f t="shared" si="564"/>
        <v xml:space="preserve">N733KP  </v>
      </c>
      <c r="BC1884">
        <v>1</v>
      </c>
      <c r="BE1884">
        <v>0</v>
      </c>
      <c r="BF1884">
        <v>0</v>
      </c>
      <c r="BG1884">
        <v>0</v>
      </c>
      <c r="BH1884">
        <v>3450</v>
      </c>
      <c r="BI1884">
        <v>1</v>
      </c>
      <c r="BJ1884">
        <v>1</v>
      </c>
      <c r="BK1884">
        <v>0</v>
      </c>
      <c r="BL1884">
        <v>0</v>
      </c>
      <c r="BO1884">
        <v>0</v>
      </c>
      <c r="BP1884">
        <v>0</v>
      </c>
      <c r="BW1884" t="str">
        <f>"22:17:23.383"</f>
        <v>22:17:23.383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6</v>
      </c>
      <c r="CP1884" t="s">
        <v>119</v>
      </c>
      <c r="CQ1884">
        <v>364</v>
      </c>
      <c r="CR1884">
        <v>0</v>
      </c>
      <c r="CW1884">
        <v>1436968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"03/24/2022 22:17:23.672"</f>
        <v>03/24/2022 22:17:23.672</v>
      </c>
      <c r="C1885" t="str">
        <f t="shared" si="562"/>
        <v>FFDFD3C0</v>
      </c>
      <c r="D1885" t="s">
        <v>120</v>
      </c>
      <c r="E1885">
        <v>14</v>
      </c>
      <c r="F1885">
        <v>1014</v>
      </c>
      <c r="G1885" t="s">
        <v>121</v>
      </c>
      <c r="J1885" t="s">
        <v>122</v>
      </c>
      <c r="K1885">
        <v>0</v>
      </c>
      <c r="L1885">
        <v>3</v>
      </c>
      <c r="M1885">
        <v>0</v>
      </c>
      <c r="N1885">
        <v>2</v>
      </c>
      <c r="O1885">
        <v>0</v>
      </c>
      <c r="P1885">
        <v>1</v>
      </c>
      <c r="Q1885">
        <v>0</v>
      </c>
      <c r="S1885" t="str">
        <f t="shared" si="565"/>
        <v>22:17:23.000</v>
      </c>
      <c r="T1885" t="str">
        <f t="shared" si="565"/>
        <v>22:17:23.000</v>
      </c>
      <c r="U1885" t="str">
        <f t="shared" si="557"/>
        <v>A9D71F</v>
      </c>
      <c r="V1885">
        <v>0</v>
      </c>
      <c r="W1885">
        <v>0</v>
      </c>
      <c r="X1885">
        <v>2</v>
      </c>
      <c r="Z1885">
        <v>1</v>
      </c>
      <c r="AA1885">
        <v>8</v>
      </c>
      <c r="AB1885">
        <v>3</v>
      </c>
      <c r="AC1885">
        <v>0</v>
      </c>
      <c r="AD1885">
        <v>9</v>
      </c>
      <c r="AE1885">
        <v>0</v>
      </c>
      <c r="AF1885">
        <v>3</v>
      </c>
      <c r="AG1885">
        <v>1</v>
      </c>
      <c r="AH1885">
        <v>0</v>
      </c>
      <c r="AI1885" t="s">
        <v>992</v>
      </c>
      <c r="AJ1885">
        <v>33.043613000000001</v>
      </c>
      <c r="AK1885" t="s">
        <v>993</v>
      </c>
      <c r="AL1885">
        <v>-97.663285999999999</v>
      </c>
      <c r="AM1885">
        <v>25</v>
      </c>
      <c r="AN1885">
        <v>3400</v>
      </c>
      <c r="AO1885" t="s">
        <v>118</v>
      </c>
      <c r="AP1885">
        <v>23</v>
      </c>
      <c r="AQ1885">
        <v>-89</v>
      </c>
      <c r="AR1885">
        <v>128</v>
      </c>
      <c r="AZ1885">
        <v>1200</v>
      </c>
      <c r="BA1885">
        <v>1</v>
      </c>
      <c r="BB1885" t="str">
        <f t="shared" si="564"/>
        <v xml:space="preserve">N733KP  </v>
      </c>
      <c r="BC1885">
        <v>1</v>
      </c>
      <c r="BE1885">
        <v>0</v>
      </c>
      <c r="BF1885">
        <v>0</v>
      </c>
      <c r="BG1885">
        <v>0</v>
      </c>
      <c r="BH1885">
        <v>3450</v>
      </c>
      <c r="BI1885">
        <v>1</v>
      </c>
      <c r="BJ1885">
        <v>1</v>
      </c>
      <c r="BK1885">
        <v>0</v>
      </c>
      <c r="BL1885">
        <v>0</v>
      </c>
      <c r="BO1885">
        <v>0</v>
      </c>
      <c r="BP1885">
        <v>0</v>
      </c>
      <c r="BW1885" t="str">
        <f>"22:17:23.383"</f>
        <v>22:17:23.383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6</v>
      </c>
      <c r="CP1885" t="s">
        <v>119</v>
      </c>
      <c r="CQ1885">
        <v>364</v>
      </c>
      <c r="CR1885">
        <v>0</v>
      </c>
      <c r="CW1885">
        <v>1436968</v>
      </c>
      <c r="CY1885">
        <v>1</v>
      </c>
      <c r="CZ1885">
        <v>0</v>
      </c>
      <c r="DA1885">
        <v>1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"03/24/2022 22:17:25.234"</f>
        <v>03/24/2022 22:17:25.234</v>
      </c>
      <c r="C1886" t="str">
        <f t="shared" si="562"/>
        <v>FFDFD3C0</v>
      </c>
      <c r="D1886" t="s">
        <v>113</v>
      </c>
      <c r="E1886">
        <v>24</v>
      </c>
      <c r="F1886">
        <v>2024</v>
      </c>
      <c r="G1886" t="s">
        <v>114</v>
      </c>
      <c r="J1886" t="s">
        <v>115</v>
      </c>
      <c r="K1886">
        <v>0</v>
      </c>
      <c r="L1886">
        <v>3</v>
      </c>
      <c r="M1886">
        <v>0</v>
      </c>
      <c r="N1886">
        <v>2</v>
      </c>
      <c r="O1886">
        <v>0</v>
      </c>
      <c r="P1886">
        <v>1</v>
      </c>
      <c r="Q1886">
        <v>0</v>
      </c>
      <c r="S1886" t="str">
        <f t="shared" ref="S1886:T1889" si="566">"22:17:24.000"</f>
        <v>22:17:24.000</v>
      </c>
      <c r="T1886" t="str">
        <f t="shared" si="566"/>
        <v>22:17:24.000</v>
      </c>
      <c r="U1886" t="str">
        <f t="shared" si="557"/>
        <v>A9D71F</v>
      </c>
      <c r="V1886">
        <v>0</v>
      </c>
      <c r="W1886">
        <v>0</v>
      </c>
      <c r="X1886">
        <v>2</v>
      </c>
      <c r="Z1886">
        <v>1</v>
      </c>
      <c r="AA1886">
        <v>8</v>
      </c>
      <c r="AB1886">
        <v>3</v>
      </c>
      <c r="AC1886">
        <v>0</v>
      </c>
      <c r="AD1886">
        <v>9</v>
      </c>
      <c r="AE1886">
        <v>0</v>
      </c>
      <c r="AF1886">
        <v>3</v>
      </c>
      <c r="AG1886">
        <v>1</v>
      </c>
      <c r="AH1886">
        <v>0</v>
      </c>
      <c r="AI1886" t="s">
        <v>994</v>
      </c>
      <c r="AJ1886">
        <v>33.043183999999997</v>
      </c>
      <c r="AK1886" t="s">
        <v>995</v>
      </c>
      <c r="AL1886">
        <v>-97.663135999999994</v>
      </c>
      <c r="AM1886">
        <v>25</v>
      </c>
      <c r="AN1886">
        <v>3500</v>
      </c>
      <c r="AO1886" t="s">
        <v>118</v>
      </c>
      <c r="AP1886">
        <v>23</v>
      </c>
      <c r="AQ1886">
        <v>-89</v>
      </c>
      <c r="AR1886">
        <v>64</v>
      </c>
      <c r="AZ1886">
        <v>1200</v>
      </c>
      <c r="BA1886">
        <v>1</v>
      </c>
      <c r="BB1886" t="str">
        <f t="shared" si="564"/>
        <v xml:space="preserve">N733KP  </v>
      </c>
      <c r="BC1886">
        <v>1</v>
      </c>
      <c r="BE1886">
        <v>0</v>
      </c>
      <c r="BF1886">
        <v>0</v>
      </c>
      <c r="BG1886">
        <v>0</v>
      </c>
      <c r="BH1886">
        <v>3450</v>
      </c>
      <c r="BI1886">
        <v>1</v>
      </c>
      <c r="BJ1886">
        <v>1</v>
      </c>
      <c r="BK1886">
        <v>0</v>
      </c>
      <c r="BL1886">
        <v>0</v>
      </c>
      <c r="BO1886">
        <v>0</v>
      </c>
      <c r="BP1886">
        <v>0</v>
      </c>
      <c r="BW1886" t="str">
        <f>"22:17:24.964"</f>
        <v>22:17:24.964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6</v>
      </c>
      <c r="CP1886" t="s">
        <v>119</v>
      </c>
      <c r="CQ1886">
        <v>364</v>
      </c>
      <c r="CR1886">
        <v>0</v>
      </c>
      <c r="CW1886">
        <v>1437211</v>
      </c>
      <c r="CY1886">
        <v>1</v>
      </c>
      <c r="CZ1886">
        <v>0</v>
      </c>
      <c r="DA1886">
        <v>0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"03/24/2022 22:17:25.234"</f>
        <v>03/24/2022 22:17:25.234</v>
      </c>
      <c r="C1887" t="str">
        <f t="shared" si="562"/>
        <v>FFDFD3C0</v>
      </c>
      <c r="D1887" t="s">
        <v>120</v>
      </c>
      <c r="E1887">
        <v>14</v>
      </c>
      <c r="F1887">
        <v>1014</v>
      </c>
      <c r="G1887" t="s">
        <v>121</v>
      </c>
      <c r="J1887" t="s">
        <v>122</v>
      </c>
      <c r="K1887">
        <v>0</v>
      </c>
      <c r="L1887">
        <v>3</v>
      </c>
      <c r="M1887">
        <v>0</v>
      </c>
      <c r="N1887">
        <v>2</v>
      </c>
      <c r="O1887">
        <v>0</v>
      </c>
      <c r="P1887">
        <v>1</v>
      </c>
      <c r="Q1887">
        <v>0</v>
      </c>
      <c r="S1887" t="str">
        <f t="shared" si="566"/>
        <v>22:17:24.000</v>
      </c>
      <c r="T1887" t="str">
        <f t="shared" si="566"/>
        <v>22:17:24.000</v>
      </c>
      <c r="U1887" t="str">
        <f t="shared" si="557"/>
        <v>A9D71F</v>
      </c>
      <c r="V1887">
        <v>0</v>
      </c>
      <c r="W1887">
        <v>0</v>
      </c>
      <c r="X1887">
        <v>2</v>
      </c>
      <c r="Z1887">
        <v>1</v>
      </c>
      <c r="AA1887">
        <v>8</v>
      </c>
      <c r="AB1887">
        <v>3</v>
      </c>
      <c r="AC1887">
        <v>0</v>
      </c>
      <c r="AD1887">
        <v>9</v>
      </c>
      <c r="AE1887">
        <v>0</v>
      </c>
      <c r="AF1887">
        <v>3</v>
      </c>
      <c r="AG1887">
        <v>1</v>
      </c>
      <c r="AH1887">
        <v>0</v>
      </c>
      <c r="AI1887" t="s">
        <v>994</v>
      </c>
      <c r="AJ1887">
        <v>33.043183999999997</v>
      </c>
      <c r="AK1887" t="s">
        <v>995</v>
      </c>
      <c r="AL1887">
        <v>-97.663135999999994</v>
      </c>
      <c r="AM1887">
        <v>25</v>
      </c>
      <c r="AN1887">
        <v>3500</v>
      </c>
      <c r="AO1887" t="s">
        <v>118</v>
      </c>
      <c r="AP1887">
        <v>23</v>
      </c>
      <c r="AQ1887">
        <v>-89</v>
      </c>
      <c r="AR1887">
        <v>64</v>
      </c>
      <c r="AZ1887">
        <v>1200</v>
      </c>
      <c r="BA1887">
        <v>1</v>
      </c>
      <c r="BB1887" t="str">
        <f t="shared" si="564"/>
        <v xml:space="preserve">N733KP  </v>
      </c>
      <c r="BC1887">
        <v>1</v>
      </c>
      <c r="BE1887">
        <v>0</v>
      </c>
      <c r="BF1887">
        <v>0</v>
      </c>
      <c r="BG1887">
        <v>0</v>
      </c>
      <c r="BH1887">
        <v>3450</v>
      </c>
      <c r="BI1887">
        <v>1</v>
      </c>
      <c r="BJ1887">
        <v>1</v>
      </c>
      <c r="BK1887">
        <v>0</v>
      </c>
      <c r="BL1887">
        <v>0</v>
      </c>
      <c r="BO1887">
        <v>0</v>
      </c>
      <c r="BP1887">
        <v>0</v>
      </c>
      <c r="BW1887" t="str">
        <f>"22:17:24.964"</f>
        <v>22:17:24.964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6</v>
      </c>
      <c r="CP1887" t="s">
        <v>119</v>
      </c>
      <c r="CQ1887">
        <v>364</v>
      </c>
      <c r="CR1887">
        <v>0</v>
      </c>
      <c r="CW1887">
        <v>1437211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"03/24/2022 22:17:25.250"</f>
        <v>03/24/2022 22:17:25.250</v>
      </c>
      <c r="C1888" t="str">
        <f t="shared" si="562"/>
        <v>FFDFD3C0</v>
      </c>
      <c r="D1888" t="s">
        <v>123</v>
      </c>
      <c r="E1888">
        <v>8</v>
      </c>
      <c r="H1888">
        <v>31</v>
      </c>
      <c r="I1888" t="s">
        <v>124</v>
      </c>
      <c r="J1888" t="s">
        <v>125</v>
      </c>
      <c r="K1888">
        <v>0</v>
      </c>
      <c r="L1888">
        <v>3</v>
      </c>
      <c r="M1888">
        <v>0</v>
      </c>
      <c r="N1888">
        <v>2</v>
      </c>
      <c r="O1888">
        <v>0</v>
      </c>
      <c r="P1888">
        <v>1</v>
      </c>
      <c r="Q1888">
        <v>0</v>
      </c>
      <c r="S1888" t="str">
        <f t="shared" si="566"/>
        <v>22:17:24.000</v>
      </c>
      <c r="T1888" t="str">
        <f t="shared" si="566"/>
        <v>22:17:24.000</v>
      </c>
      <c r="U1888" t="str">
        <f t="shared" si="557"/>
        <v>A9D71F</v>
      </c>
      <c r="V1888">
        <v>0</v>
      </c>
      <c r="W1888">
        <v>0</v>
      </c>
      <c r="X1888">
        <v>2</v>
      </c>
      <c r="Z1888">
        <v>1</v>
      </c>
      <c r="AA1888">
        <v>8</v>
      </c>
      <c r="AB1888">
        <v>3</v>
      </c>
      <c r="AC1888">
        <v>0</v>
      </c>
      <c r="AD1888">
        <v>9</v>
      </c>
      <c r="AE1888">
        <v>0</v>
      </c>
      <c r="AF1888">
        <v>3</v>
      </c>
      <c r="AG1888">
        <v>1</v>
      </c>
      <c r="AH1888">
        <v>0</v>
      </c>
      <c r="AI1888" t="s">
        <v>994</v>
      </c>
      <c r="AJ1888">
        <v>33.043183999999997</v>
      </c>
      <c r="AK1888" t="s">
        <v>995</v>
      </c>
      <c r="AL1888">
        <v>-97.663135999999994</v>
      </c>
      <c r="AM1888">
        <v>25</v>
      </c>
      <c r="AN1888">
        <v>3500</v>
      </c>
      <c r="AO1888" t="s">
        <v>118</v>
      </c>
      <c r="AP1888">
        <v>23</v>
      </c>
      <c r="AQ1888">
        <v>-89</v>
      </c>
      <c r="AR1888">
        <v>64</v>
      </c>
      <c r="AZ1888">
        <v>1200</v>
      </c>
      <c r="BA1888">
        <v>1</v>
      </c>
      <c r="BB1888" t="str">
        <f t="shared" si="564"/>
        <v xml:space="preserve">N733KP  </v>
      </c>
      <c r="BC1888">
        <v>1</v>
      </c>
      <c r="BE1888">
        <v>0</v>
      </c>
      <c r="BF1888">
        <v>0</v>
      </c>
      <c r="BG1888">
        <v>0</v>
      </c>
      <c r="BH1888">
        <v>3450</v>
      </c>
      <c r="BI1888">
        <v>1</v>
      </c>
      <c r="BJ1888">
        <v>1</v>
      </c>
      <c r="BK1888">
        <v>0</v>
      </c>
      <c r="BL1888">
        <v>0</v>
      </c>
      <c r="BO1888">
        <v>0</v>
      </c>
      <c r="BP1888">
        <v>0</v>
      </c>
      <c r="BW1888" t="str">
        <f>"22:17:24.964"</f>
        <v>22:17:24.964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6</v>
      </c>
      <c r="CP1888" t="s">
        <v>119</v>
      </c>
      <c r="CQ1888">
        <v>364</v>
      </c>
      <c r="CR1888">
        <v>0</v>
      </c>
      <c r="CW1888">
        <v>1437211</v>
      </c>
      <c r="CY1888">
        <v>1</v>
      </c>
      <c r="CZ1888">
        <v>0</v>
      </c>
      <c r="DA1888">
        <v>1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"03/24/2022 22:17:25.250"</f>
        <v>03/24/2022 22:17:25.250</v>
      </c>
      <c r="C1889" t="str">
        <f t="shared" si="562"/>
        <v>FFDFD3C0</v>
      </c>
      <c r="D1889" t="s">
        <v>126</v>
      </c>
      <c r="E1889">
        <v>3</v>
      </c>
      <c r="H1889">
        <v>160</v>
      </c>
      <c r="I1889" t="s">
        <v>121</v>
      </c>
      <c r="J1889" t="s">
        <v>127</v>
      </c>
      <c r="K1889">
        <v>0</v>
      </c>
      <c r="L1889">
        <v>3</v>
      </c>
      <c r="M1889">
        <v>0</v>
      </c>
      <c r="N1889">
        <v>2</v>
      </c>
      <c r="O1889">
        <v>0</v>
      </c>
      <c r="P1889">
        <v>1</v>
      </c>
      <c r="Q1889">
        <v>0</v>
      </c>
      <c r="S1889" t="str">
        <f t="shared" si="566"/>
        <v>22:17:24.000</v>
      </c>
      <c r="T1889" t="str">
        <f t="shared" si="566"/>
        <v>22:17:24.000</v>
      </c>
      <c r="U1889" t="str">
        <f t="shared" si="557"/>
        <v>A9D71F</v>
      </c>
      <c r="V1889">
        <v>0</v>
      </c>
      <c r="W1889">
        <v>0</v>
      </c>
      <c r="X1889">
        <v>2</v>
      </c>
      <c r="Z1889">
        <v>1</v>
      </c>
      <c r="AA1889">
        <v>8</v>
      </c>
      <c r="AB1889">
        <v>3</v>
      </c>
      <c r="AC1889">
        <v>0</v>
      </c>
      <c r="AD1889">
        <v>9</v>
      </c>
      <c r="AE1889">
        <v>0</v>
      </c>
      <c r="AF1889">
        <v>3</v>
      </c>
      <c r="AG1889">
        <v>1</v>
      </c>
      <c r="AH1889">
        <v>0</v>
      </c>
      <c r="AI1889" t="s">
        <v>994</v>
      </c>
      <c r="AJ1889">
        <v>33.043183999999997</v>
      </c>
      <c r="AK1889" t="s">
        <v>995</v>
      </c>
      <c r="AL1889">
        <v>-97.663135999999994</v>
      </c>
      <c r="AM1889">
        <v>25</v>
      </c>
      <c r="AN1889">
        <v>3500</v>
      </c>
      <c r="AO1889" t="s">
        <v>118</v>
      </c>
      <c r="AP1889">
        <v>23</v>
      </c>
      <c r="AQ1889">
        <v>-89</v>
      </c>
      <c r="AR1889">
        <v>64</v>
      </c>
      <c r="AZ1889">
        <v>1200</v>
      </c>
      <c r="BA1889">
        <v>1</v>
      </c>
      <c r="BB1889" t="str">
        <f t="shared" si="564"/>
        <v xml:space="preserve">N733KP  </v>
      </c>
      <c r="BC1889">
        <v>1</v>
      </c>
      <c r="BE1889">
        <v>0</v>
      </c>
      <c r="BF1889">
        <v>0</v>
      </c>
      <c r="BG1889">
        <v>0</v>
      </c>
      <c r="BH1889">
        <v>3450</v>
      </c>
      <c r="BI1889">
        <v>1</v>
      </c>
      <c r="BJ1889">
        <v>1</v>
      </c>
      <c r="BK1889">
        <v>0</v>
      </c>
      <c r="BL1889">
        <v>0</v>
      </c>
      <c r="BO1889">
        <v>0</v>
      </c>
      <c r="BP1889">
        <v>0</v>
      </c>
      <c r="BW1889" t="str">
        <f>"22:17:24.964"</f>
        <v>22:17:24.964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6</v>
      </c>
      <c r="CP1889" t="s">
        <v>119</v>
      </c>
      <c r="CQ1889">
        <v>364</v>
      </c>
      <c r="CR1889">
        <v>0</v>
      </c>
      <c r="CW1889">
        <v>1437211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"03/24/2022 22:17:25.813"</f>
        <v>03/24/2022 22:17:25.813</v>
      </c>
      <c r="C1890" t="str">
        <f t="shared" si="562"/>
        <v>FFDFD3C0</v>
      </c>
      <c r="D1890" t="s">
        <v>126</v>
      </c>
      <c r="E1890">
        <v>3</v>
      </c>
      <c r="H1890">
        <v>160</v>
      </c>
      <c r="I1890" t="s">
        <v>121</v>
      </c>
      <c r="J1890" t="s">
        <v>127</v>
      </c>
      <c r="K1890">
        <v>0</v>
      </c>
      <c r="L1890">
        <v>3</v>
      </c>
      <c r="M1890">
        <v>0</v>
      </c>
      <c r="N1890">
        <v>2</v>
      </c>
      <c r="O1890">
        <v>0</v>
      </c>
      <c r="P1890">
        <v>1</v>
      </c>
      <c r="Q1890">
        <v>0</v>
      </c>
      <c r="S1890" t="str">
        <f t="shared" ref="S1890:T1893" si="567">"22:17:25.000"</f>
        <v>22:17:25.000</v>
      </c>
      <c r="T1890" t="str">
        <f t="shared" si="567"/>
        <v>22:17:25.000</v>
      </c>
      <c r="U1890" t="str">
        <f t="shared" si="557"/>
        <v>A9D71F</v>
      </c>
      <c r="V1890">
        <v>0</v>
      </c>
      <c r="W1890">
        <v>0</v>
      </c>
      <c r="X1890">
        <v>2</v>
      </c>
      <c r="Z1890">
        <v>1</v>
      </c>
      <c r="AA1890">
        <v>8</v>
      </c>
      <c r="AB1890">
        <v>3</v>
      </c>
      <c r="AC1890">
        <v>0</v>
      </c>
      <c r="AD1890">
        <v>9</v>
      </c>
      <c r="AE1890">
        <v>0</v>
      </c>
      <c r="AF1890">
        <v>3</v>
      </c>
      <c r="AG1890">
        <v>1</v>
      </c>
      <c r="AH1890">
        <v>0</v>
      </c>
      <c r="AI1890" t="s">
        <v>996</v>
      </c>
      <c r="AJ1890">
        <v>33.042777000000001</v>
      </c>
      <c r="AK1890" t="s">
        <v>997</v>
      </c>
      <c r="AL1890">
        <v>-97.663027999999997</v>
      </c>
      <c r="AM1890">
        <v>25</v>
      </c>
      <c r="AN1890">
        <v>3500</v>
      </c>
      <c r="AO1890" t="s">
        <v>118</v>
      </c>
      <c r="AP1890">
        <v>23</v>
      </c>
      <c r="AQ1890">
        <v>-90</v>
      </c>
      <c r="AR1890">
        <v>0</v>
      </c>
      <c r="AZ1890">
        <v>1200</v>
      </c>
      <c r="BA1890">
        <v>1</v>
      </c>
      <c r="BB1890" t="str">
        <f t="shared" si="564"/>
        <v xml:space="preserve">N733KP  </v>
      </c>
      <c r="BC1890">
        <v>1</v>
      </c>
      <c r="BE1890">
        <v>0</v>
      </c>
      <c r="BF1890">
        <v>0</v>
      </c>
      <c r="BG1890">
        <v>0</v>
      </c>
      <c r="BH1890">
        <v>3450</v>
      </c>
      <c r="BI1890">
        <v>1</v>
      </c>
      <c r="BJ1890">
        <v>1</v>
      </c>
      <c r="BK1890">
        <v>0</v>
      </c>
      <c r="BL1890">
        <v>0</v>
      </c>
      <c r="BO1890">
        <v>0</v>
      </c>
      <c r="BP1890">
        <v>0</v>
      </c>
      <c r="BW1890" t="str">
        <f>"22:17:25.595"</f>
        <v>22:17:25.595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6</v>
      </c>
      <c r="CP1890" t="s">
        <v>119</v>
      </c>
      <c r="CQ1890">
        <v>364</v>
      </c>
      <c r="CR1890">
        <v>0</v>
      </c>
      <c r="CW1890">
        <v>1437320</v>
      </c>
      <c r="CY1890">
        <v>1</v>
      </c>
      <c r="CZ1890">
        <v>0</v>
      </c>
      <c r="DA1890">
        <v>0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"03/24/2022 22:17:25.813"</f>
        <v>03/24/2022 22:17:25.813</v>
      </c>
      <c r="C1891" t="str">
        <f t="shared" si="562"/>
        <v>FFDFD3C0</v>
      </c>
      <c r="D1891" t="s">
        <v>113</v>
      </c>
      <c r="E1891">
        <v>24</v>
      </c>
      <c r="F1891">
        <v>2024</v>
      </c>
      <c r="G1891" t="s">
        <v>114</v>
      </c>
      <c r="J1891" t="s">
        <v>115</v>
      </c>
      <c r="K1891">
        <v>0</v>
      </c>
      <c r="L1891">
        <v>3</v>
      </c>
      <c r="M1891">
        <v>0</v>
      </c>
      <c r="N1891">
        <v>2</v>
      </c>
      <c r="O1891">
        <v>0</v>
      </c>
      <c r="P1891">
        <v>1</v>
      </c>
      <c r="Q1891">
        <v>0</v>
      </c>
      <c r="S1891" t="str">
        <f t="shared" si="567"/>
        <v>22:17:25.000</v>
      </c>
      <c r="T1891" t="str">
        <f t="shared" si="567"/>
        <v>22:17:25.000</v>
      </c>
      <c r="U1891" t="str">
        <f t="shared" si="557"/>
        <v>A9D71F</v>
      </c>
      <c r="V1891">
        <v>0</v>
      </c>
      <c r="W1891">
        <v>0</v>
      </c>
      <c r="X1891">
        <v>2</v>
      </c>
      <c r="Z1891">
        <v>1</v>
      </c>
      <c r="AA1891">
        <v>8</v>
      </c>
      <c r="AB1891">
        <v>3</v>
      </c>
      <c r="AC1891">
        <v>0</v>
      </c>
      <c r="AD1891">
        <v>9</v>
      </c>
      <c r="AE1891">
        <v>0</v>
      </c>
      <c r="AF1891">
        <v>3</v>
      </c>
      <c r="AG1891">
        <v>1</v>
      </c>
      <c r="AH1891">
        <v>0</v>
      </c>
      <c r="AI1891" t="s">
        <v>996</v>
      </c>
      <c r="AJ1891">
        <v>33.042777000000001</v>
      </c>
      <c r="AK1891" t="s">
        <v>997</v>
      </c>
      <c r="AL1891">
        <v>-97.663027999999997</v>
      </c>
      <c r="AM1891">
        <v>25</v>
      </c>
      <c r="AN1891">
        <v>3500</v>
      </c>
      <c r="AO1891" t="s">
        <v>118</v>
      </c>
      <c r="AP1891">
        <v>23</v>
      </c>
      <c r="AQ1891">
        <v>-90</v>
      </c>
      <c r="AR1891">
        <v>0</v>
      </c>
      <c r="AZ1891">
        <v>1200</v>
      </c>
      <c r="BA1891">
        <v>1</v>
      </c>
      <c r="BB1891" t="str">
        <f t="shared" si="564"/>
        <v xml:space="preserve">N733KP  </v>
      </c>
      <c r="BC1891">
        <v>1</v>
      </c>
      <c r="BE1891">
        <v>0</v>
      </c>
      <c r="BF1891">
        <v>0</v>
      </c>
      <c r="BG1891">
        <v>0</v>
      </c>
      <c r="BH1891">
        <v>3450</v>
      </c>
      <c r="BI1891">
        <v>1</v>
      </c>
      <c r="BJ1891">
        <v>1</v>
      </c>
      <c r="BK1891">
        <v>0</v>
      </c>
      <c r="BL1891">
        <v>0</v>
      </c>
      <c r="BO1891">
        <v>0</v>
      </c>
      <c r="BP1891">
        <v>0</v>
      </c>
      <c r="BW1891" t="str">
        <f>"22:17:25.595"</f>
        <v>22:17:25.595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6</v>
      </c>
      <c r="CP1891" t="s">
        <v>119</v>
      </c>
      <c r="CQ1891">
        <v>364</v>
      </c>
      <c r="CR1891">
        <v>0</v>
      </c>
      <c r="CW1891">
        <v>1437320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"03/24/2022 22:17:25.813"</f>
        <v>03/24/2022 22:17:25.813</v>
      </c>
      <c r="C1892" t="str">
        <f t="shared" si="562"/>
        <v>FFDFD3C0</v>
      </c>
      <c r="D1892" t="s">
        <v>120</v>
      </c>
      <c r="E1892">
        <v>14</v>
      </c>
      <c r="F1892">
        <v>1014</v>
      </c>
      <c r="G1892" t="s">
        <v>121</v>
      </c>
      <c r="J1892" t="s">
        <v>122</v>
      </c>
      <c r="K1892">
        <v>0</v>
      </c>
      <c r="L1892">
        <v>3</v>
      </c>
      <c r="M1892">
        <v>0</v>
      </c>
      <c r="N1892">
        <v>2</v>
      </c>
      <c r="O1892">
        <v>0</v>
      </c>
      <c r="P1892">
        <v>1</v>
      </c>
      <c r="Q1892">
        <v>0</v>
      </c>
      <c r="S1892" t="str">
        <f t="shared" si="567"/>
        <v>22:17:25.000</v>
      </c>
      <c r="T1892" t="str">
        <f t="shared" si="567"/>
        <v>22:17:25.000</v>
      </c>
      <c r="U1892" t="str">
        <f t="shared" si="557"/>
        <v>A9D71F</v>
      </c>
      <c r="V1892">
        <v>0</v>
      </c>
      <c r="W1892">
        <v>0</v>
      </c>
      <c r="X1892">
        <v>2</v>
      </c>
      <c r="Z1892">
        <v>1</v>
      </c>
      <c r="AA1892">
        <v>8</v>
      </c>
      <c r="AB1892">
        <v>3</v>
      </c>
      <c r="AC1892">
        <v>0</v>
      </c>
      <c r="AD1892">
        <v>9</v>
      </c>
      <c r="AE1892">
        <v>0</v>
      </c>
      <c r="AF1892">
        <v>3</v>
      </c>
      <c r="AG1892">
        <v>1</v>
      </c>
      <c r="AH1892">
        <v>0</v>
      </c>
      <c r="AI1892" t="s">
        <v>996</v>
      </c>
      <c r="AJ1892">
        <v>33.042777000000001</v>
      </c>
      <c r="AK1892" t="s">
        <v>997</v>
      </c>
      <c r="AL1892">
        <v>-97.663027999999997</v>
      </c>
      <c r="AM1892">
        <v>25</v>
      </c>
      <c r="AN1892">
        <v>3500</v>
      </c>
      <c r="AO1892" t="s">
        <v>118</v>
      </c>
      <c r="AP1892">
        <v>23</v>
      </c>
      <c r="AQ1892">
        <v>-90</v>
      </c>
      <c r="AR1892">
        <v>0</v>
      </c>
      <c r="AZ1892">
        <v>1200</v>
      </c>
      <c r="BA1892">
        <v>1</v>
      </c>
      <c r="BB1892" t="str">
        <f t="shared" si="564"/>
        <v xml:space="preserve">N733KP  </v>
      </c>
      <c r="BC1892">
        <v>1</v>
      </c>
      <c r="BE1892">
        <v>0</v>
      </c>
      <c r="BF1892">
        <v>0</v>
      </c>
      <c r="BG1892">
        <v>0</v>
      </c>
      <c r="BH1892">
        <v>3450</v>
      </c>
      <c r="BI1892">
        <v>1</v>
      </c>
      <c r="BJ1892">
        <v>1</v>
      </c>
      <c r="BK1892">
        <v>0</v>
      </c>
      <c r="BL1892">
        <v>0</v>
      </c>
      <c r="BO1892">
        <v>0</v>
      </c>
      <c r="BP1892">
        <v>0</v>
      </c>
      <c r="BW1892" t="str">
        <f>"22:17:25.595"</f>
        <v>22:17:25.595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364</v>
      </c>
      <c r="CR1892">
        <v>0</v>
      </c>
      <c r="CW1892">
        <v>1437320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"03/24/2022 22:17:25.813"</f>
        <v>03/24/2022 22:17:25.813</v>
      </c>
      <c r="C1893" t="str">
        <f t="shared" si="562"/>
        <v>FFDFD3C0</v>
      </c>
      <c r="D1893" t="s">
        <v>123</v>
      </c>
      <c r="E1893">
        <v>8</v>
      </c>
      <c r="H1893">
        <v>31</v>
      </c>
      <c r="I1893" t="s">
        <v>124</v>
      </c>
      <c r="J1893" t="s">
        <v>125</v>
      </c>
      <c r="K1893">
        <v>0</v>
      </c>
      <c r="L1893">
        <v>3</v>
      </c>
      <c r="M1893">
        <v>0</v>
      </c>
      <c r="N1893">
        <v>2</v>
      </c>
      <c r="O1893">
        <v>0</v>
      </c>
      <c r="P1893">
        <v>1</v>
      </c>
      <c r="Q1893">
        <v>0</v>
      </c>
      <c r="S1893" t="str">
        <f t="shared" si="567"/>
        <v>22:17:25.000</v>
      </c>
      <c r="T1893" t="str">
        <f t="shared" si="567"/>
        <v>22:17:25.000</v>
      </c>
      <c r="U1893" t="str">
        <f t="shared" si="557"/>
        <v>A9D71F</v>
      </c>
      <c r="V1893">
        <v>0</v>
      </c>
      <c r="W1893">
        <v>0</v>
      </c>
      <c r="X1893">
        <v>2</v>
      </c>
      <c r="Z1893">
        <v>1</v>
      </c>
      <c r="AA1893">
        <v>8</v>
      </c>
      <c r="AB1893">
        <v>3</v>
      </c>
      <c r="AC1893">
        <v>0</v>
      </c>
      <c r="AD1893">
        <v>9</v>
      </c>
      <c r="AE1893">
        <v>0</v>
      </c>
      <c r="AF1893">
        <v>3</v>
      </c>
      <c r="AG1893">
        <v>1</v>
      </c>
      <c r="AH1893">
        <v>0</v>
      </c>
      <c r="AI1893" t="s">
        <v>996</v>
      </c>
      <c r="AJ1893">
        <v>33.042777000000001</v>
      </c>
      <c r="AK1893" t="s">
        <v>997</v>
      </c>
      <c r="AL1893">
        <v>-97.663027999999997</v>
      </c>
      <c r="AM1893">
        <v>25</v>
      </c>
      <c r="AN1893">
        <v>3500</v>
      </c>
      <c r="AO1893" t="s">
        <v>118</v>
      </c>
      <c r="AP1893">
        <v>23</v>
      </c>
      <c r="AQ1893">
        <v>-90</v>
      </c>
      <c r="AR1893">
        <v>0</v>
      </c>
      <c r="AZ1893">
        <v>1200</v>
      </c>
      <c r="BA1893">
        <v>1</v>
      </c>
      <c r="BB1893" t="str">
        <f t="shared" si="564"/>
        <v xml:space="preserve">N733KP  </v>
      </c>
      <c r="BC1893">
        <v>1</v>
      </c>
      <c r="BE1893">
        <v>0</v>
      </c>
      <c r="BF1893">
        <v>0</v>
      </c>
      <c r="BG1893">
        <v>0</v>
      </c>
      <c r="BH1893">
        <v>3450</v>
      </c>
      <c r="BI1893">
        <v>1</v>
      </c>
      <c r="BJ1893">
        <v>1</v>
      </c>
      <c r="BK1893">
        <v>0</v>
      </c>
      <c r="BL1893">
        <v>0</v>
      </c>
      <c r="BO1893">
        <v>0</v>
      </c>
      <c r="BP1893">
        <v>0</v>
      </c>
      <c r="BW1893" t="str">
        <f>"22:17:25.595"</f>
        <v>22:17:25.595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6</v>
      </c>
      <c r="CP1893" t="s">
        <v>119</v>
      </c>
      <c r="CQ1893">
        <v>364</v>
      </c>
      <c r="CR1893">
        <v>0</v>
      </c>
      <c r="CW1893">
        <v>1437320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"03/24/2022 22:17:26.719"</f>
        <v>03/24/2022 22:17:26.719</v>
      </c>
      <c r="C1894" t="str">
        <f t="shared" si="562"/>
        <v>FFDFD3C0</v>
      </c>
      <c r="D1894" t="s">
        <v>120</v>
      </c>
      <c r="E1894">
        <v>14</v>
      </c>
      <c r="F1894">
        <v>1014</v>
      </c>
      <c r="G1894" t="s">
        <v>121</v>
      </c>
      <c r="J1894" t="s">
        <v>122</v>
      </c>
      <c r="K1894">
        <v>0</v>
      </c>
      <c r="L1894">
        <v>3</v>
      </c>
      <c r="M1894">
        <v>0</v>
      </c>
      <c r="N1894">
        <v>2</v>
      </c>
      <c r="O1894">
        <v>0</v>
      </c>
      <c r="P1894">
        <v>1</v>
      </c>
      <c r="Q1894">
        <v>0</v>
      </c>
      <c r="S1894" t="str">
        <f t="shared" ref="S1894:T1897" si="568">"22:17:26.000"</f>
        <v>22:17:26.000</v>
      </c>
      <c r="T1894" t="str">
        <f t="shared" si="568"/>
        <v>22:17:26.000</v>
      </c>
      <c r="U1894" t="str">
        <f t="shared" si="557"/>
        <v>A9D71F</v>
      </c>
      <c r="V1894">
        <v>0</v>
      </c>
      <c r="W1894">
        <v>0</v>
      </c>
      <c r="X1894">
        <v>2</v>
      </c>
      <c r="Z1894">
        <v>1</v>
      </c>
      <c r="AA1894">
        <v>8</v>
      </c>
      <c r="AB1894">
        <v>3</v>
      </c>
      <c r="AC1894">
        <v>0</v>
      </c>
      <c r="AD1894">
        <v>9</v>
      </c>
      <c r="AE1894">
        <v>0</v>
      </c>
      <c r="AF1894">
        <v>3</v>
      </c>
      <c r="AG1894">
        <v>1</v>
      </c>
      <c r="AH1894">
        <v>0</v>
      </c>
      <c r="AI1894" t="s">
        <v>998</v>
      </c>
      <c r="AJ1894">
        <v>33.042369000000001</v>
      </c>
      <c r="AK1894" t="s">
        <v>999</v>
      </c>
      <c r="AL1894">
        <v>-97.662920999999997</v>
      </c>
      <c r="AM1894">
        <v>25</v>
      </c>
      <c r="AN1894">
        <v>3500</v>
      </c>
      <c r="AO1894" t="s">
        <v>118</v>
      </c>
      <c r="AP1894">
        <v>25</v>
      </c>
      <c r="AQ1894">
        <v>-91</v>
      </c>
      <c r="AR1894">
        <v>0</v>
      </c>
      <c r="AZ1894">
        <v>1200</v>
      </c>
      <c r="BA1894">
        <v>1</v>
      </c>
      <c r="BB1894" t="str">
        <f t="shared" si="564"/>
        <v xml:space="preserve">N733KP  </v>
      </c>
      <c r="BC1894">
        <v>1</v>
      </c>
      <c r="BE1894">
        <v>0</v>
      </c>
      <c r="BF1894">
        <v>0</v>
      </c>
      <c r="BG1894">
        <v>0</v>
      </c>
      <c r="BH1894">
        <v>3425</v>
      </c>
      <c r="BI1894">
        <v>1</v>
      </c>
      <c r="BJ1894">
        <v>1</v>
      </c>
      <c r="BK1894">
        <v>0</v>
      </c>
      <c r="BL1894">
        <v>0</v>
      </c>
      <c r="BO1894">
        <v>0</v>
      </c>
      <c r="BP1894">
        <v>0</v>
      </c>
      <c r="BW1894" t="str">
        <f>"22:17:26.566"</f>
        <v>22:17:26.566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6</v>
      </c>
      <c r="CP1894" t="s">
        <v>119</v>
      </c>
      <c r="CQ1894">
        <v>364</v>
      </c>
      <c r="CR1894">
        <v>0</v>
      </c>
      <c r="CW1894">
        <v>1437493</v>
      </c>
      <c r="CY1894">
        <v>1</v>
      </c>
      <c r="CZ1894">
        <v>0</v>
      </c>
      <c r="DA1894">
        <v>0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"03/24/2022 22:17:26.719"</f>
        <v>03/24/2022 22:17:26.719</v>
      </c>
      <c r="C1895" t="str">
        <f t="shared" si="562"/>
        <v>FFDFD3C0</v>
      </c>
      <c r="D1895" t="s">
        <v>123</v>
      </c>
      <c r="E1895">
        <v>8</v>
      </c>
      <c r="H1895">
        <v>31</v>
      </c>
      <c r="I1895" t="s">
        <v>124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0</v>
      </c>
      <c r="P1895">
        <v>1</v>
      </c>
      <c r="Q1895">
        <v>0</v>
      </c>
      <c r="S1895" t="str">
        <f t="shared" si="568"/>
        <v>22:17:26.000</v>
      </c>
      <c r="T1895" t="str">
        <f t="shared" si="568"/>
        <v>22:17:26.000</v>
      </c>
      <c r="U1895" t="str">
        <f t="shared" si="557"/>
        <v>A9D71F</v>
      </c>
      <c r="V1895">
        <v>0</v>
      </c>
      <c r="W1895">
        <v>0</v>
      </c>
      <c r="X1895">
        <v>2</v>
      </c>
      <c r="Z1895">
        <v>1</v>
      </c>
      <c r="AA1895">
        <v>8</v>
      </c>
      <c r="AB1895">
        <v>3</v>
      </c>
      <c r="AC1895">
        <v>0</v>
      </c>
      <c r="AD1895">
        <v>9</v>
      </c>
      <c r="AE1895">
        <v>0</v>
      </c>
      <c r="AF1895">
        <v>3</v>
      </c>
      <c r="AG1895">
        <v>1</v>
      </c>
      <c r="AH1895">
        <v>0</v>
      </c>
      <c r="AI1895" t="s">
        <v>998</v>
      </c>
      <c r="AJ1895">
        <v>33.042369000000001</v>
      </c>
      <c r="AK1895" t="s">
        <v>999</v>
      </c>
      <c r="AL1895">
        <v>-97.662920999999997</v>
      </c>
      <c r="AM1895">
        <v>25</v>
      </c>
      <c r="AN1895">
        <v>3500</v>
      </c>
      <c r="AO1895" t="s">
        <v>118</v>
      </c>
      <c r="AP1895">
        <v>25</v>
      </c>
      <c r="AQ1895">
        <v>-91</v>
      </c>
      <c r="AR1895">
        <v>0</v>
      </c>
      <c r="AZ1895">
        <v>1200</v>
      </c>
      <c r="BA1895">
        <v>1</v>
      </c>
      <c r="BB1895" t="str">
        <f t="shared" si="564"/>
        <v xml:space="preserve">N733KP  </v>
      </c>
      <c r="BC1895">
        <v>1</v>
      </c>
      <c r="BE1895">
        <v>0</v>
      </c>
      <c r="BF1895">
        <v>0</v>
      </c>
      <c r="BG1895">
        <v>0</v>
      </c>
      <c r="BH1895">
        <v>3425</v>
      </c>
      <c r="BI1895">
        <v>1</v>
      </c>
      <c r="BJ1895">
        <v>1</v>
      </c>
      <c r="BK1895">
        <v>0</v>
      </c>
      <c r="BL1895">
        <v>0</v>
      </c>
      <c r="BO1895">
        <v>0</v>
      </c>
      <c r="BP1895">
        <v>0</v>
      </c>
      <c r="BW1895" t="str">
        <f>"22:17:26.566"</f>
        <v>22:17:26.566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6</v>
      </c>
      <c r="CP1895" t="s">
        <v>119</v>
      </c>
      <c r="CQ1895">
        <v>364</v>
      </c>
      <c r="CR1895">
        <v>0</v>
      </c>
      <c r="CW1895">
        <v>1437493</v>
      </c>
      <c r="CY1895">
        <v>1</v>
      </c>
      <c r="CZ1895">
        <v>0</v>
      </c>
      <c r="DA1895">
        <v>1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"03/24/2022 22:17:26.719"</f>
        <v>03/24/2022 22:17:26.719</v>
      </c>
      <c r="C1896" t="str">
        <f t="shared" si="562"/>
        <v>FFDFD3C0</v>
      </c>
      <c r="D1896" t="s">
        <v>126</v>
      </c>
      <c r="E1896">
        <v>3</v>
      </c>
      <c r="H1896">
        <v>160</v>
      </c>
      <c r="I1896" t="s">
        <v>121</v>
      </c>
      <c r="J1896" t="s">
        <v>127</v>
      </c>
      <c r="K1896">
        <v>0</v>
      </c>
      <c r="L1896">
        <v>3</v>
      </c>
      <c r="M1896">
        <v>0</v>
      </c>
      <c r="N1896">
        <v>2</v>
      </c>
      <c r="O1896">
        <v>0</v>
      </c>
      <c r="P1896">
        <v>1</v>
      </c>
      <c r="Q1896">
        <v>0</v>
      </c>
      <c r="S1896" t="str">
        <f t="shared" si="568"/>
        <v>22:17:26.000</v>
      </c>
      <c r="T1896" t="str">
        <f t="shared" si="568"/>
        <v>22:17:26.000</v>
      </c>
      <c r="U1896" t="str">
        <f t="shared" si="557"/>
        <v>A9D71F</v>
      </c>
      <c r="V1896">
        <v>0</v>
      </c>
      <c r="W1896">
        <v>0</v>
      </c>
      <c r="X1896">
        <v>2</v>
      </c>
      <c r="Z1896">
        <v>1</v>
      </c>
      <c r="AA1896">
        <v>8</v>
      </c>
      <c r="AB1896">
        <v>3</v>
      </c>
      <c r="AC1896">
        <v>0</v>
      </c>
      <c r="AD1896">
        <v>9</v>
      </c>
      <c r="AE1896">
        <v>0</v>
      </c>
      <c r="AF1896">
        <v>3</v>
      </c>
      <c r="AG1896">
        <v>1</v>
      </c>
      <c r="AH1896">
        <v>0</v>
      </c>
      <c r="AI1896" t="s">
        <v>998</v>
      </c>
      <c r="AJ1896">
        <v>33.042369000000001</v>
      </c>
      <c r="AK1896" t="s">
        <v>999</v>
      </c>
      <c r="AL1896">
        <v>-97.662920999999997</v>
      </c>
      <c r="AM1896">
        <v>25</v>
      </c>
      <c r="AN1896">
        <v>3500</v>
      </c>
      <c r="AO1896" t="s">
        <v>118</v>
      </c>
      <c r="AP1896">
        <v>25</v>
      </c>
      <c r="AQ1896">
        <v>-91</v>
      </c>
      <c r="AR1896">
        <v>0</v>
      </c>
      <c r="AZ1896">
        <v>1200</v>
      </c>
      <c r="BA1896">
        <v>1</v>
      </c>
      <c r="BB1896" t="str">
        <f t="shared" si="564"/>
        <v xml:space="preserve">N733KP  </v>
      </c>
      <c r="BC1896">
        <v>1</v>
      </c>
      <c r="BE1896">
        <v>0</v>
      </c>
      <c r="BF1896">
        <v>0</v>
      </c>
      <c r="BG1896">
        <v>0</v>
      </c>
      <c r="BH1896">
        <v>3425</v>
      </c>
      <c r="BI1896">
        <v>1</v>
      </c>
      <c r="BJ1896">
        <v>1</v>
      </c>
      <c r="BK1896">
        <v>0</v>
      </c>
      <c r="BL1896">
        <v>0</v>
      </c>
      <c r="BO1896">
        <v>0</v>
      </c>
      <c r="BP1896">
        <v>0</v>
      </c>
      <c r="BW1896" t="str">
        <f>"22:17:26.566"</f>
        <v>22:17:26.566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364</v>
      </c>
      <c r="CR1896">
        <v>0</v>
      </c>
      <c r="CW1896">
        <v>1437493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"03/24/2022 22:17:26.750"</f>
        <v>03/24/2022 22:17:26.750</v>
      </c>
      <c r="C1897" t="str">
        <f t="shared" si="562"/>
        <v>FFDFD3C0</v>
      </c>
      <c r="D1897" t="s">
        <v>113</v>
      </c>
      <c r="E1897">
        <v>24</v>
      </c>
      <c r="F1897">
        <v>2024</v>
      </c>
      <c r="G1897" t="s">
        <v>114</v>
      </c>
      <c r="J1897" t="s">
        <v>115</v>
      </c>
      <c r="K1897">
        <v>0</v>
      </c>
      <c r="L1897">
        <v>3</v>
      </c>
      <c r="M1897">
        <v>0</v>
      </c>
      <c r="N1897">
        <v>2</v>
      </c>
      <c r="O1897">
        <v>0</v>
      </c>
      <c r="P1897">
        <v>1</v>
      </c>
      <c r="Q1897">
        <v>0</v>
      </c>
      <c r="S1897" t="str">
        <f t="shared" si="568"/>
        <v>22:17:26.000</v>
      </c>
      <c r="T1897" t="str">
        <f t="shared" si="568"/>
        <v>22:17:26.000</v>
      </c>
      <c r="U1897" t="str">
        <f t="shared" si="557"/>
        <v>A9D71F</v>
      </c>
      <c r="V1897">
        <v>0</v>
      </c>
      <c r="W1897">
        <v>0</v>
      </c>
      <c r="X1897">
        <v>2</v>
      </c>
      <c r="Z1897">
        <v>1</v>
      </c>
      <c r="AA1897">
        <v>8</v>
      </c>
      <c r="AB1897">
        <v>3</v>
      </c>
      <c r="AC1897">
        <v>0</v>
      </c>
      <c r="AD1897">
        <v>9</v>
      </c>
      <c r="AE1897">
        <v>0</v>
      </c>
      <c r="AF1897">
        <v>3</v>
      </c>
      <c r="AG1897">
        <v>1</v>
      </c>
      <c r="AH1897">
        <v>0</v>
      </c>
      <c r="AI1897" t="s">
        <v>998</v>
      </c>
      <c r="AJ1897">
        <v>33.042369000000001</v>
      </c>
      <c r="AK1897" t="s">
        <v>999</v>
      </c>
      <c r="AL1897">
        <v>-97.662920999999997</v>
      </c>
      <c r="AM1897">
        <v>25</v>
      </c>
      <c r="AN1897">
        <v>3500</v>
      </c>
      <c r="AO1897" t="s">
        <v>118</v>
      </c>
      <c r="AP1897">
        <v>25</v>
      </c>
      <c r="AQ1897">
        <v>-91</v>
      </c>
      <c r="AR1897">
        <v>0</v>
      </c>
      <c r="AZ1897">
        <v>1200</v>
      </c>
      <c r="BA1897">
        <v>1</v>
      </c>
      <c r="BB1897" t="str">
        <f t="shared" si="564"/>
        <v xml:space="preserve">N733KP  </v>
      </c>
      <c r="BC1897">
        <v>1</v>
      </c>
      <c r="BE1897">
        <v>0</v>
      </c>
      <c r="BF1897">
        <v>0</v>
      </c>
      <c r="BG1897">
        <v>0</v>
      </c>
      <c r="BH1897">
        <v>3425</v>
      </c>
      <c r="BI1897">
        <v>1</v>
      </c>
      <c r="BJ1897">
        <v>1</v>
      </c>
      <c r="BK1897">
        <v>0</v>
      </c>
      <c r="BL1897">
        <v>0</v>
      </c>
      <c r="BO1897">
        <v>0</v>
      </c>
      <c r="BP1897">
        <v>0</v>
      </c>
      <c r="BW1897" t="str">
        <f>"22:17:26.566"</f>
        <v>22:17:26.566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6</v>
      </c>
      <c r="CP1897" t="s">
        <v>119</v>
      </c>
      <c r="CQ1897">
        <v>364</v>
      </c>
      <c r="CR1897">
        <v>0</v>
      </c>
      <c r="CW1897">
        <v>1437493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"03/24/2022 22:17:27.939"</f>
        <v>03/24/2022 22:17:27.939</v>
      </c>
      <c r="C1898" t="str">
        <f t="shared" si="562"/>
        <v>FFDFD3C0</v>
      </c>
      <c r="D1898" t="s">
        <v>113</v>
      </c>
      <c r="E1898">
        <v>24</v>
      </c>
      <c r="F1898">
        <v>2024</v>
      </c>
      <c r="G1898" t="s">
        <v>114</v>
      </c>
      <c r="J1898" t="s">
        <v>115</v>
      </c>
      <c r="K1898">
        <v>0</v>
      </c>
      <c r="L1898">
        <v>3</v>
      </c>
      <c r="M1898">
        <v>0</v>
      </c>
      <c r="N1898">
        <v>2</v>
      </c>
      <c r="O1898">
        <v>0</v>
      </c>
      <c r="P1898">
        <v>1</v>
      </c>
      <c r="Q1898">
        <v>0</v>
      </c>
      <c r="S1898" t="str">
        <f t="shared" ref="S1898:T1901" si="569">"22:17:27.000"</f>
        <v>22:17:27.000</v>
      </c>
      <c r="T1898" t="str">
        <f t="shared" si="569"/>
        <v>22:17:27.000</v>
      </c>
      <c r="U1898" t="str">
        <f t="shared" si="557"/>
        <v>A9D71F</v>
      </c>
      <c r="V1898">
        <v>0</v>
      </c>
      <c r="W1898">
        <v>0</v>
      </c>
      <c r="X1898">
        <v>2</v>
      </c>
      <c r="Z1898">
        <v>1</v>
      </c>
      <c r="AA1898">
        <v>8</v>
      </c>
      <c r="AB1898">
        <v>3</v>
      </c>
      <c r="AC1898">
        <v>0</v>
      </c>
      <c r="AD1898">
        <v>9</v>
      </c>
      <c r="AE1898">
        <v>0</v>
      </c>
      <c r="AF1898">
        <v>3</v>
      </c>
      <c r="AG1898">
        <v>1</v>
      </c>
      <c r="AH1898">
        <v>0</v>
      </c>
      <c r="AI1898" t="s">
        <v>1000</v>
      </c>
      <c r="AJ1898">
        <v>33.041939999999997</v>
      </c>
      <c r="AK1898" t="s">
        <v>1001</v>
      </c>
      <c r="AL1898">
        <v>-97.662771000000006</v>
      </c>
      <c r="AM1898">
        <v>25</v>
      </c>
      <c r="AN1898">
        <v>3400</v>
      </c>
      <c r="AO1898" t="s">
        <v>118</v>
      </c>
      <c r="AP1898">
        <v>26</v>
      </c>
      <c r="AQ1898">
        <v>-90</v>
      </c>
      <c r="AR1898">
        <v>0</v>
      </c>
      <c r="AZ1898">
        <v>1200</v>
      </c>
      <c r="BA1898">
        <v>1</v>
      </c>
      <c r="BB1898" t="str">
        <f t="shared" si="564"/>
        <v xml:space="preserve">N733KP  </v>
      </c>
      <c r="BC1898">
        <v>1</v>
      </c>
      <c r="BE1898">
        <v>0</v>
      </c>
      <c r="BF1898">
        <v>0</v>
      </c>
      <c r="BG1898">
        <v>0</v>
      </c>
      <c r="BH1898">
        <v>3425</v>
      </c>
      <c r="BI1898">
        <v>1</v>
      </c>
      <c r="BJ1898">
        <v>1</v>
      </c>
      <c r="BK1898">
        <v>0</v>
      </c>
      <c r="BL1898">
        <v>0</v>
      </c>
      <c r="BO1898">
        <v>0</v>
      </c>
      <c r="BP1898">
        <v>0</v>
      </c>
      <c r="BW1898" t="str">
        <f>"22:17:27.801"</f>
        <v>22:17:27.801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6</v>
      </c>
      <c r="CP1898" t="s">
        <v>119</v>
      </c>
      <c r="CQ1898">
        <v>364</v>
      </c>
      <c r="CR1898">
        <v>0</v>
      </c>
      <c r="CW1898">
        <v>1437723</v>
      </c>
      <c r="CY1898">
        <v>1</v>
      </c>
      <c r="CZ1898">
        <v>0</v>
      </c>
      <c r="DA1898">
        <v>0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"03/24/2022 22:17:28.001"</f>
        <v>03/24/2022 22:17:28.001</v>
      </c>
      <c r="C1899" t="str">
        <f t="shared" si="562"/>
        <v>FFDFD3C0</v>
      </c>
      <c r="D1899" t="s">
        <v>123</v>
      </c>
      <c r="E1899">
        <v>8</v>
      </c>
      <c r="H1899">
        <v>31</v>
      </c>
      <c r="I1899" t="s">
        <v>124</v>
      </c>
      <c r="J1899" t="s">
        <v>125</v>
      </c>
      <c r="K1899">
        <v>0</v>
      </c>
      <c r="L1899">
        <v>3</v>
      </c>
      <c r="M1899">
        <v>0</v>
      </c>
      <c r="N1899">
        <v>2</v>
      </c>
      <c r="O1899">
        <v>0</v>
      </c>
      <c r="P1899">
        <v>1</v>
      </c>
      <c r="Q1899">
        <v>0</v>
      </c>
      <c r="S1899" t="str">
        <f t="shared" si="569"/>
        <v>22:17:27.000</v>
      </c>
      <c r="T1899" t="str">
        <f t="shared" si="569"/>
        <v>22:17:27.000</v>
      </c>
      <c r="U1899" t="str">
        <f t="shared" si="557"/>
        <v>A9D71F</v>
      </c>
      <c r="V1899">
        <v>0</v>
      </c>
      <c r="W1899">
        <v>0</v>
      </c>
      <c r="X1899">
        <v>2</v>
      </c>
      <c r="Z1899">
        <v>1</v>
      </c>
      <c r="AA1899">
        <v>8</v>
      </c>
      <c r="AB1899">
        <v>3</v>
      </c>
      <c r="AC1899">
        <v>0</v>
      </c>
      <c r="AD1899">
        <v>9</v>
      </c>
      <c r="AE1899">
        <v>0</v>
      </c>
      <c r="AF1899">
        <v>3</v>
      </c>
      <c r="AG1899">
        <v>1</v>
      </c>
      <c r="AH1899">
        <v>0</v>
      </c>
      <c r="AI1899" t="s">
        <v>1000</v>
      </c>
      <c r="AJ1899">
        <v>33.041939999999997</v>
      </c>
      <c r="AK1899" t="s">
        <v>1001</v>
      </c>
      <c r="AL1899">
        <v>-97.662771000000006</v>
      </c>
      <c r="AM1899">
        <v>25</v>
      </c>
      <c r="AN1899">
        <v>3400</v>
      </c>
      <c r="AO1899" t="s">
        <v>118</v>
      </c>
      <c r="AP1899">
        <v>26</v>
      </c>
      <c r="AQ1899">
        <v>-90</v>
      </c>
      <c r="AR1899">
        <v>0</v>
      </c>
      <c r="AZ1899">
        <v>1200</v>
      </c>
      <c r="BA1899">
        <v>1</v>
      </c>
      <c r="BB1899" t="str">
        <f t="shared" si="564"/>
        <v xml:space="preserve">N733KP  </v>
      </c>
      <c r="BC1899">
        <v>1</v>
      </c>
      <c r="BE1899">
        <v>0</v>
      </c>
      <c r="BF1899">
        <v>0</v>
      </c>
      <c r="BG1899">
        <v>0</v>
      </c>
      <c r="BH1899">
        <v>3425</v>
      </c>
      <c r="BI1899">
        <v>1</v>
      </c>
      <c r="BJ1899">
        <v>1</v>
      </c>
      <c r="BK1899">
        <v>0</v>
      </c>
      <c r="BL1899">
        <v>0</v>
      </c>
      <c r="BO1899">
        <v>0</v>
      </c>
      <c r="BP1899">
        <v>0</v>
      </c>
      <c r="BW1899" t="str">
        <f>"22:17:27.801"</f>
        <v>22:17:27.801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6</v>
      </c>
      <c r="CP1899" t="s">
        <v>119</v>
      </c>
      <c r="CQ1899">
        <v>364</v>
      </c>
      <c r="CR1899">
        <v>0</v>
      </c>
      <c r="CW1899">
        <v>1437723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"03/24/2022 22:17:28.048"</f>
        <v>03/24/2022 22:17:28.048</v>
      </c>
      <c r="C1900" t="str">
        <f t="shared" si="562"/>
        <v>FFDFD3C0</v>
      </c>
      <c r="D1900" t="s">
        <v>120</v>
      </c>
      <c r="E1900">
        <v>14</v>
      </c>
      <c r="F1900">
        <v>1014</v>
      </c>
      <c r="G1900" t="s">
        <v>121</v>
      </c>
      <c r="J1900" t="s">
        <v>122</v>
      </c>
      <c r="K1900">
        <v>0</v>
      </c>
      <c r="L1900">
        <v>3</v>
      </c>
      <c r="M1900">
        <v>0</v>
      </c>
      <c r="N1900">
        <v>2</v>
      </c>
      <c r="O1900">
        <v>0</v>
      </c>
      <c r="P1900">
        <v>1</v>
      </c>
      <c r="Q1900">
        <v>0</v>
      </c>
      <c r="S1900" t="str">
        <f t="shared" si="569"/>
        <v>22:17:27.000</v>
      </c>
      <c r="T1900" t="str">
        <f t="shared" si="569"/>
        <v>22:17:27.000</v>
      </c>
      <c r="U1900" t="str">
        <f t="shared" si="557"/>
        <v>A9D71F</v>
      </c>
      <c r="V1900">
        <v>0</v>
      </c>
      <c r="W1900">
        <v>0</v>
      </c>
      <c r="X1900">
        <v>2</v>
      </c>
      <c r="Z1900">
        <v>1</v>
      </c>
      <c r="AA1900">
        <v>8</v>
      </c>
      <c r="AB1900">
        <v>3</v>
      </c>
      <c r="AC1900">
        <v>0</v>
      </c>
      <c r="AD1900">
        <v>9</v>
      </c>
      <c r="AE1900">
        <v>0</v>
      </c>
      <c r="AF1900">
        <v>3</v>
      </c>
      <c r="AG1900">
        <v>1</v>
      </c>
      <c r="AH1900">
        <v>0</v>
      </c>
      <c r="AI1900" t="s">
        <v>1000</v>
      </c>
      <c r="AJ1900">
        <v>33.041939999999997</v>
      </c>
      <c r="AK1900" t="s">
        <v>1001</v>
      </c>
      <c r="AL1900">
        <v>-97.662771000000006</v>
      </c>
      <c r="AM1900">
        <v>25</v>
      </c>
      <c r="AN1900">
        <v>3400</v>
      </c>
      <c r="AO1900" t="s">
        <v>118</v>
      </c>
      <c r="AP1900">
        <v>26</v>
      </c>
      <c r="AQ1900">
        <v>-90</v>
      </c>
      <c r="AR1900">
        <v>0</v>
      </c>
      <c r="AZ1900">
        <v>1200</v>
      </c>
      <c r="BA1900">
        <v>1</v>
      </c>
      <c r="BB1900" t="str">
        <f t="shared" si="564"/>
        <v xml:space="preserve">N733KP  </v>
      </c>
      <c r="BC1900">
        <v>1</v>
      </c>
      <c r="BE1900">
        <v>0</v>
      </c>
      <c r="BF1900">
        <v>0</v>
      </c>
      <c r="BG1900">
        <v>0</v>
      </c>
      <c r="BH1900">
        <v>3425</v>
      </c>
      <c r="BI1900">
        <v>1</v>
      </c>
      <c r="BJ1900">
        <v>1</v>
      </c>
      <c r="BK1900">
        <v>0</v>
      </c>
      <c r="BL1900">
        <v>0</v>
      </c>
      <c r="BO1900">
        <v>0</v>
      </c>
      <c r="BP1900">
        <v>0</v>
      </c>
      <c r="BW1900" t="str">
        <f>"22:17:27.801"</f>
        <v>22:17:27.801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6</v>
      </c>
      <c r="CP1900" t="s">
        <v>119</v>
      </c>
      <c r="CQ1900">
        <v>364</v>
      </c>
      <c r="CR1900">
        <v>0</v>
      </c>
      <c r="CW1900">
        <v>1437723</v>
      </c>
      <c r="CY1900">
        <v>1</v>
      </c>
      <c r="CZ1900">
        <v>0</v>
      </c>
      <c r="DA1900">
        <v>1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"03/24/2022 22:17:28.048"</f>
        <v>03/24/2022 22:17:28.048</v>
      </c>
      <c r="C1901" t="str">
        <f t="shared" si="562"/>
        <v>FFDFD3C0</v>
      </c>
      <c r="D1901" t="s">
        <v>126</v>
      </c>
      <c r="E1901">
        <v>3</v>
      </c>
      <c r="H1901">
        <v>160</v>
      </c>
      <c r="I1901" t="s">
        <v>121</v>
      </c>
      <c r="J1901" t="s">
        <v>127</v>
      </c>
      <c r="K1901">
        <v>0</v>
      </c>
      <c r="L1901">
        <v>3</v>
      </c>
      <c r="M1901">
        <v>0</v>
      </c>
      <c r="N1901">
        <v>2</v>
      </c>
      <c r="O1901">
        <v>0</v>
      </c>
      <c r="P1901">
        <v>1</v>
      </c>
      <c r="Q1901">
        <v>0</v>
      </c>
      <c r="S1901" t="str">
        <f t="shared" si="569"/>
        <v>22:17:27.000</v>
      </c>
      <c r="T1901" t="str">
        <f t="shared" si="569"/>
        <v>22:17:27.000</v>
      </c>
      <c r="U1901" t="str">
        <f t="shared" si="557"/>
        <v>A9D71F</v>
      </c>
      <c r="V1901">
        <v>0</v>
      </c>
      <c r="W1901">
        <v>0</v>
      </c>
      <c r="X1901">
        <v>2</v>
      </c>
      <c r="Z1901">
        <v>1</v>
      </c>
      <c r="AA1901">
        <v>8</v>
      </c>
      <c r="AB1901">
        <v>3</v>
      </c>
      <c r="AC1901">
        <v>0</v>
      </c>
      <c r="AD1901">
        <v>9</v>
      </c>
      <c r="AE1901">
        <v>0</v>
      </c>
      <c r="AF1901">
        <v>3</v>
      </c>
      <c r="AG1901">
        <v>1</v>
      </c>
      <c r="AH1901">
        <v>0</v>
      </c>
      <c r="AI1901" t="s">
        <v>1000</v>
      </c>
      <c r="AJ1901">
        <v>33.041939999999997</v>
      </c>
      <c r="AK1901" t="s">
        <v>1001</v>
      </c>
      <c r="AL1901">
        <v>-97.662771000000006</v>
      </c>
      <c r="AM1901">
        <v>25</v>
      </c>
      <c r="AN1901">
        <v>3400</v>
      </c>
      <c r="AO1901" t="s">
        <v>118</v>
      </c>
      <c r="AP1901">
        <v>26</v>
      </c>
      <c r="AQ1901">
        <v>-90</v>
      </c>
      <c r="AR1901">
        <v>0</v>
      </c>
      <c r="AZ1901">
        <v>1200</v>
      </c>
      <c r="BA1901">
        <v>1</v>
      </c>
      <c r="BB1901" t="str">
        <f t="shared" si="564"/>
        <v xml:space="preserve">N733KP  </v>
      </c>
      <c r="BC1901">
        <v>1</v>
      </c>
      <c r="BE1901">
        <v>0</v>
      </c>
      <c r="BF1901">
        <v>0</v>
      </c>
      <c r="BG1901">
        <v>0</v>
      </c>
      <c r="BH1901">
        <v>3425</v>
      </c>
      <c r="BI1901">
        <v>1</v>
      </c>
      <c r="BJ1901">
        <v>1</v>
      </c>
      <c r="BK1901">
        <v>0</v>
      </c>
      <c r="BL1901">
        <v>0</v>
      </c>
      <c r="BO1901">
        <v>0</v>
      </c>
      <c r="BP1901">
        <v>0</v>
      </c>
      <c r="BW1901" t="str">
        <f>"22:17:27.801"</f>
        <v>22:17:27.801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6</v>
      </c>
      <c r="CP1901" t="s">
        <v>119</v>
      </c>
      <c r="CQ1901">
        <v>364</v>
      </c>
      <c r="CR1901">
        <v>0</v>
      </c>
      <c r="CW1901">
        <v>1437723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"03/24/2022 22:17:28.816"</f>
        <v>03/24/2022 22:17:28.816</v>
      </c>
      <c r="C1902" t="str">
        <f t="shared" si="562"/>
        <v>FFDFD3C0</v>
      </c>
      <c r="D1902" t="s">
        <v>123</v>
      </c>
      <c r="E1902">
        <v>8</v>
      </c>
      <c r="H1902">
        <v>31</v>
      </c>
      <c r="I1902" t="s">
        <v>124</v>
      </c>
      <c r="J1902" t="s">
        <v>125</v>
      </c>
      <c r="K1902">
        <v>0</v>
      </c>
      <c r="L1902">
        <v>3</v>
      </c>
      <c r="M1902">
        <v>0</v>
      </c>
      <c r="N1902">
        <v>2</v>
      </c>
      <c r="O1902">
        <v>0</v>
      </c>
      <c r="P1902">
        <v>1</v>
      </c>
      <c r="Q1902">
        <v>0</v>
      </c>
      <c r="S1902" t="str">
        <f t="shared" ref="S1902:T1905" si="570">"22:17:28.000"</f>
        <v>22:17:28.000</v>
      </c>
      <c r="T1902" t="str">
        <f t="shared" si="570"/>
        <v>22:17:28.000</v>
      </c>
      <c r="U1902" t="str">
        <f t="shared" si="557"/>
        <v>A9D71F</v>
      </c>
      <c r="V1902">
        <v>0</v>
      </c>
      <c r="W1902">
        <v>0</v>
      </c>
      <c r="X1902">
        <v>2</v>
      </c>
      <c r="Z1902">
        <v>1</v>
      </c>
      <c r="AA1902">
        <v>8</v>
      </c>
      <c r="AB1902">
        <v>3</v>
      </c>
      <c r="AC1902">
        <v>0</v>
      </c>
      <c r="AD1902">
        <v>9</v>
      </c>
      <c r="AE1902">
        <v>0</v>
      </c>
      <c r="AF1902">
        <v>3</v>
      </c>
      <c r="AG1902">
        <v>1</v>
      </c>
      <c r="AH1902">
        <v>0</v>
      </c>
      <c r="AI1902" t="s">
        <v>1002</v>
      </c>
      <c r="AJ1902">
        <v>33.041511</v>
      </c>
      <c r="AK1902" t="s">
        <v>1003</v>
      </c>
      <c r="AL1902">
        <v>-97.662621000000001</v>
      </c>
      <c r="AM1902">
        <v>25</v>
      </c>
      <c r="AN1902">
        <v>3400</v>
      </c>
      <c r="AO1902" t="s">
        <v>118</v>
      </c>
      <c r="AP1902">
        <v>26</v>
      </c>
      <c r="AQ1902">
        <v>-89</v>
      </c>
      <c r="AR1902">
        <v>0</v>
      </c>
      <c r="AZ1902">
        <v>1200</v>
      </c>
      <c r="BA1902">
        <v>1</v>
      </c>
      <c r="BB1902" t="str">
        <f t="shared" si="564"/>
        <v xml:space="preserve">N733KP  </v>
      </c>
      <c r="BC1902">
        <v>1</v>
      </c>
      <c r="BE1902">
        <v>0</v>
      </c>
      <c r="BF1902">
        <v>0</v>
      </c>
      <c r="BG1902">
        <v>0</v>
      </c>
      <c r="BH1902">
        <v>3425</v>
      </c>
      <c r="BI1902">
        <v>1</v>
      </c>
      <c r="BJ1902">
        <v>1</v>
      </c>
      <c r="BK1902">
        <v>0</v>
      </c>
      <c r="BL1902">
        <v>0</v>
      </c>
      <c r="BO1902">
        <v>0</v>
      </c>
      <c r="BP1902">
        <v>0</v>
      </c>
      <c r="BW1902" t="str">
        <f>"22:17:28.562"</f>
        <v>22:17:28.562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7</v>
      </c>
      <c r="CP1902" t="s">
        <v>119</v>
      </c>
      <c r="CQ1902">
        <v>364</v>
      </c>
      <c r="CR1902">
        <v>0</v>
      </c>
      <c r="CW1902">
        <v>1437864</v>
      </c>
      <c r="CY1902">
        <v>1</v>
      </c>
      <c r="CZ1902">
        <v>0</v>
      </c>
      <c r="DA1902">
        <v>0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"03/24/2022 22:17:28.816"</f>
        <v>03/24/2022 22:17:28.816</v>
      </c>
      <c r="C1903" t="str">
        <f t="shared" si="562"/>
        <v>FFDFD3C0</v>
      </c>
      <c r="D1903" t="s">
        <v>120</v>
      </c>
      <c r="E1903">
        <v>14</v>
      </c>
      <c r="F1903">
        <v>1014</v>
      </c>
      <c r="G1903" t="s">
        <v>121</v>
      </c>
      <c r="J1903" t="s">
        <v>122</v>
      </c>
      <c r="K1903">
        <v>0</v>
      </c>
      <c r="L1903">
        <v>3</v>
      </c>
      <c r="M1903">
        <v>0</v>
      </c>
      <c r="N1903">
        <v>2</v>
      </c>
      <c r="O1903">
        <v>0</v>
      </c>
      <c r="P1903">
        <v>1</v>
      </c>
      <c r="Q1903">
        <v>0</v>
      </c>
      <c r="S1903" t="str">
        <f t="shared" si="570"/>
        <v>22:17:28.000</v>
      </c>
      <c r="T1903" t="str">
        <f t="shared" si="570"/>
        <v>22:17:28.000</v>
      </c>
      <c r="U1903" t="str">
        <f t="shared" si="557"/>
        <v>A9D71F</v>
      </c>
      <c r="V1903">
        <v>0</v>
      </c>
      <c r="W1903">
        <v>0</v>
      </c>
      <c r="X1903">
        <v>2</v>
      </c>
      <c r="Z1903">
        <v>1</v>
      </c>
      <c r="AA1903">
        <v>8</v>
      </c>
      <c r="AB1903">
        <v>3</v>
      </c>
      <c r="AC1903">
        <v>0</v>
      </c>
      <c r="AD1903">
        <v>9</v>
      </c>
      <c r="AE1903">
        <v>0</v>
      </c>
      <c r="AF1903">
        <v>3</v>
      </c>
      <c r="AG1903">
        <v>1</v>
      </c>
      <c r="AH1903">
        <v>0</v>
      </c>
      <c r="AI1903" t="s">
        <v>1002</v>
      </c>
      <c r="AJ1903">
        <v>33.041511</v>
      </c>
      <c r="AK1903" t="s">
        <v>1003</v>
      </c>
      <c r="AL1903">
        <v>-97.662621000000001</v>
      </c>
      <c r="AM1903">
        <v>25</v>
      </c>
      <c r="AN1903">
        <v>3400</v>
      </c>
      <c r="AO1903" t="s">
        <v>118</v>
      </c>
      <c r="AP1903">
        <v>26</v>
      </c>
      <c r="AQ1903">
        <v>-89</v>
      </c>
      <c r="AR1903">
        <v>0</v>
      </c>
      <c r="AZ1903">
        <v>1200</v>
      </c>
      <c r="BA1903">
        <v>1</v>
      </c>
      <c r="BB1903" t="str">
        <f t="shared" si="564"/>
        <v xml:space="preserve">N733KP  </v>
      </c>
      <c r="BC1903">
        <v>1</v>
      </c>
      <c r="BE1903">
        <v>0</v>
      </c>
      <c r="BF1903">
        <v>0</v>
      </c>
      <c r="BG1903">
        <v>0</v>
      </c>
      <c r="BH1903">
        <v>3425</v>
      </c>
      <c r="BI1903">
        <v>1</v>
      </c>
      <c r="BJ1903">
        <v>1</v>
      </c>
      <c r="BK1903">
        <v>0</v>
      </c>
      <c r="BL1903">
        <v>0</v>
      </c>
      <c r="BO1903">
        <v>0</v>
      </c>
      <c r="BP1903">
        <v>0</v>
      </c>
      <c r="BW1903" t="str">
        <f>"22:17:28.562"</f>
        <v>22:17:28.562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7</v>
      </c>
      <c r="CP1903" t="s">
        <v>119</v>
      </c>
      <c r="CQ1903">
        <v>364</v>
      </c>
      <c r="CR1903">
        <v>0</v>
      </c>
      <c r="CW1903">
        <v>1437864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>"03/24/2022 22:17:28.816"</f>
        <v>03/24/2022 22:17:28.816</v>
      </c>
      <c r="C1904" t="str">
        <f t="shared" si="562"/>
        <v>FFDFD3C0</v>
      </c>
      <c r="D1904" t="s">
        <v>126</v>
      </c>
      <c r="E1904">
        <v>3</v>
      </c>
      <c r="H1904">
        <v>160</v>
      </c>
      <c r="I1904" t="s">
        <v>121</v>
      </c>
      <c r="J1904" t="s">
        <v>127</v>
      </c>
      <c r="K1904">
        <v>0</v>
      </c>
      <c r="L1904">
        <v>3</v>
      </c>
      <c r="M1904">
        <v>0</v>
      </c>
      <c r="N1904">
        <v>2</v>
      </c>
      <c r="O1904">
        <v>0</v>
      </c>
      <c r="P1904">
        <v>1</v>
      </c>
      <c r="Q1904">
        <v>0</v>
      </c>
      <c r="S1904" t="str">
        <f t="shared" si="570"/>
        <v>22:17:28.000</v>
      </c>
      <c r="T1904" t="str">
        <f t="shared" si="570"/>
        <v>22:17:28.000</v>
      </c>
      <c r="U1904" t="str">
        <f t="shared" si="557"/>
        <v>A9D71F</v>
      </c>
      <c r="V1904">
        <v>0</v>
      </c>
      <c r="W1904">
        <v>0</v>
      </c>
      <c r="X1904">
        <v>2</v>
      </c>
      <c r="Z1904">
        <v>1</v>
      </c>
      <c r="AA1904">
        <v>8</v>
      </c>
      <c r="AB1904">
        <v>3</v>
      </c>
      <c r="AC1904">
        <v>0</v>
      </c>
      <c r="AD1904">
        <v>9</v>
      </c>
      <c r="AE1904">
        <v>0</v>
      </c>
      <c r="AF1904">
        <v>3</v>
      </c>
      <c r="AG1904">
        <v>1</v>
      </c>
      <c r="AH1904">
        <v>0</v>
      </c>
      <c r="AI1904" t="s">
        <v>1002</v>
      </c>
      <c r="AJ1904">
        <v>33.041511</v>
      </c>
      <c r="AK1904" t="s">
        <v>1003</v>
      </c>
      <c r="AL1904">
        <v>-97.662621000000001</v>
      </c>
      <c r="AM1904">
        <v>25</v>
      </c>
      <c r="AN1904">
        <v>3400</v>
      </c>
      <c r="AO1904" t="s">
        <v>118</v>
      </c>
      <c r="AP1904">
        <v>26</v>
      </c>
      <c r="AQ1904">
        <v>-89</v>
      </c>
      <c r="AR1904">
        <v>0</v>
      </c>
      <c r="AZ1904">
        <v>1200</v>
      </c>
      <c r="BA1904">
        <v>1</v>
      </c>
      <c r="BB1904" t="str">
        <f t="shared" si="564"/>
        <v xml:space="preserve">N733KP  </v>
      </c>
      <c r="BC1904">
        <v>1</v>
      </c>
      <c r="BE1904">
        <v>0</v>
      </c>
      <c r="BF1904">
        <v>0</v>
      </c>
      <c r="BG1904">
        <v>0</v>
      </c>
      <c r="BH1904">
        <v>3425</v>
      </c>
      <c r="BI1904">
        <v>1</v>
      </c>
      <c r="BJ1904">
        <v>1</v>
      </c>
      <c r="BK1904">
        <v>0</v>
      </c>
      <c r="BL1904">
        <v>0</v>
      </c>
      <c r="BO1904">
        <v>0</v>
      </c>
      <c r="BP1904">
        <v>0</v>
      </c>
      <c r="BW1904" t="str">
        <f>"22:17:28.562"</f>
        <v>22:17:28.562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7</v>
      </c>
      <c r="CP1904" t="s">
        <v>119</v>
      </c>
      <c r="CQ1904">
        <v>364</v>
      </c>
      <c r="CR1904">
        <v>0</v>
      </c>
      <c r="CW1904">
        <v>1437864</v>
      </c>
      <c r="CY1904">
        <v>1</v>
      </c>
      <c r="CZ1904">
        <v>0</v>
      </c>
      <c r="DA1904">
        <v>1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>"03/24/2022 22:17:28.816"</f>
        <v>03/24/2022 22:17:28.816</v>
      </c>
      <c r="C1905" t="str">
        <f t="shared" si="562"/>
        <v>FFDFD3C0</v>
      </c>
      <c r="D1905" t="s">
        <v>113</v>
      </c>
      <c r="E1905">
        <v>24</v>
      </c>
      <c r="F1905">
        <v>2024</v>
      </c>
      <c r="G1905" t="s">
        <v>114</v>
      </c>
      <c r="J1905" t="s">
        <v>115</v>
      </c>
      <c r="K1905">
        <v>0</v>
      </c>
      <c r="L1905">
        <v>3</v>
      </c>
      <c r="M1905">
        <v>0</v>
      </c>
      <c r="N1905">
        <v>2</v>
      </c>
      <c r="O1905">
        <v>0</v>
      </c>
      <c r="P1905">
        <v>1</v>
      </c>
      <c r="Q1905">
        <v>0</v>
      </c>
      <c r="S1905" t="str">
        <f t="shared" si="570"/>
        <v>22:17:28.000</v>
      </c>
      <c r="T1905" t="str">
        <f t="shared" si="570"/>
        <v>22:17:28.000</v>
      </c>
      <c r="U1905" t="str">
        <f t="shared" si="557"/>
        <v>A9D71F</v>
      </c>
      <c r="V1905">
        <v>0</v>
      </c>
      <c r="W1905">
        <v>0</v>
      </c>
      <c r="X1905">
        <v>2</v>
      </c>
      <c r="Z1905">
        <v>1</v>
      </c>
      <c r="AA1905">
        <v>8</v>
      </c>
      <c r="AB1905">
        <v>3</v>
      </c>
      <c r="AC1905">
        <v>0</v>
      </c>
      <c r="AD1905">
        <v>9</v>
      </c>
      <c r="AE1905">
        <v>0</v>
      </c>
      <c r="AF1905">
        <v>3</v>
      </c>
      <c r="AG1905">
        <v>1</v>
      </c>
      <c r="AH1905">
        <v>0</v>
      </c>
      <c r="AI1905" t="s">
        <v>1002</v>
      </c>
      <c r="AJ1905">
        <v>33.041511</v>
      </c>
      <c r="AK1905" t="s">
        <v>1003</v>
      </c>
      <c r="AL1905">
        <v>-97.662621000000001</v>
      </c>
      <c r="AM1905">
        <v>25</v>
      </c>
      <c r="AN1905">
        <v>3400</v>
      </c>
      <c r="AO1905" t="s">
        <v>118</v>
      </c>
      <c r="AP1905">
        <v>26</v>
      </c>
      <c r="AQ1905">
        <v>-89</v>
      </c>
      <c r="AR1905">
        <v>0</v>
      </c>
      <c r="AZ1905">
        <v>1200</v>
      </c>
      <c r="BA1905">
        <v>1</v>
      </c>
      <c r="BB1905" t="str">
        <f t="shared" si="564"/>
        <v xml:space="preserve">N733KP  </v>
      </c>
      <c r="BC1905">
        <v>1</v>
      </c>
      <c r="BE1905">
        <v>0</v>
      </c>
      <c r="BF1905">
        <v>0</v>
      </c>
      <c r="BG1905">
        <v>0</v>
      </c>
      <c r="BH1905">
        <v>3425</v>
      </c>
      <c r="BI1905">
        <v>1</v>
      </c>
      <c r="BJ1905">
        <v>1</v>
      </c>
      <c r="BK1905">
        <v>0</v>
      </c>
      <c r="BL1905">
        <v>0</v>
      </c>
      <c r="BO1905">
        <v>0</v>
      </c>
      <c r="BP1905">
        <v>0</v>
      </c>
      <c r="BW1905" t="str">
        <f>"22:17:28.562"</f>
        <v>22:17:28.562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7</v>
      </c>
      <c r="CP1905" t="s">
        <v>119</v>
      </c>
      <c r="CQ1905">
        <v>364</v>
      </c>
      <c r="CR1905">
        <v>0</v>
      </c>
      <c r="CW1905">
        <v>1437864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>"03/24/2022 22:17:29.785"</f>
        <v>03/24/2022 22:17:29.785</v>
      </c>
      <c r="C1906" t="str">
        <f t="shared" si="562"/>
        <v>FFDFD3C0</v>
      </c>
      <c r="D1906" t="s">
        <v>120</v>
      </c>
      <c r="E1906">
        <v>14</v>
      </c>
      <c r="F1906">
        <v>1014</v>
      </c>
      <c r="G1906" t="s">
        <v>121</v>
      </c>
      <c r="J1906" t="s">
        <v>122</v>
      </c>
      <c r="K1906">
        <v>0</v>
      </c>
      <c r="L1906">
        <v>3</v>
      </c>
      <c r="M1906">
        <v>0</v>
      </c>
      <c r="N1906">
        <v>2</v>
      </c>
      <c r="O1906">
        <v>0</v>
      </c>
      <c r="P1906">
        <v>1</v>
      </c>
      <c r="Q1906">
        <v>0</v>
      </c>
      <c r="S1906" t="str">
        <f t="shared" ref="S1906:T1909" si="571">"22:17:29.000"</f>
        <v>22:17:29.000</v>
      </c>
      <c r="T1906" t="str">
        <f t="shared" si="571"/>
        <v>22:17:29.000</v>
      </c>
      <c r="U1906" t="str">
        <f t="shared" si="557"/>
        <v>A9D71F</v>
      </c>
      <c r="V1906">
        <v>0</v>
      </c>
      <c r="W1906">
        <v>0</v>
      </c>
      <c r="X1906">
        <v>2</v>
      </c>
      <c r="Z1906">
        <v>1</v>
      </c>
      <c r="AA1906">
        <v>8</v>
      </c>
      <c r="AB1906">
        <v>3</v>
      </c>
      <c r="AC1906">
        <v>0</v>
      </c>
      <c r="AD1906">
        <v>9</v>
      </c>
      <c r="AE1906">
        <v>0</v>
      </c>
      <c r="AF1906">
        <v>3</v>
      </c>
      <c r="AG1906">
        <v>1</v>
      </c>
      <c r="AH1906">
        <v>0</v>
      </c>
      <c r="AI1906" t="s">
        <v>1004</v>
      </c>
      <c r="AJ1906">
        <v>33.041080999999998</v>
      </c>
      <c r="AK1906" t="s">
        <v>1005</v>
      </c>
      <c r="AL1906">
        <v>-97.662469999999999</v>
      </c>
      <c r="AM1906">
        <v>25</v>
      </c>
      <c r="AN1906">
        <v>3400</v>
      </c>
      <c r="AO1906" t="s">
        <v>118</v>
      </c>
      <c r="AP1906">
        <v>27</v>
      </c>
      <c r="AQ1906">
        <v>-90</v>
      </c>
      <c r="AR1906">
        <v>-64</v>
      </c>
      <c r="AZ1906">
        <v>1200</v>
      </c>
      <c r="BA1906">
        <v>1</v>
      </c>
      <c r="BB1906" t="str">
        <f t="shared" si="564"/>
        <v xml:space="preserve">N733KP  </v>
      </c>
      <c r="BC1906">
        <v>1</v>
      </c>
      <c r="BE1906">
        <v>0</v>
      </c>
      <c r="BF1906">
        <v>0</v>
      </c>
      <c r="BG1906">
        <v>0</v>
      </c>
      <c r="BH1906">
        <v>3425</v>
      </c>
      <c r="BI1906">
        <v>1</v>
      </c>
      <c r="BJ1906">
        <v>1</v>
      </c>
      <c r="BK1906">
        <v>0</v>
      </c>
      <c r="BL1906">
        <v>0</v>
      </c>
      <c r="BO1906">
        <v>0</v>
      </c>
      <c r="BP1906">
        <v>0</v>
      </c>
      <c r="BW1906" t="str">
        <f>"22:17:29.600"</f>
        <v>22:17:29.600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7</v>
      </c>
      <c r="CP1906" t="s">
        <v>119</v>
      </c>
      <c r="CQ1906">
        <v>364</v>
      </c>
      <c r="CR1906">
        <v>0</v>
      </c>
      <c r="CW1906">
        <v>1438052</v>
      </c>
      <c r="CY1906">
        <v>1</v>
      </c>
      <c r="CZ1906">
        <v>0</v>
      </c>
      <c r="DA1906">
        <v>0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>"03/24/2022 22:17:29.785"</f>
        <v>03/24/2022 22:17:29.785</v>
      </c>
      <c r="C1907" t="str">
        <f t="shared" si="562"/>
        <v>FFDFD3C0</v>
      </c>
      <c r="D1907" t="s">
        <v>126</v>
      </c>
      <c r="E1907">
        <v>3</v>
      </c>
      <c r="H1907">
        <v>160</v>
      </c>
      <c r="I1907" t="s">
        <v>121</v>
      </c>
      <c r="J1907" t="s">
        <v>127</v>
      </c>
      <c r="K1907">
        <v>0</v>
      </c>
      <c r="L1907">
        <v>3</v>
      </c>
      <c r="M1907">
        <v>0</v>
      </c>
      <c r="N1907">
        <v>2</v>
      </c>
      <c r="O1907">
        <v>0</v>
      </c>
      <c r="P1907">
        <v>1</v>
      </c>
      <c r="Q1907">
        <v>0</v>
      </c>
      <c r="S1907" t="str">
        <f t="shared" si="571"/>
        <v>22:17:29.000</v>
      </c>
      <c r="T1907" t="str">
        <f t="shared" si="571"/>
        <v>22:17:29.000</v>
      </c>
      <c r="U1907" t="str">
        <f t="shared" si="557"/>
        <v>A9D71F</v>
      </c>
      <c r="V1907">
        <v>0</v>
      </c>
      <c r="W1907">
        <v>0</v>
      </c>
      <c r="X1907">
        <v>2</v>
      </c>
      <c r="Z1907">
        <v>1</v>
      </c>
      <c r="AA1907">
        <v>8</v>
      </c>
      <c r="AB1907">
        <v>3</v>
      </c>
      <c r="AC1907">
        <v>0</v>
      </c>
      <c r="AD1907">
        <v>9</v>
      </c>
      <c r="AE1907">
        <v>0</v>
      </c>
      <c r="AF1907">
        <v>3</v>
      </c>
      <c r="AG1907">
        <v>1</v>
      </c>
      <c r="AH1907">
        <v>0</v>
      </c>
      <c r="AI1907" t="s">
        <v>1004</v>
      </c>
      <c r="AJ1907">
        <v>33.041080999999998</v>
      </c>
      <c r="AK1907" t="s">
        <v>1005</v>
      </c>
      <c r="AL1907">
        <v>-97.662469999999999</v>
      </c>
      <c r="AM1907">
        <v>25</v>
      </c>
      <c r="AN1907">
        <v>3400</v>
      </c>
      <c r="AO1907" t="s">
        <v>118</v>
      </c>
      <c r="AP1907">
        <v>27</v>
      </c>
      <c r="AQ1907">
        <v>-90</v>
      </c>
      <c r="AR1907">
        <v>-64</v>
      </c>
      <c r="AZ1907">
        <v>1200</v>
      </c>
      <c r="BA1907">
        <v>1</v>
      </c>
      <c r="BB1907" t="str">
        <f t="shared" si="564"/>
        <v xml:space="preserve">N733KP  </v>
      </c>
      <c r="BC1907">
        <v>1</v>
      </c>
      <c r="BE1907">
        <v>0</v>
      </c>
      <c r="BF1907">
        <v>0</v>
      </c>
      <c r="BG1907">
        <v>0</v>
      </c>
      <c r="BH1907">
        <v>3425</v>
      </c>
      <c r="BI1907">
        <v>1</v>
      </c>
      <c r="BJ1907">
        <v>1</v>
      </c>
      <c r="BK1907">
        <v>0</v>
      </c>
      <c r="BL1907">
        <v>0</v>
      </c>
      <c r="BO1907">
        <v>0</v>
      </c>
      <c r="BP1907">
        <v>0</v>
      </c>
      <c r="BW1907" t="str">
        <f>"22:17:29.600"</f>
        <v>22:17:29.600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7</v>
      </c>
      <c r="CP1907" t="s">
        <v>119</v>
      </c>
      <c r="CQ1907">
        <v>364</v>
      </c>
      <c r="CR1907">
        <v>0</v>
      </c>
      <c r="CW1907">
        <v>1438052</v>
      </c>
      <c r="CY1907">
        <v>1</v>
      </c>
      <c r="CZ1907">
        <v>0</v>
      </c>
      <c r="DA1907">
        <v>1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>"03/24/2022 22:17:29.801"</f>
        <v>03/24/2022 22:17:29.801</v>
      </c>
      <c r="C1908" t="str">
        <f t="shared" si="562"/>
        <v>FFDFD3C0</v>
      </c>
      <c r="D1908" t="s">
        <v>113</v>
      </c>
      <c r="E1908">
        <v>24</v>
      </c>
      <c r="F1908">
        <v>2024</v>
      </c>
      <c r="G1908" t="s">
        <v>114</v>
      </c>
      <c r="J1908" t="s">
        <v>115</v>
      </c>
      <c r="K1908">
        <v>0</v>
      </c>
      <c r="L1908">
        <v>3</v>
      </c>
      <c r="M1908">
        <v>0</v>
      </c>
      <c r="N1908">
        <v>2</v>
      </c>
      <c r="O1908">
        <v>0</v>
      </c>
      <c r="P1908">
        <v>1</v>
      </c>
      <c r="Q1908">
        <v>0</v>
      </c>
      <c r="S1908" t="str">
        <f t="shared" si="571"/>
        <v>22:17:29.000</v>
      </c>
      <c r="T1908" t="str">
        <f t="shared" si="571"/>
        <v>22:17:29.000</v>
      </c>
      <c r="U1908" t="str">
        <f t="shared" si="557"/>
        <v>A9D71F</v>
      </c>
      <c r="V1908">
        <v>0</v>
      </c>
      <c r="W1908">
        <v>0</v>
      </c>
      <c r="X1908">
        <v>2</v>
      </c>
      <c r="Z1908">
        <v>1</v>
      </c>
      <c r="AA1908">
        <v>8</v>
      </c>
      <c r="AB1908">
        <v>3</v>
      </c>
      <c r="AC1908">
        <v>0</v>
      </c>
      <c r="AD1908">
        <v>9</v>
      </c>
      <c r="AE1908">
        <v>0</v>
      </c>
      <c r="AF1908">
        <v>3</v>
      </c>
      <c r="AG1908">
        <v>1</v>
      </c>
      <c r="AH1908">
        <v>0</v>
      </c>
      <c r="AI1908" t="s">
        <v>1004</v>
      </c>
      <c r="AJ1908">
        <v>33.041080999999998</v>
      </c>
      <c r="AK1908" t="s">
        <v>1005</v>
      </c>
      <c r="AL1908">
        <v>-97.662469999999999</v>
      </c>
      <c r="AM1908">
        <v>25</v>
      </c>
      <c r="AN1908">
        <v>3400</v>
      </c>
      <c r="AO1908" t="s">
        <v>118</v>
      </c>
      <c r="AP1908">
        <v>27</v>
      </c>
      <c r="AQ1908">
        <v>-90</v>
      </c>
      <c r="AR1908">
        <v>-64</v>
      </c>
      <c r="AZ1908">
        <v>1200</v>
      </c>
      <c r="BA1908">
        <v>1</v>
      </c>
      <c r="BB1908" t="str">
        <f t="shared" si="564"/>
        <v xml:space="preserve">N733KP  </v>
      </c>
      <c r="BC1908">
        <v>1</v>
      </c>
      <c r="BE1908">
        <v>0</v>
      </c>
      <c r="BF1908">
        <v>0</v>
      </c>
      <c r="BG1908">
        <v>0</v>
      </c>
      <c r="BH1908">
        <v>3425</v>
      </c>
      <c r="BI1908">
        <v>1</v>
      </c>
      <c r="BJ1908">
        <v>1</v>
      </c>
      <c r="BK1908">
        <v>0</v>
      </c>
      <c r="BL1908">
        <v>0</v>
      </c>
      <c r="BO1908">
        <v>0</v>
      </c>
      <c r="BP1908">
        <v>0</v>
      </c>
      <c r="BW1908" t="str">
        <f>"22:17:29.600"</f>
        <v>22:17:29.600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7</v>
      </c>
      <c r="CP1908" t="s">
        <v>119</v>
      </c>
      <c r="CQ1908">
        <v>364</v>
      </c>
      <c r="CR1908">
        <v>0</v>
      </c>
      <c r="CW1908">
        <v>1438052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>"03/24/2022 22:17:29.801"</f>
        <v>03/24/2022 22:17:29.801</v>
      </c>
      <c r="C1909" t="str">
        <f t="shared" si="562"/>
        <v>FFDFD3C0</v>
      </c>
      <c r="D1909" t="s">
        <v>123</v>
      </c>
      <c r="E1909">
        <v>8</v>
      </c>
      <c r="H1909">
        <v>31</v>
      </c>
      <c r="I1909" t="s">
        <v>124</v>
      </c>
      <c r="J1909" t="s">
        <v>125</v>
      </c>
      <c r="K1909">
        <v>0</v>
      </c>
      <c r="L1909">
        <v>3</v>
      </c>
      <c r="M1909">
        <v>0</v>
      </c>
      <c r="N1909">
        <v>2</v>
      </c>
      <c r="O1909">
        <v>0</v>
      </c>
      <c r="P1909">
        <v>1</v>
      </c>
      <c r="Q1909">
        <v>0</v>
      </c>
      <c r="S1909" t="str">
        <f t="shared" si="571"/>
        <v>22:17:29.000</v>
      </c>
      <c r="T1909" t="str">
        <f t="shared" si="571"/>
        <v>22:17:29.000</v>
      </c>
      <c r="U1909" t="str">
        <f t="shared" si="557"/>
        <v>A9D71F</v>
      </c>
      <c r="V1909">
        <v>0</v>
      </c>
      <c r="W1909">
        <v>0</v>
      </c>
      <c r="X1909">
        <v>2</v>
      </c>
      <c r="Z1909">
        <v>1</v>
      </c>
      <c r="AA1909">
        <v>8</v>
      </c>
      <c r="AB1909">
        <v>3</v>
      </c>
      <c r="AC1909">
        <v>0</v>
      </c>
      <c r="AD1909">
        <v>9</v>
      </c>
      <c r="AE1909">
        <v>0</v>
      </c>
      <c r="AF1909">
        <v>3</v>
      </c>
      <c r="AG1909">
        <v>1</v>
      </c>
      <c r="AH1909">
        <v>0</v>
      </c>
      <c r="AI1909" t="s">
        <v>1004</v>
      </c>
      <c r="AJ1909">
        <v>33.041080999999998</v>
      </c>
      <c r="AK1909" t="s">
        <v>1005</v>
      </c>
      <c r="AL1909">
        <v>-97.662469999999999</v>
      </c>
      <c r="AM1909">
        <v>25</v>
      </c>
      <c r="AN1909">
        <v>3400</v>
      </c>
      <c r="AO1909" t="s">
        <v>118</v>
      </c>
      <c r="AP1909">
        <v>27</v>
      </c>
      <c r="AQ1909">
        <v>-90</v>
      </c>
      <c r="AR1909">
        <v>-64</v>
      </c>
      <c r="AZ1909">
        <v>1200</v>
      </c>
      <c r="BA1909">
        <v>1</v>
      </c>
      <c r="BB1909" t="str">
        <f t="shared" si="564"/>
        <v xml:space="preserve">N733KP  </v>
      </c>
      <c r="BC1909">
        <v>1</v>
      </c>
      <c r="BE1909">
        <v>0</v>
      </c>
      <c r="BF1909">
        <v>0</v>
      </c>
      <c r="BG1909">
        <v>0</v>
      </c>
      <c r="BH1909">
        <v>3425</v>
      </c>
      <c r="BI1909">
        <v>1</v>
      </c>
      <c r="BJ1909">
        <v>1</v>
      </c>
      <c r="BK1909">
        <v>0</v>
      </c>
      <c r="BL1909">
        <v>0</v>
      </c>
      <c r="BO1909">
        <v>0</v>
      </c>
      <c r="BP1909">
        <v>0</v>
      </c>
      <c r="BW1909" t="str">
        <f>"22:17:29.600"</f>
        <v>22:17:29.600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7</v>
      </c>
      <c r="CP1909" t="s">
        <v>119</v>
      </c>
      <c r="CQ1909">
        <v>364</v>
      </c>
      <c r="CR1909">
        <v>0</v>
      </c>
      <c r="CW1909">
        <v>1438052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"03/24/2022 22:17:30.519"</f>
        <v>03/24/2022 22:17:30.519</v>
      </c>
      <c r="C1910" t="str">
        <f t="shared" si="562"/>
        <v>FFDFD3C0</v>
      </c>
      <c r="D1910" t="s">
        <v>123</v>
      </c>
      <c r="E1910">
        <v>8</v>
      </c>
      <c r="H1910">
        <v>31</v>
      </c>
      <c r="I1910" t="s">
        <v>124</v>
      </c>
      <c r="J1910" t="s">
        <v>125</v>
      </c>
      <c r="K1910">
        <v>0</v>
      </c>
      <c r="L1910">
        <v>3</v>
      </c>
      <c r="M1910">
        <v>0</v>
      </c>
      <c r="N1910">
        <v>2</v>
      </c>
      <c r="O1910">
        <v>0</v>
      </c>
      <c r="P1910">
        <v>1</v>
      </c>
      <c r="Q1910">
        <v>0</v>
      </c>
      <c r="S1910" t="str">
        <f t="shared" ref="S1910:T1913" si="572">"22:17:30.000"</f>
        <v>22:17:30.000</v>
      </c>
      <c r="T1910" t="str">
        <f t="shared" si="572"/>
        <v>22:17:30.000</v>
      </c>
      <c r="U1910" t="str">
        <f t="shared" si="557"/>
        <v>A9D71F</v>
      </c>
      <c r="V1910">
        <v>0</v>
      </c>
      <c r="W1910">
        <v>0</v>
      </c>
      <c r="X1910">
        <v>2</v>
      </c>
      <c r="Z1910">
        <v>1</v>
      </c>
      <c r="AA1910">
        <v>8</v>
      </c>
      <c r="AB1910">
        <v>3</v>
      </c>
      <c r="AC1910">
        <v>0</v>
      </c>
      <c r="AD1910">
        <v>9</v>
      </c>
      <c r="AE1910">
        <v>0</v>
      </c>
      <c r="AF1910">
        <v>3</v>
      </c>
      <c r="AG1910">
        <v>1</v>
      </c>
      <c r="AH1910">
        <v>0</v>
      </c>
      <c r="AI1910" t="s">
        <v>1006</v>
      </c>
      <c r="AJ1910">
        <v>33.040694999999999</v>
      </c>
      <c r="AK1910" t="s">
        <v>1007</v>
      </c>
      <c r="AL1910">
        <v>-97.662319999999994</v>
      </c>
      <c r="AM1910">
        <v>25</v>
      </c>
      <c r="AN1910">
        <v>3400</v>
      </c>
      <c r="AO1910" t="s">
        <v>118</v>
      </c>
      <c r="AP1910">
        <v>25</v>
      </c>
      <c r="AQ1910">
        <v>-87</v>
      </c>
      <c r="AR1910">
        <v>-64</v>
      </c>
      <c r="AZ1910">
        <v>1200</v>
      </c>
      <c r="BA1910">
        <v>1</v>
      </c>
      <c r="BB1910" t="str">
        <f t="shared" si="564"/>
        <v xml:space="preserve">N733KP  </v>
      </c>
      <c r="BC1910">
        <v>1</v>
      </c>
      <c r="BE1910">
        <v>0</v>
      </c>
      <c r="BF1910">
        <v>0</v>
      </c>
      <c r="BG1910">
        <v>0</v>
      </c>
      <c r="BH1910">
        <v>3425</v>
      </c>
      <c r="BI1910">
        <v>1</v>
      </c>
      <c r="BJ1910">
        <v>1</v>
      </c>
      <c r="BK1910">
        <v>0</v>
      </c>
      <c r="BL1910">
        <v>0</v>
      </c>
      <c r="BO1910">
        <v>0</v>
      </c>
      <c r="BP1910">
        <v>0</v>
      </c>
      <c r="BW1910" t="str">
        <f>"22:17:30.351"</f>
        <v>22:17:30.351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7</v>
      </c>
      <c r="CP1910" t="s">
        <v>119</v>
      </c>
      <c r="CQ1910">
        <v>364</v>
      </c>
      <c r="CR1910">
        <v>0</v>
      </c>
      <c r="CW1910">
        <v>1438186</v>
      </c>
      <c r="CY1910">
        <v>1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"03/24/2022 22:17:30.519"</f>
        <v>03/24/2022 22:17:30.519</v>
      </c>
      <c r="C1911" t="str">
        <f t="shared" si="562"/>
        <v>FFDFD3C0</v>
      </c>
      <c r="D1911" t="s">
        <v>120</v>
      </c>
      <c r="E1911">
        <v>14</v>
      </c>
      <c r="F1911">
        <v>1014</v>
      </c>
      <c r="G1911" t="s">
        <v>121</v>
      </c>
      <c r="J1911" t="s">
        <v>122</v>
      </c>
      <c r="K1911">
        <v>0</v>
      </c>
      <c r="L1911">
        <v>3</v>
      </c>
      <c r="M1911">
        <v>0</v>
      </c>
      <c r="N1911">
        <v>2</v>
      </c>
      <c r="O1911">
        <v>0</v>
      </c>
      <c r="P1911">
        <v>1</v>
      </c>
      <c r="Q1911">
        <v>0</v>
      </c>
      <c r="S1911" t="str">
        <f t="shared" si="572"/>
        <v>22:17:30.000</v>
      </c>
      <c r="T1911" t="str">
        <f t="shared" si="572"/>
        <v>22:17:30.000</v>
      </c>
      <c r="U1911" t="str">
        <f t="shared" si="557"/>
        <v>A9D71F</v>
      </c>
      <c r="V1911">
        <v>0</v>
      </c>
      <c r="W1911">
        <v>0</v>
      </c>
      <c r="X1911">
        <v>2</v>
      </c>
      <c r="Z1911">
        <v>1</v>
      </c>
      <c r="AA1911">
        <v>8</v>
      </c>
      <c r="AB1911">
        <v>3</v>
      </c>
      <c r="AC1911">
        <v>0</v>
      </c>
      <c r="AD1911">
        <v>9</v>
      </c>
      <c r="AE1911">
        <v>0</v>
      </c>
      <c r="AF1911">
        <v>3</v>
      </c>
      <c r="AG1911">
        <v>1</v>
      </c>
      <c r="AH1911">
        <v>0</v>
      </c>
      <c r="AI1911" t="s">
        <v>1006</v>
      </c>
      <c r="AJ1911">
        <v>33.040694999999999</v>
      </c>
      <c r="AK1911" t="s">
        <v>1007</v>
      </c>
      <c r="AL1911">
        <v>-97.662319999999994</v>
      </c>
      <c r="AM1911">
        <v>25</v>
      </c>
      <c r="AN1911">
        <v>3400</v>
      </c>
      <c r="AO1911" t="s">
        <v>118</v>
      </c>
      <c r="AP1911">
        <v>25</v>
      </c>
      <c r="AQ1911">
        <v>-87</v>
      </c>
      <c r="AR1911">
        <v>-64</v>
      </c>
      <c r="AZ1911">
        <v>1200</v>
      </c>
      <c r="BA1911">
        <v>1</v>
      </c>
      <c r="BB1911" t="str">
        <f t="shared" si="564"/>
        <v xml:space="preserve">N733KP  </v>
      </c>
      <c r="BC1911">
        <v>1</v>
      </c>
      <c r="BE1911">
        <v>0</v>
      </c>
      <c r="BF1911">
        <v>0</v>
      </c>
      <c r="BG1911">
        <v>0</v>
      </c>
      <c r="BH1911">
        <v>3425</v>
      </c>
      <c r="BI1911">
        <v>1</v>
      </c>
      <c r="BJ1911">
        <v>1</v>
      </c>
      <c r="BK1911">
        <v>0</v>
      </c>
      <c r="BL1911">
        <v>0</v>
      </c>
      <c r="BO1911">
        <v>0</v>
      </c>
      <c r="BP1911">
        <v>0</v>
      </c>
      <c r="BW1911" t="str">
        <f>"22:17:30.351"</f>
        <v>22:17:30.351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7</v>
      </c>
      <c r="CP1911" t="s">
        <v>119</v>
      </c>
      <c r="CQ1911">
        <v>364</v>
      </c>
      <c r="CR1911">
        <v>0</v>
      </c>
      <c r="CW1911">
        <v>1438186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"03/24/2022 22:17:30.519"</f>
        <v>03/24/2022 22:17:30.519</v>
      </c>
      <c r="C1912" t="str">
        <f t="shared" si="562"/>
        <v>FFDFD3C0</v>
      </c>
      <c r="D1912" t="s">
        <v>126</v>
      </c>
      <c r="E1912">
        <v>3</v>
      </c>
      <c r="H1912">
        <v>160</v>
      </c>
      <c r="I1912" t="s">
        <v>121</v>
      </c>
      <c r="J1912" t="s">
        <v>127</v>
      </c>
      <c r="K1912">
        <v>0</v>
      </c>
      <c r="L1912">
        <v>3</v>
      </c>
      <c r="M1912">
        <v>0</v>
      </c>
      <c r="N1912">
        <v>2</v>
      </c>
      <c r="O1912">
        <v>0</v>
      </c>
      <c r="P1912">
        <v>1</v>
      </c>
      <c r="Q1912">
        <v>0</v>
      </c>
      <c r="S1912" t="str">
        <f t="shared" si="572"/>
        <v>22:17:30.000</v>
      </c>
      <c r="T1912" t="str">
        <f t="shared" si="572"/>
        <v>22:17:30.000</v>
      </c>
      <c r="U1912" t="str">
        <f t="shared" si="557"/>
        <v>A9D71F</v>
      </c>
      <c r="V1912">
        <v>0</v>
      </c>
      <c r="W1912">
        <v>0</v>
      </c>
      <c r="X1912">
        <v>2</v>
      </c>
      <c r="Z1912">
        <v>1</v>
      </c>
      <c r="AA1912">
        <v>8</v>
      </c>
      <c r="AB1912">
        <v>3</v>
      </c>
      <c r="AC1912">
        <v>0</v>
      </c>
      <c r="AD1912">
        <v>9</v>
      </c>
      <c r="AE1912">
        <v>0</v>
      </c>
      <c r="AF1912">
        <v>3</v>
      </c>
      <c r="AG1912">
        <v>1</v>
      </c>
      <c r="AH1912">
        <v>0</v>
      </c>
      <c r="AI1912" t="s">
        <v>1006</v>
      </c>
      <c r="AJ1912">
        <v>33.040694999999999</v>
      </c>
      <c r="AK1912" t="s">
        <v>1007</v>
      </c>
      <c r="AL1912">
        <v>-97.662319999999994</v>
      </c>
      <c r="AM1912">
        <v>25</v>
      </c>
      <c r="AN1912">
        <v>3400</v>
      </c>
      <c r="AO1912" t="s">
        <v>118</v>
      </c>
      <c r="AP1912">
        <v>25</v>
      </c>
      <c r="AQ1912">
        <v>-87</v>
      </c>
      <c r="AR1912">
        <v>-64</v>
      </c>
      <c r="AZ1912">
        <v>1200</v>
      </c>
      <c r="BA1912">
        <v>1</v>
      </c>
      <c r="BB1912" t="str">
        <f t="shared" si="564"/>
        <v xml:space="preserve">N733KP  </v>
      </c>
      <c r="BC1912">
        <v>1</v>
      </c>
      <c r="BE1912">
        <v>0</v>
      </c>
      <c r="BF1912">
        <v>0</v>
      </c>
      <c r="BG1912">
        <v>0</v>
      </c>
      <c r="BH1912">
        <v>3425</v>
      </c>
      <c r="BI1912">
        <v>1</v>
      </c>
      <c r="BJ1912">
        <v>1</v>
      </c>
      <c r="BK1912">
        <v>0</v>
      </c>
      <c r="BL1912">
        <v>0</v>
      </c>
      <c r="BO1912">
        <v>0</v>
      </c>
      <c r="BP1912">
        <v>0</v>
      </c>
      <c r="BW1912" t="str">
        <f>"22:17:30.351"</f>
        <v>22:17:30.351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7</v>
      </c>
      <c r="CP1912" t="s">
        <v>119</v>
      </c>
      <c r="CQ1912">
        <v>364</v>
      </c>
      <c r="CR1912">
        <v>0</v>
      </c>
      <c r="CW1912">
        <v>1438186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"03/24/2022 22:17:30.535"</f>
        <v>03/24/2022 22:17:30.535</v>
      </c>
      <c r="C1913" t="str">
        <f t="shared" si="562"/>
        <v>FFDFD3C0</v>
      </c>
      <c r="D1913" t="s">
        <v>113</v>
      </c>
      <c r="E1913">
        <v>24</v>
      </c>
      <c r="F1913">
        <v>2024</v>
      </c>
      <c r="G1913" t="s">
        <v>114</v>
      </c>
      <c r="J1913" t="s">
        <v>115</v>
      </c>
      <c r="K1913">
        <v>0</v>
      </c>
      <c r="L1913">
        <v>3</v>
      </c>
      <c r="M1913">
        <v>0</v>
      </c>
      <c r="N1913">
        <v>2</v>
      </c>
      <c r="O1913">
        <v>0</v>
      </c>
      <c r="P1913">
        <v>1</v>
      </c>
      <c r="Q1913">
        <v>0</v>
      </c>
      <c r="S1913" t="str">
        <f t="shared" si="572"/>
        <v>22:17:30.000</v>
      </c>
      <c r="T1913" t="str">
        <f t="shared" si="572"/>
        <v>22:17:30.000</v>
      </c>
      <c r="U1913" t="str">
        <f t="shared" si="557"/>
        <v>A9D71F</v>
      </c>
      <c r="V1913">
        <v>0</v>
      </c>
      <c r="W1913">
        <v>0</v>
      </c>
      <c r="X1913">
        <v>2</v>
      </c>
      <c r="Z1913">
        <v>1</v>
      </c>
      <c r="AA1913">
        <v>8</v>
      </c>
      <c r="AB1913">
        <v>3</v>
      </c>
      <c r="AC1913">
        <v>0</v>
      </c>
      <c r="AD1913">
        <v>9</v>
      </c>
      <c r="AE1913">
        <v>0</v>
      </c>
      <c r="AF1913">
        <v>3</v>
      </c>
      <c r="AG1913">
        <v>1</v>
      </c>
      <c r="AH1913">
        <v>0</v>
      </c>
      <c r="AI1913" t="s">
        <v>1006</v>
      </c>
      <c r="AJ1913">
        <v>33.040694999999999</v>
      </c>
      <c r="AK1913" t="s">
        <v>1007</v>
      </c>
      <c r="AL1913">
        <v>-97.662319999999994</v>
      </c>
      <c r="AM1913">
        <v>25</v>
      </c>
      <c r="AN1913">
        <v>3400</v>
      </c>
      <c r="AO1913" t="s">
        <v>118</v>
      </c>
      <c r="AP1913">
        <v>25</v>
      </c>
      <c r="AQ1913">
        <v>-87</v>
      </c>
      <c r="AR1913">
        <v>-64</v>
      </c>
      <c r="AZ1913">
        <v>1200</v>
      </c>
      <c r="BA1913">
        <v>1</v>
      </c>
      <c r="BB1913" t="str">
        <f t="shared" si="564"/>
        <v xml:space="preserve">N733KP  </v>
      </c>
      <c r="BC1913">
        <v>1</v>
      </c>
      <c r="BE1913">
        <v>0</v>
      </c>
      <c r="BF1913">
        <v>0</v>
      </c>
      <c r="BG1913">
        <v>0</v>
      </c>
      <c r="BH1913">
        <v>3425</v>
      </c>
      <c r="BI1913">
        <v>1</v>
      </c>
      <c r="BJ1913">
        <v>1</v>
      </c>
      <c r="BK1913">
        <v>0</v>
      </c>
      <c r="BL1913">
        <v>0</v>
      </c>
      <c r="BO1913">
        <v>0</v>
      </c>
      <c r="BP1913">
        <v>0</v>
      </c>
      <c r="BW1913" t="str">
        <f>"22:17:30.351"</f>
        <v>22:17:30.351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7</v>
      </c>
      <c r="CP1913" t="s">
        <v>119</v>
      </c>
      <c r="CQ1913">
        <v>364</v>
      </c>
      <c r="CR1913">
        <v>0</v>
      </c>
      <c r="CW1913">
        <v>1438186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"03/24/2022 22:17:31.769"</f>
        <v>03/24/2022 22:17:31.769</v>
      </c>
      <c r="C1914" t="str">
        <f t="shared" si="562"/>
        <v>FFDFD3C0</v>
      </c>
      <c r="D1914" t="s">
        <v>123</v>
      </c>
      <c r="E1914">
        <v>8</v>
      </c>
      <c r="H1914">
        <v>31</v>
      </c>
      <c r="I1914" t="s">
        <v>124</v>
      </c>
      <c r="J1914" t="s">
        <v>125</v>
      </c>
      <c r="K1914">
        <v>0</v>
      </c>
      <c r="L1914">
        <v>3</v>
      </c>
      <c r="M1914">
        <v>0</v>
      </c>
      <c r="N1914">
        <v>2</v>
      </c>
      <c r="O1914">
        <v>0</v>
      </c>
      <c r="P1914">
        <v>1</v>
      </c>
      <c r="Q1914">
        <v>0</v>
      </c>
      <c r="S1914" t="str">
        <f t="shared" ref="S1914:T1917" si="573">"22:17:31.000"</f>
        <v>22:17:31.000</v>
      </c>
      <c r="T1914" t="str">
        <f t="shared" si="573"/>
        <v>22:17:31.000</v>
      </c>
      <c r="U1914" t="str">
        <f t="shared" si="557"/>
        <v>A9D71F</v>
      </c>
      <c r="V1914">
        <v>0</v>
      </c>
      <c r="W1914">
        <v>0</v>
      </c>
      <c r="X1914">
        <v>2</v>
      </c>
      <c r="Z1914">
        <v>1</v>
      </c>
      <c r="AA1914">
        <v>8</v>
      </c>
      <c r="AB1914">
        <v>3</v>
      </c>
      <c r="AC1914">
        <v>0</v>
      </c>
      <c r="AD1914">
        <v>9</v>
      </c>
      <c r="AE1914">
        <v>0</v>
      </c>
      <c r="AF1914">
        <v>3</v>
      </c>
      <c r="AG1914">
        <v>1</v>
      </c>
      <c r="AH1914">
        <v>0</v>
      </c>
      <c r="AI1914" t="s">
        <v>1008</v>
      </c>
      <c r="AJ1914">
        <v>33.040286999999999</v>
      </c>
      <c r="AK1914" t="s">
        <v>1009</v>
      </c>
      <c r="AL1914">
        <v>-97.662191000000007</v>
      </c>
      <c r="AM1914">
        <v>25</v>
      </c>
      <c r="AN1914">
        <v>3400</v>
      </c>
      <c r="AO1914" t="s">
        <v>118</v>
      </c>
      <c r="AP1914">
        <v>24</v>
      </c>
      <c r="AQ1914">
        <v>-86</v>
      </c>
      <c r="AR1914">
        <v>-128</v>
      </c>
      <c r="AZ1914">
        <v>1200</v>
      </c>
      <c r="BA1914">
        <v>1</v>
      </c>
      <c r="BB1914" t="str">
        <f t="shared" si="564"/>
        <v xml:space="preserve">N733KP  </v>
      </c>
      <c r="BC1914">
        <v>1</v>
      </c>
      <c r="BE1914">
        <v>0</v>
      </c>
      <c r="BF1914">
        <v>0</v>
      </c>
      <c r="BG1914">
        <v>0</v>
      </c>
      <c r="BH1914">
        <v>3425</v>
      </c>
      <c r="BI1914">
        <v>1</v>
      </c>
      <c r="BJ1914">
        <v>1</v>
      </c>
      <c r="BK1914">
        <v>0</v>
      </c>
      <c r="BL1914">
        <v>0</v>
      </c>
      <c r="BO1914">
        <v>0</v>
      </c>
      <c r="BP1914">
        <v>0</v>
      </c>
      <c r="BW1914" t="str">
        <f>"22:17:31.592"</f>
        <v>22:17:31.592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7</v>
      </c>
      <c r="CP1914" t="s">
        <v>119</v>
      </c>
      <c r="CQ1914">
        <v>364</v>
      </c>
      <c r="CR1914">
        <v>0</v>
      </c>
      <c r="CW1914">
        <v>1438416</v>
      </c>
      <c r="CY1914">
        <v>1</v>
      </c>
      <c r="CZ1914">
        <v>0</v>
      </c>
      <c r="DA1914">
        <v>0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"03/24/2022 22:17:31.785"</f>
        <v>03/24/2022 22:17:31.785</v>
      </c>
      <c r="C1915" t="str">
        <f t="shared" si="562"/>
        <v>FFDFD3C0</v>
      </c>
      <c r="D1915" t="s">
        <v>126</v>
      </c>
      <c r="E1915">
        <v>3</v>
      </c>
      <c r="H1915">
        <v>160</v>
      </c>
      <c r="I1915" t="s">
        <v>121</v>
      </c>
      <c r="J1915" t="s">
        <v>127</v>
      </c>
      <c r="K1915">
        <v>0</v>
      </c>
      <c r="L1915">
        <v>3</v>
      </c>
      <c r="M1915">
        <v>0</v>
      </c>
      <c r="N1915">
        <v>2</v>
      </c>
      <c r="O1915">
        <v>0</v>
      </c>
      <c r="P1915">
        <v>1</v>
      </c>
      <c r="Q1915">
        <v>0</v>
      </c>
      <c r="S1915" t="str">
        <f t="shared" si="573"/>
        <v>22:17:31.000</v>
      </c>
      <c r="T1915" t="str">
        <f t="shared" si="573"/>
        <v>22:17:31.000</v>
      </c>
      <c r="U1915" t="str">
        <f t="shared" si="557"/>
        <v>A9D71F</v>
      </c>
      <c r="V1915">
        <v>0</v>
      </c>
      <c r="W1915">
        <v>0</v>
      </c>
      <c r="X1915">
        <v>2</v>
      </c>
      <c r="Z1915">
        <v>1</v>
      </c>
      <c r="AA1915">
        <v>8</v>
      </c>
      <c r="AB1915">
        <v>3</v>
      </c>
      <c r="AC1915">
        <v>0</v>
      </c>
      <c r="AD1915">
        <v>9</v>
      </c>
      <c r="AE1915">
        <v>0</v>
      </c>
      <c r="AF1915">
        <v>3</v>
      </c>
      <c r="AG1915">
        <v>1</v>
      </c>
      <c r="AH1915">
        <v>0</v>
      </c>
      <c r="AI1915" t="s">
        <v>1008</v>
      </c>
      <c r="AJ1915">
        <v>33.040286999999999</v>
      </c>
      <c r="AK1915" t="s">
        <v>1009</v>
      </c>
      <c r="AL1915">
        <v>-97.662191000000007</v>
      </c>
      <c r="AM1915">
        <v>25</v>
      </c>
      <c r="AN1915">
        <v>3400</v>
      </c>
      <c r="AO1915" t="s">
        <v>118</v>
      </c>
      <c r="AP1915">
        <v>24</v>
      </c>
      <c r="AQ1915">
        <v>-86</v>
      </c>
      <c r="AR1915">
        <v>-128</v>
      </c>
      <c r="AZ1915">
        <v>1200</v>
      </c>
      <c r="BA1915">
        <v>1</v>
      </c>
      <c r="BB1915" t="str">
        <f t="shared" si="564"/>
        <v xml:space="preserve">N733KP  </v>
      </c>
      <c r="BC1915">
        <v>1</v>
      </c>
      <c r="BE1915">
        <v>0</v>
      </c>
      <c r="BF1915">
        <v>0</v>
      </c>
      <c r="BG1915">
        <v>0</v>
      </c>
      <c r="BH1915">
        <v>3425</v>
      </c>
      <c r="BI1915">
        <v>1</v>
      </c>
      <c r="BJ1915">
        <v>1</v>
      </c>
      <c r="BK1915">
        <v>0</v>
      </c>
      <c r="BL1915">
        <v>0</v>
      </c>
      <c r="BO1915">
        <v>0</v>
      </c>
      <c r="BP1915">
        <v>0</v>
      </c>
      <c r="BW1915" t="str">
        <f>"22:17:31.592"</f>
        <v>22:17:31.592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7</v>
      </c>
      <c r="CP1915" t="s">
        <v>119</v>
      </c>
      <c r="CQ1915">
        <v>364</v>
      </c>
      <c r="CR1915">
        <v>0</v>
      </c>
      <c r="CW1915">
        <v>1438416</v>
      </c>
      <c r="CY1915">
        <v>1</v>
      </c>
      <c r="CZ1915">
        <v>0</v>
      </c>
      <c r="DA1915">
        <v>1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"03/24/2022 22:17:31.785"</f>
        <v>03/24/2022 22:17:31.785</v>
      </c>
      <c r="C1916" t="str">
        <f t="shared" si="562"/>
        <v>FFDFD3C0</v>
      </c>
      <c r="D1916" t="s">
        <v>120</v>
      </c>
      <c r="E1916">
        <v>14</v>
      </c>
      <c r="F1916">
        <v>1014</v>
      </c>
      <c r="G1916" t="s">
        <v>121</v>
      </c>
      <c r="J1916" t="s">
        <v>122</v>
      </c>
      <c r="K1916">
        <v>0</v>
      </c>
      <c r="L1916">
        <v>3</v>
      </c>
      <c r="M1916">
        <v>0</v>
      </c>
      <c r="N1916">
        <v>2</v>
      </c>
      <c r="O1916">
        <v>0</v>
      </c>
      <c r="P1916">
        <v>1</v>
      </c>
      <c r="Q1916">
        <v>0</v>
      </c>
      <c r="S1916" t="str">
        <f t="shared" si="573"/>
        <v>22:17:31.000</v>
      </c>
      <c r="T1916" t="str">
        <f t="shared" si="573"/>
        <v>22:17:31.000</v>
      </c>
      <c r="U1916" t="str">
        <f t="shared" si="557"/>
        <v>A9D71F</v>
      </c>
      <c r="V1916">
        <v>0</v>
      </c>
      <c r="W1916">
        <v>0</v>
      </c>
      <c r="X1916">
        <v>2</v>
      </c>
      <c r="Z1916">
        <v>1</v>
      </c>
      <c r="AA1916">
        <v>8</v>
      </c>
      <c r="AB1916">
        <v>3</v>
      </c>
      <c r="AC1916">
        <v>0</v>
      </c>
      <c r="AD1916">
        <v>9</v>
      </c>
      <c r="AE1916">
        <v>0</v>
      </c>
      <c r="AF1916">
        <v>3</v>
      </c>
      <c r="AG1916">
        <v>1</v>
      </c>
      <c r="AH1916">
        <v>0</v>
      </c>
      <c r="AI1916" t="s">
        <v>1008</v>
      </c>
      <c r="AJ1916">
        <v>33.040286999999999</v>
      </c>
      <c r="AK1916" t="s">
        <v>1009</v>
      </c>
      <c r="AL1916">
        <v>-97.662191000000007</v>
      </c>
      <c r="AM1916">
        <v>25</v>
      </c>
      <c r="AN1916">
        <v>3400</v>
      </c>
      <c r="AO1916" t="s">
        <v>118</v>
      </c>
      <c r="AP1916">
        <v>24</v>
      </c>
      <c r="AQ1916">
        <v>-86</v>
      </c>
      <c r="AR1916">
        <v>-128</v>
      </c>
      <c r="AZ1916">
        <v>1200</v>
      </c>
      <c r="BA1916">
        <v>1</v>
      </c>
      <c r="BB1916" t="str">
        <f t="shared" si="564"/>
        <v xml:space="preserve">N733KP  </v>
      </c>
      <c r="BC1916">
        <v>1</v>
      </c>
      <c r="BE1916">
        <v>0</v>
      </c>
      <c r="BF1916">
        <v>0</v>
      </c>
      <c r="BG1916">
        <v>0</v>
      </c>
      <c r="BH1916">
        <v>3425</v>
      </c>
      <c r="BI1916">
        <v>1</v>
      </c>
      <c r="BJ1916">
        <v>1</v>
      </c>
      <c r="BK1916">
        <v>0</v>
      </c>
      <c r="BL1916">
        <v>0</v>
      </c>
      <c r="BO1916">
        <v>0</v>
      </c>
      <c r="BP1916">
        <v>0</v>
      </c>
      <c r="BW1916" t="str">
        <f>"22:17:31.592"</f>
        <v>22:17:31.592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7</v>
      </c>
      <c r="CP1916" t="s">
        <v>119</v>
      </c>
      <c r="CQ1916">
        <v>364</v>
      </c>
      <c r="CR1916">
        <v>0</v>
      </c>
      <c r="CW1916">
        <v>1438416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"03/24/2022 22:17:31.801"</f>
        <v>03/24/2022 22:17:31.801</v>
      </c>
      <c r="C1917" t="str">
        <f t="shared" si="562"/>
        <v>FFDFD3C0</v>
      </c>
      <c r="D1917" t="s">
        <v>113</v>
      </c>
      <c r="E1917">
        <v>24</v>
      </c>
      <c r="F1917">
        <v>2024</v>
      </c>
      <c r="G1917" t="s">
        <v>114</v>
      </c>
      <c r="J1917" t="s">
        <v>115</v>
      </c>
      <c r="K1917">
        <v>0</v>
      </c>
      <c r="L1917">
        <v>3</v>
      </c>
      <c r="M1917">
        <v>0</v>
      </c>
      <c r="N1917">
        <v>2</v>
      </c>
      <c r="O1917">
        <v>0</v>
      </c>
      <c r="P1917">
        <v>1</v>
      </c>
      <c r="Q1917">
        <v>0</v>
      </c>
      <c r="S1917" t="str">
        <f t="shared" si="573"/>
        <v>22:17:31.000</v>
      </c>
      <c r="T1917" t="str">
        <f t="shared" si="573"/>
        <v>22:17:31.000</v>
      </c>
      <c r="U1917" t="str">
        <f t="shared" si="557"/>
        <v>A9D71F</v>
      </c>
      <c r="V1917">
        <v>0</v>
      </c>
      <c r="W1917">
        <v>0</v>
      </c>
      <c r="X1917">
        <v>2</v>
      </c>
      <c r="Z1917">
        <v>1</v>
      </c>
      <c r="AA1917">
        <v>8</v>
      </c>
      <c r="AB1917">
        <v>3</v>
      </c>
      <c r="AC1917">
        <v>0</v>
      </c>
      <c r="AD1917">
        <v>9</v>
      </c>
      <c r="AE1917">
        <v>0</v>
      </c>
      <c r="AF1917">
        <v>3</v>
      </c>
      <c r="AG1917">
        <v>1</v>
      </c>
      <c r="AH1917">
        <v>0</v>
      </c>
      <c r="AI1917" t="s">
        <v>1008</v>
      </c>
      <c r="AJ1917">
        <v>33.040286999999999</v>
      </c>
      <c r="AK1917" t="s">
        <v>1009</v>
      </c>
      <c r="AL1917">
        <v>-97.662191000000007</v>
      </c>
      <c r="AM1917">
        <v>25</v>
      </c>
      <c r="AN1917">
        <v>3400</v>
      </c>
      <c r="AO1917" t="s">
        <v>118</v>
      </c>
      <c r="AP1917">
        <v>24</v>
      </c>
      <c r="AQ1917">
        <v>-86</v>
      </c>
      <c r="AR1917">
        <v>-128</v>
      </c>
      <c r="AZ1917">
        <v>1200</v>
      </c>
      <c r="BA1917">
        <v>1</v>
      </c>
      <c r="BB1917" t="str">
        <f t="shared" si="564"/>
        <v xml:space="preserve">N733KP  </v>
      </c>
      <c r="BC1917">
        <v>1</v>
      </c>
      <c r="BE1917">
        <v>0</v>
      </c>
      <c r="BF1917">
        <v>0</v>
      </c>
      <c r="BG1917">
        <v>0</v>
      </c>
      <c r="BH1917">
        <v>3425</v>
      </c>
      <c r="BI1917">
        <v>1</v>
      </c>
      <c r="BJ1917">
        <v>1</v>
      </c>
      <c r="BK1917">
        <v>0</v>
      </c>
      <c r="BL1917">
        <v>0</v>
      </c>
      <c r="BO1917">
        <v>0</v>
      </c>
      <c r="BP1917">
        <v>0</v>
      </c>
      <c r="BW1917" t="str">
        <f>"22:17:31.592"</f>
        <v>22:17:31.592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7</v>
      </c>
      <c r="CP1917" t="s">
        <v>119</v>
      </c>
      <c r="CQ1917">
        <v>364</v>
      </c>
      <c r="CR1917">
        <v>0</v>
      </c>
      <c r="CW1917">
        <v>1438416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"03/24/2022 22:17:33.146"</f>
        <v>03/24/2022 22:17:33.146</v>
      </c>
      <c r="C1918" t="str">
        <f t="shared" si="562"/>
        <v>FFDFD3C0</v>
      </c>
      <c r="D1918" t="s">
        <v>126</v>
      </c>
      <c r="E1918">
        <v>3</v>
      </c>
      <c r="H1918">
        <v>160</v>
      </c>
      <c r="I1918" t="s">
        <v>121</v>
      </c>
      <c r="J1918" t="s">
        <v>127</v>
      </c>
      <c r="K1918">
        <v>0</v>
      </c>
      <c r="L1918">
        <v>3</v>
      </c>
      <c r="M1918">
        <v>0</v>
      </c>
      <c r="N1918">
        <v>2</v>
      </c>
      <c r="O1918">
        <v>0</v>
      </c>
      <c r="P1918">
        <v>1</v>
      </c>
      <c r="Q1918">
        <v>0</v>
      </c>
      <c r="S1918" t="str">
        <f t="shared" ref="S1918:T1921" si="574">"22:17:32.000"</f>
        <v>22:17:32.000</v>
      </c>
      <c r="T1918" t="str">
        <f t="shared" si="574"/>
        <v>22:17:32.000</v>
      </c>
      <c r="U1918" t="str">
        <f t="shared" si="557"/>
        <v>A9D71F</v>
      </c>
      <c r="V1918">
        <v>0</v>
      </c>
      <c r="W1918">
        <v>0</v>
      </c>
      <c r="X1918">
        <v>2</v>
      </c>
      <c r="Z1918">
        <v>1</v>
      </c>
      <c r="AA1918">
        <v>8</v>
      </c>
      <c r="AB1918">
        <v>3</v>
      </c>
      <c r="AC1918">
        <v>0</v>
      </c>
      <c r="AD1918">
        <v>9</v>
      </c>
      <c r="AE1918">
        <v>0</v>
      </c>
      <c r="AF1918">
        <v>3</v>
      </c>
      <c r="AG1918">
        <v>1</v>
      </c>
      <c r="AH1918">
        <v>0</v>
      </c>
      <c r="AI1918" t="s">
        <v>1010</v>
      </c>
      <c r="AJ1918">
        <v>33.039879999999997</v>
      </c>
      <c r="AK1918" t="s">
        <v>1011</v>
      </c>
      <c r="AL1918">
        <v>-97.662063000000003</v>
      </c>
      <c r="AM1918">
        <v>25</v>
      </c>
      <c r="AN1918">
        <v>3400</v>
      </c>
      <c r="AO1918" t="s">
        <v>118</v>
      </c>
      <c r="AP1918">
        <v>24</v>
      </c>
      <c r="AQ1918">
        <v>-86</v>
      </c>
      <c r="AR1918">
        <v>-192</v>
      </c>
      <c r="AZ1918">
        <v>1200</v>
      </c>
      <c r="BA1918">
        <v>1</v>
      </c>
      <c r="BB1918" t="str">
        <f t="shared" si="564"/>
        <v xml:space="preserve">N733KP  </v>
      </c>
      <c r="BC1918">
        <v>1</v>
      </c>
      <c r="BE1918">
        <v>0</v>
      </c>
      <c r="BF1918">
        <v>0</v>
      </c>
      <c r="BG1918">
        <v>0</v>
      </c>
      <c r="BH1918">
        <v>3425</v>
      </c>
      <c r="BI1918">
        <v>1</v>
      </c>
      <c r="BJ1918">
        <v>1</v>
      </c>
      <c r="BK1918">
        <v>0</v>
      </c>
      <c r="BL1918">
        <v>0</v>
      </c>
      <c r="BO1918">
        <v>0</v>
      </c>
      <c r="BP1918">
        <v>0</v>
      </c>
      <c r="BW1918" t="str">
        <f>"22:17:32.935"</f>
        <v>22:17:32.935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7</v>
      </c>
      <c r="CP1918" t="s">
        <v>119</v>
      </c>
      <c r="CQ1918">
        <v>364</v>
      </c>
      <c r="CR1918">
        <v>0</v>
      </c>
      <c r="CW1918">
        <v>1438643</v>
      </c>
      <c r="CY1918">
        <v>1</v>
      </c>
      <c r="CZ1918">
        <v>0</v>
      </c>
      <c r="DA1918">
        <v>0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"03/24/2022 22:17:33.146"</f>
        <v>03/24/2022 22:17:33.146</v>
      </c>
      <c r="C1919" t="str">
        <f t="shared" si="562"/>
        <v>FFDFD3C0</v>
      </c>
      <c r="D1919" t="s">
        <v>120</v>
      </c>
      <c r="E1919">
        <v>14</v>
      </c>
      <c r="F1919">
        <v>1014</v>
      </c>
      <c r="G1919" t="s">
        <v>121</v>
      </c>
      <c r="J1919" t="s">
        <v>122</v>
      </c>
      <c r="K1919">
        <v>0</v>
      </c>
      <c r="L1919">
        <v>3</v>
      </c>
      <c r="M1919">
        <v>0</v>
      </c>
      <c r="N1919">
        <v>2</v>
      </c>
      <c r="O1919">
        <v>0</v>
      </c>
      <c r="P1919">
        <v>1</v>
      </c>
      <c r="Q1919">
        <v>0</v>
      </c>
      <c r="S1919" t="str">
        <f t="shared" si="574"/>
        <v>22:17:32.000</v>
      </c>
      <c r="T1919" t="str">
        <f t="shared" si="574"/>
        <v>22:17:32.000</v>
      </c>
      <c r="U1919" t="str">
        <f t="shared" si="557"/>
        <v>A9D71F</v>
      </c>
      <c r="V1919">
        <v>0</v>
      </c>
      <c r="W1919">
        <v>0</v>
      </c>
      <c r="X1919">
        <v>2</v>
      </c>
      <c r="Z1919">
        <v>1</v>
      </c>
      <c r="AA1919">
        <v>8</v>
      </c>
      <c r="AB1919">
        <v>3</v>
      </c>
      <c r="AC1919">
        <v>0</v>
      </c>
      <c r="AD1919">
        <v>9</v>
      </c>
      <c r="AE1919">
        <v>0</v>
      </c>
      <c r="AF1919">
        <v>3</v>
      </c>
      <c r="AG1919">
        <v>1</v>
      </c>
      <c r="AH1919">
        <v>0</v>
      </c>
      <c r="AI1919" t="s">
        <v>1010</v>
      </c>
      <c r="AJ1919">
        <v>33.039879999999997</v>
      </c>
      <c r="AK1919" t="s">
        <v>1011</v>
      </c>
      <c r="AL1919">
        <v>-97.662063000000003</v>
      </c>
      <c r="AM1919">
        <v>25</v>
      </c>
      <c r="AN1919">
        <v>3400</v>
      </c>
      <c r="AO1919" t="s">
        <v>118</v>
      </c>
      <c r="AP1919">
        <v>24</v>
      </c>
      <c r="AQ1919">
        <v>-86</v>
      </c>
      <c r="AR1919">
        <v>-192</v>
      </c>
      <c r="AZ1919">
        <v>1200</v>
      </c>
      <c r="BA1919">
        <v>1</v>
      </c>
      <c r="BB1919" t="str">
        <f t="shared" si="564"/>
        <v xml:space="preserve">N733KP  </v>
      </c>
      <c r="BC1919">
        <v>1</v>
      </c>
      <c r="BE1919">
        <v>0</v>
      </c>
      <c r="BF1919">
        <v>0</v>
      </c>
      <c r="BG1919">
        <v>0</v>
      </c>
      <c r="BH1919">
        <v>3425</v>
      </c>
      <c r="BI1919">
        <v>1</v>
      </c>
      <c r="BJ1919">
        <v>1</v>
      </c>
      <c r="BK1919">
        <v>0</v>
      </c>
      <c r="BL1919">
        <v>0</v>
      </c>
      <c r="BO1919">
        <v>0</v>
      </c>
      <c r="BP1919">
        <v>0</v>
      </c>
      <c r="BW1919" t="str">
        <f>"22:17:32.935"</f>
        <v>22:17:32.935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7</v>
      </c>
      <c r="CP1919" t="s">
        <v>119</v>
      </c>
      <c r="CQ1919">
        <v>364</v>
      </c>
      <c r="CR1919">
        <v>0</v>
      </c>
      <c r="CW1919">
        <v>1438643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"03/24/2022 22:17:33.146"</f>
        <v>03/24/2022 22:17:33.146</v>
      </c>
      <c r="C1920" t="str">
        <f t="shared" si="562"/>
        <v>FFDFD3C0</v>
      </c>
      <c r="D1920" t="s">
        <v>113</v>
      </c>
      <c r="E1920">
        <v>24</v>
      </c>
      <c r="F1920">
        <v>2024</v>
      </c>
      <c r="G1920" t="s">
        <v>114</v>
      </c>
      <c r="J1920" t="s">
        <v>115</v>
      </c>
      <c r="K1920">
        <v>0</v>
      </c>
      <c r="L1920">
        <v>3</v>
      </c>
      <c r="M1920">
        <v>0</v>
      </c>
      <c r="N1920">
        <v>2</v>
      </c>
      <c r="O1920">
        <v>0</v>
      </c>
      <c r="P1920">
        <v>1</v>
      </c>
      <c r="Q1920">
        <v>0</v>
      </c>
      <c r="S1920" t="str">
        <f t="shared" si="574"/>
        <v>22:17:32.000</v>
      </c>
      <c r="T1920" t="str">
        <f t="shared" si="574"/>
        <v>22:17:32.000</v>
      </c>
      <c r="U1920" t="str">
        <f t="shared" si="557"/>
        <v>A9D71F</v>
      </c>
      <c r="V1920">
        <v>0</v>
      </c>
      <c r="W1920">
        <v>0</v>
      </c>
      <c r="X1920">
        <v>2</v>
      </c>
      <c r="Z1920">
        <v>1</v>
      </c>
      <c r="AA1920">
        <v>8</v>
      </c>
      <c r="AB1920">
        <v>3</v>
      </c>
      <c r="AC1920">
        <v>0</v>
      </c>
      <c r="AD1920">
        <v>9</v>
      </c>
      <c r="AE1920">
        <v>0</v>
      </c>
      <c r="AF1920">
        <v>3</v>
      </c>
      <c r="AG1920">
        <v>1</v>
      </c>
      <c r="AH1920">
        <v>0</v>
      </c>
      <c r="AI1920" t="s">
        <v>1010</v>
      </c>
      <c r="AJ1920">
        <v>33.039879999999997</v>
      </c>
      <c r="AK1920" t="s">
        <v>1011</v>
      </c>
      <c r="AL1920">
        <v>-97.662063000000003</v>
      </c>
      <c r="AM1920">
        <v>25</v>
      </c>
      <c r="AN1920">
        <v>3400</v>
      </c>
      <c r="AO1920" t="s">
        <v>118</v>
      </c>
      <c r="AP1920">
        <v>24</v>
      </c>
      <c r="AQ1920">
        <v>-86</v>
      </c>
      <c r="AR1920">
        <v>-192</v>
      </c>
      <c r="AZ1920">
        <v>1200</v>
      </c>
      <c r="BA1920">
        <v>1</v>
      </c>
      <c r="BB1920" t="str">
        <f t="shared" si="564"/>
        <v xml:space="preserve">N733KP  </v>
      </c>
      <c r="BC1920">
        <v>1</v>
      </c>
      <c r="BE1920">
        <v>0</v>
      </c>
      <c r="BF1920">
        <v>0</v>
      </c>
      <c r="BG1920">
        <v>0</v>
      </c>
      <c r="BH1920">
        <v>3425</v>
      </c>
      <c r="BI1920">
        <v>1</v>
      </c>
      <c r="BJ1920">
        <v>1</v>
      </c>
      <c r="BK1920">
        <v>0</v>
      </c>
      <c r="BL1920">
        <v>0</v>
      </c>
      <c r="BO1920">
        <v>0</v>
      </c>
      <c r="BP1920">
        <v>0</v>
      </c>
      <c r="BW1920" t="str">
        <f>"22:17:32.935"</f>
        <v>22:17:32.935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7</v>
      </c>
      <c r="CP1920" t="s">
        <v>119</v>
      </c>
      <c r="CQ1920">
        <v>364</v>
      </c>
      <c r="CR1920">
        <v>0</v>
      </c>
      <c r="CW1920">
        <v>1438643</v>
      </c>
      <c r="CY1920">
        <v>1</v>
      </c>
      <c r="CZ1920">
        <v>0</v>
      </c>
      <c r="DA1920">
        <v>1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"03/24/2022 22:17:33.161"</f>
        <v>03/24/2022 22:17:33.161</v>
      </c>
      <c r="C1921" t="str">
        <f t="shared" si="562"/>
        <v>FFDFD3C0</v>
      </c>
      <c r="D1921" t="s">
        <v>123</v>
      </c>
      <c r="E1921">
        <v>8</v>
      </c>
      <c r="H1921">
        <v>31</v>
      </c>
      <c r="I1921" t="s">
        <v>124</v>
      </c>
      <c r="J1921" t="s">
        <v>125</v>
      </c>
      <c r="K1921">
        <v>0</v>
      </c>
      <c r="L1921">
        <v>3</v>
      </c>
      <c r="M1921">
        <v>0</v>
      </c>
      <c r="N1921">
        <v>2</v>
      </c>
      <c r="O1921">
        <v>0</v>
      </c>
      <c r="P1921">
        <v>1</v>
      </c>
      <c r="Q1921">
        <v>0</v>
      </c>
      <c r="S1921" t="str">
        <f t="shared" si="574"/>
        <v>22:17:32.000</v>
      </c>
      <c r="T1921" t="str">
        <f t="shared" si="574"/>
        <v>22:17:32.000</v>
      </c>
      <c r="U1921" t="str">
        <f t="shared" si="557"/>
        <v>A9D71F</v>
      </c>
      <c r="V1921">
        <v>0</v>
      </c>
      <c r="W1921">
        <v>0</v>
      </c>
      <c r="X1921">
        <v>2</v>
      </c>
      <c r="Z1921">
        <v>1</v>
      </c>
      <c r="AA1921">
        <v>8</v>
      </c>
      <c r="AB1921">
        <v>3</v>
      </c>
      <c r="AC1921">
        <v>0</v>
      </c>
      <c r="AD1921">
        <v>9</v>
      </c>
      <c r="AE1921">
        <v>0</v>
      </c>
      <c r="AF1921">
        <v>3</v>
      </c>
      <c r="AG1921">
        <v>1</v>
      </c>
      <c r="AH1921">
        <v>0</v>
      </c>
      <c r="AI1921" t="s">
        <v>1010</v>
      </c>
      <c r="AJ1921">
        <v>33.039879999999997</v>
      </c>
      <c r="AK1921" t="s">
        <v>1011</v>
      </c>
      <c r="AL1921">
        <v>-97.662063000000003</v>
      </c>
      <c r="AM1921">
        <v>25</v>
      </c>
      <c r="AN1921">
        <v>3400</v>
      </c>
      <c r="AO1921" t="s">
        <v>118</v>
      </c>
      <c r="AP1921">
        <v>24</v>
      </c>
      <c r="AQ1921">
        <v>-86</v>
      </c>
      <c r="AR1921">
        <v>-192</v>
      </c>
      <c r="AZ1921">
        <v>1200</v>
      </c>
      <c r="BA1921">
        <v>1</v>
      </c>
      <c r="BB1921" t="str">
        <f t="shared" si="564"/>
        <v xml:space="preserve">N733KP  </v>
      </c>
      <c r="BC1921">
        <v>1</v>
      </c>
      <c r="BE1921">
        <v>0</v>
      </c>
      <c r="BF1921">
        <v>0</v>
      </c>
      <c r="BG1921">
        <v>0</v>
      </c>
      <c r="BH1921">
        <v>3425</v>
      </c>
      <c r="BI1921">
        <v>1</v>
      </c>
      <c r="BJ1921">
        <v>1</v>
      </c>
      <c r="BK1921">
        <v>0</v>
      </c>
      <c r="BL1921">
        <v>0</v>
      </c>
      <c r="BO1921">
        <v>0</v>
      </c>
      <c r="BP1921">
        <v>0</v>
      </c>
      <c r="BW1921" t="str">
        <f>"22:17:32.935"</f>
        <v>22:17:32.935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7</v>
      </c>
      <c r="CP1921" t="s">
        <v>119</v>
      </c>
      <c r="CQ1921">
        <v>364</v>
      </c>
      <c r="CR1921">
        <v>0</v>
      </c>
      <c r="CW1921">
        <v>1438643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"03/24/2022 22:17:33.945"</f>
        <v>03/24/2022 22:17:33.945</v>
      </c>
      <c r="C1922" t="str">
        <f t="shared" si="562"/>
        <v>FFDFD3C0</v>
      </c>
      <c r="D1922" t="s">
        <v>123</v>
      </c>
      <c r="E1922">
        <v>8</v>
      </c>
      <c r="H1922">
        <v>31</v>
      </c>
      <c r="I1922" t="s">
        <v>124</v>
      </c>
      <c r="J1922" t="s">
        <v>125</v>
      </c>
      <c r="K1922">
        <v>0</v>
      </c>
      <c r="L1922">
        <v>3</v>
      </c>
      <c r="M1922">
        <v>0</v>
      </c>
      <c r="N1922">
        <v>2</v>
      </c>
      <c r="O1922">
        <v>0</v>
      </c>
      <c r="P1922">
        <v>1</v>
      </c>
      <c r="Q1922">
        <v>0</v>
      </c>
      <c r="S1922" t="str">
        <f t="shared" ref="S1922:T1925" si="575">"22:17:33.000"</f>
        <v>22:17:33.000</v>
      </c>
      <c r="T1922" t="str">
        <f t="shared" si="575"/>
        <v>22:17:33.000</v>
      </c>
      <c r="U1922" t="str">
        <f t="shared" ref="U1922:U1985" si="576">"A9D71F"</f>
        <v>A9D71F</v>
      </c>
      <c r="V1922">
        <v>0</v>
      </c>
      <c r="W1922">
        <v>0</v>
      </c>
      <c r="X1922">
        <v>2</v>
      </c>
      <c r="Z1922">
        <v>1</v>
      </c>
      <c r="AA1922">
        <v>8</v>
      </c>
      <c r="AB1922">
        <v>3</v>
      </c>
      <c r="AC1922">
        <v>0</v>
      </c>
      <c r="AD1922">
        <v>9</v>
      </c>
      <c r="AE1922">
        <v>0</v>
      </c>
      <c r="AF1922">
        <v>3</v>
      </c>
      <c r="AG1922">
        <v>1</v>
      </c>
      <c r="AH1922">
        <v>0</v>
      </c>
      <c r="AI1922" t="s">
        <v>1012</v>
      </c>
      <c r="AJ1922">
        <v>33.039493999999998</v>
      </c>
      <c r="AK1922" t="s">
        <v>1013</v>
      </c>
      <c r="AL1922">
        <v>-97.661934000000002</v>
      </c>
      <c r="AM1922">
        <v>25</v>
      </c>
      <c r="AN1922">
        <v>3400</v>
      </c>
      <c r="AO1922" t="s">
        <v>118</v>
      </c>
      <c r="AP1922">
        <v>25</v>
      </c>
      <c r="AQ1922">
        <v>-86</v>
      </c>
      <c r="AR1922">
        <v>-192</v>
      </c>
      <c r="AZ1922">
        <v>1200</v>
      </c>
      <c r="BA1922">
        <v>1</v>
      </c>
      <c r="BB1922" t="str">
        <f t="shared" si="564"/>
        <v xml:space="preserve">N733KP  </v>
      </c>
      <c r="BC1922">
        <v>1</v>
      </c>
      <c r="BE1922">
        <v>0</v>
      </c>
      <c r="BF1922">
        <v>0</v>
      </c>
      <c r="BG1922">
        <v>0</v>
      </c>
      <c r="BH1922">
        <v>3425</v>
      </c>
      <c r="BI1922">
        <v>1</v>
      </c>
      <c r="BJ1922">
        <v>1</v>
      </c>
      <c r="BK1922">
        <v>0</v>
      </c>
      <c r="BL1922">
        <v>0</v>
      </c>
      <c r="BO1922">
        <v>0</v>
      </c>
      <c r="BP1922">
        <v>0</v>
      </c>
      <c r="BW1922" t="str">
        <f>"22:17:33.779"</f>
        <v>22:17:33.779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7</v>
      </c>
      <c r="CP1922" t="s">
        <v>119</v>
      </c>
      <c r="CQ1922">
        <v>364</v>
      </c>
      <c r="CR1922">
        <v>0</v>
      </c>
      <c r="CW1922">
        <v>1438765</v>
      </c>
      <c r="CY1922">
        <v>1</v>
      </c>
      <c r="CZ1922">
        <v>0</v>
      </c>
      <c r="DA1922">
        <v>0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"03/24/2022 22:17:33.945"</f>
        <v>03/24/2022 22:17:33.945</v>
      </c>
      <c r="C1923" t="str">
        <f t="shared" si="562"/>
        <v>FFDFD3C0</v>
      </c>
      <c r="D1923" t="s">
        <v>126</v>
      </c>
      <c r="E1923">
        <v>3</v>
      </c>
      <c r="H1923">
        <v>160</v>
      </c>
      <c r="I1923" t="s">
        <v>121</v>
      </c>
      <c r="J1923" t="s">
        <v>127</v>
      </c>
      <c r="K1923">
        <v>0</v>
      </c>
      <c r="L1923">
        <v>3</v>
      </c>
      <c r="M1923">
        <v>0</v>
      </c>
      <c r="N1923">
        <v>2</v>
      </c>
      <c r="O1923">
        <v>0</v>
      </c>
      <c r="P1923">
        <v>1</v>
      </c>
      <c r="Q1923">
        <v>0</v>
      </c>
      <c r="S1923" t="str">
        <f t="shared" si="575"/>
        <v>22:17:33.000</v>
      </c>
      <c r="T1923" t="str">
        <f t="shared" si="575"/>
        <v>22:17:33.000</v>
      </c>
      <c r="U1923" t="str">
        <f t="shared" si="576"/>
        <v>A9D71F</v>
      </c>
      <c r="V1923">
        <v>0</v>
      </c>
      <c r="W1923">
        <v>0</v>
      </c>
      <c r="X1923">
        <v>2</v>
      </c>
      <c r="Z1923">
        <v>1</v>
      </c>
      <c r="AA1923">
        <v>8</v>
      </c>
      <c r="AB1923">
        <v>3</v>
      </c>
      <c r="AC1923">
        <v>0</v>
      </c>
      <c r="AD1923">
        <v>9</v>
      </c>
      <c r="AE1923">
        <v>0</v>
      </c>
      <c r="AF1923">
        <v>3</v>
      </c>
      <c r="AG1923">
        <v>1</v>
      </c>
      <c r="AH1923">
        <v>0</v>
      </c>
      <c r="AI1923" t="s">
        <v>1012</v>
      </c>
      <c r="AJ1923">
        <v>33.039493999999998</v>
      </c>
      <c r="AK1923" t="s">
        <v>1013</v>
      </c>
      <c r="AL1923">
        <v>-97.661934000000002</v>
      </c>
      <c r="AM1923">
        <v>25</v>
      </c>
      <c r="AN1923">
        <v>3400</v>
      </c>
      <c r="AO1923" t="s">
        <v>118</v>
      </c>
      <c r="AP1923">
        <v>25</v>
      </c>
      <c r="AQ1923">
        <v>-86</v>
      </c>
      <c r="AR1923">
        <v>-192</v>
      </c>
      <c r="AZ1923">
        <v>1200</v>
      </c>
      <c r="BA1923">
        <v>1</v>
      </c>
      <c r="BB1923" t="str">
        <f t="shared" si="564"/>
        <v xml:space="preserve">N733KP  </v>
      </c>
      <c r="BC1923">
        <v>1</v>
      </c>
      <c r="BE1923">
        <v>0</v>
      </c>
      <c r="BF1923">
        <v>0</v>
      </c>
      <c r="BG1923">
        <v>0</v>
      </c>
      <c r="BH1923">
        <v>3425</v>
      </c>
      <c r="BI1923">
        <v>1</v>
      </c>
      <c r="BJ1923">
        <v>1</v>
      </c>
      <c r="BK1923">
        <v>0</v>
      </c>
      <c r="BL1923">
        <v>0</v>
      </c>
      <c r="BO1923">
        <v>0</v>
      </c>
      <c r="BP1923">
        <v>0</v>
      </c>
      <c r="BW1923" t="str">
        <f>"22:17:33.779"</f>
        <v>22:17:33.779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7</v>
      </c>
      <c r="CP1923" t="s">
        <v>119</v>
      </c>
      <c r="CQ1923">
        <v>364</v>
      </c>
      <c r="CR1923">
        <v>0</v>
      </c>
      <c r="CW1923">
        <v>1438765</v>
      </c>
      <c r="CY1923">
        <v>1</v>
      </c>
      <c r="CZ1923">
        <v>0</v>
      </c>
      <c r="DA1923">
        <v>1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"03/24/2022 22:17:33.992"</f>
        <v>03/24/2022 22:17:33.992</v>
      </c>
      <c r="C1924" t="str">
        <f t="shared" si="562"/>
        <v>FFDFD3C0</v>
      </c>
      <c r="D1924" t="s">
        <v>120</v>
      </c>
      <c r="E1924">
        <v>14</v>
      </c>
      <c r="F1924">
        <v>1014</v>
      </c>
      <c r="G1924" t="s">
        <v>121</v>
      </c>
      <c r="J1924" t="s">
        <v>122</v>
      </c>
      <c r="K1924">
        <v>0</v>
      </c>
      <c r="L1924">
        <v>3</v>
      </c>
      <c r="M1924">
        <v>0</v>
      </c>
      <c r="N1924">
        <v>2</v>
      </c>
      <c r="O1924">
        <v>0</v>
      </c>
      <c r="P1924">
        <v>1</v>
      </c>
      <c r="Q1924">
        <v>0</v>
      </c>
      <c r="S1924" t="str">
        <f t="shared" si="575"/>
        <v>22:17:33.000</v>
      </c>
      <c r="T1924" t="str">
        <f t="shared" si="575"/>
        <v>22:17:33.000</v>
      </c>
      <c r="U1924" t="str">
        <f t="shared" si="576"/>
        <v>A9D71F</v>
      </c>
      <c r="V1924">
        <v>0</v>
      </c>
      <c r="W1924">
        <v>0</v>
      </c>
      <c r="X1924">
        <v>2</v>
      </c>
      <c r="Z1924">
        <v>1</v>
      </c>
      <c r="AA1924">
        <v>8</v>
      </c>
      <c r="AB1924">
        <v>3</v>
      </c>
      <c r="AC1924">
        <v>0</v>
      </c>
      <c r="AD1924">
        <v>9</v>
      </c>
      <c r="AE1924">
        <v>0</v>
      </c>
      <c r="AF1924">
        <v>3</v>
      </c>
      <c r="AG1924">
        <v>1</v>
      </c>
      <c r="AH1924">
        <v>0</v>
      </c>
      <c r="AI1924" t="s">
        <v>1012</v>
      </c>
      <c r="AJ1924">
        <v>33.039493999999998</v>
      </c>
      <c r="AK1924" t="s">
        <v>1013</v>
      </c>
      <c r="AL1924">
        <v>-97.661934000000002</v>
      </c>
      <c r="AM1924">
        <v>25</v>
      </c>
      <c r="AN1924">
        <v>3400</v>
      </c>
      <c r="AO1924" t="s">
        <v>118</v>
      </c>
      <c r="AP1924">
        <v>25</v>
      </c>
      <c r="AQ1924">
        <v>-86</v>
      </c>
      <c r="AR1924">
        <v>-192</v>
      </c>
      <c r="AZ1924">
        <v>1200</v>
      </c>
      <c r="BA1924">
        <v>1</v>
      </c>
      <c r="BB1924" t="str">
        <f t="shared" si="564"/>
        <v xml:space="preserve">N733KP  </v>
      </c>
      <c r="BC1924">
        <v>1</v>
      </c>
      <c r="BE1924">
        <v>0</v>
      </c>
      <c r="BF1924">
        <v>0</v>
      </c>
      <c r="BG1924">
        <v>0</v>
      </c>
      <c r="BH1924">
        <v>3425</v>
      </c>
      <c r="BI1924">
        <v>1</v>
      </c>
      <c r="BJ1924">
        <v>1</v>
      </c>
      <c r="BK1924">
        <v>0</v>
      </c>
      <c r="BL1924">
        <v>0</v>
      </c>
      <c r="BO1924">
        <v>0</v>
      </c>
      <c r="BP1924">
        <v>0</v>
      </c>
      <c r="BW1924" t="str">
        <f>"22:17:33.779"</f>
        <v>22:17:33.779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7</v>
      </c>
      <c r="CP1924" t="s">
        <v>119</v>
      </c>
      <c r="CQ1924">
        <v>364</v>
      </c>
      <c r="CR1924">
        <v>0</v>
      </c>
      <c r="CW1924">
        <v>1438765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>"03/24/2022 22:17:34.007"</f>
        <v>03/24/2022 22:17:34.007</v>
      </c>
      <c r="C1925" t="str">
        <f t="shared" si="562"/>
        <v>FFDFD3C0</v>
      </c>
      <c r="D1925" t="s">
        <v>113</v>
      </c>
      <c r="E1925">
        <v>24</v>
      </c>
      <c r="F1925">
        <v>2024</v>
      </c>
      <c r="G1925" t="s">
        <v>114</v>
      </c>
      <c r="J1925" t="s">
        <v>115</v>
      </c>
      <c r="K1925">
        <v>0</v>
      </c>
      <c r="L1925">
        <v>3</v>
      </c>
      <c r="M1925">
        <v>0</v>
      </c>
      <c r="N1925">
        <v>2</v>
      </c>
      <c r="O1925">
        <v>0</v>
      </c>
      <c r="P1925">
        <v>1</v>
      </c>
      <c r="Q1925">
        <v>0</v>
      </c>
      <c r="S1925" t="str">
        <f t="shared" si="575"/>
        <v>22:17:33.000</v>
      </c>
      <c r="T1925" t="str">
        <f t="shared" si="575"/>
        <v>22:17:33.000</v>
      </c>
      <c r="U1925" t="str">
        <f t="shared" si="576"/>
        <v>A9D71F</v>
      </c>
      <c r="V1925">
        <v>0</v>
      </c>
      <c r="W1925">
        <v>0</v>
      </c>
      <c r="X1925">
        <v>2</v>
      </c>
      <c r="Z1925">
        <v>1</v>
      </c>
      <c r="AA1925">
        <v>8</v>
      </c>
      <c r="AB1925">
        <v>3</v>
      </c>
      <c r="AC1925">
        <v>0</v>
      </c>
      <c r="AD1925">
        <v>9</v>
      </c>
      <c r="AE1925">
        <v>0</v>
      </c>
      <c r="AF1925">
        <v>3</v>
      </c>
      <c r="AG1925">
        <v>1</v>
      </c>
      <c r="AH1925">
        <v>0</v>
      </c>
      <c r="AI1925" t="s">
        <v>1012</v>
      </c>
      <c r="AJ1925">
        <v>33.039493999999998</v>
      </c>
      <c r="AK1925" t="s">
        <v>1013</v>
      </c>
      <c r="AL1925">
        <v>-97.661934000000002</v>
      </c>
      <c r="AM1925">
        <v>25</v>
      </c>
      <c r="AN1925">
        <v>3400</v>
      </c>
      <c r="AO1925" t="s">
        <v>118</v>
      </c>
      <c r="AP1925">
        <v>25</v>
      </c>
      <c r="AQ1925">
        <v>-86</v>
      </c>
      <c r="AR1925">
        <v>-192</v>
      </c>
      <c r="AZ1925">
        <v>1200</v>
      </c>
      <c r="BA1925">
        <v>1</v>
      </c>
      <c r="BB1925" t="str">
        <f t="shared" si="564"/>
        <v xml:space="preserve">N733KP  </v>
      </c>
      <c r="BC1925">
        <v>1</v>
      </c>
      <c r="BE1925">
        <v>0</v>
      </c>
      <c r="BF1925">
        <v>0</v>
      </c>
      <c r="BG1925">
        <v>0</v>
      </c>
      <c r="BH1925">
        <v>3425</v>
      </c>
      <c r="BI1925">
        <v>1</v>
      </c>
      <c r="BJ1925">
        <v>1</v>
      </c>
      <c r="BK1925">
        <v>0</v>
      </c>
      <c r="BL1925">
        <v>0</v>
      </c>
      <c r="BO1925">
        <v>0</v>
      </c>
      <c r="BP1925">
        <v>0</v>
      </c>
      <c r="BW1925" t="str">
        <f>"22:17:33.779"</f>
        <v>22:17:33.779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119</v>
      </c>
      <c r="CQ1925">
        <v>364</v>
      </c>
      <c r="CR1925">
        <v>0</v>
      </c>
      <c r="CW1925">
        <v>1438765</v>
      </c>
      <c r="CY1925">
        <v>1</v>
      </c>
      <c r="CZ1925">
        <v>0</v>
      </c>
      <c r="DA1925">
        <v>1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>"03/24/2022 22:17:34.868"</f>
        <v>03/24/2022 22:17:34.868</v>
      </c>
      <c r="C1926" t="str">
        <f t="shared" si="562"/>
        <v>FFDFD3C0</v>
      </c>
      <c r="D1926" t="s">
        <v>126</v>
      </c>
      <c r="E1926">
        <v>3</v>
      </c>
      <c r="H1926">
        <v>160</v>
      </c>
      <c r="I1926" t="s">
        <v>121</v>
      </c>
      <c r="J1926" t="s">
        <v>127</v>
      </c>
      <c r="K1926">
        <v>0</v>
      </c>
      <c r="L1926">
        <v>3</v>
      </c>
      <c r="M1926">
        <v>0</v>
      </c>
      <c r="N1926">
        <v>2</v>
      </c>
      <c r="O1926">
        <v>0</v>
      </c>
      <c r="P1926">
        <v>1</v>
      </c>
      <c r="Q1926">
        <v>0</v>
      </c>
      <c r="S1926" t="str">
        <f t="shared" ref="S1926:T1929" si="577">"22:17:34.000"</f>
        <v>22:17:34.000</v>
      </c>
      <c r="T1926" t="str">
        <f t="shared" si="577"/>
        <v>22:17:34.000</v>
      </c>
      <c r="U1926" t="str">
        <f t="shared" si="576"/>
        <v>A9D71F</v>
      </c>
      <c r="V1926">
        <v>0</v>
      </c>
      <c r="W1926">
        <v>0</v>
      </c>
      <c r="X1926">
        <v>2</v>
      </c>
      <c r="Z1926">
        <v>1</v>
      </c>
      <c r="AA1926">
        <v>8</v>
      </c>
      <c r="AB1926">
        <v>3</v>
      </c>
      <c r="AC1926">
        <v>0</v>
      </c>
      <c r="AD1926">
        <v>9</v>
      </c>
      <c r="AE1926">
        <v>0</v>
      </c>
      <c r="AF1926">
        <v>3</v>
      </c>
      <c r="AG1926">
        <v>1</v>
      </c>
      <c r="AH1926">
        <v>0</v>
      </c>
      <c r="AI1926" t="s">
        <v>1014</v>
      </c>
      <c r="AJ1926">
        <v>33.039085999999998</v>
      </c>
      <c r="AK1926" t="s">
        <v>1015</v>
      </c>
      <c r="AL1926">
        <v>-97.661783999999997</v>
      </c>
      <c r="AM1926">
        <v>25</v>
      </c>
      <c r="AN1926">
        <v>3400</v>
      </c>
      <c r="AO1926" t="s">
        <v>118</v>
      </c>
      <c r="AP1926">
        <v>26</v>
      </c>
      <c r="AQ1926">
        <v>-86</v>
      </c>
      <c r="AR1926">
        <v>-128</v>
      </c>
      <c r="AZ1926">
        <v>1200</v>
      </c>
      <c r="BA1926">
        <v>1</v>
      </c>
      <c r="BB1926" t="str">
        <f t="shared" si="564"/>
        <v xml:space="preserve">N733KP  </v>
      </c>
      <c r="BC1926">
        <v>1</v>
      </c>
      <c r="BE1926">
        <v>0</v>
      </c>
      <c r="BF1926">
        <v>0</v>
      </c>
      <c r="BG1926">
        <v>0</v>
      </c>
      <c r="BH1926">
        <v>3400</v>
      </c>
      <c r="BI1926">
        <v>1</v>
      </c>
      <c r="BJ1926">
        <v>1</v>
      </c>
      <c r="BK1926">
        <v>0</v>
      </c>
      <c r="BL1926">
        <v>0</v>
      </c>
      <c r="BO1926">
        <v>0</v>
      </c>
      <c r="BP1926">
        <v>0</v>
      </c>
      <c r="BW1926" t="str">
        <f>"22:17:34.712"</f>
        <v>22:17:34.712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119</v>
      </c>
      <c r="CQ1926">
        <v>364</v>
      </c>
      <c r="CR1926">
        <v>0</v>
      </c>
      <c r="CW1926">
        <v>1438924</v>
      </c>
      <c r="CY1926">
        <v>1</v>
      </c>
      <c r="CZ1926">
        <v>0</v>
      </c>
      <c r="DA1926">
        <v>0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"03/24/2022 22:17:34.915"</f>
        <v>03/24/2022 22:17:34.915</v>
      </c>
      <c r="C1927" t="str">
        <f t="shared" si="562"/>
        <v>FFDFD3C0</v>
      </c>
      <c r="D1927" t="s">
        <v>120</v>
      </c>
      <c r="E1927">
        <v>14</v>
      </c>
      <c r="F1927">
        <v>1014</v>
      </c>
      <c r="G1927" t="s">
        <v>121</v>
      </c>
      <c r="J1927" t="s">
        <v>122</v>
      </c>
      <c r="K1927">
        <v>0</v>
      </c>
      <c r="L1927">
        <v>3</v>
      </c>
      <c r="M1927">
        <v>0</v>
      </c>
      <c r="N1927">
        <v>2</v>
      </c>
      <c r="O1927">
        <v>0</v>
      </c>
      <c r="P1927">
        <v>1</v>
      </c>
      <c r="Q1927">
        <v>0</v>
      </c>
      <c r="S1927" t="str">
        <f t="shared" si="577"/>
        <v>22:17:34.000</v>
      </c>
      <c r="T1927" t="str">
        <f t="shared" si="577"/>
        <v>22:17:34.000</v>
      </c>
      <c r="U1927" t="str">
        <f t="shared" si="576"/>
        <v>A9D71F</v>
      </c>
      <c r="V1927">
        <v>0</v>
      </c>
      <c r="W1927">
        <v>0</v>
      </c>
      <c r="X1927">
        <v>2</v>
      </c>
      <c r="Z1927">
        <v>1</v>
      </c>
      <c r="AA1927">
        <v>8</v>
      </c>
      <c r="AB1927">
        <v>3</v>
      </c>
      <c r="AC1927">
        <v>0</v>
      </c>
      <c r="AD1927">
        <v>9</v>
      </c>
      <c r="AE1927">
        <v>0</v>
      </c>
      <c r="AF1927">
        <v>3</v>
      </c>
      <c r="AG1927">
        <v>1</v>
      </c>
      <c r="AH1927">
        <v>0</v>
      </c>
      <c r="AI1927" t="s">
        <v>1014</v>
      </c>
      <c r="AJ1927">
        <v>33.039085999999998</v>
      </c>
      <c r="AK1927" t="s">
        <v>1015</v>
      </c>
      <c r="AL1927">
        <v>-97.661783999999997</v>
      </c>
      <c r="AM1927">
        <v>25</v>
      </c>
      <c r="AN1927">
        <v>3400</v>
      </c>
      <c r="AO1927" t="s">
        <v>118</v>
      </c>
      <c r="AP1927">
        <v>26</v>
      </c>
      <c r="AQ1927">
        <v>-86</v>
      </c>
      <c r="AR1927">
        <v>-128</v>
      </c>
      <c r="AZ1927">
        <v>1200</v>
      </c>
      <c r="BA1927">
        <v>1</v>
      </c>
      <c r="BB1927" t="str">
        <f t="shared" si="564"/>
        <v xml:space="preserve">N733KP  </v>
      </c>
      <c r="BC1927">
        <v>1</v>
      </c>
      <c r="BE1927">
        <v>0</v>
      </c>
      <c r="BF1927">
        <v>0</v>
      </c>
      <c r="BG1927">
        <v>0</v>
      </c>
      <c r="BH1927">
        <v>3400</v>
      </c>
      <c r="BI1927">
        <v>1</v>
      </c>
      <c r="BJ1927">
        <v>1</v>
      </c>
      <c r="BK1927">
        <v>0</v>
      </c>
      <c r="BL1927">
        <v>0</v>
      </c>
      <c r="BO1927">
        <v>0</v>
      </c>
      <c r="BP1927">
        <v>0</v>
      </c>
      <c r="BW1927" t="str">
        <f>"22:17:34.712"</f>
        <v>22:17:34.712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7</v>
      </c>
      <c r="CP1927" t="s">
        <v>119</v>
      </c>
      <c r="CQ1927">
        <v>364</v>
      </c>
      <c r="CR1927">
        <v>0</v>
      </c>
      <c r="CW1927">
        <v>1438924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"03/24/2022 22:17:34.915"</f>
        <v>03/24/2022 22:17:34.915</v>
      </c>
      <c r="C1928" t="str">
        <f t="shared" si="562"/>
        <v>FFDFD3C0</v>
      </c>
      <c r="D1928" t="s">
        <v>113</v>
      </c>
      <c r="E1928">
        <v>24</v>
      </c>
      <c r="F1928">
        <v>2024</v>
      </c>
      <c r="G1928" t="s">
        <v>114</v>
      </c>
      <c r="J1928" t="s">
        <v>115</v>
      </c>
      <c r="K1928">
        <v>0</v>
      </c>
      <c r="L1928">
        <v>3</v>
      </c>
      <c r="M1928">
        <v>0</v>
      </c>
      <c r="N1928">
        <v>2</v>
      </c>
      <c r="O1928">
        <v>0</v>
      </c>
      <c r="P1928">
        <v>1</v>
      </c>
      <c r="Q1928">
        <v>0</v>
      </c>
      <c r="S1928" t="str">
        <f t="shared" si="577"/>
        <v>22:17:34.000</v>
      </c>
      <c r="T1928" t="str">
        <f t="shared" si="577"/>
        <v>22:17:34.000</v>
      </c>
      <c r="U1928" t="str">
        <f t="shared" si="576"/>
        <v>A9D71F</v>
      </c>
      <c r="V1928">
        <v>0</v>
      </c>
      <c r="W1928">
        <v>0</v>
      </c>
      <c r="X1928">
        <v>2</v>
      </c>
      <c r="Z1928">
        <v>1</v>
      </c>
      <c r="AA1928">
        <v>8</v>
      </c>
      <c r="AB1928">
        <v>3</v>
      </c>
      <c r="AC1928">
        <v>0</v>
      </c>
      <c r="AD1928">
        <v>9</v>
      </c>
      <c r="AE1928">
        <v>0</v>
      </c>
      <c r="AF1928">
        <v>3</v>
      </c>
      <c r="AG1928">
        <v>1</v>
      </c>
      <c r="AH1928">
        <v>0</v>
      </c>
      <c r="AI1928" t="s">
        <v>1014</v>
      </c>
      <c r="AJ1928">
        <v>33.039085999999998</v>
      </c>
      <c r="AK1928" t="s">
        <v>1015</v>
      </c>
      <c r="AL1928">
        <v>-97.661783999999997</v>
      </c>
      <c r="AM1928">
        <v>25</v>
      </c>
      <c r="AN1928">
        <v>3400</v>
      </c>
      <c r="AO1928" t="s">
        <v>118</v>
      </c>
      <c r="AP1928">
        <v>26</v>
      </c>
      <c r="AQ1928">
        <v>-86</v>
      </c>
      <c r="AR1928">
        <v>-128</v>
      </c>
      <c r="AZ1928">
        <v>1200</v>
      </c>
      <c r="BA1928">
        <v>1</v>
      </c>
      <c r="BB1928" t="str">
        <f t="shared" si="564"/>
        <v xml:space="preserve">N733KP  </v>
      </c>
      <c r="BC1928">
        <v>1</v>
      </c>
      <c r="BE1928">
        <v>0</v>
      </c>
      <c r="BF1928">
        <v>0</v>
      </c>
      <c r="BG1928">
        <v>0</v>
      </c>
      <c r="BH1928">
        <v>3400</v>
      </c>
      <c r="BI1928">
        <v>1</v>
      </c>
      <c r="BJ1928">
        <v>1</v>
      </c>
      <c r="BK1928">
        <v>0</v>
      </c>
      <c r="BL1928">
        <v>0</v>
      </c>
      <c r="BO1928">
        <v>0</v>
      </c>
      <c r="BP1928">
        <v>0</v>
      </c>
      <c r="BW1928" t="str">
        <f>"22:17:34.712"</f>
        <v>22:17:34.712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7</v>
      </c>
      <c r="CP1928" t="s">
        <v>119</v>
      </c>
      <c r="CQ1928">
        <v>364</v>
      </c>
      <c r="CR1928">
        <v>0</v>
      </c>
      <c r="CW1928">
        <v>1438924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"03/24/2022 22:17:34.915"</f>
        <v>03/24/2022 22:17:34.915</v>
      </c>
      <c r="C1929" t="str">
        <f t="shared" si="562"/>
        <v>FFDFD3C0</v>
      </c>
      <c r="D1929" t="s">
        <v>123</v>
      </c>
      <c r="E1929">
        <v>8</v>
      </c>
      <c r="H1929">
        <v>31</v>
      </c>
      <c r="I1929" t="s">
        <v>124</v>
      </c>
      <c r="J1929" t="s">
        <v>125</v>
      </c>
      <c r="K1929">
        <v>0</v>
      </c>
      <c r="L1929">
        <v>3</v>
      </c>
      <c r="M1929">
        <v>0</v>
      </c>
      <c r="N1929">
        <v>2</v>
      </c>
      <c r="O1929">
        <v>0</v>
      </c>
      <c r="P1929">
        <v>1</v>
      </c>
      <c r="Q1929">
        <v>0</v>
      </c>
      <c r="S1929" t="str">
        <f t="shared" si="577"/>
        <v>22:17:34.000</v>
      </c>
      <c r="T1929" t="str">
        <f t="shared" si="577"/>
        <v>22:17:34.000</v>
      </c>
      <c r="U1929" t="str">
        <f t="shared" si="576"/>
        <v>A9D71F</v>
      </c>
      <c r="V1929">
        <v>0</v>
      </c>
      <c r="W1929">
        <v>0</v>
      </c>
      <c r="X1929">
        <v>2</v>
      </c>
      <c r="Z1929">
        <v>1</v>
      </c>
      <c r="AA1929">
        <v>8</v>
      </c>
      <c r="AB1929">
        <v>3</v>
      </c>
      <c r="AC1929">
        <v>0</v>
      </c>
      <c r="AD1929">
        <v>9</v>
      </c>
      <c r="AE1929">
        <v>0</v>
      </c>
      <c r="AF1929">
        <v>3</v>
      </c>
      <c r="AG1929">
        <v>1</v>
      </c>
      <c r="AH1929">
        <v>0</v>
      </c>
      <c r="AI1929" t="s">
        <v>1014</v>
      </c>
      <c r="AJ1929">
        <v>33.039085999999998</v>
      </c>
      <c r="AK1929" t="s">
        <v>1015</v>
      </c>
      <c r="AL1929">
        <v>-97.661783999999997</v>
      </c>
      <c r="AM1929">
        <v>25</v>
      </c>
      <c r="AN1929">
        <v>3400</v>
      </c>
      <c r="AO1929" t="s">
        <v>118</v>
      </c>
      <c r="AP1929">
        <v>26</v>
      </c>
      <c r="AQ1929">
        <v>-86</v>
      </c>
      <c r="AR1929">
        <v>-128</v>
      </c>
      <c r="AZ1929">
        <v>1200</v>
      </c>
      <c r="BA1929">
        <v>1</v>
      </c>
      <c r="BB1929" t="str">
        <f t="shared" si="564"/>
        <v xml:space="preserve">N733KP  </v>
      </c>
      <c r="BC1929">
        <v>1</v>
      </c>
      <c r="BE1929">
        <v>0</v>
      </c>
      <c r="BF1929">
        <v>0</v>
      </c>
      <c r="BG1929">
        <v>0</v>
      </c>
      <c r="BH1929">
        <v>3400</v>
      </c>
      <c r="BI1929">
        <v>1</v>
      </c>
      <c r="BJ1929">
        <v>1</v>
      </c>
      <c r="BK1929">
        <v>0</v>
      </c>
      <c r="BL1929">
        <v>0</v>
      </c>
      <c r="BO1929">
        <v>0</v>
      </c>
      <c r="BP1929">
        <v>0</v>
      </c>
      <c r="BW1929" t="str">
        <f>"22:17:34.712"</f>
        <v>22:17:34.712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119</v>
      </c>
      <c r="CQ1929">
        <v>364</v>
      </c>
      <c r="CR1929">
        <v>0</v>
      </c>
      <c r="CW1929">
        <v>1438924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"03/24/2022 22:17:35.930"</f>
        <v>03/24/2022 22:17:35.930</v>
      </c>
      <c r="C1930" t="str">
        <f t="shared" si="562"/>
        <v>FFDFD3C0</v>
      </c>
      <c r="D1930" t="s">
        <v>126</v>
      </c>
      <c r="E1930">
        <v>3</v>
      </c>
      <c r="H1930">
        <v>160</v>
      </c>
      <c r="I1930" t="s">
        <v>121</v>
      </c>
      <c r="J1930" t="s">
        <v>127</v>
      </c>
      <c r="K1930">
        <v>0</v>
      </c>
      <c r="L1930">
        <v>3</v>
      </c>
      <c r="M1930">
        <v>0</v>
      </c>
      <c r="N1930">
        <v>2</v>
      </c>
      <c r="O1930">
        <v>0</v>
      </c>
      <c r="P1930">
        <v>1</v>
      </c>
      <c r="Q1930">
        <v>0</v>
      </c>
      <c r="S1930" t="str">
        <f t="shared" ref="S1930:T1933" si="578">"22:17:35.000"</f>
        <v>22:17:35.000</v>
      </c>
      <c r="T1930" t="str">
        <f t="shared" si="578"/>
        <v>22:17:35.000</v>
      </c>
      <c r="U1930" t="str">
        <f t="shared" si="576"/>
        <v>A9D71F</v>
      </c>
      <c r="V1930">
        <v>0</v>
      </c>
      <c r="W1930">
        <v>0</v>
      </c>
      <c r="X1930">
        <v>2</v>
      </c>
      <c r="Z1930">
        <v>1</v>
      </c>
      <c r="AA1930">
        <v>8</v>
      </c>
      <c r="AB1930">
        <v>3</v>
      </c>
      <c r="AC1930">
        <v>0</v>
      </c>
      <c r="AD1930">
        <v>9</v>
      </c>
      <c r="AE1930">
        <v>0</v>
      </c>
      <c r="AF1930">
        <v>3</v>
      </c>
      <c r="AG1930">
        <v>1</v>
      </c>
      <c r="AH1930">
        <v>0</v>
      </c>
      <c r="AI1930" t="s">
        <v>1016</v>
      </c>
      <c r="AJ1930">
        <v>33.038677999999997</v>
      </c>
      <c r="AK1930" t="s">
        <v>1017</v>
      </c>
      <c r="AL1930">
        <v>-97.661654999999996</v>
      </c>
      <c r="AM1930">
        <v>25</v>
      </c>
      <c r="AN1930">
        <v>3400</v>
      </c>
      <c r="AO1930" t="s">
        <v>118</v>
      </c>
      <c r="AP1930">
        <v>26</v>
      </c>
      <c r="AQ1930">
        <v>-86</v>
      </c>
      <c r="AR1930">
        <v>-128</v>
      </c>
      <c r="AZ1930">
        <v>1200</v>
      </c>
      <c r="BA1930">
        <v>1</v>
      </c>
      <c r="BB1930" t="str">
        <f t="shared" si="564"/>
        <v xml:space="preserve">N733KP  </v>
      </c>
      <c r="BC1930">
        <v>1</v>
      </c>
      <c r="BE1930">
        <v>0</v>
      </c>
      <c r="BF1930">
        <v>0</v>
      </c>
      <c r="BG1930">
        <v>0</v>
      </c>
      <c r="BH1930">
        <v>3400</v>
      </c>
      <c r="BI1930">
        <v>1</v>
      </c>
      <c r="BJ1930">
        <v>1</v>
      </c>
      <c r="BK1930">
        <v>0</v>
      </c>
      <c r="BL1930">
        <v>0</v>
      </c>
      <c r="BO1930">
        <v>0</v>
      </c>
      <c r="BP1930">
        <v>0</v>
      </c>
      <c r="BW1930" t="str">
        <f>"22:17:35.759"</f>
        <v>22:17:35.759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7</v>
      </c>
      <c r="CP1930" t="s">
        <v>119</v>
      </c>
      <c r="CQ1930">
        <v>364</v>
      </c>
      <c r="CR1930">
        <v>0</v>
      </c>
      <c r="CW1930">
        <v>1439094</v>
      </c>
      <c r="CY1930">
        <v>1</v>
      </c>
      <c r="CZ1930">
        <v>0</v>
      </c>
      <c r="DA1930">
        <v>0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"03/24/2022 22:17:35.946"</f>
        <v>03/24/2022 22:17:35.946</v>
      </c>
      <c r="C1931" t="str">
        <f t="shared" si="562"/>
        <v>FFDFD3C0</v>
      </c>
      <c r="D1931" t="s">
        <v>120</v>
      </c>
      <c r="E1931">
        <v>14</v>
      </c>
      <c r="F1931">
        <v>1014</v>
      </c>
      <c r="G1931" t="s">
        <v>121</v>
      </c>
      <c r="J1931" t="s">
        <v>122</v>
      </c>
      <c r="K1931">
        <v>0</v>
      </c>
      <c r="L1931">
        <v>3</v>
      </c>
      <c r="M1931">
        <v>0</v>
      </c>
      <c r="N1931">
        <v>2</v>
      </c>
      <c r="O1931">
        <v>0</v>
      </c>
      <c r="P1931">
        <v>1</v>
      </c>
      <c r="Q1931">
        <v>0</v>
      </c>
      <c r="S1931" t="str">
        <f t="shared" si="578"/>
        <v>22:17:35.000</v>
      </c>
      <c r="T1931" t="str">
        <f t="shared" si="578"/>
        <v>22:17:35.000</v>
      </c>
      <c r="U1931" t="str">
        <f t="shared" si="576"/>
        <v>A9D71F</v>
      </c>
      <c r="V1931">
        <v>0</v>
      </c>
      <c r="W1931">
        <v>0</v>
      </c>
      <c r="X1931">
        <v>2</v>
      </c>
      <c r="Z1931">
        <v>1</v>
      </c>
      <c r="AA1931">
        <v>8</v>
      </c>
      <c r="AB1931">
        <v>3</v>
      </c>
      <c r="AC1931">
        <v>0</v>
      </c>
      <c r="AD1931">
        <v>9</v>
      </c>
      <c r="AE1931">
        <v>0</v>
      </c>
      <c r="AF1931">
        <v>3</v>
      </c>
      <c r="AG1931">
        <v>1</v>
      </c>
      <c r="AH1931">
        <v>0</v>
      </c>
      <c r="AI1931" t="s">
        <v>1016</v>
      </c>
      <c r="AJ1931">
        <v>33.038677999999997</v>
      </c>
      <c r="AK1931" t="s">
        <v>1017</v>
      </c>
      <c r="AL1931">
        <v>-97.661654999999996</v>
      </c>
      <c r="AM1931">
        <v>25</v>
      </c>
      <c r="AN1931">
        <v>3400</v>
      </c>
      <c r="AO1931" t="s">
        <v>118</v>
      </c>
      <c r="AP1931">
        <v>26</v>
      </c>
      <c r="AQ1931">
        <v>-86</v>
      </c>
      <c r="AR1931">
        <v>-128</v>
      </c>
      <c r="AZ1931">
        <v>1200</v>
      </c>
      <c r="BA1931">
        <v>1</v>
      </c>
      <c r="BB1931" t="str">
        <f t="shared" si="564"/>
        <v xml:space="preserve">N733KP  </v>
      </c>
      <c r="BC1931">
        <v>1</v>
      </c>
      <c r="BE1931">
        <v>0</v>
      </c>
      <c r="BF1931">
        <v>0</v>
      </c>
      <c r="BG1931">
        <v>0</v>
      </c>
      <c r="BH1931">
        <v>3400</v>
      </c>
      <c r="BI1931">
        <v>1</v>
      </c>
      <c r="BJ1931">
        <v>1</v>
      </c>
      <c r="BK1931">
        <v>0</v>
      </c>
      <c r="BL1931">
        <v>0</v>
      </c>
      <c r="BO1931">
        <v>0</v>
      </c>
      <c r="BP1931">
        <v>0</v>
      </c>
      <c r="BW1931" t="str">
        <f>"22:17:35.759"</f>
        <v>22:17:35.759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119</v>
      </c>
      <c r="CQ1931">
        <v>364</v>
      </c>
      <c r="CR1931">
        <v>0</v>
      </c>
      <c r="CW1931">
        <v>1439094</v>
      </c>
      <c r="CY1931">
        <v>1</v>
      </c>
      <c r="CZ1931">
        <v>0</v>
      </c>
      <c r="DA1931">
        <v>1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"03/24/2022 22:17:35.946"</f>
        <v>03/24/2022 22:17:35.946</v>
      </c>
      <c r="C1932" t="str">
        <f t="shared" si="562"/>
        <v>FFDFD3C0</v>
      </c>
      <c r="D1932" t="s">
        <v>113</v>
      </c>
      <c r="E1932">
        <v>24</v>
      </c>
      <c r="F1932">
        <v>2024</v>
      </c>
      <c r="G1932" t="s">
        <v>114</v>
      </c>
      <c r="J1932" t="s">
        <v>115</v>
      </c>
      <c r="K1932">
        <v>0</v>
      </c>
      <c r="L1932">
        <v>3</v>
      </c>
      <c r="M1932">
        <v>0</v>
      </c>
      <c r="N1932">
        <v>2</v>
      </c>
      <c r="O1932">
        <v>0</v>
      </c>
      <c r="P1932">
        <v>1</v>
      </c>
      <c r="Q1932">
        <v>0</v>
      </c>
      <c r="S1932" t="str">
        <f t="shared" si="578"/>
        <v>22:17:35.000</v>
      </c>
      <c r="T1932" t="str">
        <f t="shared" si="578"/>
        <v>22:17:35.000</v>
      </c>
      <c r="U1932" t="str">
        <f t="shared" si="576"/>
        <v>A9D71F</v>
      </c>
      <c r="V1932">
        <v>0</v>
      </c>
      <c r="W1932">
        <v>0</v>
      </c>
      <c r="X1932">
        <v>2</v>
      </c>
      <c r="Z1932">
        <v>1</v>
      </c>
      <c r="AA1932">
        <v>8</v>
      </c>
      <c r="AB1932">
        <v>3</v>
      </c>
      <c r="AC1932">
        <v>0</v>
      </c>
      <c r="AD1932">
        <v>9</v>
      </c>
      <c r="AE1932">
        <v>0</v>
      </c>
      <c r="AF1932">
        <v>3</v>
      </c>
      <c r="AG1932">
        <v>1</v>
      </c>
      <c r="AH1932">
        <v>0</v>
      </c>
      <c r="AI1932" t="s">
        <v>1016</v>
      </c>
      <c r="AJ1932">
        <v>33.038677999999997</v>
      </c>
      <c r="AK1932" t="s">
        <v>1017</v>
      </c>
      <c r="AL1932">
        <v>-97.661654999999996</v>
      </c>
      <c r="AM1932">
        <v>25</v>
      </c>
      <c r="AN1932">
        <v>3400</v>
      </c>
      <c r="AO1932" t="s">
        <v>118</v>
      </c>
      <c r="AP1932">
        <v>26</v>
      </c>
      <c r="AQ1932">
        <v>-86</v>
      </c>
      <c r="AR1932">
        <v>-128</v>
      </c>
      <c r="AZ1932">
        <v>1200</v>
      </c>
      <c r="BA1932">
        <v>1</v>
      </c>
      <c r="BB1932" t="str">
        <f t="shared" si="564"/>
        <v xml:space="preserve">N733KP  </v>
      </c>
      <c r="BC1932">
        <v>1</v>
      </c>
      <c r="BE1932">
        <v>0</v>
      </c>
      <c r="BF1932">
        <v>0</v>
      </c>
      <c r="BG1932">
        <v>0</v>
      </c>
      <c r="BH1932">
        <v>3400</v>
      </c>
      <c r="BI1932">
        <v>1</v>
      </c>
      <c r="BJ1932">
        <v>1</v>
      </c>
      <c r="BK1932">
        <v>0</v>
      </c>
      <c r="BL1932">
        <v>0</v>
      </c>
      <c r="BO1932">
        <v>0</v>
      </c>
      <c r="BP1932">
        <v>0</v>
      </c>
      <c r="BW1932" t="str">
        <f>"22:17:35.759"</f>
        <v>22:17:35.759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7</v>
      </c>
      <c r="CP1932" t="s">
        <v>119</v>
      </c>
      <c r="CQ1932">
        <v>364</v>
      </c>
      <c r="CR1932">
        <v>0</v>
      </c>
      <c r="CW1932">
        <v>1439094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"03/24/2022 22:17:35.993"</f>
        <v>03/24/2022 22:17:35.993</v>
      </c>
      <c r="C1933" t="str">
        <f t="shared" si="562"/>
        <v>FFDFD3C0</v>
      </c>
      <c r="D1933" t="s">
        <v>123</v>
      </c>
      <c r="E1933">
        <v>8</v>
      </c>
      <c r="H1933">
        <v>31</v>
      </c>
      <c r="I1933" t="s">
        <v>124</v>
      </c>
      <c r="J1933" t="s">
        <v>125</v>
      </c>
      <c r="K1933">
        <v>0</v>
      </c>
      <c r="L1933">
        <v>3</v>
      </c>
      <c r="M1933">
        <v>0</v>
      </c>
      <c r="N1933">
        <v>2</v>
      </c>
      <c r="O1933">
        <v>0</v>
      </c>
      <c r="P1933">
        <v>1</v>
      </c>
      <c r="Q1933">
        <v>0</v>
      </c>
      <c r="S1933" t="str">
        <f t="shared" si="578"/>
        <v>22:17:35.000</v>
      </c>
      <c r="T1933" t="str">
        <f t="shared" si="578"/>
        <v>22:17:35.000</v>
      </c>
      <c r="U1933" t="str">
        <f t="shared" si="576"/>
        <v>A9D71F</v>
      </c>
      <c r="V1933">
        <v>0</v>
      </c>
      <c r="W1933">
        <v>0</v>
      </c>
      <c r="X1933">
        <v>2</v>
      </c>
      <c r="Z1933">
        <v>1</v>
      </c>
      <c r="AA1933">
        <v>8</v>
      </c>
      <c r="AB1933">
        <v>3</v>
      </c>
      <c r="AC1933">
        <v>0</v>
      </c>
      <c r="AD1933">
        <v>9</v>
      </c>
      <c r="AE1933">
        <v>0</v>
      </c>
      <c r="AF1933">
        <v>3</v>
      </c>
      <c r="AG1933">
        <v>1</v>
      </c>
      <c r="AH1933">
        <v>0</v>
      </c>
      <c r="AI1933" t="s">
        <v>1016</v>
      </c>
      <c r="AJ1933">
        <v>33.038677999999997</v>
      </c>
      <c r="AK1933" t="s">
        <v>1017</v>
      </c>
      <c r="AL1933">
        <v>-97.661654999999996</v>
      </c>
      <c r="AM1933">
        <v>25</v>
      </c>
      <c r="AN1933">
        <v>3400</v>
      </c>
      <c r="AO1933" t="s">
        <v>118</v>
      </c>
      <c r="AP1933">
        <v>26</v>
      </c>
      <c r="AQ1933">
        <v>-86</v>
      </c>
      <c r="AR1933">
        <v>-128</v>
      </c>
      <c r="AZ1933">
        <v>1200</v>
      </c>
      <c r="BA1933">
        <v>1</v>
      </c>
      <c r="BB1933" t="str">
        <f t="shared" si="564"/>
        <v xml:space="preserve">N733KP  </v>
      </c>
      <c r="BC1933">
        <v>1</v>
      </c>
      <c r="BE1933">
        <v>0</v>
      </c>
      <c r="BF1933">
        <v>0</v>
      </c>
      <c r="BG1933">
        <v>0</v>
      </c>
      <c r="BH1933">
        <v>3400</v>
      </c>
      <c r="BI1933">
        <v>1</v>
      </c>
      <c r="BJ1933">
        <v>1</v>
      </c>
      <c r="BK1933">
        <v>0</v>
      </c>
      <c r="BL1933">
        <v>0</v>
      </c>
      <c r="BO1933">
        <v>0</v>
      </c>
      <c r="BP1933">
        <v>0</v>
      </c>
      <c r="BW1933" t="str">
        <f>"22:17:35.759"</f>
        <v>22:17:35.759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7</v>
      </c>
      <c r="CP1933" t="s">
        <v>119</v>
      </c>
      <c r="CQ1933">
        <v>364</v>
      </c>
      <c r="CR1933">
        <v>0</v>
      </c>
      <c r="CW1933">
        <v>1439094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"03/24/2022 22:17:36.430"</f>
        <v>03/24/2022 22:17:36.430</v>
      </c>
      <c r="C1934" t="str">
        <f t="shared" si="562"/>
        <v>FFDFD3C0</v>
      </c>
      <c r="D1934" t="s">
        <v>126</v>
      </c>
      <c r="E1934">
        <v>3</v>
      </c>
      <c r="H1934">
        <v>160</v>
      </c>
      <c r="I1934" t="s">
        <v>121</v>
      </c>
      <c r="J1934" t="s">
        <v>127</v>
      </c>
      <c r="K1934">
        <v>0</v>
      </c>
      <c r="L1934">
        <v>3</v>
      </c>
      <c r="M1934">
        <v>0</v>
      </c>
      <c r="N1934">
        <v>2</v>
      </c>
      <c r="O1934">
        <v>0</v>
      </c>
      <c r="P1934">
        <v>1</v>
      </c>
      <c r="Q1934">
        <v>0</v>
      </c>
      <c r="S1934" t="str">
        <f t="shared" ref="S1934:T1937" si="579">"22:17:36.000"</f>
        <v>22:17:36.000</v>
      </c>
      <c r="T1934" t="str">
        <f t="shared" si="579"/>
        <v>22:17:36.000</v>
      </c>
      <c r="U1934" t="str">
        <f t="shared" si="576"/>
        <v>A9D71F</v>
      </c>
      <c r="V1934">
        <v>0</v>
      </c>
      <c r="W1934">
        <v>0</v>
      </c>
      <c r="X1934">
        <v>2</v>
      </c>
      <c r="Z1934">
        <v>1</v>
      </c>
      <c r="AA1934">
        <v>8</v>
      </c>
      <c r="AB1934">
        <v>3</v>
      </c>
      <c r="AC1934">
        <v>0</v>
      </c>
      <c r="AD1934">
        <v>9</v>
      </c>
      <c r="AE1934">
        <v>0</v>
      </c>
      <c r="AF1934">
        <v>3</v>
      </c>
      <c r="AG1934">
        <v>1</v>
      </c>
      <c r="AH1934">
        <v>0</v>
      </c>
      <c r="AI1934" t="s">
        <v>1018</v>
      </c>
      <c r="AJ1934">
        <v>33.038291999999998</v>
      </c>
      <c r="AK1934" t="s">
        <v>1019</v>
      </c>
      <c r="AL1934">
        <v>-97.661505000000005</v>
      </c>
      <c r="AM1934">
        <v>25</v>
      </c>
      <c r="AN1934">
        <v>3400</v>
      </c>
      <c r="AO1934" t="s">
        <v>118</v>
      </c>
      <c r="AP1934">
        <v>26</v>
      </c>
      <c r="AQ1934">
        <v>-86</v>
      </c>
      <c r="AR1934">
        <v>-128</v>
      </c>
      <c r="AZ1934">
        <v>1200</v>
      </c>
      <c r="BA1934">
        <v>1</v>
      </c>
      <c r="BB1934" t="str">
        <f t="shared" si="564"/>
        <v xml:space="preserve">N733KP  </v>
      </c>
      <c r="BC1934">
        <v>1</v>
      </c>
      <c r="BE1934">
        <v>0</v>
      </c>
      <c r="BF1934">
        <v>0</v>
      </c>
      <c r="BG1934">
        <v>0</v>
      </c>
      <c r="BH1934">
        <v>3400</v>
      </c>
      <c r="BI1934">
        <v>1</v>
      </c>
      <c r="BJ1934">
        <v>1</v>
      </c>
      <c r="BK1934">
        <v>0</v>
      </c>
      <c r="BL1934">
        <v>0</v>
      </c>
      <c r="BO1934">
        <v>0</v>
      </c>
      <c r="BP1934">
        <v>0</v>
      </c>
      <c r="BW1934" t="str">
        <f>"22:17:36.283"</f>
        <v>22:17:36.283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119</v>
      </c>
      <c r="CQ1934">
        <v>364</v>
      </c>
      <c r="CR1934">
        <v>0</v>
      </c>
      <c r="CW1934">
        <v>1439183</v>
      </c>
      <c r="CY1934">
        <v>1</v>
      </c>
      <c r="CZ1934">
        <v>0</v>
      </c>
      <c r="DA1934">
        <v>0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>"03/24/2022 22:17:36.477"</f>
        <v>03/24/2022 22:17:36.477</v>
      </c>
      <c r="C1935" t="str">
        <f t="shared" si="562"/>
        <v>FFDFD3C0</v>
      </c>
      <c r="D1935" t="s">
        <v>120</v>
      </c>
      <c r="E1935">
        <v>14</v>
      </c>
      <c r="F1935">
        <v>1014</v>
      </c>
      <c r="G1935" t="s">
        <v>121</v>
      </c>
      <c r="J1935" t="s">
        <v>122</v>
      </c>
      <c r="K1935">
        <v>0</v>
      </c>
      <c r="L1935">
        <v>3</v>
      </c>
      <c r="M1935">
        <v>0</v>
      </c>
      <c r="N1935">
        <v>2</v>
      </c>
      <c r="O1935">
        <v>0</v>
      </c>
      <c r="P1935">
        <v>1</v>
      </c>
      <c r="Q1935">
        <v>0</v>
      </c>
      <c r="S1935" t="str">
        <f t="shared" si="579"/>
        <v>22:17:36.000</v>
      </c>
      <c r="T1935" t="str">
        <f t="shared" si="579"/>
        <v>22:17:36.000</v>
      </c>
      <c r="U1935" t="str">
        <f t="shared" si="576"/>
        <v>A9D71F</v>
      </c>
      <c r="V1935">
        <v>0</v>
      </c>
      <c r="W1935">
        <v>0</v>
      </c>
      <c r="X1935">
        <v>2</v>
      </c>
      <c r="Z1935">
        <v>1</v>
      </c>
      <c r="AA1935">
        <v>8</v>
      </c>
      <c r="AB1935">
        <v>3</v>
      </c>
      <c r="AC1935">
        <v>0</v>
      </c>
      <c r="AD1935">
        <v>9</v>
      </c>
      <c r="AE1935">
        <v>0</v>
      </c>
      <c r="AF1935">
        <v>3</v>
      </c>
      <c r="AG1935">
        <v>1</v>
      </c>
      <c r="AH1935">
        <v>0</v>
      </c>
      <c r="AI1935" t="s">
        <v>1018</v>
      </c>
      <c r="AJ1935">
        <v>33.038291999999998</v>
      </c>
      <c r="AK1935" t="s">
        <v>1019</v>
      </c>
      <c r="AL1935">
        <v>-97.661505000000005</v>
      </c>
      <c r="AM1935">
        <v>25</v>
      </c>
      <c r="AN1935">
        <v>3400</v>
      </c>
      <c r="AO1935" t="s">
        <v>118</v>
      </c>
      <c r="AP1935">
        <v>26</v>
      </c>
      <c r="AQ1935">
        <v>-86</v>
      </c>
      <c r="AR1935">
        <v>-128</v>
      </c>
      <c r="AZ1935">
        <v>1200</v>
      </c>
      <c r="BA1935">
        <v>1</v>
      </c>
      <c r="BB1935" t="str">
        <f t="shared" si="564"/>
        <v xml:space="preserve">N733KP  </v>
      </c>
      <c r="BC1935">
        <v>1</v>
      </c>
      <c r="BE1935">
        <v>0</v>
      </c>
      <c r="BF1935">
        <v>0</v>
      </c>
      <c r="BG1935">
        <v>0</v>
      </c>
      <c r="BH1935">
        <v>3400</v>
      </c>
      <c r="BI1935">
        <v>1</v>
      </c>
      <c r="BJ1935">
        <v>1</v>
      </c>
      <c r="BK1935">
        <v>0</v>
      </c>
      <c r="BL1935">
        <v>0</v>
      </c>
      <c r="BO1935">
        <v>0</v>
      </c>
      <c r="BP1935">
        <v>0</v>
      </c>
      <c r="BW1935" t="str">
        <f>"22:17:36.283"</f>
        <v>22:17:36.283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7</v>
      </c>
      <c r="CP1935" t="s">
        <v>119</v>
      </c>
      <c r="CQ1935">
        <v>364</v>
      </c>
      <c r="CR1935">
        <v>0</v>
      </c>
      <c r="CW1935">
        <v>1439183</v>
      </c>
      <c r="CY1935">
        <v>1</v>
      </c>
      <c r="CZ1935">
        <v>0</v>
      </c>
      <c r="DA1935">
        <v>1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>"03/24/2022 22:17:36.477"</f>
        <v>03/24/2022 22:17:36.477</v>
      </c>
      <c r="C1936" t="str">
        <f t="shared" si="562"/>
        <v>FFDFD3C0</v>
      </c>
      <c r="D1936" t="s">
        <v>113</v>
      </c>
      <c r="E1936">
        <v>24</v>
      </c>
      <c r="F1936">
        <v>2024</v>
      </c>
      <c r="G1936" t="s">
        <v>114</v>
      </c>
      <c r="J1936" t="s">
        <v>115</v>
      </c>
      <c r="K1936">
        <v>0</v>
      </c>
      <c r="L1936">
        <v>3</v>
      </c>
      <c r="M1936">
        <v>0</v>
      </c>
      <c r="N1936">
        <v>2</v>
      </c>
      <c r="O1936">
        <v>0</v>
      </c>
      <c r="P1936">
        <v>1</v>
      </c>
      <c r="Q1936">
        <v>0</v>
      </c>
      <c r="S1936" t="str">
        <f t="shared" si="579"/>
        <v>22:17:36.000</v>
      </c>
      <c r="T1936" t="str">
        <f t="shared" si="579"/>
        <v>22:17:36.000</v>
      </c>
      <c r="U1936" t="str">
        <f t="shared" si="576"/>
        <v>A9D71F</v>
      </c>
      <c r="V1936">
        <v>0</v>
      </c>
      <c r="W1936">
        <v>0</v>
      </c>
      <c r="X1936">
        <v>2</v>
      </c>
      <c r="Z1936">
        <v>1</v>
      </c>
      <c r="AA1936">
        <v>8</v>
      </c>
      <c r="AB1936">
        <v>3</v>
      </c>
      <c r="AC1936">
        <v>0</v>
      </c>
      <c r="AD1936">
        <v>9</v>
      </c>
      <c r="AE1936">
        <v>0</v>
      </c>
      <c r="AF1936">
        <v>3</v>
      </c>
      <c r="AG1936">
        <v>1</v>
      </c>
      <c r="AH1936">
        <v>0</v>
      </c>
      <c r="AI1936" t="s">
        <v>1018</v>
      </c>
      <c r="AJ1936">
        <v>33.038291999999998</v>
      </c>
      <c r="AK1936" t="s">
        <v>1019</v>
      </c>
      <c r="AL1936">
        <v>-97.661505000000005</v>
      </c>
      <c r="AM1936">
        <v>25</v>
      </c>
      <c r="AN1936">
        <v>3400</v>
      </c>
      <c r="AO1936" t="s">
        <v>118</v>
      </c>
      <c r="AP1936">
        <v>26</v>
      </c>
      <c r="AQ1936">
        <v>-86</v>
      </c>
      <c r="AR1936">
        <v>-128</v>
      </c>
      <c r="AZ1936">
        <v>1200</v>
      </c>
      <c r="BA1936">
        <v>1</v>
      </c>
      <c r="BB1936" t="str">
        <f t="shared" si="564"/>
        <v xml:space="preserve">N733KP  </v>
      </c>
      <c r="BC1936">
        <v>1</v>
      </c>
      <c r="BE1936">
        <v>0</v>
      </c>
      <c r="BF1936">
        <v>0</v>
      </c>
      <c r="BG1936">
        <v>0</v>
      </c>
      <c r="BH1936">
        <v>3400</v>
      </c>
      <c r="BI1936">
        <v>1</v>
      </c>
      <c r="BJ1936">
        <v>1</v>
      </c>
      <c r="BK1936">
        <v>0</v>
      </c>
      <c r="BL1936">
        <v>0</v>
      </c>
      <c r="BO1936">
        <v>0</v>
      </c>
      <c r="BP1936">
        <v>0</v>
      </c>
      <c r="BW1936" t="str">
        <f>"22:17:36.283"</f>
        <v>22:17:36.283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7</v>
      </c>
      <c r="CP1936" t="s">
        <v>119</v>
      </c>
      <c r="CQ1936">
        <v>364</v>
      </c>
      <c r="CR1936">
        <v>0</v>
      </c>
      <c r="CW1936">
        <v>1439183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>"03/24/2022 22:17:36.477"</f>
        <v>03/24/2022 22:17:36.477</v>
      </c>
      <c r="C1937" t="str">
        <f t="shared" si="562"/>
        <v>FFDFD3C0</v>
      </c>
      <c r="D1937" t="s">
        <v>123</v>
      </c>
      <c r="E1937">
        <v>8</v>
      </c>
      <c r="H1937">
        <v>31</v>
      </c>
      <c r="I1937" t="s">
        <v>124</v>
      </c>
      <c r="J1937" t="s">
        <v>125</v>
      </c>
      <c r="K1937">
        <v>0</v>
      </c>
      <c r="L1937">
        <v>3</v>
      </c>
      <c r="M1937">
        <v>0</v>
      </c>
      <c r="N1937">
        <v>2</v>
      </c>
      <c r="O1937">
        <v>0</v>
      </c>
      <c r="P1937">
        <v>1</v>
      </c>
      <c r="Q1937">
        <v>0</v>
      </c>
      <c r="S1937" t="str">
        <f t="shared" si="579"/>
        <v>22:17:36.000</v>
      </c>
      <c r="T1937" t="str">
        <f t="shared" si="579"/>
        <v>22:17:36.000</v>
      </c>
      <c r="U1937" t="str">
        <f t="shared" si="576"/>
        <v>A9D71F</v>
      </c>
      <c r="V1937">
        <v>0</v>
      </c>
      <c r="W1937">
        <v>0</v>
      </c>
      <c r="X1937">
        <v>2</v>
      </c>
      <c r="Z1937">
        <v>1</v>
      </c>
      <c r="AA1937">
        <v>8</v>
      </c>
      <c r="AB1937">
        <v>3</v>
      </c>
      <c r="AC1937">
        <v>0</v>
      </c>
      <c r="AD1937">
        <v>9</v>
      </c>
      <c r="AE1937">
        <v>0</v>
      </c>
      <c r="AF1937">
        <v>3</v>
      </c>
      <c r="AG1937">
        <v>1</v>
      </c>
      <c r="AH1937">
        <v>0</v>
      </c>
      <c r="AI1937" t="s">
        <v>1018</v>
      </c>
      <c r="AJ1937">
        <v>33.038291999999998</v>
      </c>
      <c r="AK1937" t="s">
        <v>1019</v>
      </c>
      <c r="AL1937">
        <v>-97.661505000000005</v>
      </c>
      <c r="AM1937">
        <v>25</v>
      </c>
      <c r="AN1937">
        <v>3400</v>
      </c>
      <c r="AO1937" t="s">
        <v>118</v>
      </c>
      <c r="AP1937">
        <v>26</v>
      </c>
      <c r="AQ1937">
        <v>-86</v>
      </c>
      <c r="AR1937">
        <v>-128</v>
      </c>
      <c r="AZ1937">
        <v>1200</v>
      </c>
      <c r="BA1937">
        <v>1</v>
      </c>
      <c r="BB1937" t="str">
        <f t="shared" si="564"/>
        <v xml:space="preserve">N733KP  </v>
      </c>
      <c r="BC1937">
        <v>1</v>
      </c>
      <c r="BE1937">
        <v>0</v>
      </c>
      <c r="BF1937">
        <v>0</v>
      </c>
      <c r="BG1937">
        <v>0</v>
      </c>
      <c r="BH1937">
        <v>3400</v>
      </c>
      <c r="BI1937">
        <v>1</v>
      </c>
      <c r="BJ1937">
        <v>1</v>
      </c>
      <c r="BK1937">
        <v>0</v>
      </c>
      <c r="BL1937">
        <v>0</v>
      </c>
      <c r="BO1937">
        <v>0</v>
      </c>
      <c r="BP1937">
        <v>0</v>
      </c>
      <c r="BW1937" t="str">
        <f>"22:17:36.283"</f>
        <v>22:17:36.283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7</v>
      </c>
      <c r="CP1937" t="s">
        <v>119</v>
      </c>
      <c r="CQ1937">
        <v>364</v>
      </c>
      <c r="CR1937">
        <v>0</v>
      </c>
      <c r="CW1937">
        <v>1439183</v>
      </c>
      <c r="CY1937">
        <v>1</v>
      </c>
      <c r="CZ1937">
        <v>0</v>
      </c>
      <c r="DA1937">
        <v>1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>"03/24/2022 22:17:37.713"</f>
        <v>03/24/2022 22:17:37.713</v>
      </c>
      <c r="C1938" t="str">
        <f t="shared" si="562"/>
        <v>FFDFD3C0</v>
      </c>
      <c r="D1938" t="s">
        <v>126</v>
      </c>
      <c r="E1938">
        <v>3</v>
      </c>
      <c r="H1938">
        <v>160</v>
      </c>
      <c r="I1938" t="s">
        <v>121</v>
      </c>
      <c r="J1938" t="s">
        <v>127</v>
      </c>
      <c r="K1938">
        <v>0</v>
      </c>
      <c r="L1938">
        <v>3</v>
      </c>
      <c r="M1938">
        <v>0</v>
      </c>
      <c r="N1938">
        <v>2</v>
      </c>
      <c r="O1938">
        <v>0</v>
      </c>
      <c r="P1938">
        <v>1</v>
      </c>
      <c r="Q1938">
        <v>0</v>
      </c>
      <c r="S1938" t="str">
        <f t="shared" ref="S1938:T1941" si="580">"22:17:37.000"</f>
        <v>22:17:37.000</v>
      </c>
      <c r="T1938" t="str">
        <f t="shared" si="580"/>
        <v>22:17:37.000</v>
      </c>
      <c r="U1938" t="str">
        <f t="shared" si="576"/>
        <v>A9D71F</v>
      </c>
      <c r="V1938">
        <v>0</v>
      </c>
      <c r="W1938">
        <v>0</v>
      </c>
      <c r="X1938">
        <v>2</v>
      </c>
      <c r="Z1938">
        <v>1</v>
      </c>
      <c r="AA1938">
        <v>8</v>
      </c>
      <c r="AB1938">
        <v>3</v>
      </c>
      <c r="AC1938">
        <v>0</v>
      </c>
      <c r="AD1938">
        <v>9</v>
      </c>
      <c r="AE1938">
        <v>0</v>
      </c>
      <c r="AF1938">
        <v>3</v>
      </c>
      <c r="AG1938">
        <v>1</v>
      </c>
      <c r="AH1938">
        <v>0</v>
      </c>
      <c r="AI1938" t="s">
        <v>1020</v>
      </c>
      <c r="AJ1938">
        <v>33.037906</v>
      </c>
      <c r="AK1938" t="s">
        <v>1021</v>
      </c>
      <c r="AL1938">
        <v>-97.661355</v>
      </c>
      <c r="AM1938">
        <v>25</v>
      </c>
      <c r="AN1938">
        <v>3400</v>
      </c>
      <c r="AO1938" t="s">
        <v>118</v>
      </c>
      <c r="AP1938">
        <v>27</v>
      </c>
      <c r="AQ1938">
        <v>-86</v>
      </c>
      <c r="AR1938">
        <v>-192</v>
      </c>
      <c r="AZ1938">
        <v>1200</v>
      </c>
      <c r="BA1938">
        <v>1</v>
      </c>
      <c r="BB1938" t="str">
        <f t="shared" si="564"/>
        <v xml:space="preserve">N733KP  </v>
      </c>
      <c r="BC1938">
        <v>1</v>
      </c>
      <c r="BE1938">
        <v>0</v>
      </c>
      <c r="BF1938">
        <v>0</v>
      </c>
      <c r="BG1938">
        <v>0</v>
      </c>
      <c r="BH1938">
        <v>3425</v>
      </c>
      <c r="BI1938">
        <v>1</v>
      </c>
      <c r="BJ1938">
        <v>1</v>
      </c>
      <c r="BK1938">
        <v>0</v>
      </c>
      <c r="BL1938">
        <v>0</v>
      </c>
      <c r="BO1938">
        <v>0</v>
      </c>
      <c r="BP1938">
        <v>0</v>
      </c>
      <c r="BW1938" t="str">
        <f>"22:17:37.534"</f>
        <v>22:17:37.534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5</v>
      </c>
      <c r="CP1938" t="s">
        <v>119</v>
      </c>
      <c r="CQ1938">
        <v>365</v>
      </c>
      <c r="CR1938">
        <v>0</v>
      </c>
      <c r="CW1938">
        <v>11506756</v>
      </c>
      <c r="CY1938">
        <v>1</v>
      </c>
      <c r="CZ1938">
        <v>0</v>
      </c>
      <c r="DA1938">
        <v>0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>"03/24/2022 22:17:37.728"</f>
        <v>03/24/2022 22:17:37.728</v>
      </c>
      <c r="C1939" t="str">
        <f t="shared" si="562"/>
        <v>FFDFD3C0</v>
      </c>
      <c r="D1939" t="s">
        <v>120</v>
      </c>
      <c r="E1939">
        <v>14</v>
      </c>
      <c r="F1939">
        <v>1014</v>
      </c>
      <c r="G1939" t="s">
        <v>121</v>
      </c>
      <c r="J1939" t="s">
        <v>122</v>
      </c>
      <c r="K1939">
        <v>0</v>
      </c>
      <c r="L1939">
        <v>3</v>
      </c>
      <c r="M1939">
        <v>0</v>
      </c>
      <c r="N1939">
        <v>2</v>
      </c>
      <c r="O1939">
        <v>0</v>
      </c>
      <c r="P1939">
        <v>1</v>
      </c>
      <c r="Q1939">
        <v>0</v>
      </c>
      <c r="S1939" t="str">
        <f t="shared" si="580"/>
        <v>22:17:37.000</v>
      </c>
      <c r="T1939" t="str">
        <f t="shared" si="580"/>
        <v>22:17:37.000</v>
      </c>
      <c r="U1939" t="str">
        <f t="shared" si="576"/>
        <v>A9D71F</v>
      </c>
      <c r="V1939">
        <v>0</v>
      </c>
      <c r="W1939">
        <v>0</v>
      </c>
      <c r="X1939">
        <v>2</v>
      </c>
      <c r="Z1939">
        <v>1</v>
      </c>
      <c r="AA1939">
        <v>8</v>
      </c>
      <c r="AB1939">
        <v>3</v>
      </c>
      <c r="AC1939">
        <v>0</v>
      </c>
      <c r="AD1939">
        <v>9</v>
      </c>
      <c r="AE1939">
        <v>0</v>
      </c>
      <c r="AF1939">
        <v>3</v>
      </c>
      <c r="AG1939">
        <v>1</v>
      </c>
      <c r="AH1939">
        <v>0</v>
      </c>
      <c r="AI1939" t="s">
        <v>1020</v>
      </c>
      <c r="AJ1939">
        <v>33.037906</v>
      </c>
      <c r="AK1939" t="s">
        <v>1021</v>
      </c>
      <c r="AL1939">
        <v>-97.661355</v>
      </c>
      <c r="AM1939">
        <v>25</v>
      </c>
      <c r="AN1939">
        <v>3400</v>
      </c>
      <c r="AO1939" t="s">
        <v>118</v>
      </c>
      <c r="AP1939">
        <v>27</v>
      </c>
      <c r="AQ1939">
        <v>-86</v>
      </c>
      <c r="AR1939">
        <v>-192</v>
      </c>
      <c r="AZ1939">
        <v>1200</v>
      </c>
      <c r="BA1939">
        <v>1</v>
      </c>
      <c r="BB1939" t="str">
        <f t="shared" si="564"/>
        <v xml:space="preserve">N733KP  </v>
      </c>
      <c r="BC1939">
        <v>1</v>
      </c>
      <c r="BE1939">
        <v>0</v>
      </c>
      <c r="BF1939">
        <v>0</v>
      </c>
      <c r="BG1939">
        <v>0</v>
      </c>
      <c r="BH1939">
        <v>3425</v>
      </c>
      <c r="BI1939">
        <v>1</v>
      </c>
      <c r="BJ1939">
        <v>1</v>
      </c>
      <c r="BK1939">
        <v>0</v>
      </c>
      <c r="BL1939">
        <v>0</v>
      </c>
      <c r="BO1939">
        <v>0</v>
      </c>
      <c r="BP1939">
        <v>0</v>
      </c>
      <c r="BW1939" t="str">
        <f>"22:17:37.534"</f>
        <v>22:17:37.534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5</v>
      </c>
      <c r="CP1939" t="s">
        <v>119</v>
      </c>
      <c r="CQ1939">
        <v>365</v>
      </c>
      <c r="CR1939">
        <v>0</v>
      </c>
      <c r="CW1939">
        <v>11506756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>"03/24/2022 22:17:37.728"</f>
        <v>03/24/2022 22:17:37.728</v>
      </c>
      <c r="C1940" t="str">
        <f t="shared" si="562"/>
        <v>FFDFD3C0</v>
      </c>
      <c r="D1940" t="s">
        <v>113</v>
      </c>
      <c r="E1940">
        <v>24</v>
      </c>
      <c r="F1940">
        <v>2024</v>
      </c>
      <c r="G1940" t="s">
        <v>114</v>
      </c>
      <c r="J1940" t="s">
        <v>115</v>
      </c>
      <c r="K1940">
        <v>0</v>
      </c>
      <c r="L1940">
        <v>3</v>
      </c>
      <c r="M1940">
        <v>0</v>
      </c>
      <c r="N1940">
        <v>2</v>
      </c>
      <c r="O1940">
        <v>0</v>
      </c>
      <c r="P1940">
        <v>1</v>
      </c>
      <c r="Q1940">
        <v>0</v>
      </c>
      <c r="S1940" t="str">
        <f t="shared" si="580"/>
        <v>22:17:37.000</v>
      </c>
      <c r="T1940" t="str">
        <f t="shared" si="580"/>
        <v>22:17:37.000</v>
      </c>
      <c r="U1940" t="str">
        <f t="shared" si="576"/>
        <v>A9D71F</v>
      </c>
      <c r="V1940">
        <v>0</v>
      </c>
      <c r="W1940">
        <v>0</v>
      </c>
      <c r="X1940">
        <v>2</v>
      </c>
      <c r="Z1940">
        <v>1</v>
      </c>
      <c r="AA1940">
        <v>8</v>
      </c>
      <c r="AB1940">
        <v>3</v>
      </c>
      <c r="AC1940">
        <v>0</v>
      </c>
      <c r="AD1940">
        <v>9</v>
      </c>
      <c r="AE1940">
        <v>0</v>
      </c>
      <c r="AF1940">
        <v>3</v>
      </c>
      <c r="AG1940">
        <v>1</v>
      </c>
      <c r="AH1940">
        <v>0</v>
      </c>
      <c r="AI1940" t="s">
        <v>1020</v>
      </c>
      <c r="AJ1940">
        <v>33.037906</v>
      </c>
      <c r="AK1940" t="s">
        <v>1021</v>
      </c>
      <c r="AL1940">
        <v>-97.661355</v>
      </c>
      <c r="AM1940">
        <v>25</v>
      </c>
      <c r="AN1940">
        <v>3400</v>
      </c>
      <c r="AO1940" t="s">
        <v>118</v>
      </c>
      <c r="AP1940">
        <v>27</v>
      </c>
      <c r="AQ1940">
        <v>-86</v>
      </c>
      <c r="AR1940">
        <v>-192</v>
      </c>
      <c r="AZ1940">
        <v>1200</v>
      </c>
      <c r="BA1940">
        <v>1</v>
      </c>
      <c r="BB1940" t="str">
        <f t="shared" si="564"/>
        <v xml:space="preserve">N733KP  </v>
      </c>
      <c r="BC1940">
        <v>1</v>
      </c>
      <c r="BE1940">
        <v>0</v>
      </c>
      <c r="BF1940">
        <v>0</v>
      </c>
      <c r="BG1940">
        <v>0</v>
      </c>
      <c r="BH1940">
        <v>3425</v>
      </c>
      <c r="BI1940">
        <v>1</v>
      </c>
      <c r="BJ1940">
        <v>1</v>
      </c>
      <c r="BK1940">
        <v>0</v>
      </c>
      <c r="BL1940">
        <v>0</v>
      </c>
      <c r="BO1940">
        <v>0</v>
      </c>
      <c r="BP1940">
        <v>0</v>
      </c>
      <c r="BW1940" t="str">
        <f>"22:17:37.534"</f>
        <v>22:17:37.534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5</v>
      </c>
      <c r="CP1940" t="s">
        <v>119</v>
      </c>
      <c r="CQ1940">
        <v>365</v>
      </c>
      <c r="CR1940">
        <v>0</v>
      </c>
      <c r="CW1940">
        <v>11506756</v>
      </c>
      <c r="CY1940">
        <v>1</v>
      </c>
      <c r="CZ1940">
        <v>0</v>
      </c>
      <c r="DA1940">
        <v>1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>"03/24/2022 22:17:37.728"</f>
        <v>03/24/2022 22:17:37.728</v>
      </c>
      <c r="C1941" t="str">
        <f t="shared" si="562"/>
        <v>FFDFD3C0</v>
      </c>
      <c r="D1941" t="s">
        <v>123</v>
      </c>
      <c r="E1941">
        <v>8</v>
      </c>
      <c r="H1941">
        <v>31</v>
      </c>
      <c r="I1941" t="s">
        <v>124</v>
      </c>
      <c r="J1941" t="s">
        <v>125</v>
      </c>
      <c r="K1941">
        <v>0</v>
      </c>
      <c r="L1941">
        <v>3</v>
      </c>
      <c r="M1941">
        <v>0</v>
      </c>
      <c r="N1941">
        <v>2</v>
      </c>
      <c r="O1941">
        <v>0</v>
      </c>
      <c r="P1941">
        <v>1</v>
      </c>
      <c r="Q1941">
        <v>0</v>
      </c>
      <c r="S1941" t="str">
        <f t="shared" si="580"/>
        <v>22:17:37.000</v>
      </c>
      <c r="T1941" t="str">
        <f t="shared" si="580"/>
        <v>22:17:37.000</v>
      </c>
      <c r="U1941" t="str">
        <f t="shared" si="576"/>
        <v>A9D71F</v>
      </c>
      <c r="V1941">
        <v>0</v>
      </c>
      <c r="W1941">
        <v>0</v>
      </c>
      <c r="X1941">
        <v>2</v>
      </c>
      <c r="Z1941">
        <v>1</v>
      </c>
      <c r="AA1941">
        <v>8</v>
      </c>
      <c r="AB1941">
        <v>3</v>
      </c>
      <c r="AC1941">
        <v>0</v>
      </c>
      <c r="AD1941">
        <v>9</v>
      </c>
      <c r="AE1941">
        <v>0</v>
      </c>
      <c r="AF1941">
        <v>3</v>
      </c>
      <c r="AG1941">
        <v>1</v>
      </c>
      <c r="AH1941">
        <v>0</v>
      </c>
      <c r="AI1941" t="s">
        <v>1020</v>
      </c>
      <c r="AJ1941">
        <v>33.037906</v>
      </c>
      <c r="AK1941" t="s">
        <v>1021</v>
      </c>
      <c r="AL1941">
        <v>-97.661355</v>
      </c>
      <c r="AM1941">
        <v>25</v>
      </c>
      <c r="AN1941">
        <v>3400</v>
      </c>
      <c r="AO1941" t="s">
        <v>118</v>
      </c>
      <c r="AP1941">
        <v>27</v>
      </c>
      <c r="AQ1941">
        <v>-86</v>
      </c>
      <c r="AR1941">
        <v>-192</v>
      </c>
      <c r="AZ1941">
        <v>1200</v>
      </c>
      <c r="BA1941">
        <v>1</v>
      </c>
      <c r="BB1941" t="str">
        <f t="shared" si="564"/>
        <v xml:space="preserve">N733KP  </v>
      </c>
      <c r="BC1941">
        <v>1</v>
      </c>
      <c r="BE1941">
        <v>0</v>
      </c>
      <c r="BF1941">
        <v>0</v>
      </c>
      <c r="BG1941">
        <v>0</v>
      </c>
      <c r="BH1941">
        <v>3425</v>
      </c>
      <c r="BI1941">
        <v>1</v>
      </c>
      <c r="BJ1941">
        <v>1</v>
      </c>
      <c r="BK1941">
        <v>0</v>
      </c>
      <c r="BL1941">
        <v>0</v>
      </c>
      <c r="BO1941">
        <v>0</v>
      </c>
      <c r="BP1941">
        <v>0</v>
      </c>
      <c r="BW1941" t="str">
        <f>"22:17:37.534"</f>
        <v>22:17:37.534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5</v>
      </c>
      <c r="CP1941" t="s">
        <v>119</v>
      </c>
      <c r="CQ1941">
        <v>365</v>
      </c>
      <c r="CR1941">
        <v>0</v>
      </c>
      <c r="CW1941">
        <v>11506756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>"03/24/2022 22:17:38.812"</f>
        <v>03/24/2022 22:17:38.812</v>
      </c>
      <c r="C1942" t="str">
        <f t="shared" ref="C1942:C2005" si="581">"FFDFD3C0"</f>
        <v>FFDFD3C0</v>
      </c>
      <c r="D1942" t="s">
        <v>126</v>
      </c>
      <c r="E1942">
        <v>3</v>
      </c>
      <c r="H1942">
        <v>160</v>
      </c>
      <c r="I1942" t="s">
        <v>121</v>
      </c>
      <c r="J1942" t="s">
        <v>127</v>
      </c>
      <c r="K1942">
        <v>0</v>
      </c>
      <c r="L1942">
        <v>3</v>
      </c>
      <c r="M1942">
        <v>0</v>
      </c>
      <c r="N1942">
        <v>2</v>
      </c>
      <c r="O1942">
        <v>0</v>
      </c>
      <c r="P1942">
        <v>1</v>
      </c>
      <c r="Q1942">
        <v>0</v>
      </c>
      <c r="S1942" t="str">
        <f t="shared" ref="S1942:T1945" si="582">"22:17:38.000"</f>
        <v>22:17:38.000</v>
      </c>
      <c r="T1942" t="str">
        <f t="shared" si="582"/>
        <v>22:17:38.000</v>
      </c>
      <c r="U1942" t="str">
        <f t="shared" si="576"/>
        <v>A9D71F</v>
      </c>
      <c r="V1942">
        <v>0</v>
      </c>
      <c r="W1942">
        <v>0</v>
      </c>
      <c r="X1942">
        <v>2</v>
      </c>
      <c r="Z1942">
        <v>1</v>
      </c>
      <c r="AA1942">
        <v>8</v>
      </c>
      <c r="AB1942">
        <v>3</v>
      </c>
      <c r="AC1942">
        <v>0</v>
      </c>
      <c r="AD1942">
        <v>9</v>
      </c>
      <c r="AE1942">
        <v>0</v>
      </c>
      <c r="AF1942">
        <v>3</v>
      </c>
      <c r="AG1942">
        <v>1</v>
      </c>
      <c r="AH1942">
        <v>0</v>
      </c>
      <c r="AI1942" t="s">
        <v>1022</v>
      </c>
      <c r="AJ1942">
        <v>33.037477000000003</v>
      </c>
      <c r="AK1942" t="s">
        <v>1023</v>
      </c>
      <c r="AL1942">
        <v>-97.661203999999998</v>
      </c>
      <c r="AM1942">
        <v>25</v>
      </c>
      <c r="AN1942">
        <v>3400</v>
      </c>
      <c r="AO1942" t="s">
        <v>118</v>
      </c>
      <c r="AP1942">
        <v>26</v>
      </c>
      <c r="AQ1942">
        <v>-85</v>
      </c>
      <c r="AR1942">
        <v>-192</v>
      </c>
      <c r="AZ1942">
        <v>1200</v>
      </c>
      <c r="BA1942">
        <v>1</v>
      </c>
      <c r="BB1942" t="str">
        <f t="shared" ref="BB1942:BB2005" si="583">"N733KP  "</f>
        <v xml:space="preserve">N733KP  </v>
      </c>
      <c r="BC1942">
        <v>1</v>
      </c>
      <c r="BE1942">
        <v>0</v>
      </c>
      <c r="BF1942">
        <v>0</v>
      </c>
      <c r="BG1942">
        <v>0</v>
      </c>
      <c r="BH1942">
        <v>3425</v>
      </c>
      <c r="BI1942">
        <v>1</v>
      </c>
      <c r="BJ1942">
        <v>1</v>
      </c>
      <c r="BK1942">
        <v>0</v>
      </c>
      <c r="BL1942">
        <v>0</v>
      </c>
      <c r="BO1942">
        <v>0</v>
      </c>
      <c r="BP1942">
        <v>0</v>
      </c>
      <c r="BW1942" t="str">
        <f>"22:17:38.649"</f>
        <v>22:17:38.649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7</v>
      </c>
      <c r="CP1942" t="s">
        <v>119</v>
      </c>
      <c r="CQ1942">
        <v>364</v>
      </c>
      <c r="CR1942">
        <v>0</v>
      </c>
      <c r="CW1942">
        <v>1439544</v>
      </c>
      <c r="CY1942">
        <v>1</v>
      </c>
      <c r="CZ1942">
        <v>0</v>
      </c>
      <c r="DA1942">
        <v>0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"03/24/2022 22:17:38.890"</f>
        <v>03/24/2022 22:17:38.890</v>
      </c>
      <c r="C1943" t="str">
        <f t="shared" si="581"/>
        <v>FFDFD3C0</v>
      </c>
      <c r="D1943" t="s">
        <v>120</v>
      </c>
      <c r="E1943">
        <v>14</v>
      </c>
      <c r="F1943">
        <v>1014</v>
      </c>
      <c r="G1943" t="s">
        <v>121</v>
      </c>
      <c r="J1943" t="s">
        <v>122</v>
      </c>
      <c r="K1943">
        <v>0</v>
      </c>
      <c r="L1943">
        <v>3</v>
      </c>
      <c r="M1943">
        <v>0</v>
      </c>
      <c r="N1943">
        <v>2</v>
      </c>
      <c r="O1943">
        <v>0</v>
      </c>
      <c r="P1943">
        <v>1</v>
      </c>
      <c r="Q1943">
        <v>0</v>
      </c>
      <c r="S1943" t="str">
        <f t="shared" si="582"/>
        <v>22:17:38.000</v>
      </c>
      <c r="T1943" t="str">
        <f t="shared" si="582"/>
        <v>22:17:38.000</v>
      </c>
      <c r="U1943" t="str">
        <f t="shared" si="576"/>
        <v>A9D71F</v>
      </c>
      <c r="V1943">
        <v>0</v>
      </c>
      <c r="W1943">
        <v>0</v>
      </c>
      <c r="X1943">
        <v>2</v>
      </c>
      <c r="Z1943">
        <v>1</v>
      </c>
      <c r="AA1943">
        <v>8</v>
      </c>
      <c r="AB1943">
        <v>3</v>
      </c>
      <c r="AC1943">
        <v>0</v>
      </c>
      <c r="AD1943">
        <v>9</v>
      </c>
      <c r="AE1943">
        <v>0</v>
      </c>
      <c r="AF1943">
        <v>3</v>
      </c>
      <c r="AG1943">
        <v>1</v>
      </c>
      <c r="AH1943">
        <v>0</v>
      </c>
      <c r="AI1943" t="s">
        <v>1022</v>
      </c>
      <c r="AJ1943">
        <v>33.037477000000003</v>
      </c>
      <c r="AK1943" t="s">
        <v>1023</v>
      </c>
      <c r="AL1943">
        <v>-97.661203999999998</v>
      </c>
      <c r="AM1943">
        <v>25</v>
      </c>
      <c r="AN1943">
        <v>3400</v>
      </c>
      <c r="AO1943" t="s">
        <v>118</v>
      </c>
      <c r="AP1943">
        <v>26</v>
      </c>
      <c r="AQ1943">
        <v>-85</v>
      </c>
      <c r="AR1943">
        <v>-192</v>
      </c>
      <c r="AZ1943">
        <v>1200</v>
      </c>
      <c r="BA1943">
        <v>1</v>
      </c>
      <c r="BB1943" t="str">
        <f t="shared" si="583"/>
        <v xml:space="preserve">N733KP  </v>
      </c>
      <c r="BC1943">
        <v>1</v>
      </c>
      <c r="BE1943">
        <v>0</v>
      </c>
      <c r="BF1943">
        <v>0</v>
      </c>
      <c r="BG1943">
        <v>0</v>
      </c>
      <c r="BH1943">
        <v>3425</v>
      </c>
      <c r="BI1943">
        <v>1</v>
      </c>
      <c r="BJ1943">
        <v>1</v>
      </c>
      <c r="BK1943">
        <v>0</v>
      </c>
      <c r="BL1943">
        <v>0</v>
      </c>
      <c r="BO1943">
        <v>0</v>
      </c>
      <c r="BP1943">
        <v>0</v>
      </c>
      <c r="BW1943" t="str">
        <f>"22:17:38.649"</f>
        <v>22:17:38.649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119</v>
      </c>
      <c r="CQ1943">
        <v>364</v>
      </c>
      <c r="CR1943">
        <v>0</v>
      </c>
      <c r="CW1943">
        <v>1439544</v>
      </c>
      <c r="CY1943">
        <v>1</v>
      </c>
      <c r="CZ1943">
        <v>0</v>
      </c>
      <c r="DA1943">
        <v>1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"03/24/2022 22:17:38.890"</f>
        <v>03/24/2022 22:17:38.890</v>
      </c>
      <c r="C1944" t="str">
        <f t="shared" si="581"/>
        <v>FFDFD3C0</v>
      </c>
      <c r="D1944" t="s">
        <v>113</v>
      </c>
      <c r="E1944">
        <v>24</v>
      </c>
      <c r="F1944">
        <v>2024</v>
      </c>
      <c r="G1944" t="s">
        <v>114</v>
      </c>
      <c r="J1944" t="s">
        <v>115</v>
      </c>
      <c r="K1944">
        <v>0</v>
      </c>
      <c r="L1944">
        <v>3</v>
      </c>
      <c r="M1944">
        <v>0</v>
      </c>
      <c r="N1944">
        <v>2</v>
      </c>
      <c r="O1944">
        <v>0</v>
      </c>
      <c r="P1944">
        <v>1</v>
      </c>
      <c r="Q1944">
        <v>0</v>
      </c>
      <c r="S1944" t="str">
        <f t="shared" si="582"/>
        <v>22:17:38.000</v>
      </c>
      <c r="T1944" t="str">
        <f t="shared" si="582"/>
        <v>22:17:38.000</v>
      </c>
      <c r="U1944" t="str">
        <f t="shared" si="576"/>
        <v>A9D71F</v>
      </c>
      <c r="V1944">
        <v>0</v>
      </c>
      <c r="W1944">
        <v>0</v>
      </c>
      <c r="X1944">
        <v>2</v>
      </c>
      <c r="Z1944">
        <v>1</v>
      </c>
      <c r="AA1944">
        <v>8</v>
      </c>
      <c r="AB1944">
        <v>3</v>
      </c>
      <c r="AC1944">
        <v>0</v>
      </c>
      <c r="AD1944">
        <v>9</v>
      </c>
      <c r="AE1944">
        <v>0</v>
      </c>
      <c r="AF1944">
        <v>3</v>
      </c>
      <c r="AG1944">
        <v>1</v>
      </c>
      <c r="AH1944">
        <v>0</v>
      </c>
      <c r="AI1944" t="s">
        <v>1022</v>
      </c>
      <c r="AJ1944">
        <v>33.037477000000003</v>
      </c>
      <c r="AK1944" t="s">
        <v>1023</v>
      </c>
      <c r="AL1944">
        <v>-97.661203999999998</v>
      </c>
      <c r="AM1944">
        <v>25</v>
      </c>
      <c r="AN1944">
        <v>3400</v>
      </c>
      <c r="AO1944" t="s">
        <v>118</v>
      </c>
      <c r="AP1944">
        <v>26</v>
      </c>
      <c r="AQ1944">
        <v>-85</v>
      </c>
      <c r="AR1944">
        <v>-192</v>
      </c>
      <c r="AZ1944">
        <v>1200</v>
      </c>
      <c r="BA1944">
        <v>1</v>
      </c>
      <c r="BB1944" t="str">
        <f t="shared" si="583"/>
        <v xml:space="preserve">N733KP  </v>
      </c>
      <c r="BC1944">
        <v>1</v>
      </c>
      <c r="BE1944">
        <v>0</v>
      </c>
      <c r="BF1944">
        <v>0</v>
      </c>
      <c r="BG1944">
        <v>0</v>
      </c>
      <c r="BH1944">
        <v>3425</v>
      </c>
      <c r="BI1944">
        <v>1</v>
      </c>
      <c r="BJ1944">
        <v>1</v>
      </c>
      <c r="BK1944">
        <v>0</v>
      </c>
      <c r="BL1944">
        <v>0</v>
      </c>
      <c r="BO1944">
        <v>0</v>
      </c>
      <c r="BP1944">
        <v>0</v>
      </c>
      <c r="BW1944" t="str">
        <f>"22:17:38.649"</f>
        <v>22:17:38.649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7</v>
      </c>
      <c r="CP1944" t="s">
        <v>119</v>
      </c>
      <c r="CQ1944">
        <v>364</v>
      </c>
      <c r="CR1944">
        <v>0</v>
      </c>
      <c r="CW1944">
        <v>1439544</v>
      </c>
      <c r="CY1944">
        <v>1</v>
      </c>
      <c r="CZ1944">
        <v>0</v>
      </c>
      <c r="DA1944">
        <v>1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"03/24/2022 22:17:38.890"</f>
        <v>03/24/2022 22:17:38.890</v>
      </c>
      <c r="C1945" t="str">
        <f t="shared" si="581"/>
        <v>FFDFD3C0</v>
      </c>
      <c r="D1945" t="s">
        <v>123</v>
      </c>
      <c r="E1945">
        <v>8</v>
      </c>
      <c r="H1945">
        <v>31</v>
      </c>
      <c r="I1945" t="s">
        <v>124</v>
      </c>
      <c r="J1945" t="s">
        <v>125</v>
      </c>
      <c r="K1945">
        <v>0</v>
      </c>
      <c r="L1945">
        <v>3</v>
      </c>
      <c r="M1945">
        <v>0</v>
      </c>
      <c r="N1945">
        <v>2</v>
      </c>
      <c r="O1945">
        <v>0</v>
      </c>
      <c r="P1945">
        <v>1</v>
      </c>
      <c r="Q1945">
        <v>0</v>
      </c>
      <c r="S1945" t="str">
        <f t="shared" si="582"/>
        <v>22:17:38.000</v>
      </c>
      <c r="T1945" t="str">
        <f t="shared" si="582"/>
        <v>22:17:38.000</v>
      </c>
      <c r="U1945" t="str">
        <f t="shared" si="576"/>
        <v>A9D71F</v>
      </c>
      <c r="V1945">
        <v>0</v>
      </c>
      <c r="W1945">
        <v>0</v>
      </c>
      <c r="X1945">
        <v>2</v>
      </c>
      <c r="Z1945">
        <v>1</v>
      </c>
      <c r="AA1945">
        <v>8</v>
      </c>
      <c r="AB1945">
        <v>3</v>
      </c>
      <c r="AC1945">
        <v>0</v>
      </c>
      <c r="AD1945">
        <v>9</v>
      </c>
      <c r="AE1945">
        <v>0</v>
      </c>
      <c r="AF1945">
        <v>3</v>
      </c>
      <c r="AG1945">
        <v>1</v>
      </c>
      <c r="AH1945">
        <v>0</v>
      </c>
      <c r="AI1945" t="s">
        <v>1022</v>
      </c>
      <c r="AJ1945">
        <v>33.037477000000003</v>
      </c>
      <c r="AK1945" t="s">
        <v>1023</v>
      </c>
      <c r="AL1945">
        <v>-97.661203999999998</v>
      </c>
      <c r="AM1945">
        <v>25</v>
      </c>
      <c r="AN1945">
        <v>3400</v>
      </c>
      <c r="AO1945" t="s">
        <v>118</v>
      </c>
      <c r="AP1945">
        <v>26</v>
      </c>
      <c r="AQ1945">
        <v>-85</v>
      </c>
      <c r="AR1945">
        <v>-192</v>
      </c>
      <c r="AZ1945">
        <v>1200</v>
      </c>
      <c r="BA1945">
        <v>1</v>
      </c>
      <c r="BB1945" t="str">
        <f t="shared" si="583"/>
        <v xml:space="preserve">N733KP  </v>
      </c>
      <c r="BC1945">
        <v>1</v>
      </c>
      <c r="BE1945">
        <v>0</v>
      </c>
      <c r="BF1945">
        <v>0</v>
      </c>
      <c r="BG1945">
        <v>0</v>
      </c>
      <c r="BH1945">
        <v>3425</v>
      </c>
      <c r="BI1945">
        <v>1</v>
      </c>
      <c r="BJ1945">
        <v>1</v>
      </c>
      <c r="BK1945">
        <v>0</v>
      </c>
      <c r="BL1945">
        <v>0</v>
      </c>
      <c r="BO1945">
        <v>0</v>
      </c>
      <c r="BP1945">
        <v>0</v>
      </c>
      <c r="BW1945" t="str">
        <f>"22:17:38.649"</f>
        <v>22:17:38.649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7</v>
      </c>
      <c r="CP1945" t="s">
        <v>119</v>
      </c>
      <c r="CQ1945">
        <v>364</v>
      </c>
      <c r="CR1945">
        <v>0</v>
      </c>
      <c r="CW1945">
        <v>1439544</v>
      </c>
      <c r="CY1945">
        <v>1</v>
      </c>
      <c r="CZ1945">
        <v>0</v>
      </c>
      <c r="DA1945">
        <v>1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"03/24/2022 22:17:39.452"</f>
        <v>03/24/2022 22:17:39.452</v>
      </c>
      <c r="C1946" t="str">
        <f t="shared" si="581"/>
        <v>FFDFD3C0</v>
      </c>
      <c r="D1946" t="s">
        <v>123</v>
      </c>
      <c r="E1946">
        <v>8</v>
      </c>
      <c r="H1946">
        <v>31</v>
      </c>
      <c r="I1946" t="s">
        <v>124</v>
      </c>
      <c r="J1946" t="s">
        <v>125</v>
      </c>
      <c r="K1946">
        <v>0</v>
      </c>
      <c r="L1946">
        <v>3</v>
      </c>
      <c r="M1946">
        <v>0</v>
      </c>
      <c r="N1946">
        <v>2</v>
      </c>
      <c r="O1946">
        <v>0</v>
      </c>
      <c r="P1946">
        <v>1</v>
      </c>
      <c r="Q1946">
        <v>0</v>
      </c>
      <c r="S1946" t="str">
        <f t="shared" ref="S1946:T1949" si="584">"22:17:39.000"</f>
        <v>22:17:39.000</v>
      </c>
      <c r="T1946" t="str">
        <f t="shared" si="584"/>
        <v>22:17:39.000</v>
      </c>
      <c r="U1946" t="str">
        <f t="shared" si="576"/>
        <v>A9D71F</v>
      </c>
      <c r="V1946">
        <v>0</v>
      </c>
      <c r="W1946">
        <v>0</v>
      </c>
      <c r="X1946">
        <v>2</v>
      </c>
      <c r="Z1946">
        <v>1</v>
      </c>
      <c r="AA1946">
        <v>8</v>
      </c>
      <c r="AB1946">
        <v>3</v>
      </c>
      <c r="AC1946">
        <v>0</v>
      </c>
      <c r="AD1946">
        <v>9</v>
      </c>
      <c r="AE1946">
        <v>0</v>
      </c>
      <c r="AF1946">
        <v>3</v>
      </c>
      <c r="AG1946">
        <v>1</v>
      </c>
      <c r="AH1946">
        <v>0</v>
      </c>
      <c r="AI1946" t="s">
        <v>1024</v>
      </c>
      <c r="AJ1946">
        <v>33.037069000000002</v>
      </c>
      <c r="AK1946" t="s">
        <v>1025</v>
      </c>
      <c r="AL1946">
        <v>-97.661033000000003</v>
      </c>
      <c r="AM1946">
        <v>25</v>
      </c>
      <c r="AN1946">
        <v>3400</v>
      </c>
      <c r="AO1946" t="s">
        <v>118</v>
      </c>
      <c r="AP1946">
        <v>27</v>
      </c>
      <c r="AQ1946">
        <v>-85</v>
      </c>
      <c r="AR1946">
        <v>-128</v>
      </c>
      <c r="AZ1946">
        <v>1200</v>
      </c>
      <c r="BA1946">
        <v>1</v>
      </c>
      <c r="BB1946" t="str">
        <f t="shared" si="583"/>
        <v xml:space="preserve">N733KP  </v>
      </c>
      <c r="BC1946">
        <v>1</v>
      </c>
      <c r="BE1946">
        <v>0</v>
      </c>
      <c r="BF1946">
        <v>0</v>
      </c>
      <c r="BG1946">
        <v>0</v>
      </c>
      <c r="BH1946">
        <v>3425</v>
      </c>
      <c r="BI1946">
        <v>1</v>
      </c>
      <c r="BJ1946">
        <v>1</v>
      </c>
      <c r="BK1946">
        <v>0</v>
      </c>
      <c r="BL1946">
        <v>0</v>
      </c>
      <c r="BO1946">
        <v>0</v>
      </c>
      <c r="BP1946">
        <v>0</v>
      </c>
      <c r="BW1946" t="str">
        <f>"22:17:39.303"</f>
        <v>22:17:39.303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7</v>
      </c>
      <c r="CP1946" t="s">
        <v>119</v>
      </c>
      <c r="CQ1946">
        <v>364</v>
      </c>
      <c r="CR1946">
        <v>0</v>
      </c>
      <c r="CW1946">
        <v>1439662</v>
      </c>
      <c r="CY1946">
        <v>1</v>
      </c>
      <c r="CZ1946">
        <v>0</v>
      </c>
      <c r="DA1946">
        <v>0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"03/24/2022 22:17:39.515"</f>
        <v>03/24/2022 22:17:39.515</v>
      </c>
      <c r="C1947" t="str">
        <f t="shared" si="581"/>
        <v>FFDFD3C0</v>
      </c>
      <c r="D1947" t="s">
        <v>126</v>
      </c>
      <c r="E1947">
        <v>3</v>
      </c>
      <c r="H1947">
        <v>160</v>
      </c>
      <c r="I1947" t="s">
        <v>121</v>
      </c>
      <c r="J1947" t="s">
        <v>127</v>
      </c>
      <c r="K1947">
        <v>0</v>
      </c>
      <c r="L1947">
        <v>3</v>
      </c>
      <c r="M1947">
        <v>0</v>
      </c>
      <c r="N1947">
        <v>2</v>
      </c>
      <c r="O1947">
        <v>0</v>
      </c>
      <c r="P1947">
        <v>1</v>
      </c>
      <c r="Q1947">
        <v>0</v>
      </c>
      <c r="S1947" t="str">
        <f t="shared" si="584"/>
        <v>22:17:39.000</v>
      </c>
      <c r="T1947" t="str">
        <f t="shared" si="584"/>
        <v>22:17:39.000</v>
      </c>
      <c r="U1947" t="str">
        <f t="shared" si="576"/>
        <v>A9D71F</v>
      </c>
      <c r="V1947">
        <v>0</v>
      </c>
      <c r="W1947">
        <v>0</v>
      </c>
      <c r="X1947">
        <v>2</v>
      </c>
      <c r="Z1947">
        <v>1</v>
      </c>
      <c r="AA1947">
        <v>8</v>
      </c>
      <c r="AB1947">
        <v>3</v>
      </c>
      <c r="AC1947">
        <v>0</v>
      </c>
      <c r="AD1947">
        <v>9</v>
      </c>
      <c r="AE1947">
        <v>0</v>
      </c>
      <c r="AF1947">
        <v>3</v>
      </c>
      <c r="AG1947">
        <v>1</v>
      </c>
      <c r="AH1947">
        <v>0</v>
      </c>
      <c r="AI1947" t="s">
        <v>1024</v>
      </c>
      <c r="AJ1947">
        <v>33.037069000000002</v>
      </c>
      <c r="AK1947" t="s">
        <v>1025</v>
      </c>
      <c r="AL1947">
        <v>-97.661033000000003</v>
      </c>
      <c r="AM1947">
        <v>25</v>
      </c>
      <c r="AN1947">
        <v>3400</v>
      </c>
      <c r="AO1947" t="s">
        <v>118</v>
      </c>
      <c r="AP1947">
        <v>27</v>
      </c>
      <c r="AQ1947">
        <v>-85</v>
      </c>
      <c r="AR1947">
        <v>-128</v>
      </c>
      <c r="AZ1947">
        <v>1200</v>
      </c>
      <c r="BA1947">
        <v>1</v>
      </c>
      <c r="BB1947" t="str">
        <f t="shared" si="583"/>
        <v xml:space="preserve">N733KP  </v>
      </c>
      <c r="BC1947">
        <v>1</v>
      </c>
      <c r="BE1947">
        <v>0</v>
      </c>
      <c r="BF1947">
        <v>0</v>
      </c>
      <c r="BG1947">
        <v>0</v>
      </c>
      <c r="BH1947">
        <v>3425</v>
      </c>
      <c r="BI1947">
        <v>1</v>
      </c>
      <c r="BJ1947">
        <v>1</v>
      </c>
      <c r="BK1947">
        <v>0</v>
      </c>
      <c r="BL1947">
        <v>0</v>
      </c>
      <c r="BO1947">
        <v>0</v>
      </c>
      <c r="BP1947">
        <v>0</v>
      </c>
      <c r="BW1947" t="str">
        <f>"22:17:39.303"</f>
        <v>22:17:39.303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119</v>
      </c>
      <c r="CQ1947">
        <v>364</v>
      </c>
      <c r="CR1947">
        <v>0</v>
      </c>
      <c r="CW1947">
        <v>1439662</v>
      </c>
      <c r="CY1947">
        <v>1</v>
      </c>
      <c r="CZ1947">
        <v>0</v>
      </c>
      <c r="DA1947">
        <v>1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"03/24/2022 22:17:39.515"</f>
        <v>03/24/2022 22:17:39.515</v>
      </c>
      <c r="C1948" t="str">
        <f t="shared" si="581"/>
        <v>FFDFD3C0</v>
      </c>
      <c r="D1948" t="s">
        <v>120</v>
      </c>
      <c r="E1948">
        <v>14</v>
      </c>
      <c r="F1948">
        <v>1014</v>
      </c>
      <c r="G1948" t="s">
        <v>121</v>
      </c>
      <c r="J1948" t="s">
        <v>122</v>
      </c>
      <c r="K1948">
        <v>0</v>
      </c>
      <c r="L1948">
        <v>3</v>
      </c>
      <c r="M1948">
        <v>0</v>
      </c>
      <c r="N1948">
        <v>2</v>
      </c>
      <c r="O1948">
        <v>0</v>
      </c>
      <c r="P1948">
        <v>1</v>
      </c>
      <c r="Q1948">
        <v>0</v>
      </c>
      <c r="S1948" t="str">
        <f t="shared" si="584"/>
        <v>22:17:39.000</v>
      </c>
      <c r="T1948" t="str">
        <f t="shared" si="584"/>
        <v>22:17:39.000</v>
      </c>
      <c r="U1948" t="str">
        <f t="shared" si="576"/>
        <v>A9D71F</v>
      </c>
      <c r="V1948">
        <v>0</v>
      </c>
      <c r="W1948">
        <v>0</v>
      </c>
      <c r="X1948">
        <v>2</v>
      </c>
      <c r="Z1948">
        <v>1</v>
      </c>
      <c r="AA1948">
        <v>8</v>
      </c>
      <c r="AB1948">
        <v>3</v>
      </c>
      <c r="AC1948">
        <v>0</v>
      </c>
      <c r="AD1948">
        <v>9</v>
      </c>
      <c r="AE1948">
        <v>0</v>
      </c>
      <c r="AF1948">
        <v>3</v>
      </c>
      <c r="AG1948">
        <v>1</v>
      </c>
      <c r="AH1948">
        <v>0</v>
      </c>
      <c r="AI1948" t="s">
        <v>1024</v>
      </c>
      <c r="AJ1948">
        <v>33.037069000000002</v>
      </c>
      <c r="AK1948" t="s">
        <v>1025</v>
      </c>
      <c r="AL1948">
        <v>-97.661033000000003</v>
      </c>
      <c r="AM1948">
        <v>25</v>
      </c>
      <c r="AN1948">
        <v>3400</v>
      </c>
      <c r="AO1948" t="s">
        <v>118</v>
      </c>
      <c r="AP1948">
        <v>27</v>
      </c>
      <c r="AQ1948">
        <v>-85</v>
      </c>
      <c r="AR1948">
        <v>-128</v>
      </c>
      <c r="AZ1948">
        <v>1200</v>
      </c>
      <c r="BA1948">
        <v>1</v>
      </c>
      <c r="BB1948" t="str">
        <f t="shared" si="583"/>
        <v xml:space="preserve">N733KP  </v>
      </c>
      <c r="BC1948">
        <v>1</v>
      </c>
      <c r="BE1948">
        <v>0</v>
      </c>
      <c r="BF1948">
        <v>0</v>
      </c>
      <c r="BG1948">
        <v>0</v>
      </c>
      <c r="BH1948">
        <v>3425</v>
      </c>
      <c r="BI1948">
        <v>1</v>
      </c>
      <c r="BJ1948">
        <v>1</v>
      </c>
      <c r="BK1948">
        <v>0</v>
      </c>
      <c r="BL1948">
        <v>0</v>
      </c>
      <c r="BO1948">
        <v>0</v>
      </c>
      <c r="BP1948">
        <v>0</v>
      </c>
      <c r="BW1948" t="str">
        <f>"22:17:39.303"</f>
        <v>22:17:39.303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7</v>
      </c>
      <c r="CP1948" t="s">
        <v>119</v>
      </c>
      <c r="CQ1948">
        <v>364</v>
      </c>
      <c r="CR1948">
        <v>0</v>
      </c>
      <c r="CW1948">
        <v>1439662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>"03/24/2022 22:17:39.515"</f>
        <v>03/24/2022 22:17:39.515</v>
      </c>
      <c r="C1949" t="str">
        <f t="shared" si="581"/>
        <v>FFDFD3C0</v>
      </c>
      <c r="D1949" t="s">
        <v>113</v>
      </c>
      <c r="E1949">
        <v>24</v>
      </c>
      <c r="F1949">
        <v>2024</v>
      </c>
      <c r="G1949" t="s">
        <v>114</v>
      </c>
      <c r="J1949" t="s">
        <v>115</v>
      </c>
      <c r="K1949">
        <v>0</v>
      </c>
      <c r="L1949">
        <v>3</v>
      </c>
      <c r="M1949">
        <v>0</v>
      </c>
      <c r="N1949">
        <v>2</v>
      </c>
      <c r="O1949">
        <v>0</v>
      </c>
      <c r="P1949">
        <v>1</v>
      </c>
      <c r="Q1949">
        <v>0</v>
      </c>
      <c r="S1949" t="str">
        <f t="shared" si="584"/>
        <v>22:17:39.000</v>
      </c>
      <c r="T1949" t="str">
        <f t="shared" si="584"/>
        <v>22:17:39.000</v>
      </c>
      <c r="U1949" t="str">
        <f t="shared" si="576"/>
        <v>A9D71F</v>
      </c>
      <c r="V1949">
        <v>0</v>
      </c>
      <c r="W1949">
        <v>0</v>
      </c>
      <c r="X1949">
        <v>2</v>
      </c>
      <c r="Z1949">
        <v>1</v>
      </c>
      <c r="AA1949">
        <v>8</v>
      </c>
      <c r="AB1949">
        <v>3</v>
      </c>
      <c r="AC1949">
        <v>0</v>
      </c>
      <c r="AD1949">
        <v>9</v>
      </c>
      <c r="AE1949">
        <v>0</v>
      </c>
      <c r="AF1949">
        <v>3</v>
      </c>
      <c r="AG1949">
        <v>1</v>
      </c>
      <c r="AH1949">
        <v>0</v>
      </c>
      <c r="AI1949" t="s">
        <v>1024</v>
      </c>
      <c r="AJ1949">
        <v>33.037069000000002</v>
      </c>
      <c r="AK1949" t="s">
        <v>1025</v>
      </c>
      <c r="AL1949">
        <v>-97.661033000000003</v>
      </c>
      <c r="AM1949">
        <v>25</v>
      </c>
      <c r="AN1949">
        <v>3400</v>
      </c>
      <c r="AO1949" t="s">
        <v>118</v>
      </c>
      <c r="AP1949">
        <v>27</v>
      </c>
      <c r="AQ1949">
        <v>-85</v>
      </c>
      <c r="AR1949">
        <v>-128</v>
      </c>
      <c r="AZ1949">
        <v>1200</v>
      </c>
      <c r="BA1949">
        <v>1</v>
      </c>
      <c r="BB1949" t="str">
        <f t="shared" si="583"/>
        <v xml:space="preserve">N733KP  </v>
      </c>
      <c r="BC1949">
        <v>1</v>
      </c>
      <c r="BE1949">
        <v>0</v>
      </c>
      <c r="BF1949">
        <v>0</v>
      </c>
      <c r="BG1949">
        <v>0</v>
      </c>
      <c r="BH1949">
        <v>3425</v>
      </c>
      <c r="BI1949">
        <v>1</v>
      </c>
      <c r="BJ1949">
        <v>1</v>
      </c>
      <c r="BK1949">
        <v>0</v>
      </c>
      <c r="BL1949">
        <v>0</v>
      </c>
      <c r="BO1949">
        <v>0</v>
      </c>
      <c r="BP1949">
        <v>0</v>
      </c>
      <c r="BW1949" t="str">
        <f>"22:17:39.303"</f>
        <v>22:17:39.303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7</v>
      </c>
      <c r="CP1949" t="s">
        <v>119</v>
      </c>
      <c r="CQ1949">
        <v>364</v>
      </c>
      <c r="CR1949">
        <v>0</v>
      </c>
      <c r="CW1949">
        <v>1439662</v>
      </c>
      <c r="CY1949">
        <v>1</v>
      </c>
      <c r="CZ1949">
        <v>0</v>
      </c>
      <c r="DA1949">
        <v>1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"03/24/2022 22:17:40.577"</f>
        <v>03/24/2022 22:17:40.577</v>
      </c>
      <c r="C1950" t="str">
        <f t="shared" si="581"/>
        <v>FFDFD3C0</v>
      </c>
      <c r="D1950" t="s">
        <v>123</v>
      </c>
      <c r="E1950">
        <v>8</v>
      </c>
      <c r="H1950">
        <v>31</v>
      </c>
      <c r="I1950" t="s">
        <v>124</v>
      </c>
      <c r="J1950" t="s">
        <v>125</v>
      </c>
      <c r="K1950">
        <v>0</v>
      </c>
      <c r="L1950">
        <v>3</v>
      </c>
      <c r="M1950">
        <v>0</v>
      </c>
      <c r="N1950">
        <v>2</v>
      </c>
      <c r="O1950">
        <v>0</v>
      </c>
      <c r="P1950">
        <v>1</v>
      </c>
      <c r="Q1950">
        <v>0</v>
      </c>
      <c r="S1950" t="str">
        <f t="shared" ref="S1950:T1953" si="585">"22:17:40.000"</f>
        <v>22:17:40.000</v>
      </c>
      <c r="T1950" t="str">
        <f t="shared" si="585"/>
        <v>22:17:40.000</v>
      </c>
      <c r="U1950" t="str">
        <f t="shared" si="576"/>
        <v>A9D71F</v>
      </c>
      <c r="V1950">
        <v>0</v>
      </c>
      <c r="W1950">
        <v>0</v>
      </c>
      <c r="X1950">
        <v>2</v>
      </c>
      <c r="Z1950">
        <v>1</v>
      </c>
      <c r="AA1950">
        <v>8</v>
      </c>
      <c r="AB1950">
        <v>3</v>
      </c>
      <c r="AC1950">
        <v>0</v>
      </c>
      <c r="AD1950">
        <v>9</v>
      </c>
      <c r="AE1950">
        <v>0</v>
      </c>
      <c r="AF1950">
        <v>3</v>
      </c>
      <c r="AG1950">
        <v>1</v>
      </c>
      <c r="AH1950">
        <v>0</v>
      </c>
      <c r="AI1950" t="s">
        <v>1026</v>
      </c>
      <c r="AJ1950">
        <v>33.036682999999996</v>
      </c>
      <c r="AK1950" t="s">
        <v>1027</v>
      </c>
      <c r="AL1950">
        <v>-97.660882000000001</v>
      </c>
      <c r="AM1950">
        <v>25</v>
      </c>
      <c r="AN1950">
        <v>3400</v>
      </c>
      <c r="AO1950" t="s">
        <v>118</v>
      </c>
      <c r="AP1950">
        <v>27</v>
      </c>
      <c r="AQ1950">
        <v>-84</v>
      </c>
      <c r="AR1950">
        <v>-64</v>
      </c>
      <c r="AZ1950">
        <v>1200</v>
      </c>
      <c r="BA1950">
        <v>1</v>
      </c>
      <c r="BB1950" t="str">
        <f t="shared" si="583"/>
        <v xml:space="preserve">N733KP  </v>
      </c>
      <c r="BC1950">
        <v>1</v>
      </c>
      <c r="BE1950">
        <v>0</v>
      </c>
      <c r="BF1950">
        <v>0</v>
      </c>
      <c r="BG1950">
        <v>0</v>
      </c>
      <c r="BH1950">
        <v>3400</v>
      </c>
      <c r="BI1950">
        <v>1</v>
      </c>
      <c r="BJ1950">
        <v>1</v>
      </c>
      <c r="BK1950">
        <v>0</v>
      </c>
      <c r="BL1950">
        <v>0</v>
      </c>
      <c r="BO1950">
        <v>0</v>
      </c>
      <c r="BP1950">
        <v>0</v>
      </c>
      <c r="BW1950" t="str">
        <f>"22:17:40.408"</f>
        <v>22:17:40.408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7</v>
      </c>
      <c r="CP1950" t="s">
        <v>119</v>
      </c>
      <c r="CQ1950">
        <v>364</v>
      </c>
      <c r="CR1950">
        <v>0</v>
      </c>
      <c r="CW1950">
        <v>1439845</v>
      </c>
      <c r="CY1950">
        <v>1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>"03/24/2022 22:17:40.593"</f>
        <v>03/24/2022 22:17:40.593</v>
      </c>
      <c r="C1951" t="str">
        <f t="shared" si="581"/>
        <v>FFDFD3C0</v>
      </c>
      <c r="D1951" t="s">
        <v>126</v>
      </c>
      <c r="E1951">
        <v>3</v>
      </c>
      <c r="H1951">
        <v>160</v>
      </c>
      <c r="I1951" t="s">
        <v>121</v>
      </c>
      <c r="J1951" t="s">
        <v>127</v>
      </c>
      <c r="K1951">
        <v>0</v>
      </c>
      <c r="L1951">
        <v>3</v>
      </c>
      <c r="M1951">
        <v>0</v>
      </c>
      <c r="N1951">
        <v>2</v>
      </c>
      <c r="O1951">
        <v>0</v>
      </c>
      <c r="P1951">
        <v>1</v>
      </c>
      <c r="Q1951">
        <v>0</v>
      </c>
      <c r="S1951" t="str">
        <f t="shared" si="585"/>
        <v>22:17:40.000</v>
      </c>
      <c r="T1951" t="str">
        <f t="shared" si="585"/>
        <v>22:17:40.000</v>
      </c>
      <c r="U1951" t="str">
        <f t="shared" si="576"/>
        <v>A9D71F</v>
      </c>
      <c r="V1951">
        <v>0</v>
      </c>
      <c r="W1951">
        <v>0</v>
      </c>
      <c r="X1951">
        <v>2</v>
      </c>
      <c r="Z1951">
        <v>1</v>
      </c>
      <c r="AA1951">
        <v>8</v>
      </c>
      <c r="AB1951">
        <v>3</v>
      </c>
      <c r="AC1951">
        <v>0</v>
      </c>
      <c r="AD1951">
        <v>9</v>
      </c>
      <c r="AE1951">
        <v>0</v>
      </c>
      <c r="AF1951">
        <v>3</v>
      </c>
      <c r="AG1951">
        <v>1</v>
      </c>
      <c r="AH1951">
        <v>0</v>
      </c>
      <c r="AI1951" t="s">
        <v>1026</v>
      </c>
      <c r="AJ1951">
        <v>33.036682999999996</v>
      </c>
      <c r="AK1951" t="s">
        <v>1027</v>
      </c>
      <c r="AL1951">
        <v>-97.660882000000001</v>
      </c>
      <c r="AM1951">
        <v>25</v>
      </c>
      <c r="AN1951">
        <v>3400</v>
      </c>
      <c r="AO1951" t="s">
        <v>118</v>
      </c>
      <c r="AP1951">
        <v>27</v>
      </c>
      <c r="AQ1951">
        <v>-84</v>
      </c>
      <c r="AR1951">
        <v>-64</v>
      </c>
      <c r="AZ1951">
        <v>1200</v>
      </c>
      <c r="BA1951">
        <v>1</v>
      </c>
      <c r="BB1951" t="str">
        <f t="shared" si="583"/>
        <v xml:space="preserve">N733KP  </v>
      </c>
      <c r="BC1951">
        <v>1</v>
      </c>
      <c r="BE1951">
        <v>0</v>
      </c>
      <c r="BF1951">
        <v>0</v>
      </c>
      <c r="BG1951">
        <v>0</v>
      </c>
      <c r="BH1951">
        <v>3400</v>
      </c>
      <c r="BI1951">
        <v>1</v>
      </c>
      <c r="BJ1951">
        <v>1</v>
      </c>
      <c r="BK1951">
        <v>0</v>
      </c>
      <c r="BL1951">
        <v>0</v>
      </c>
      <c r="BO1951">
        <v>0</v>
      </c>
      <c r="BP1951">
        <v>0</v>
      </c>
      <c r="BW1951" t="str">
        <f>"22:17:40.408"</f>
        <v>22:17:40.408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7</v>
      </c>
      <c r="CP1951" t="s">
        <v>119</v>
      </c>
      <c r="CQ1951">
        <v>364</v>
      </c>
      <c r="CR1951">
        <v>0</v>
      </c>
      <c r="CW1951">
        <v>1439845</v>
      </c>
      <c r="CY1951">
        <v>1</v>
      </c>
      <c r="CZ1951">
        <v>0</v>
      </c>
      <c r="DA1951">
        <v>1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>"03/24/2022 22:17:40.640"</f>
        <v>03/24/2022 22:17:40.640</v>
      </c>
      <c r="C1952" t="str">
        <f t="shared" si="581"/>
        <v>FFDFD3C0</v>
      </c>
      <c r="D1952" t="s">
        <v>113</v>
      </c>
      <c r="E1952">
        <v>24</v>
      </c>
      <c r="F1952">
        <v>2024</v>
      </c>
      <c r="G1952" t="s">
        <v>114</v>
      </c>
      <c r="J1952" t="s">
        <v>115</v>
      </c>
      <c r="K1952">
        <v>0</v>
      </c>
      <c r="L1952">
        <v>3</v>
      </c>
      <c r="M1952">
        <v>0</v>
      </c>
      <c r="N1952">
        <v>2</v>
      </c>
      <c r="O1952">
        <v>0</v>
      </c>
      <c r="P1952">
        <v>1</v>
      </c>
      <c r="Q1952">
        <v>0</v>
      </c>
      <c r="S1952" t="str">
        <f t="shared" si="585"/>
        <v>22:17:40.000</v>
      </c>
      <c r="T1952" t="str">
        <f t="shared" si="585"/>
        <v>22:17:40.000</v>
      </c>
      <c r="U1952" t="str">
        <f t="shared" si="576"/>
        <v>A9D71F</v>
      </c>
      <c r="V1952">
        <v>0</v>
      </c>
      <c r="W1952">
        <v>0</v>
      </c>
      <c r="X1952">
        <v>2</v>
      </c>
      <c r="Z1952">
        <v>1</v>
      </c>
      <c r="AA1952">
        <v>8</v>
      </c>
      <c r="AB1952">
        <v>3</v>
      </c>
      <c r="AC1952">
        <v>0</v>
      </c>
      <c r="AD1952">
        <v>9</v>
      </c>
      <c r="AE1952">
        <v>0</v>
      </c>
      <c r="AF1952">
        <v>3</v>
      </c>
      <c r="AG1952">
        <v>1</v>
      </c>
      <c r="AH1952">
        <v>0</v>
      </c>
      <c r="AI1952" t="s">
        <v>1026</v>
      </c>
      <c r="AJ1952">
        <v>33.036682999999996</v>
      </c>
      <c r="AK1952" t="s">
        <v>1027</v>
      </c>
      <c r="AL1952">
        <v>-97.660882000000001</v>
      </c>
      <c r="AM1952">
        <v>25</v>
      </c>
      <c r="AN1952">
        <v>3400</v>
      </c>
      <c r="AO1952" t="s">
        <v>118</v>
      </c>
      <c r="AP1952">
        <v>27</v>
      </c>
      <c r="AQ1952">
        <v>-84</v>
      </c>
      <c r="AR1952">
        <v>-64</v>
      </c>
      <c r="AZ1952">
        <v>1200</v>
      </c>
      <c r="BA1952">
        <v>1</v>
      </c>
      <c r="BB1952" t="str">
        <f t="shared" si="583"/>
        <v xml:space="preserve">N733KP  </v>
      </c>
      <c r="BC1952">
        <v>1</v>
      </c>
      <c r="BE1952">
        <v>0</v>
      </c>
      <c r="BF1952">
        <v>0</v>
      </c>
      <c r="BG1952">
        <v>0</v>
      </c>
      <c r="BH1952">
        <v>3400</v>
      </c>
      <c r="BI1952">
        <v>1</v>
      </c>
      <c r="BJ1952">
        <v>1</v>
      </c>
      <c r="BK1952">
        <v>0</v>
      </c>
      <c r="BL1952">
        <v>0</v>
      </c>
      <c r="BO1952">
        <v>0</v>
      </c>
      <c r="BP1952">
        <v>0</v>
      </c>
      <c r="BW1952" t="str">
        <f>"22:17:40.408"</f>
        <v>22:17:40.408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7</v>
      </c>
      <c r="CP1952" t="s">
        <v>119</v>
      </c>
      <c r="CQ1952">
        <v>364</v>
      </c>
      <c r="CR1952">
        <v>0</v>
      </c>
      <c r="CW1952">
        <v>1439845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>"03/24/2022 22:17:40.640"</f>
        <v>03/24/2022 22:17:40.640</v>
      </c>
      <c r="C1953" t="str">
        <f t="shared" si="581"/>
        <v>FFDFD3C0</v>
      </c>
      <c r="D1953" t="s">
        <v>120</v>
      </c>
      <c r="E1953">
        <v>14</v>
      </c>
      <c r="F1953">
        <v>1014</v>
      </c>
      <c r="G1953" t="s">
        <v>121</v>
      </c>
      <c r="J1953" t="s">
        <v>122</v>
      </c>
      <c r="K1953">
        <v>0</v>
      </c>
      <c r="L1953">
        <v>3</v>
      </c>
      <c r="M1953">
        <v>0</v>
      </c>
      <c r="N1953">
        <v>2</v>
      </c>
      <c r="O1953">
        <v>0</v>
      </c>
      <c r="P1953">
        <v>1</v>
      </c>
      <c r="Q1953">
        <v>0</v>
      </c>
      <c r="S1953" t="str">
        <f t="shared" si="585"/>
        <v>22:17:40.000</v>
      </c>
      <c r="T1953" t="str">
        <f t="shared" si="585"/>
        <v>22:17:40.000</v>
      </c>
      <c r="U1953" t="str">
        <f t="shared" si="576"/>
        <v>A9D71F</v>
      </c>
      <c r="V1953">
        <v>0</v>
      </c>
      <c r="W1953">
        <v>0</v>
      </c>
      <c r="X1953">
        <v>2</v>
      </c>
      <c r="Z1953">
        <v>1</v>
      </c>
      <c r="AA1953">
        <v>8</v>
      </c>
      <c r="AB1953">
        <v>3</v>
      </c>
      <c r="AC1953">
        <v>0</v>
      </c>
      <c r="AD1953">
        <v>9</v>
      </c>
      <c r="AE1953">
        <v>0</v>
      </c>
      <c r="AF1953">
        <v>3</v>
      </c>
      <c r="AG1953">
        <v>1</v>
      </c>
      <c r="AH1953">
        <v>0</v>
      </c>
      <c r="AI1953" t="s">
        <v>1026</v>
      </c>
      <c r="AJ1953">
        <v>33.036682999999996</v>
      </c>
      <c r="AK1953" t="s">
        <v>1027</v>
      </c>
      <c r="AL1953">
        <v>-97.660882000000001</v>
      </c>
      <c r="AM1953">
        <v>25</v>
      </c>
      <c r="AN1953">
        <v>3400</v>
      </c>
      <c r="AO1953" t="s">
        <v>118</v>
      </c>
      <c r="AP1953">
        <v>27</v>
      </c>
      <c r="AQ1953">
        <v>-84</v>
      </c>
      <c r="AR1953">
        <v>-64</v>
      </c>
      <c r="AZ1953">
        <v>1200</v>
      </c>
      <c r="BA1953">
        <v>1</v>
      </c>
      <c r="BB1953" t="str">
        <f t="shared" si="583"/>
        <v xml:space="preserve">N733KP  </v>
      </c>
      <c r="BC1953">
        <v>1</v>
      </c>
      <c r="BE1953">
        <v>0</v>
      </c>
      <c r="BF1953">
        <v>0</v>
      </c>
      <c r="BG1953">
        <v>0</v>
      </c>
      <c r="BH1953">
        <v>3400</v>
      </c>
      <c r="BI1953">
        <v>1</v>
      </c>
      <c r="BJ1953">
        <v>1</v>
      </c>
      <c r="BK1953">
        <v>0</v>
      </c>
      <c r="BL1953">
        <v>0</v>
      </c>
      <c r="BO1953">
        <v>0</v>
      </c>
      <c r="BP1953">
        <v>0</v>
      </c>
      <c r="BW1953" t="str">
        <f>"22:17:40.408"</f>
        <v>22:17:40.408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7</v>
      </c>
      <c r="CP1953" t="s">
        <v>119</v>
      </c>
      <c r="CQ1953">
        <v>364</v>
      </c>
      <c r="CR1953">
        <v>0</v>
      </c>
      <c r="CW1953">
        <v>1439845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>"03/24/2022 22:17:41.843"</f>
        <v>03/24/2022 22:17:41.843</v>
      </c>
      <c r="C1954" t="str">
        <f t="shared" si="581"/>
        <v>FFDFD3C0</v>
      </c>
      <c r="D1954" t="s">
        <v>123</v>
      </c>
      <c r="E1954">
        <v>8</v>
      </c>
      <c r="H1954">
        <v>31</v>
      </c>
      <c r="I1954" t="s">
        <v>124</v>
      </c>
      <c r="J1954" t="s">
        <v>125</v>
      </c>
      <c r="K1954">
        <v>0</v>
      </c>
      <c r="L1954">
        <v>3</v>
      </c>
      <c r="M1954">
        <v>0</v>
      </c>
      <c r="N1954">
        <v>2</v>
      </c>
      <c r="O1954">
        <v>0</v>
      </c>
      <c r="P1954">
        <v>1</v>
      </c>
      <c r="Q1954">
        <v>0</v>
      </c>
      <c r="S1954" t="str">
        <f t="shared" ref="S1954:T1957" si="586">"22:17:41.000"</f>
        <v>22:17:41.000</v>
      </c>
      <c r="T1954" t="str">
        <f t="shared" si="586"/>
        <v>22:17:41.000</v>
      </c>
      <c r="U1954" t="str">
        <f t="shared" si="576"/>
        <v>A9D71F</v>
      </c>
      <c r="V1954">
        <v>0</v>
      </c>
      <c r="W1954">
        <v>0</v>
      </c>
      <c r="X1954">
        <v>2</v>
      </c>
      <c r="Z1954">
        <v>1</v>
      </c>
      <c r="AA1954">
        <v>8</v>
      </c>
      <c r="AB1954">
        <v>3</v>
      </c>
      <c r="AC1954">
        <v>0</v>
      </c>
      <c r="AD1954">
        <v>9</v>
      </c>
      <c r="AE1954">
        <v>0</v>
      </c>
      <c r="AF1954">
        <v>3</v>
      </c>
      <c r="AG1954">
        <v>1</v>
      </c>
      <c r="AH1954">
        <v>0</v>
      </c>
      <c r="AI1954" t="s">
        <v>1028</v>
      </c>
      <c r="AJ1954">
        <v>33.036275000000003</v>
      </c>
      <c r="AK1954" t="s">
        <v>1029</v>
      </c>
      <c r="AL1954">
        <v>-97.660731999999996</v>
      </c>
      <c r="AM1954">
        <v>25</v>
      </c>
      <c r="AN1954">
        <v>3400</v>
      </c>
      <c r="AO1954" t="s">
        <v>118</v>
      </c>
      <c r="AP1954">
        <v>27</v>
      </c>
      <c r="AQ1954">
        <v>-83</v>
      </c>
      <c r="AR1954">
        <v>-64</v>
      </c>
      <c r="AZ1954">
        <v>1200</v>
      </c>
      <c r="BA1954">
        <v>1</v>
      </c>
      <c r="BB1954" t="str">
        <f t="shared" si="583"/>
        <v xml:space="preserve">N733KP  </v>
      </c>
      <c r="BC1954">
        <v>1</v>
      </c>
      <c r="BE1954">
        <v>0</v>
      </c>
      <c r="BF1954">
        <v>0</v>
      </c>
      <c r="BG1954">
        <v>0</v>
      </c>
      <c r="BH1954">
        <v>3400</v>
      </c>
      <c r="BI1954">
        <v>1</v>
      </c>
      <c r="BJ1954">
        <v>1</v>
      </c>
      <c r="BK1954">
        <v>0</v>
      </c>
      <c r="BL1954">
        <v>0</v>
      </c>
      <c r="BO1954">
        <v>0</v>
      </c>
      <c r="BP1954">
        <v>0</v>
      </c>
      <c r="BW1954" t="str">
        <f>"22:17:41.666"</f>
        <v>22:17:41.666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7</v>
      </c>
      <c r="CP1954" t="s">
        <v>119</v>
      </c>
      <c r="CQ1954">
        <v>364</v>
      </c>
      <c r="CR1954">
        <v>0</v>
      </c>
      <c r="CW1954">
        <v>1440031</v>
      </c>
      <c r="CY1954">
        <v>1</v>
      </c>
      <c r="CZ1954">
        <v>0</v>
      </c>
      <c r="DA1954">
        <v>0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>"03/24/2022 22:17:41.859"</f>
        <v>03/24/2022 22:17:41.859</v>
      </c>
      <c r="C1955" t="str">
        <f t="shared" si="581"/>
        <v>FFDFD3C0</v>
      </c>
      <c r="D1955" t="s">
        <v>126</v>
      </c>
      <c r="E1955">
        <v>3</v>
      </c>
      <c r="H1955">
        <v>160</v>
      </c>
      <c r="I1955" t="s">
        <v>121</v>
      </c>
      <c r="J1955" t="s">
        <v>127</v>
      </c>
      <c r="K1955">
        <v>0</v>
      </c>
      <c r="L1955">
        <v>3</v>
      </c>
      <c r="M1955">
        <v>0</v>
      </c>
      <c r="N1955">
        <v>2</v>
      </c>
      <c r="O1955">
        <v>0</v>
      </c>
      <c r="P1955">
        <v>1</v>
      </c>
      <c r="Q1955">
        <v>0</v>
      </c>
      <c r="S1955" t="str">
        <f t="shared" si="586"/>
        <v>22:17:41.000</v>
      </c>
      <c r="T1955" t="str">
        <f t="shared" si="586"/>
        <v>22:17:41.000</v>
      </c>
      <c r="U1955" t="str">
        <f t="shared" si="576"/>
        <v>A9D71F</v>
      </c>
      <c r="V1955">
        <v>0</v>
      </c>
      <c r="W1955">
        <v>0</v>
      </c>
      <c r="X1955">
        <v>2</v>
      </c>
      <c r="Z1955">
        <v>1</v>
      </c>
      <c r="AA1955">
        <v>8</v>
      </c>
      <c r="AB1955">
        <v>3</v>
      </c>
      <c r="AC1955">
        <v>0</v>
      </c>
      <c r="AD1955">
        <v>9</v>
      </c>
      <c r="AE1955">
        <v>0</v>
      </c>
      <c r="AF1955">
        <v>3</v>
      </c>
      <c r="AG1955">
        <v>1</v>
      </c>
      <c r="AH1955">
        <v>0</v>
      </c>
      <c r="AI1955" t="s">
        <v>1028</v>
      </c>
      <c r="AJ1955">
        <v>33.036275000000003</v>
      </c>
      <c r="AK1955" t="s">
        <v>1029</v>
      </c>
      <c r="AL1955">
        <v>-97.660731999999996</v>
      </c>
      <c r="AM1955">
        <v>25</v>
      </c>
      <c r="AN1955">
        <v>3400</v>
      </c>
      <c r="AO1955" t="s">
        <v>118</v>
      </c>
      <c r="AP1955">
        <v>27</v>
      </c>
      <c r="AQ1955">
        <v>-83</v>
      </c>
      <c r="AR1955">
        <v>-64</v>
      </c>
      <c r="AZ1955">
        <v>1200</v>
      </c>
      <c r="BA1955">
        <v>1</v>
      </c>
      <c r="BB1955" t="str">
        <f t="shared" si="583"/>
        <v xml:space="preserve">N733KP  </v>
      </c>
      <c r="BC1955">
        <v>1</v>
      </c>
      <c r="BE1955">
        <v>0</v>
      </c>
      <c r="BF1955">
        <v>0</v>
      </c>
      <c r="BG1955">
        <v>0</v>
      </c>
      <c r="BH1955">
        <v>3400</v>
      </c>
      <c r="BI1955">
        <v>1</v>
      </c>
      <c r="BJ1955">
        <v>1</v>
      </c>
      <c r="BK1955">
        <v>0</v>
      </c>
      <c r="BL1955">
        <v>0</v>
      </c>
      <c r="BO1955">
        <v>0</v>
      </c>
      <c r="BP1955">
        <v>0</v>
      </c>
      <c r="BW1955" t="str">
        <f>"22:17:41.666"</f>
        <v>22:17:41.666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119</v>
      </c>
      <c r="CQ1955">
        <v>364</v>
      </c>
      <c r="CR1955">
        <v>0</v>
      </c>
      <c r="CW1955">
        <v>1440031</v>
      </c>
      <c r="CY1955">
        <v>1</v>
      </c>
      <c r="CZ1955">
        <v>0</v>
      </c>
      <c r="DA1955">
        <v>1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>"03/24/2022 22:17:41.890"</f>
        <v>03/24/2022 22:17:41.890</v>
      </c>
      <c r="C1956" t="str">
        <f t="shared" si="581"/>
        <v>FFDFD3C0</v>
      </c>
      <c r="D1956" t="s">
        <v>113</v>
      </c>
      <c r="E1956">
        <v>24</v>
      </c>
      <c r="F1956">
        <v>2024</v>
      </c>
      <c r="G1956" t="s">
        <v>114</v>
      </c>
      <c r="J1956" t="s">
        <v>115</v>
      </c>
      <c r="K1956">
        <v>0</v>
      </c>
      <c r="L1956">
        <v>3</v>
      </c>
      <c r="M1956">
        <v>0</v>
      </c>
      <c r="N1956">
        <v>2</v>
      </c>
      <c r="O1956">
        <v>0</v>
      </c>
      <c r="P1956">
        <v>1</v>
      </c>
      <c r="Q1956">
        <v>0</v>
      </c>
      <c r="S1956" t="str">
        <f t="shared" si="586"/>
        <v>22:17:41.000</v>
      </c>
      <c r="T1956" t="str">
        <f t="shared" si="586"/>
        <v>22:17:41.000</v>
      </c>
      <c r="U1956" t="str">
        <f t="shared" si="576"/>
        <v>A9D71F</v>
      </c>
      <c r="V1956">
        <v>0</v>
      </c>
      <c r="W1956">
        <v>0</v>
      </c>
      <c r="X1956">
        <v>2</v>
      </c>
      <c r="Z1956">
        <v>1</v>
      </c>
      <c r="AA1956">
        <v>8</v>
      </c>
      <c r="AB1956">
        <v>3</v>
      </c>
      <c r="AC1956">
        <v>0</v>
      </c>
      <c r="AD1956">
        <v>9</v>
      </c>
      <c r="AE1956">
        <v>0</v>
      </c>
      <c r="AF1956">
        <v>3</v>
      </c>
      <c r="AG1956">
        <v>1</v>
      </c>
      <c r="AH1956">
        <v>0</v>
      </c>
      <c r="AI1956" t="s">
        <v>1028</v>
      </c>
      <c r="AJ1956">
        <v>33.036275000000003</v>
      </c>
      <c r="AK1956" t="s">
        <v>1029</v>
      </c>
      <c r="AL1956">
        <v>-97.660731999999996</v>
      </c>
      <c r="AM1956">
        <v>25</v>
      </c>
      <c r="AN1956">
        <v>3400</v>
      </c>
      <c r="AO1956" t="s">
        <v>118</v>
      </c>
      <c r="AP1956">
        <v>27</v>
      </c>
      <c r="AQ1956">
        <v>-83</v>
      </c>
      <c r="AR1956">
        <v>-64</v>
      </c>
      <c r="AZ1956">
        <v>1200</v>
      </c>
      <c r="BA1956">
        <v>1</v>
      </c>
      <c r="BB1956" t="str">
        <f t="shared" si="583"/>
        <v xml:space="preserve">N733KP  </v>
      </c>
      <c r="BC1956">
        <v>1</v>
      </c>
      <c r="BE1956">
        <v>0</v>
      </c>
      <c r="BF1956">
        <v>0</v>
      </c>
      <c r="BG1956">
        <v>0</v>
      </c>
      <c r="BH1956">
        <v>3400</v>
      </c>
      <c r="BI1956">
        <v>1</v>
      </c>
      <c r="BJ1956">
        <v>1</v>
      </c>
      <c r="BK1956">
        <v>0</v>
      </c>
      <c r="BL1956">
        <v>0</v>
      </c>
      <c r="BO1956">
        <v>0</v>
      </c>
      <c r="BP1956">
        <v>0</v>
      </c>
      <c r="BW1956" t="str">
        <f>"22:17:41.666"</f>
        <v>22:17:41.666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119</v>
      </c>
      <c r="CQ1956">
        <v>364</v>
      </c>
      <c r="CR1956">
        <v>0</v>
      </c>
      <c r="CW1956">
        <v>1440031</v>
      </c>
      <c r="CY1956">
        <v>1</v>
      </c>
      <c r="CZ1956">
        <v>0</v>
      </c>
      <c r="DA1956">
        <v>1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>"03/24/2022 22:17:41.890"</f>
        <v>03/24/2022 22:17:41.890</v>
      </c>
      <c r="C1957" t="str">
        <f t="shared" si="581"/>
        <v>FFDFD3C0</v>
      </c>
      <c r="D1957" t="s">
        <v>120</v>
      </c>
      <c r="E1957">
        <v>14</v>
      </c>
      <c r="F1957">
        <v>1014</v>
      </c>
      <c r="G1957" t="s">
        <v>121</v>
      </c>
      <c r="J1957" t="s">
        <v>122</v>
      </c>
      <c r="K1957">
        <v>0</v>
      </c>
      <c r="L1957">
        <v>3</v>
      </c>
      <c r="M1957">
        <v>0</v>
      </c>
      <c r="N1957">
        <v>2</v>
      </c>
      <c r="O1957">
        <v>0</v>
      </c>
      <c r="P1957">
        <v>1</v>
      </c>
      <c r="Q1957">
        <v>0</v>
      </c>
      <c r="S1957" t="str">
        <f t="shared" si="586"/>
        <v>22:17:41.000</v>
      </c>
      <c r="T1957" t="str">
        <f t="shared" si="586"/>
        <v>22:17:41.000</v>
      </c>
      <c r="U1957" t="str">
        <f t="shared" si="576"/>
        <v>A9D71F</v>
      </c>
      <c r="V1957">
        <v>0</v>
      </c>
      <c r="W1957">
        <v>0</v>
      </c>
      <c r="X1957">
        <v>2</v>
      </c>
      <c r="Z1957">
        <v>1</v>
      </c>
      <c r="AA1957">
        <v>8</v>
      </c>
      <c r="AB1957">
        <v>3</v>
      </c>
      <c r="AC1957">
        <v>0</v>
      </c>
      <c r="AD1957">
        <v>9</v>
      </c>
      <c r="AE1957">
        <v>0</v>
      </c>
      <c r="AF1957">
        <v>3</v>
      </c>
      <c r="AG1957">
        <v>1</v>
      </c>
      <c r="AH1957">
        <v>0</v>
      </c>
      <c r="AI1957" t="s">
        <v>1028</v>
      </c>
      <c r="AJ1957">
        <v>33.036275000000003</v>
      </c>
      <c r="AK1957" t="s">
        <v>1029</v>
      </c>
      <c r="AL1957">
        <v>-97.660731999999996</v>
      </c>
      <c r="AM1957">
        <v>25</v>
      </c>
      <c r="AN1957">
        <v>3400</v>
      </c>
      <c r="AO1957" t="s">
        <v>118</v>
      </c>
      <c r="AP1957">
        <v>27</v>
      </c>
      <c r="AQ1957">
        <v>-83</v>
      </c>
      <c r="AR1957">
        <v>-64</v>
      </c>
      <c r="AZ1957">
        <v>1200</v>
      </c>
      <c r="BA1957">
        <v>1</v>
      </c>
      <c r="BB1957" t="str">
        <f t="shared" si="583"/>
        <v xml:space="preserve">N733KP  </v>
      </c>
      <c r="BC1957">
        <v>1</v>
      </c>
      <c r="BE1957">
        <v>0</v>
      </c>
      <c r="BF1957">
        <v>0</v>
      </c>
      <c r="BG1957">
        <v>0</v>
      </c>
      <c r="BH1957">
        <v>3400</v>
      </c>
      <c r="BI1957">
        <v>1</v>
      </c>
      <c r="BJ1957">
        <v>1</v>
      </c>
      <c r="BK1957">
        <v>0</v>
      </c>
      <c r="BL1957">
        <v>0</v>
      </c>
      <c r="BO1957">
        <v>0</v>
      </c>
      <c r="BP1957">
        <v>0</v>
      </c>
      <c r="BW1957" t="str">
        <f>"22:17:41.666"</f>
        <v>22:17:41.666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119</v>
      </c>
      <c r="CQ1957">
        <v>364</v>
      </c>
      <c r="CR1957">
        <v>0</v>
      </c>
      <c r="CW1957">
        <v>1440031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>"03/24/2022 22:17:43.094"</f>
        <v>03/24/2022 22:17:43.094</v>
      </c>
      <c r="C1958" t="str">
        <f t="shared" si="581"/>
        <v>FFDFD3C0</v>
      </c>
      <c r="D1958" t="s">
        <v>126</v>
      </c>
      <c r="E1958">
        <v>3</v>
      </c>
      <c r="H1958">
        <v>160</v>
      </c>
      <c r="I1958" t="s">
        <v>121</v>
      </c>
      <c r="J1958" t="s">
        <v>127</v>
      </c>
      <c r="K1958">
        <v>0</v>
      </c>
      <c r="L1958">
        <v>3</v>
      </c>
      <c r="M1958">
        <v>0</v>
      </c>
      <c r="N1958">
        <v>2</v>
      </c>
      <c r="O1958">
        <v>0</v>
      </c>
      <c r="P1958">
        <v>1</v>
      </c>
      <c r="Q1958">
        <v>0</v>
      </c>
      <c r="S1958" t="str">
        <f t="shared" ref="S1958:T1961" si="587">"22:17:42.000"</f>
        <v>22:17:42.000</v>
      </c>
      <c r="T1958" t="str">
        <f t="shared" si="587"/>
        <v>22:17:42.000</v>
      </c>
      <c r="U1958" t="str">
        <f t="shared" si="576"/>
        <v>A9D71F</v>
      </c>
      <c r="V1958">
        <v>0</v>
      </c>
      <c r="W1958">
        <v>0</v>
      </c>
      <c r="X1958">
        <v>2</v>
      </c>
      <c r="Z1958">
        <v>1</v>
      </c>
      <c r="AA1958">
        <v>8</v>
      </c>
      <c r="AB1958">
        <v>3</v>
      </c>
      <c r="AC1958">
        <v>0</v>
      </c>
      <c r="AD1958">
        <v>9</v>
      </c>
      <c r="AE1958">
        <v>0</v>
      </c>
      <c r="AF1958">
        <v>3</v>
      </c>
      <c r="AG1958">
        <v>1</v>
      </c>
      <c r="AH1958">
        <v>0</v>
      </c>
      <c r="AI1958" t="s">
        <v>1030</v>
      </c>
      <c r="AJ1958">
        <v>33.035888999999997</v>
      </c>
      <c r="AK1958" t="s">
        <v>1031</v>
      </c>
      <c r="AL1958">
        <v>-97.660582000000005</v>
      </c>
      <c r="AM1958">
        <v>25</v>
      </c>
      <c r="AN1958">
        <v>3400</v>
      </c>
      <c r="AO1958" t="s">
        <v>118</v>
      </c>
      <c r="AP1958">
        <v>26</v>
      </c>
      <c r="AQ1958">
        <v>-82</v>
      </c>
      <c r="AR1958">
        <v>-64</v>
      </c>
      <c r="AZ1958">
        <v>1200</v>
      </c>
      <c r="BA1958">
        <v>1</v>
      </c>
      <c r="BB1958" t="str">
        <f t="shared" si="583"/>
        <v xml:space="preserve">N733KP  </v>
      </c>
      <c r="BC1958">
        <v>1</v>
      </c>
      <c r="BE1958">
        <v>0</v>
      </c>
      <c r="BF1958">
        <v>0</v>
      </c>
      <c r="BG1958">
        <v>0</v>
      </c>
      <c r="BH1958">
        <v>3375</v>
      </c>
      <c r="BI1958">
        <v>1</v>
      </c>
      <c r="BJ1958">
        <v>1</v>
      </c>
      <c r="BK1958">
        <v>0</v>
      </c>
      <c r="BL1958">
        <v>0</v>
      </c>
      <c r="BO1958">
        <v>0</v>
      </c>
      <c r="BP1958">
        <v>0</v>
      </c>
      <c r="BW1958" t="str">
        <f>"22:17:42.962"</f>
        <v>22:17:42.962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6</v>
      </c>
      <c r="CP1958" t="s">
        <v>119</v>
      </c>
      <c r="CQ1958">
        <v>364</v>
      </c>
      <c r="CR1958">
        <v>0</v>
      </c>
      <c r="CW1958">
        <v>1440228</v>
      </c>
      <c r="CY1958">
        <v>1</v>
      </c>
      <c r="CZ1958">
        <v>0</v>
      </c>
      <c r="DA1958">
        <v>0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>"03/24/2022 22:17:43.141"</f>
        <v>03/24/2022 22:17:43.141</v>
      </c>
      <c r="C1959" t="str">
        <f t="shared" si="581"/>
        <v>FFDFD3C0</v>
      </c>
      <c r="D1959" t="s">
        <v>113</v>
      </c>
      <c r="E1959">
        <v>24</v>
      </c>
      <c r="F1959">
        <v>2024</v>
      </c>
      <c r="G1959" t="s">
        <v>114</v>
      </c>
      <c r="J1959" t="s">
        <v>115</v>
      </c>
      <c r="K1959">
        <v>0</v>
      </c>
      <c r="L1959">
        <v>3</v>
      </c>
      <c r="M1959">
        <v>0</v>
      </c>
      <c r="N1959">
        <v>2</v>
      </c>
      <c r="O1959">
        <v>0</v>
      </c>
      <c r="P1959">
        <v>1</v>
      </c>
      <c r="Q1959">
        <v>0</v>
      </c>
      <c r="S1959" t="str">
        <f t="shared" si="587"/>
        <v>22:17:42.000</v>
      </c>
      <c r="T1959" t="str">
        <f t="shared" si="587"/>
        <v>22:17:42.000</v>
      </c>
      <c r="U1959" t="str">
        <f t="shared" si="576"/>
        <v>A9D71F</v>
      </c>
      <c r="V1959">
        <v>0</v>
      </c>
      <c r="W1959">
        <v>0</v>
      </c>
      <c r="X1959">
        <v>2</v>
      </c>
      <c r="Z1959">
        <v>1</v>
      </c>
      <c r="AA1959">
        <v>8</v>
      </c>
      <c r="AB1959">
        <v>3</v>
      </c>
      <c r="AC1959">
        <v>0</v>
      </c>
      <c r="AD1959">
        <v>9</v>
      </c>
      <c r="AE1959">
        <v>0</v>
      </c>
      <c r="AF1959">
        <v>3</v>
      </c>
      <c r="AG1959">
        <v>1</v>
      </c>
      <c r="AH1959">
        <v>0</v>
      </c>
      <c r="AI1959" t="s">
        <v>1030</v>
      </c>
      <c r="AJ1959">
        <v>33.035888999999997</v>
      </c>
      <c r="AK1959" t="s">
        <v>1031</v>
      </c>
      <c r="AL1959">
        <v>-97.660582000000005</v>
      </c>
      <c r="AM1959">
        <v>25</v>
      </c>
      <c r="AN1959">
        <v>3400</v>
      </c>
      <c r="AO1959" t="s">
        <v>118</v>
      </c>
      <c r="AP1959">
        <v>26</v>
      </c>
      <c r="AQ1959">
        <v>-82</v>
      </c>
      <c r="AR1959">
        <v>-64</v>
      </c>
      <c r="AZ1959">
        <v>1200</v>
      </c>
      <c r="BA1959">
        <v>1</v>
      </c>
      <c r="BB1959" t="str">
        <f t="shared" si="583"/>
        <v xml:space="preserve">N733KP  </v>
      </c>
      <c r="BC1959">
        <v>1</v>
      </c>
      <c r="BE1959">
        <v>0</v>
      </c>
      <c r="BF1959">
        <v>0</v>
      </c>
      <c r="BG1959">
        <v>0</v>
      </c>
      <c r="BH1959">
        <v>3375</v>
      </c>
      <c r="BI1959">
        <v>1</v>
      </c>
      <c r="BJ1959">
        <v>1</v>
      </c>
      <c r="BK1959">
        <v>0</v>
      </c>
      <c r="BL1959">
        <v>0</v>
      </c>
      <c r="BO1959">
        <v>0</v>
      </c>
      <c r="BP1959">
        <v>0</v>
      </c>
      <c r="BW1959" t="str">
        <f>"22:17:42.962"</f>
        <v>22:17:42.962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6</v>
      </c>
      <c r="CP1959" t="s">
        <v>119</v>
      </c>
      <c r="CQ1959">
        <v>364</v>
      </c>
      <c r="CR1959">
        <v>0</v>
      </c>
      <c r="CW1959">
        <v>1440228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>"03/24/2022 22:17:43.141"</f>
        <v>03/24/2022 22:17:43.141</v>
      </c>
      <c r="C1960" t="str">
        <f t="shared" si="581"/>
        <v>FFDFD3C0</v>
      </c>
      <c r="D1960" t="s">
        <v>120</v>
      </c>
      <c r="E1960">
        <v>14</v>
      </c>
      <c r="F1960">
        <v>1014</v>
      </c>
      <c r="G1960" t="s">
        <v>121</v>
      </c>
      <c r="J1960" t="s">
        <v>122</v>
      </c>
      <c r="K1960">
        <v>0</v>
      </c>
      <c r="L1960">
        <v>3</v>
      </c>
      <c r="M1960">
        <v>0</v>
      </c>
      <c r="N1960">
        <v>2</v>
      </c>
      <c r="O1960">
        <v>0</v>
      </c>
      <c r="P1960">
        <v>1</v>
      </c>
      <c r="Q1960">
        <v>0</v>
      </c>
      <c r="S1960" t="str">
        <f t="shared" si="587"/>
        <v>22:17:42.000</v>
      </c>
      <c r="T1960" t="str">
        <f t="shared" si="587"/>
        <v>22:17:42.000</v>
      </c>
      <c r="U1960" t="str">
        <f t="shared" si="576"/>
        <v>A9D71F</v>
      </c>
      <c r="V1960">
        <v>0</v>
      </c>
      <c r="W1960">
        <v>0</v>
      </c>
      <c r="X1960">
        <v>2</v>
      </c>
      <c r="Z1960">
        <v>1</v>
      </c>
      <c r="AA1960">
        <v>8</v>
      </c>
      <c r="AB1960">
        <v>3</v>
      </c>
      <c r="AC1960">
        <v>0</v>
      </c>
      <c r="AD1960">
        <v>9</v>
      </c>
      <c r="AE1960">
        <v>0</v>
      </c>
      <c r="AF1960">
        <v>3</v>
      </c>
      <c r="AG1960">
        <v>1</v>
      </c>
      <c r="AH1960">
        <v>0</v>
      </c>
      <c r="AI1960" t="s">
        <v>1030</v>
      </c>
      <c r="AJ1960">
        <v>33.035888999999997</v>
      </c>
      <c r="AK1960" t="s">
        <v>1031</v>
      </c>
      <c r="AL1960">
        <v>-97.660582000000005</v>
      </c>
      <c r="AM1960">
        <v>25</v>
      </c>
      <c r="AN1960">
        <v>3400</v>
      </c>
      <c r="AO1960" t="s">
        <v>118</v>
      </c>
      <c r="AP1960">
        <v>26</v>
      </c>
      <c r="AQ1960">
        <v>-82</v>
      </c>
      <c r="AR1960">
        <v>-64</v>
      </c>
      <c r="AZ1960">
        <v>1200</v>
      </c>
      <c r="BA1960">
        <v>1</v>
      </c>
      <c r="BB1960" t="str">
        <f t="shared" si="583"/>
        <v xml:space="preserve">N733KP  </v>
      </c>
      <c r="BC1960">
        <v>1</v>
      </c>
      <c r="BE1960">
        <v>0</v>
      </c>
      <c r="BF1960">
        <v>0</v>
      </c>
      <c r="BG1960">
        <v>0</v>
      </c>
      <c r="BH1960">
        <v>3375</v>
      </c>
      <c r="BI1960">
        <v>1</v>
      </c>
      <c r="BJ1960">
        <v>1</v>
      </c>
      <c r="BK1960">
        <v>0</v>
      </c>
      <c r="BL1960">
        <v>0</v>
      </c>
      <c r="BO1960">
        <v>0</v>
      </c>
      <c r="BP1960">
        <v>0</v>
      </c>
      <c r="BW1960" t="str">
        <f>"22:17:42.962"</f>
        <v>22:17:42.962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6</v>
      </c>
      <c r="CP1960" t="s">
        <v>119</v>
      </c>
      <c r="CQ1960">
        <v>364</v>
      </c>
      <c r="CR1960">
        <v>0</v>
      </c>
      <c r="CW1960">
        <v>1440228</v>
      </c>
      <c r="CY1960">
        <v>1</v>
      </c>
      <c r="CZ1960">
        <v>0</v>
      </c>
      <c r="DA1960">
        <v>1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>"03/24/2022 22:17:43.141"</f>
        <v>03/24/2022 22:17:43.141</v>
      </c>
      <c r="C1961" t="str">
        <f t="shared" si="581"/>
        <v>FFDFD3C0</v>
      </c>
      <c r="D1961" t="s">
        <v>123</v>
      </c>
      <c r="E1961">
        <v>8</v>
      </c>
      <c r="H1961">
        <v>31</v>
      </c>
      <c r="I1961" t="s">
        <v>124</v>
      </c>
      <c r="J1961" t="s">
        <v>125</v>
      </c>
      <c r="K1961">
        <v>0</v>
      </c>
      <c r="L1961">
        <v>3</v>
      </c>
      <c r="M1961">
        <v>0</v>
      </c>
      <c r="N1961">
        <v>2</v>
      </c>
      <c r="O1961">
        <v>0</v>
      </c>
      <c r="P1961">
        <v>1</v>
      </c>
      <c r="Q1961">
        <v>0</v>
      </c>
      <c r="S1961" t="str">
        <f t="shared" si="587"/>
        <v>22:17:42.000</v>
      </c>
      <c r="T1961" t="str">
        <f t="shared" si="587"/>
        <v>22:17:42.000</v>
      </c>
      <c r="U1961" t="str">
        <f t="shared" si="576"/>
        <v>A9D71F</v>
      </c>
      <c r="V1961">
        <v>0</v>
      </c>
      <c r="W1961">
        <v>0</v>
      </c>
      <c r="X1961">
        <v>2</v>
      </c>
      <c r="Z1961">
        <v>1</v>
      </c>
      <c r="AA1961">
        <v>8</v>
      </c>
      <c r="AB1961">
        <v>3</v>
      </c>
      <c r="AC1961">
        <v>0</v>
      </c>
      <c r="AD1961">
        <v>9</v>
      </c>
      <c r="AE1961">
        <v>0</v>
      </c>
      <c r="AF1961">
        <v>3</v>
      </c>
      <c r="AG1961">
        <v>1</v>
      </c>
      <c r="AH1961">
        <v>0</v>
      </c>
      <c r="AI1961" t="s">
        <v>1030</v>
      </c>
      <c r="AJ1961">
        <v>33.035888999999997</v>
      </c>
      <c r="AK1961" t="s">
        <v>1031</v>
      </c>
      <c r="AL1961">
        <v>-97.660582000000005</v>
      </c>
      <c r="AM1961">
        <v>25</v>
      </c>
      <c r="AN1961">
        <v>3400</v>
      </c>
      <c r="AO1961" t="s">
        <v>118</v>
      </c>
      <c r="AP1961">
        <v>26</v>
      </c>
      <c r="AQ1961">
        <v>-82</v>
      </c>
      <c r="AR1961">
        <v>-64</v>
      </c>
      <c r="AZ1961">
        <v>1200</v>
      </c>
      <c r="BA1961">
        <v>1</v>
      </c>
      <c r="BB1961" t="str">
        <f t="shared" si="583"/>
        <v xml:space="preserve">N733KP  </v>
      </c>
      <c r="BC1961">
        <v>1</v>
      </c>
      <c r="BE1961">
        <v>0</v>
      </c>
      <c r="BF1961">
        <v>0</v>
      </c>
      <c r="BG1961">
        <v>0</v>
      </c>
      <c r="BH1961">
        <v>3375</v>
      </c>
      <c r="BI1961">
        <v>1</v>
      </c>
      <c r="BJ1961">
        <v>1</v>
      </c>
      <c r="BK1961">
        <v>0</v>
      </c>
      <c r="BL1961">
        <v>0</v>
      </c>
      <c r="BO1961">
        <v>0</v>
      </c>
      <c r="BP1961">
        <v>0</v>
      </c>
      <c r="BW1961" t="str">
        <f>"22:17:42.962"</f>
        <v>22:17:42.962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6</v>
      </c>
      <c r="CP1961" t="s">
        <v>119</v>
      </c>
      <c r="CQ1961">
        <v>364</v>
      </c>
      <c r="CR1961">
        <v>0</v>
      </c>
      <c r="CW1961">
        <v>1440228</v>
      </c>
      <c r="CY1961">
        <v>1</v>
      </c>
      <c r="CZ1961">
        <v>0</v>
      </c>
      <c r="DA1961">
        <v>1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>"03/24/2022 22:17:43.643"</f>
        <v>03/24/2022 22:17:43.643</v>
      </c>
      <c r="C1962" t="str">
        <f t="shared" si="581"/>
        <v>FFDFD3C0</v>
      </c>
      <c r="D1962" t="s">
        <v>113</v>
      </c>
      <c r="E1962">
        <v>24</v>
      </c>
      <c r="F1962">
        <v>2024</v>
      </c>
      <c r="G1962" t="s">
        <v>114</v>
      </c>
      <c r="J1962" t="s">
        <v>115</v>
      </c>
      <c r="K1962">
        <v>0</v>
      </c>
      <c r="L1962">
        <v>3</v>
      </c>
      <c r="M1962">
        <v>0</v>
      </c>
      <c r="N1962">
        <v>2</v>
      </c>
      <c r="O1962">
        <v>0</v>
      </c>
      <c r="P1962">
        <v>1</v>
      </c>
      <c r="Q1962">
        <v>0</v>
      </c>
      <c r="S1962" t="str">
        <f t="shared" ref="S1962:T1965" si="588">"22:17:43.000"</f>
        <v>22:17:43.000</v>
      </c>
      <c r="T1962" t="str">
        <f t="shared" si="588"/>
        <v>22:17:43.000</v>
      </c>
      <c r="U1962" t="str">
        <f t="shared" si="576"/>
        <v>A9D71F</v>
      </c>
      <c r="V1962">
        <v>0</v>
      </c>
      <c r="W1962">
        <v>0</v>
      </c>
      <c r="X1962">
        <v>2</v>
      </c>
      <c r="Z1962">
        <v>1</v>
      </c>
      <c r="AA1962">
        <v>8</v>
      </c>
      <c r="AB1962">
        <v>3</v>
      </c>
      <c r="AC1962">
        <v>0</v>
      </c>
      <c r="AD1962">
        <v>9</v>
      </c>
      <c r="AE1962">
        <v>0</v>
      </c>
      <c r="AF1962">
        <v>3</v>
      </c>
      <c r="AG1962">
        <v>1</v>
      </c>
      <c r="AH1962">
        <v>0</v>
      </c>
      <c r="AI1962" t="s">
        <v>1032</v>
      </c>
      <c r="AJ1962">
        <v>33.035502000000001</v>
      </c>
      <c r="AK1962" t="s">
        <v>1033</v>
      </c>
      <c r="AL1962">
        <v>-97.660432</v>
      </c>
      <c r="AM1962">
        <v>25</v>
      </c>
      <c r="AN1962">
        <v>3400</v>
      </c>
      <c r="AO1962" t="s">
        <v>118</v>
      </c>
      <c r="AP1962">
        <v>26</v>
      </c>
      <c r="AQ1962">
        <v>-81</v>
      </c>
      <c r="AR1962">
        <v>-64</v>
      </c>
      <c r="AZ1962">
        <v>1200</v>
      </c>
      <c r="BA1962">
        <v>1</v>
      </c>
      <c r="BB1962" t="str">
        <f t="shared" si="583"/>
        <v xml:space="preserve">N733KP  </v>
      </c>
      <c r="BC1962">
        <v>1</v>
      </c>
      <c r="BE1962">
        <v>0</v>
      </c>
      <c r="BF1962">
        <v>0</v>
      </c>
      <c r="BG1962">
        <v>0</v>
      </c>
      <c r="BH1962">
        <v>3375</v>
      </c>
      <c r="BI1962">
        <v>1</v>
      </c>
      <c r="BJ1962">
        <v>1</v>
      </c>
      <c r="BK1962">
        <v>0</v>
      </c>
      <c r="BL1962">
        <v>0</v>
      </c>
      <c r="BO1962">
        <v>0</v>
      </c>
      <c r="BP1962">
        <v>0</v>
      </c>
      <c r="BW1962" t="str">
        <f>"22:17:43.424"</f>
        <v>22:17:43.424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3</v>
      </c>
      <c r="CP1962" t="s">
        <v>119</v>
      </c>
      <c r="CQ1962">
        <v>440</v>
      </c>
      <c r="CR1962">
        <v>0</v>
      </c>
      <c r="CW1962">
        <v>6713714</v>
      </c>
      <c r="CY1962">
        <v>1</v>
      </c>
      <c r="CZ1962">
        <v>0</v>
      </c>
      <c r="DA1962">
        <v>0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>"03/24/2022 22:17:43.706"</f>
        <v>03/24/2022 22:17:43.706</v>
      </c>
      <c r="C1963" t="str">
        <f t="shared" si="581"/>
        <v>FFDFD3C0</v>
      </c>
      <c r="D1963" t="s">
        <v>123</v>
      </c>
      <c r="E1963">
        <v>8</v>
      </c>
      <c r="H1963">
        <v>31</v>
      </c>
      <c r="I1963" t="s">
        <v>124</v>
      </c>
      <c r="J1963" t="s">
        <v>125</v>
      </c>
      <c r="K1963">
        <v>0</v>
      </c>
      <c r="L1963">
        <v>3</v>
      </c>
      <c r="M1963">
        <v>0</v>
      </c>
      <c r="N1963">
        <v>2</v>
      </c>
      <c r="O1963">
        <v>0</v>
      </c>
      <c r="P1963">
        <v>1</v>
      </c>
      <c r="Q1963">
        <v>0</v>
      </c>
      <c r="S1963" t="str">
        <f t="shared" si="588"/>
        <v>22:17:43.000</v>
      </c>
      <c r="T1963" t="str">
        <f t="shared" si="588"/>
        <v>22:17:43.000</v>
      </c>
      <c r="U1963" t="str">
        <f t="shared" si="576"/>
        <v>A9D71F</v>
      </c>
      <c r="V1963">
        <v>0</v>
      </c>
      <c r="W1963">
        <v>0</v>
      </c>
      <c r="X1963">
        <v>2</v>
      </c>
      <c r="Z1963">
        <v>1</v>
      </c>
      <c r="AA1963">
        <v>8</v>
      </c>
      <c r="AB1963">
        <v>3</v>
      </c>
      <c r="AC1963">
        <v>0</v>
      </c>
      <c r="AD1963">
        <v>9</v>
      </c>
      <c r="AE1963">
        <v>0</v>
      </c>
      <c r="AF1963">
        <v>3</v>
      </c>
      <c r="AG1963">
        <v>1</v>
      </c>
      <c r="AH1963">
        <v>0</v>
      </c>
      <c r="AI1963" t="s">
        <v>1032</v>
      </c>
      <c r="AJ1963">
        <v>33.035502000000001</v>
      </c>
      <c r="AK1963" t="s">
        <v>1033</v>
      </c>
      <c r="AL1963">
        <v>-97.660432</v>
      </c>
      <c r="AM1963">
        <v>25</v>
      </c>
      <c r="AN1963">
        <v>3400</v>
      </c>
      <c r="AO1963" t="s">
        <v>118</v>
      </c>
      <c r="AP1963">
        <v>26</v>
      </c>
      <c r="AQ1963">
        <v>-81</v>
      </c>
      <c r="AR1963">
        <v>-64</v>
      </c>
      <c r="AZ1963">
        <v>1200</v>
      </c>
      <c r="BA1963">
        <v>1</v>
      </c>
      <c r="BB1963" t="str">
        <f t="shared" si="583"/>
        <v xml:space="preserve">N733KP  </v>
      </c>
      <c r="BC1963">
        <v>1</v>
      </c>
      <c r="BE1963">
        <v>0</v>
      </c>
      <c r="BF1963">
        <v>0</v>
      </c>
      <c r="BG1963">
        <v>0</v>
      </c>
      <c r="BH1963">
        <v>3375</v>
      </c>
      <c r="BI1963">
        <v>1</v>
      </c>
      <c r="BJ1963">
        <v>1</v>
      </c>
      <c r="BK1963">
        <v>0</v>
      </c>
      <c r="BL1963">
        <v>0</v>
      </c>
      <c r="BO1963">
        <v>0</v>
      </c>
      <c r="BP1963">
        <v>0</v>
      </c>
      <c r="BW1963" t="str">
        <f>"22:17:43.424"</f>
        <v>22:17:43.424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2</v>
      </c>
      <c r="CP1963" t="s">
        <v>119</v>
      </c>
      <c r="CQ1963">
        <v>366</v>
      </c>
      <c r="CR1963">
        <v>0</v>
      </c>
      <c r="CW1963">
        <v>10417473</v>
      </c>
      <c r="CY1963">
        <v>1</v>
      </c>
      <c r="CZ1963">
        <v>0</v>
      </c>
      <c r="DA1963">
        <v>1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>"03/24/2022 22:17:43.706"</f>
        <v>03/24/2022 22:17:43.706</v>
      </c>
      <c r="C1964" t="str">
        <f t="shared" si="581"/>
        <v>FFDFD3C0</v>
      </c>
      <c r="D1964" t="s">
        <v>120</v>
      </c>
      <c r="E1964">
        <v>14</v>
      </c>
      <c r="F1964">
        <v>1014</v>
      </c>
      <c r="G1964" t="s">
        <v>121</v>
      </c>
      <c r="J1964" t="s">
        <v>122</v>
      </c>
      <c r="K1964">
        <v>0</v>
      </c>
      <c r="L1964">
        <v>3</v>
      </c>
      <c r="M1964">
        <v>0</v>
      </c>
      <c r="N1964">
        <v>2</v>
      </c>
      <c r="O1964">
        <v>0</v>
      </c>
      <c r="P1964">
        <v>1</v>
      </c>
      <c r="Q1964">
        <v>0</v>
      </c>
      <c r="S1964" t="str">
        <f t="shared" si="588"/>
        <v>22:17:43.000</v>
      </c>
      <c r="T1964" t="str">
        <f t="shared" si="588"/>
        <v>22:17:43.000</v>
      </c>
      <c r="U1964" t="str">
        <f t="shared" si="576"/>
        <v>A9D71F</v>
      </c>
      <c r="V1964">
        <v>0</v>
      </c>
      <c r="W1964">
        <v>0</v>
      </c>
      <c r="X1964">
        <v>2</v>
      </c>
      <c r="Z1964">
        <v>1</v>
      </c>
      <c r="AA1964">
        <v>8</v>
      </c>
      <c r="AB1964">
        <v>3</v>
      </c>
      <c r="AC1964">
        <v>0</v>
      </c>
      <c r="AD1964">
        <v>9</v>
      </c>
      <c r="AE1964">
        <v>0</v>
      </c>
      <c r="AF1964">
        <v>3</v>
      </c>
      <c r="AG1964">
        <v>1</v>
      </c>
      <c r="AH1964">
        <v>0</v>
      </c>
      <c r="AI1964" t="s">
        <v>1032</v>
      </c>
      <c r="AJ1964">
        <v>33.035502000000001</v>
      </c>
      <c r="AK1964" t="s">
        <v>1033</v>
      </c>
      <c r="AL1964">
        <v>-97.660432</v>
      </c>
      <c r="AM1964">
        <v>25</v>
      </c>
      <c r="AN1964">
        <v>3400</v>
      </c>
      <c r="AO1964" t="s">
        <v>118</v>
      </c>
      <c r="AP1964">
        <v>26</v>
      </c>
      <c r="AQ1964">
        <v>-81</v>
      </c>
      <c r="AR1964">
        <v>-64</v>
      </c>
      <c r="AZ1964">
        <v>1200</v>
      </c>
      <c r="BA1964">
        <v>1</v>
      </c>
      <c r="BB1964" t="str">
        <f t="shared" si="583"/>
        <v xml:space="preserve">N733KP  </v>
      </c>
      <c r="BC1964">
        <v>1</v>
      </c>
      <c r="BE1964">
        <v>0</v>
      </c>
      <c r="BF1964">
        <v>0</v>
      </c>
      <c r="BG1964">
        <v>0</v>
      </c>
      <c r="BH1964">
        <v>3375</v>
      </c>
      <c r="BI1964">
        <v>1</v>
      </c>
      <c r="BJ1964">
        <v>1</v>
      </c>
      <c r="BK1964">
        <v>0</v>
      </c>
      <c r="BL1964">
        <v>0</v>
      </c>
      <c r="BO1964">
        <v>0</v>
      </c>
      <c r="BP1964">
        <v>0</v>
      </c>
      <c r="BW1964" t="str">
        <f>"22:17:43.424"</f>
        <v>22:17:43.424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3</v>
      </c>
      <c r="CP1964" t="s">
        <v>119</v>
      </c>
      <c r="CQ1964">
        <v>440</v>
      </c>
      <c r="CR1964">
        <v>0</v>
      </c>
      <c r="CW1964">
        <v>6713714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>"03/24/2022 22:17:43.706"</f>
        <v>03/24/2022 22:17:43.706</v>
      </c>
      <c r="C1965" t="str">
        <f t="shared" si="581"/>
        <v>FFDFD3C0</v>
      </c>
      <c r="D1965" t="s">
        <v>126</v>
      </c>
      <c r="E1965">
        <v>3</v>
      </c>
      <c r="H1965">
        <v>160</v>
      </c>
      <c r="I1965" t="s">
        <v>121</v>
      </c>
      <c r="J1965" t="s">
        <v>127</v>
      </c>
      <c r="K1965">
        <v>0</v>
      </c>
      <c r="L1965">
        <v>3</v>
      </c>
      <c r="M1965">
        <v>0</v>
      </c>
      <c r="N1965">
        <v>2</v>
      </c>
      <c r="O1965">
        <v>0</v>
      </c>
      <c r="P1965">
        <v>1</v>
      </c>
      <c r="Q1965">
        <v>0</v>
      </c>
      <c r="S1965" t="str">
        <f t="shared" si="588"/>
        <v>22:17:43.000</v>
      </c>
      <c r="T1965" t="str">
        <f t="shared" si="588"/>
        <v>22:17:43.000</v>
      </c>
      <c r="U1965" t="str">
        <f t="shared" si="576"/>
        <v>A9D71F</v>
      </c>
      <c r="V1965">
        <v>0</v>
      </c>
      <c r="W1965">
        <v>0</v>
      </c>
      <c r="X1965">
        <v>2</v>
      </c>
      <c r="Z1965">
        <v>1</v>
      </c>
      <c r="AA1965">
        <v>8</v>
      </c>
      <c r="AB1965">
        <v>3</v>
      </c>
      <c r="AC1965">
        <v>0</v>
      </c>
      <c r="AD1965">
        <v>9</v>
      </c>
      <c r="AE1965">
        <v>0</v>
      </c>
      <c r="AF1965">
        <v>3</v>
      </c>
      <c r="AG1965">
        <v>1</v>
      </c>
      <c r="AH1965">
        <v>0</v>
      </c>
      <c r="AI1965" t="s">
        <v>1032</v>
      </c>
      <c r="AJ1965">
        <v>33.035502000000001</v>
      </c>
      <c r="AK1965" t="s">
        <v>1033</v>
      </c>
      <c r="AL1965">
        <v>-97.660432</v>
      </c>
      <c r="AM1965">
        <v>25</v>
      </c>
      <c r="AN1965">
        <v>3400</v>
      </c>
      <c r="AO1965" t="s">
        <v>118</v>
      </c>
      <c r="AP1965">
        <v>26</v>
      </c>
      <c r="AQ1965">
        <v>-81</v>
      </c>
      <c r="AR1965">
        <v>-64</v>
      </c>
      <c r="AZ1965">
        <v>1200</v>
      </c>
      <c r="BA1965">
        <v>1</v>
      </c>
      <c r="BB1965" t="str">
        <f t="shared" si="583"/>
        <v xml:space="preserve">N733KP  </v>
      </c>
      <c r="BC1965">
        <v>1</v>
      </c>
      <c r="BE1965">
        <v>0</v>
      </c>
      <c r="BF1965">
        <v>0</v>
      </c>
      <c r="BG1965">
        <v>0</v>
      </c>
      <c r="BH1965">
        <v>3375</v>
      </c>
      <c r="BI1965">
        <v>1</v>
      </c>
      <c r="BJ1965">
        <v>1</v>
      </c>
      <c r="BK1965">
        <v>0</v>
      </c>
      <c r="BL1965">
        <v>0</v>
      </c>
      <c r="BO1965">
        <v>0</v>
      </c>
      <c r="BP1965">
        <v>0</v>
      </c>
      <c r="BW1965" t="str">
        <f>"22:17:43.424"</f>
        <v>22:17:43.424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3</v>
      </c>
      <c r="CP1965" t="s">
        <v>119</v>
      </c>
      <c r="CQ1965">
        <v>440</v>
      </c>
      <c r="CR1965">
        <v>0</v>
      </c>
      <c r="CW1965">
        <v>6713714</v>
      </c>
      <c r="CY1965">
        <v>1</v>
      </c>
      <c r="CZ1965">
        <v>0</v>
      </c>
      <c r="DA1965">
        <v>1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>"03/24/2022 22:17:44.550"</f>
        <v>03/24/2022 22:17:44.550</v>
      </c>
      <c r="C1966" t="str">
        <f t="shared" si="581"/>
        <v>FFDFD3C0</v>
      </c>
      <c r="D1966" t="s">
        <v>126</v>
      </c>
      <c r="E1966">
        <v>3</v>
      </c>
      <c r="H1966">
        <v>160</v>
      </c>
      <c r="I1966" t="s">
        <v>121</v>
      </c>
      <c r="J1966" t="s">
        <v>127</v>
      </c>
      <c r="K1966">
        <v>0</v>
      </c>
      <c r="L1966">
        <v>3</v>
      </c>
      <c r="M1966">
        <v>0</v>
      </c>
      <c r="N1966">
        <v>2</v>
      </c>
      <c r="O1966">
        <v>0</v>
      </c>
      <c r="P1966">
        <v>1</v>
      </c>
      <c r="Q1966">
        <v>0</v>
      </c>
      <c r="S1966" t="str">
        <f t="shared" ref="S1966:T1969" si="589">"22:17:44.000"</f>
        <v>22:17:44.000</v>
      </c>
      <c r="T1966" t="str">
        <f t="shared" si="589"/>
        <v>22:17:44.000</v>
      </c>
      <c r="U1966" t="str">
        <f t="shared" si="576"/>
        <v>A9D71F</v>
      </c>
      <c r="V1966">
        <v>0</v>
      </c>
      <c r="W1966">
        <v>0</v>
      </c>
      <c r="X1966">
        <v>2</v>
      </c>
      <c r="Z1966">
        <v>1</v>
      </c>
      <c r="AA1966">
        <v>8</v>
      </c>
      <c r="AB1966">
        <v>3</v>
      </c>
      <c r="AC1966">
        <v>0</v>
      </c>
      <c r="AD1966">
        <v>9</v>
      </c>
      <c r="AE1966">
        <v>0</v>
      </c>
      <c r="AF1966">
        <v>3</v>
      </c>
      <c r="AG1966">
        <v>1</v>
      </c>
      <c r="AH1966">
        <v>0</v>
      </c>
      <c r="AI1966" t="s">
        <v>1034</v>
      </c>
      <c r="AJ1966">
        <v>33.035116000000002</v>
      </c>
      <c r="AK1966" t="s">
        <v>1035</v>
      </c>
      <c r="AL1966">
        <v>-97.660281999999995</v>
      </c>
      <c r="AM1966">
        <v>25</v>
      </c>
      <c r="AN1966">
        <v>3400</v>
      </c>
      <c r="AO1966" t="s">
        <v>118</v>
      </c>
      <c r="AP1966">
        <v>25</v>
      </c>
      <c r="AQ1966">
        <v>-80</v>
      </c>
      <c r="AR1966">
        <v>0</v>
      </c>
      <c r="AZ1966">
        <v>1200</v>
      </c>
      <c r="BA1966">
        <v>1</v>
      </c>
      <c r="BB1966" t="str">
        <f t="shared" si="583"/>
        <v xml:space="preserve">N733KP  </v>
      </c>
      <c r="BC1966">
        <v>1</v>
      </c>
      <c r="BE1966">
        <v>0</v>
      </c>
      <c r="BF1966">
        <v>0</v>
      </c>
      <c r="BG1966">
        <v>0</v>
      </c>
      <c r="BH1966">
        <v>3375</v>
      </c>
      <c r="BI1966">
        <v>1</v>
      </c>
      <c r="BJ1966">
        <v>1</v>
      </c>
      <c r="BK1966">
        <v>0</v>
      </c>
      <c r="BL1966">
        <v>0</v>
      </c>
      <c r="BO1966">
        <v>0</v>
      </c>
      <c r="BP1966">
        <v>0</v>
      </c>
      <c r="BW1966" t="str">
        <f>"22:17:44.311"</f>
        <v>22:17:44.311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6</v>
      </c>
      <c r="CP1966" t="s">
        <v>119</v>
      </c>
      <c r="CQ1966">
        <v>364</v>
      </c>
      <c r="CR1966">
        <v>0</v>
      </c>
      <c r="CW1966">
        <v>1440425</v>
      </c>
      <c r="CY1966">
        <v>1</v>
      </c>
      <c r="CZ1966">
        <v>0</v>
      </c>
      <c r="DA1966">
        <v>0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>"03/24/2022 22:17:44.550"</f>
        <v>03/24/2022 22:17:44.550</v>
      </c>
      <c r="C1967" t="str">
        <f t="shared" si="581"/>
        <v>FFDFD3C0</v>
      </c>
      <c r="D1967" t="s">
        <v>113</v>
      </c>
      <c r="E1967">
        <v>24</v>
      </c>
      <c r="F1967">
        <v>2024</v>
      </c>
      <c r="G1967" t="s">
        <v>114</v>
      </c>
      <c r="J1967" t="s">
        <v>115</v>
      </c>
      <c r="K1967">
        <v>0</v>
      </c>
      <c r="L1967">
        <v>3</v>
      </c>
      <c r="M1967">
        <v>0</v>
      </c>
      <c r="N1967">
        <v>2</v>
      </c>
      <c r="O1967">
        <v>0</v>
      </c>
      <c r="P1967">
        <v>1</v>
      </c>
      <c r="Q1967">
        <v>0</v>
      </c>
      <c r="S1967" t="str">
        <f t="shared" si="589"/>
        <v>22:17:44.000</v>
      </c>
      <c r="T1967" t="str">
        <f t="shared" si="589"/>
        <v>22:17:44.000</v>
      </c>
      <c r="U1967" t="str">
        <f t="shared" si="576"/>
        <v>A9D71F</v>
      </c>
      <c r="V1967">
        <v>0</v>
      </c>
      <c r="W1967">
        <v>0</v>
      </c>
      <c r="X1967">
        <v>2</v>
      </c>
      <c r="Z1967">
        <v>1</v>
      </c>
      <c r="AA1967">
        <v>8</v>
      </c>
      <c r="AB1967">
        <v>3</v>
      </c>
      <c r="AC1967">
        <v>0</v>
      </c>
      <c r="AD1967">
        <v>9</v>
      </c>
      <c r="AE1967">
        <v>0</v>
      </c>
      <c r="AF1967">
        <v>3</v>
      </c>
      <c r="AG1967">
        <v>1</v>
      </c>
      <c r="AH1967">
        <v>0</v>
      </c>
      <c r="AI1967" t="s">
        <v>1034</v>
      </c>
      <c r="AJ1967">
        <v>33.035116000000002</v>
      </c>
      <c r="AK1967" t="s">
        <v>1035</v>
      </c>
      <c r="AL1967">
        <v>-97.660281999999995</v>
      </c>
      <c r="AM1967">
        <v>25</v>
      </c>
      <c r="AN1967">
        <v>3400</v>
      </c>
      <c r="AO1967" t="s">
        <v>118</v>
      </c>
      <c r="AP1967">
        <v>25</v>
      </c>
      <c r="AQ1967">
        <v>-80</v>
      </c>
      <c r="AR1967">
        <v>0</v>
      </c>
      <c r="AZ1967">
        <v>1200</v>
      </c>
      <c r="BA1967">
        <v>1</v>
      </c>
      <c r="BB1967" t="str">
        <f t="shared" si="583"/>
        <v xml:space="preserve">N733KP  </v>
      </c>
      <c r="BC1967">
        <v>1</v>
      </c>
      <c r="BE1967">
        <v>0</v>
      </c>
      <c r="BF1967">
        <v>0</v>
      </c>
      <c r="BG1967">
        <v>0</v>
      </c>
      <c r="BH1967">
        <v>3375</v>
      </c>
      <c r="BI1967">
        <v>1</v>
      </c>
      <c r="BJ1967">
        <v>1</v>
      </c>
      <c r="BK1967">
        <v>0</v>
      </c>
      <c r="BL1967">
        <v>0</v>
      </c>
      <c r="BO1967">
        <v>0</v>
      </c>
      <c r="BP1967">
        <v>0</v>
      </c>
      <c r="BW1967" t="str">
        <f>"22:17:44.311"</f>
        <v>22:17:44.311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6</v>
      </c>
      <c r="CP1967" t="s">
        <v>119</v>
      </c>
      <c r="CQ1967">
        <v>364</v>
      </c>
      <c r="CR1967">
        <v>0</v>
      </c>
      <c r="CW1967">
        <v>1440425</v>
      </c>
      <c r="CY1967">
        <v>1</v>
      </c>
      <c r="CZ1967">
        <v>0</v>
      </c>
      <c r="DA1967">
        <v>1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"03/24/2022 22:17:44.550"</f>
        <v>03/24/2022 22:17:44.550</v>
      </c>
      <c r="C1968" t="str">
        <f t="shared" si="581"/>
        <v>FFDFD3C0</v>
      </c>
      <c r="D1968" t="s">
        <v>123</v>
      </c>
      <c r="E1968">
        <v>8</v>
      </c>
      <c r="H1968">
        <v>31</v>
      </c>
      <c r="I1968" t="s">
        <v>124</v>
      </c>
      <c r="J1968" t="s">
        <v>125</v>
      </c>
      <c r="K1968">
        <v>0</v>
      </c>
      <c r="L1968">
        <v>3</v>
      </c>
      <c r="M1968">
        <v>0</v>
      </c>
      <c r="N1968">
        <v>2</v>
      </c>
      <c r="O1968">
        <v>0</v>
      </c>
      <c r="P1968">
        <v>1</v>
      </c>
      <c r="Q1968">
        <v>0</v>
      </c>
      <c r="S1968" t="str">
        <f t="shared" si="589"/>
        <v>22:17:44.000</v>
      </c>
      <c r="T1968" t="str">
        <f t="shared" si="589"/>
        <v>22:17:44.000</v>
      </c>
      <c r="U1968" t="str">
        <f t="shared" si="576"/>
        <v>A9D71F</v>
      </c>
      <c r="V1968">
        <v>0</v>
      </c>
      <c r="W1968">
        <v>0</v>
      </c>
      <c r="X1968">
        <v>2</v>
      </c>
      <c r="Z1968">
        <v>1</v>
      </c>
      <c r="AA1968">
        <v>8</v>
      </c>
      <c r="AB1968">
        <v>3</v>
      </c>
      <c r="AC1968">
        <v>0</v>
      </c>
      <c r="AD1968">
        <v>9</v>
      </c>
      <c r="AE1968">
        <v>0</v>
      </c>
      <c r="AF1968">
        <v>3</v>
      </c>
      <c r="AG1968">
        <v>1</v>
      </c>
      <c r="AH1968">
        <v>0</v>
      </c>
      <c r="AI1968" t="s">
        <v>1034</v>
      </c>
      <c r="AJ1968">
        <v>33.035116000000002</v>
      </c>
      <c r="AK1968" t="s">
        <v>1035</v>
      </c>
      <c r="AL1968">
        <v>-97.660281999999995</v>
      </c>
      <c r="AM1968">
        <v>25</v>
      </c>
      <c r="AN1968">
        <v>3400</v>
      </c>
      <c r="AO1968" t="s">
        <v>118</v>
      </c>
      <c r="AP1968">
        <v>25</v>
      </c>
      <c r="AQ1968">
        <v>-80</v>
      </c>
      <c r="AR1968">
        <v>0</v>
      </c>
      <c r="AZ1968">
        <v>1200</v>
      </c>
      <c r="BA1968">
        <v>1</v>
      </c>
      <c r="BB1968" t="str">
        <f t="shared" si="583"/>
        <v xml:space="preserve">N733KP  </v>
      </c>
      <c r="BC1968">
        <v>1</v>
      </c>
      <c r="BE1968">
        <v>0</v>
      </c>
      <c r="BF1968">
        <v>0</v>
      </c>
      <c r="BG1968">
        <v>0</v>
      </c>
      <c r="BH1968">
        <v>3375</v>
      </c>
      <c r="BI1968">
        <v>1</v>
      </c>
      <c r="BJ1968">
        <v>1</v>
      </c>
      <c r="BK1968">
        <v>0</v>
      </c>
      <c r="BL1968">
        <v>0</v>
      </c>
      <c r="BO1968">
        <v>0</v>
      </c>
      <c r="BP1968">
        <v>0</v>
      </c>
      <c r="BW1968" t="str">
        <f>"22:17:44.311"</f>
        <v>22:17:44.311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6</v>
      </c>
      <c r="CP1968" t="s">
        <v>119</v>
      </c>
      <c r="CQ1968">
        <v>364</v>
      </c>
      <c r="CR1968">
        <v>0</v>
      </c>
      <c r="CW1968">
        <v>1440425</v>
      </c>
      <c r="CY1968">
        <v>1</v>
      </c>
      <c r="CZ1968">
        <v>0</v>
      </c>
      <c r="DA1968">
        <v>1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>"03/24/2022 22:17:44.550"</f>
        <v>03/24/2022 22:17:44.550</v>
      </c>
      <c r="C1969" t="str">
        <f t="shared" si="581"/>
        <v>FFDFD3C0</v>
      </c>
      <c r="D1969" t="s">
        <v>120</v>
      </c>
      <c r="E1969">
        <v>14</v>
      </c>
      <c r="F1969">
        <v>1014</v>
      </c>
      <c r="G1969" t="s">
        <v>121</v>
      </c>
      <c r="J1969" t="s">
        <v>122</v>
      </c>
      <c r="K1969">
        <v>0</v>
      </c>
      <c r="L1969">
        <v>3</v>
      </c>
      <c r="M1969">
        <v>0</v>
      </c>
      <c r="N1969">
        <v>2</v>
      </c>
      <c r="O1969">
        <v>0</v>
      </c>
      <c r="P1969">
        <v>1</v>
      </c>
      <c r="Q1969">
        <v>0</v>
      </c>
      <c r="S1969" t="str">
        <f t="shared" si="589"/>
        <v>22:17:44.000</v>
      </c>
      <c r="T1969" t="str">
        <f t="shared" si="589"/>
        <v>22:17:44.000</v>
      </c>
      <c r="U1969" t="str">
        <f t="shared" si="576"/>
        <v>A9D71F</v>
      </c>
      <c r="V1969">
        <v>0</v>
      </c>
      <c r="W1969">
        <v>0</v>
      </c>
      <c r="X1969">
        <v>2</v>
      </c>
      <c r="Z1969">
        <v>1</v>
      </c>
      <c r="AA1969">
        <v>8</v>
      </c>
      <c r="AB1969">
        <v>3</v>
      </c>
      <c r="AC1969">
        <v>0</v>
      </c>
      <c r="AD1969">
        <v>9</v>
      </c>
      <c r="AE1969">
        <v>0</v>
      </c>
      <c r="AF1969">
        <v>3</v>
      </c>
      <c r="AG1969">
        <v>1</v>
      </c>
      <c r="AH1969">
        <v>0</v>
      </c>
      <c r="AI1969" t="s">
        <v>1034</v>
      </c>
      <c r="AJ1969">
        <v>33.035116000000002</v>
      </c>
      <c r="AK1969" t="s">
        <v>1035</v>
      </c>
      <c r="AL1969">
        <v>-97.660281999999995</v>
      </c>
      <c r="AM1969">
        <v>25</v>
      </c>
      <c r="AN1969">
        <v>3400</v>
      </c>
      <c r="AO1969" t="s">
        <v>118</v>
      </c>
      <c r="AP1969">
        <v>25</v>
      </c>
      <c r="AQ1969">
        <v>-80</v>
      </c>
      <c r="AR1969">
        <v>0</v>
      </c>
      <c r="AZ1969">
        <v>1200</v>
      </c>
      <c r="BA1969">
        <v>1</v>
      </c>
      <c r="BB1969" t="str">
        <f t="shared" si="583"/>
        <v xml:space="preserve">N733KP  </v>
      </c>
      <c r="BC1969">
        <v>1</v>
      </c>
      <c r="BE1969">
        <v>0</v>
      </c>
      <c r="BF1969">
        <v>0</v>
      </c>
      <c r="BG1969">
        <v>0</v>
      </c>
      <c r="BH1969">
        <v>3375</v>
      </c>
      <c r="BI1969">
        <v>1</v>
      </c>
      <c r="BJ1969">
        <v>1</v>
      </c>
      <c r="BK1969">
        <v>0</v>
      </c>
      <c r="BL1969">
        <v>0</v>
      </c>
      <c r="BO1969">
        <v>0</v>
      </c>
      <c r="BP1969">
        <v>0</v>
      </c>
      <c r="BW1969" t="str">
        <f>"22:17:44.311"</f>
        <v>22:17:44.311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6</v>
      </c>
      <c r="CP1969" t="s">
        <v>119</v>
      </c>
      <c r="CQ1969">
        <v>364</v>
      </c>
      <c r="CR1969">
        <v>0</v>
      </c>
      <c r="CW1969">
        <v>1440425</v>
      </c>
      <c r="CY1969">
        <v>1</v>
      </c>
      <c r="CZ1969">
        <v>0</v>
      </c>
      <c r="DA1969">
        <v>1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>"03/24/2022 22:17:46.240"</f>
        <v>03/24/2022 22:17:46.240</v>
      </c>
      <c r="C1970" t="str">
        <f t="shared" si="581"/>
        <v>FFDFD3C0</v>
      </c>
      <c r="D1970" t="s">
        <v>126</v>
      </c>
      <c r="E1970">
        <v>3</v>
      </c>
      <c r="H1970">
        <v>160</v>
      </c>
      <c r="I1970" t="s">
        <v>121</v>
      </c>
      <c r="J1970" t="s">
        <v>127</v>
      </c>
      <c r="K1970">
        <v>0</v>
      </c>
      <c r="L1970">
        <v>3</v>
      </c>
      <c r="M1970">
        <v>0</v>
      </c>
      <c r="N1970">
        <v>2</v>
      </c>
      <c r="O1970">
        <v>0</v>
      </c>
      <c r="P1970">
        <v>1</v>
      </c>
      <c r="Q1970">
        <v>0</v>
      </c>
      <c r="S1970" t="str">
        <f t="shared" ref="S1970:T1972" si="590">"22:17:45.000"</f>
        <v>22:17:45.000</v>
      </c>
      <c r="T1970" t="str">
        <f t="shared" si="590"/>
        <v>22:17:45.000</v>
      </c>
      <c r="U1970" t="str">
        <f t="shared" si="576"/>
        <v>A9D71F</v>
      </c>
      <c r="V1970">
        <v>0</v>
      </c>
      <c r="W1970">
        <v>0</v>
      </c>
      <c r="X1970">
        <v>2</v>
      </c>
      <c r="Z1970">
        <v>1</v>
      </c>
      <c r="AA1970">
        <v>8</v>
      </c>
      <c r="AB1970">
        <v>3</v>
      </c>
      <c r="AC1970">
        <v>0</v>
      </c>
      <c r="AD1970">
        <v>9</v>
      </c>
      <c r="AE1970">
        <v>0</v>
      </c>
      <c r="AF1970">
        <v>3</v>
      </c>
      <c r="AG1970">
        <v>1</v>
      </c>
      <c r="AH1970">
        <v>0</v>
      </c>
      <c r="AI1970" t="s">
        <v>1036</v>
      </c>
      <c r="AJ1970">
        <v>33.034730000000003</v>
      </c>
      <c r="AK1970" t="s">
        <v>1037</v>
      </c>
      <c r="AL1970">
        <v>-97.660131000000007</v>
      </c>
      <c r="AM1970">
        <v>25</v>
      </c>
      <c r="AN1970">
        <v>3400</v>
      </c>
      <c r="AO1970" t="s">
        <v>118</v>
      </c>
      <c r="AP1970">
        <v>26</v>
      </c>
      <c r="AQ1970">
        <v>-80</v>
      </c>
      <c r="AR1970">
        <v>0</v>
      </c>
      <c r="AZ1970">
        <v>1200</v>
      </c>
      <c r="BA1970">
        <v>1</v>
      </c>
      <c r="BB1970" t="str">
        <f t="shared" si="583"/>
        <v xml:space="preserve">N733KP  </v>
      </c>
      <c r="BC1970">
        <v>1</v>
      </c>
      <c r="BE1970">
        <v>0</v>
      </c>
      <c r="BF1970">
        <v>0</v>
      </c>
      <c r="BG1970">
        <v>0</v>
      </c>
      <c r="BH1970">
        <v>3375</v>
      </c>
      <c r="BI1970">
        <v>1</v>
      </c>
      <c r="BJ1970">
        <v>1</v>
      </c>
      <c r="BK1970">
        <v>0</v>
      </c>
      <c r="BL1970">
        <v>0</v>
      </c>
      <c r="BO1970">
        <v>0</v>
      </c>
      <c r="BP1970">
        <v>0</v>
      </c>
      <c r="BW1970" t="str">
        <f>"22:17:45.976"</f>
        <v>22:17:45.976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5</v>
      </c>
      <c r="CP1970" t="s">
        <v>119</v>
      </c>
      <c r="CQ1970">
        <v>365</v>
      </c>
      <c r="CR1970">
        <v>0</v>
      </c>
      <c r="CW1970">
        <v>11508823</v>
      </c>
      <c r="CY1970">
        <v>1</v>
      </c>
      <c r="CZ1970">
        <v>0</v>
      </c>
      <c r="DA1970">
        <v>0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>"03/24/2022 22:17:46.240"</f>
        <v>03/24/2022 22:17:46.240</v>
      </c>
      <c r="C1971" t="str">
        <f t="shared" si="581"/>
        <v>FFDFD3C0</v>
      </c>
      <c r="D1971" t="s">
        <v>113</v>
      </c>
      <c r="E1971">
        <v>24</v>
      </c>
      <c r="F1971">
        <v>2024</v>
      </c>
      <c r="G1971" t="s">
        <v>114</v>
      </c>
      <c r="J1971" t="s">
        <v>115</v>
      </c>
      <c r="K1971">
        <v>0</v>
      </c>
      <c r="L1971">
        <v>3</v>
      </c>
      <c r="M1971">
        <v>0</v>
      </c>
      <c r="N1971">
        <v>2</v>
      </c>
      <c r="O1971">
        <v>0</v>
      </c>
      <c r="P1971">
        <v>1</v>
      </c>
      <c r="Q1971">
        <v>0</v>
      </c>
      <c r="S1971" t="str">
        <f t="shared" si="590"/>
        <v>22:17:45.000</v>
      </c>
      <c r="T1971" t="str">
        <f t="shared" si="590"/>
        <v>22:17:45.000</v>
      </c>
      <c r="U1971" t="str">
        <f t="shared" si="576"/>
        <v>A9D71F</v>
      </c>
      <c r="V1971">
        <v>0</v>
      </c>
      <c r="W1971">
        <v>0</v>
      </c>
      <c r="X1971">
        <v>2</v>
      </c>
      <c r="Z1971">
        <v>1</v>
      </c>
      <c r="AA1971">
        <v>8</v>
      </c>
      <c r="AB1971">
        <v>3</v>
      </c>
      <c r="AC1971">
        <v>0</v>
      </c>
      <c r="AD1971">
        <v>9</v>
      </c>
      <c r="AE1971">
        <v>0</v>
      </c>
      <c r="AF1971">
        <v>3</v>
      </c>
      <c r="AG1971">
        <v>1</v>
      </c>
      <c r="AH1971">
        <v>0</v>
      </c>
      <c r="AI1971" t="s">
        <v>1036</v>
      </c>
      <c r="AJ1971">
        <v>33.034730000000003</v>
      </c>
      <c r="AK1971" t="s">
        <v>1037</v>
      </c>
      <c r="AL1971">
        <v>-97.660131000000007</v>
      </c>
      <c r="AM1971">
        <v>25</v>
      </c>
      <c r="AN1971">
        <v>3400</v>
      </c>
      <c r="AO1971" t="s">
        <v>118</v>
      </c>
      <c r="AP1971">
        <v>26</v>
      </c>
      <c r="AQ1971">
        <v>-80</v>
      </c>
      <c r="AR1971">
        <v>0</v>
      </c>
      <c r="AZ1971">
        <v>1200</v>
      </c>
      <c r="BA1971">
        <v>1</v>
      </c>
      <c r="BB1971" t="str">
        <f t="shared" si="583"/>
        <v xml:space="preserve">N733KP  </v>
      </c>
      <c r="BC1971">
        <v>1</v>
      </c>
      <c r="BE1971">
        <v>0</v>
      </c>
      <c r="BF1971">
        <v>0</v>
      </c>
      <c r="BG1971">
        <v>0</v>
      </c>
      <c r="BH1971">
        <v>3375</v>
      </c>
      <c r="BI1971">
        <v>1</v>
      </c>
      <c r="BJ1971">
        <v>1</v>
      </c>
      <c r="BK1971">
        <v>0</v>
      </c>
      <c r="BL1971">
        <v>0</v>
      </c>
      <c r="BO1971">
        <v>0</v>
      </c>
      <c r="BP1971">
        <v>0</v>
      </c>
      <c r="BW1971" t="str">
        <f>"22:17:45.976"</f>
        <v>22:17:45.976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5</v>
      </c>
      <c r="CP1971" t="s">
        <v>119</v>
      </c>
      <c r="CQ1971">
        <v>365</v>
      </c>
      <c r="CR1971">
        <v>0</v>
      </c>
      <c r="CW1971">
        <v>11508823</v>
      </c>
      <c r="CY1971">
        <v>1</v>
      </c>
      <c r="CZ1971">
        <v>0</v>
      </c>
      <c r="DA1971">
        <v>1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>"03/24/2022 22:17:46.256"</f>
        <v>03/24/2022 22:17:46.256</v>
      </c>
      <c r="C1972" t="str">
        <f t="shared" si="581"/>
        <v>FFDFD3C0</v>
      </c>
      <c r="D1972" t="s">
        <v>123</v>
      </c>
      <c r="E1972">
        <v>8</v>
      </c>
      <c r="H1972">
        <v>31</v>
      </c>
      <c r="I1972" t="s">
        <v>124</v>
      </c>
      <c r="J1972" t="s">
        <v>125</v>
      </c>
      <c r="K1972">
        <v>0</v>
      </c>
      <c r="L1972">
        <v>3</v>
      </c>
      <c r="M1972">
        <v>0</v>
      </c>
      <c r="N1972">
        <v>2</v>
      </c>
      <c r="O1972">
        <v>0</v>
      </c>
      <c r="P1972">
        <v>1</v>
      </c>
      <c r="Q1972">
        <v>0</v>
      </c>
      <c r="S1972" t="str">
        <f t="shared" si="590"/>
        <v>22:17:45.000</v>
      </c>
      <c r="T1972" t="str">
        <f t="shared" si="590"/>
        <v>22:17:45.000</v>
      </c>
      <c r="U1972" t="str">
        <f t="shared" si="576"/>
        <v>A9D71F</v>
      </c>
      <c r="V1972">
        <v>0</v>
      </c>
      <c r="W1972">
        <v>0</v>
      </c>
      <c r="X1972">
        <v>2</v>
      </c>
      <c r="Z1972">
        <v>1</v>
      </c>
      <c r="AA1972">
        <v>8</v>
      </c>
      <c r="AB1972">
        <v>3</v>
      </c>
      <c r="AC1972">
        <v>0</v>
      </c>
      <c r="AD1972">
        <v>9</v>
      </c>
      <c r="AE1972">
        <v>0</v>
      </c>
      <c r="AF1972">
        <v>3</v>
      </c>
      <c r="AG1972">
        <v>1</v>
      </c>
      <c r="AH1972">
        <v>0</v>
      </c>
      <c r="AI1972" t="s">
        <v>1036</v>
      </c>
      <c r="AJ1972">
        <v>33.034730000000003</v>
      </c>
      <c r="AK1972" t="s">
        <v>1037</v>
      </c>
      <c r="AL1972">
        <v>-97.660131000000007</v>
      </c>
      <c r="AM1972">
        <v>25</v>
      </c>
      <c r="AN1972">
        <v>3400</v>
      </c>
      <c r="AO1972" t="s">
        <v>118</v>
      </c>
      <c r="AP1972">
        <v>26</v>
      </c>
      <c r="AQ1972">
        <v>-80</v>
      </c>
      <c r="AR1972">
        <v>0</v>
      </c>
      <c r="AZ1972">
        <v>1200</v>
      </c>
      <c r="BA1972">
        <v>1</v>
      </c>
      <c r="BB1972" t="str">
        <f t="shared" si="583"/>
        <v xml:space="preserve">N733KP  </v>
      </c>
      <c r="BC1972">
        <v>1</v>
      </c>
      <c r="BE1972">
        <v>0</v>
      </c>
      <c r="BF1972">
        <v>0</v>
      </c>
      <c r="BG1972">
        <v>0</v>
      </c>
      <c r="BH1972">
        <v>3375</v>
      </c>
      <c r="BI1972">
        <v>1</v>
      </c>
      <c r="BJ1972">
        <v>1</v>
      </c>
      <c r="BK1972">
        <v>0</v>
      </c>
      <c r="BL1972">
        <v>0</v>
      </c>
      <c r="BO1972">
        <v>0</v>
      </c>
      <c r="BP1972">
        <v>0</v>
      </c>
      <c r="BW1972" t="str">
        <f>"22:17:45.976"</f>
        <v>22:17:45.976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5</v>
      </c>
      <c r="CP1972" t="s">
        <v>119</v>
      </c>
      <c r="CQ1972">
        <v>365</v>
      </c>
      <c r="CR1972">
        <v>0</v>
      </c>
      <c r="CW1972">
        <v>11508823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>"03/24/2022 22:17:46.990"</f>
        <v>03/24/2022 22:17:46.990</v>
      </c>
      <c r="C1973" t="str">
        <f t="shared" si="581"/>
        <v>FFDFD3C0</v>
      </c>
      <c r="D1973" t="s">
        <v>126</v>
      </c>
      <c r="E1973">
        <v>3</v>
      </c>
      <c r="H1973">
        <v>160</v>
      </c>
      <c r="I1973" t="s">
        <v>121</v>
      </c>
      <c r="J1973" t="s">
        <v>127</v>
      </c>
      <c r="K1973">
        <v>0</v>
      </c>
      <c r="L1973">
        <v>3</v>
      </c>
      <c r="M1973">
        <v>0</v>
      </c>
      <c r="N1973">
        <v>2</v>
      </c>
      <c r="O1973">
        <v>0</v>
      </c>
      <c r="P1973">
        <v>1</v>
      </c>
      <c r="Q1973">
        <v>0</v>
      </c>
      <c r="S1973" t="str">
        <f t="shared" ref="S1973:T1976" si="591">"22:17:46.000"</f>
        <v>22:17:46.000</v>
      </c>
      <c r="T1973" t="str">
        <f t="shared" si="591"/>
        <v>22:17:46.000</v>
      </c>
      <c r="U1973" t="str">
        <f t="shared" si="576"/>
        <v>A9D71F</v>
      </c>
      <c r="V1973">
        <v>0</v>
      </c>
      <c r="W1973">
        <v>0</v>
      </c>
      <c r="X1973">
        <v>2</v>
      </c>
      <c r="Z1973">
        <v>1</v>
      </c>
      <c r="AA1973">
        <v>8</v>
      </c>
      <c r="AB1973">
        <v>3</v>
      </c>
      <c r="AC1973">
        <v>0</v>
      </c>
      <c r="AD1973">
        <v>9</v>
      </c>
      <c r="AE1973">
        <v>0</v>
      </c>
      <c r="AF1973">
        <v>3</v>
      </c>
      <c r="AG1973">
        <v>1</v>
      </c>
      <c r="AH1973">
        <v>0</v>
      </c>
      <c r="AI1973" t="s">
        <v>1038</v>
      </c>
      <c r="AJ1973">
        <v>33.034365000000001</v>
      </c>
      <c r="AK1973" t="s">
        <v>1039</v>
      </c>
      <c r="AL1973">
        <v>-97.660003000000003</v>
      </c>
      <c r="AM1973">
        <v>25</v>
      </c>
      <c r="AN1973">
        <v>3400</v>
      </c>
      <c r="AO1973" t="s">
        <v>118</v>
      </c>
      <c r="AP1973">
        <v>27</v>
      </c>
      <c r="AQ1973">
        <v>-78</v>
      </c>
      <c r="AR1973">
        <v>0</v>
      </c>
      <c r="AZ1973">
        <v>1200</v>
      </c>
      <c r="BA1973">
        <v>1</v>
      </c>
      <c r="BB1973" t="str">
        <f t="shared" si="583"/>
        <v xml:space="preserve">N733KP  </v>
      </c>
      <c r="BC1973">
        <v>1</v>
      </c>
      <c r="BE1973">
        <v>0</v>
      </c>
      <c r="BF1973">
        <v>0</v>
      </c>
      <c r="BG1973">
        <v>0</v>
      </c>
      <c r="BH1973">
        <v>3375</v>
      </c>
      <c r="BI1973">
        <v>1</v>
      </c>
      <c r="BJ1973">
        <v>1</v>
      </c>
      <c r="BK1973">
        <v>0</v>
      </c>
      <c r="BL1973">
        <v>0</v>
      </c>
      <c r="BO1973">
        <v>0</v>
      </c>
      <c r="BP1973">
        <v>0</v>
      </c>
      <c r="BW1973" t="str">
        <f>"22:17:46.854"</f>
        <v>22:17:46.854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7</v>
      </c>
      <c r="CP1973" t="s">
        <v>119</v>
      </c>
      <c r="CQ1973">
        <v>364</v>
      </c>
      <c r="CR1973">
        <v>0</v>
      </c>
      <c r="CW1973">
        <v>1440774</v>
      </c>
      <c r="CY1973">
        <v>1</v>
      </c>
      <c r="CZ1973">
        <v>0</v>
      </c>
      <c r="DA1973">
        <v>0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>"03/24/2022 22:17:47.038"</f>
        <v>03/24/2022 22:17:47.038</v>
      </c>
      <c r="C1974" t="str">
        <f t="shared" si="581"/>
        <v>FFDFD3C0</v>
      </c>
      <c r="D1974" t="s">
        <v>113</v>
      </c>
      <c r="E1974">
        <v>24</v>
      </c>
      <c r="F1974">
        <v>2024</v>
      </c>
      <c r="G1974" t="s">
        <v>114</v>
      </c>
      <c r="J1974" t="s">
        <v>115</v>
      </c>
      <c r="K1974">
        <v>0</v>
      </c>
      <c r="L1974">
        <v>3</v>
      </c>
      <c r="M1974">
        <v>0</v>
      </c>
      <c r="N1974">
        <v>2</v>
      </c>
      <c r="O1974">
        <v>0</v>
      </c>
      <c r="P1974">
        <v>1</v>
      </c>
      <c r="Q1974">
        <v>0</v>
      </c>
      <c r="S1974" t="str">
        <f t="shared" si="591"/>
        <v>22:17:46.000</v>
      </c>
      <c r="T1974" t="str">
        <f t="shared" si="591"/>
        <v>22:17:46.000</v>
      </c>
      <c r="U1974" t="str">
        <f t="shared" si="576"/>
        <v>A9D71F</v>
      </c>
      <c r="V1974">
        <v>0</v>
      </c>
      <c r="W1974">
        <v>0</v>
      </c>
      <c r="X1974">
        <v>2</v>
      </c>
      <c r="Z1974">
        <v>1</v>
      </c>
      <c r="AA1974">
        <v>8</v>
      </c>
      <c r="AB1974">
        <v>3</v>
      </c>
      <c r="AC1974">
        <v>0</v>
      </c>
      <c r="AD1974">
        <v>9</v>
      </c>
      <c r="AE1974">
        <v>0</v>
      </c>
      <c r="AF1974">
        <v>3</v>
      </c>
      <c r="AG1974">
        <v>1</v>
      </c>
      <c r="AH1974">
        <v>0</v>
      </c>
      <c r="AI1974" t="s">
        <v>1038</v>
      </c>
      <c r="AJ1974">
        <v>33.034365000000001</v>
      </c>
      <c r="AK1974" t="s">
        <v>1039</v>
      </c>
      <c r="AL1974">
        <v>-97.660003000000003</v>
      </c>
      <c r="AM1974">
        <v>25</v>
      </c>
      <c r="AN1974">
        <v>3400</v>
      </c>
      <c r="AO1974" t="s">
        <v>118</v>
      </c>
      <c r="AP1974">
        <v>27</v>
      </c>
      <c r="AQ1974">
        <v>-78</v>
      </c>
      <c r="AR1974">
        <v>0</v>
      </c>
      <c r="AZ1974">
        <v>1200</v>
      </c>
      <c r="BA1974">
        <v>1</v>
      </c>
      <c r="BB1974" t="str">
        <f t="shared" si="583"/>
        <v xml:space="preserve">N733KP  </v>
      </c>
      <c r="BC1974">
        <v>1</v>
      </c>
      <c r="BE1974">
        <v>0</v>
      </c>
      <c r="BF1974">
        <v>0</v>
      </c>
      <c r="BG1974">
        <v>0</v>
      </c>
      <c r="BH1974">
        <v>3375</v>
      </c>
      <c r="BI1974">
        <v>1</v>
      </c>
      <c r="BJ1974">
        <v>1</v>
      </c>
      <c r="BK1974">
        <v>0</v>
      </c>
      <c r="BL1974">
        <v>0</v>
      </c>
      <c r="BO1974">
        <v>0</v>
      </c>
      <c r="BP1974">
        <v>0</v>
      </c>
      <c r="BW1974" t="str">
        <f>"22:17:46.854"</f>
        <v>22:17:46.854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7</v>
      </c>
      <c r="CP1974" t="s">
        <v>119</v>
      </c>
      <c r="CQ1974">
        <v>364</v>
      </c>
      <c r="CR1974">
        <v>0</v>
      </c>
      <c r="CW1974">
        <v>1440774</v>
      </c>
      <c r="CY1974">
        <v>1</v>
      </c>
      <c r="CZ1974">
        <v>0</v>
      </c>
      <c r="DA1974">
        <v>1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>"03/24/2022 22:17:47.038"</f>
        <v>03/24/2022 22:17:47.038</v>
      </c>
      <c r="C1975" t="str">
        <f t="shared" si="581"/>
        <v>FFDFD3C0</v>
      </c>
      <c r="D1975" t="s">
        <v>123</v>
      </c>
      <c r="E1975">
        <v>8</v>
      </c>
      <c r="H1975">
        <v>31</v>
      </c>
      <c r="I1975" t="s">
        <v>124</v>
      </c>
      <c r="J1975" t="s">
        <v>125</v>
      </c>
      <c r="K1975">
        <v>0</v>
      </c>
      <c r="L1975">
        <v>3</v>
      </c>
      <c r="M1975">
        <v>0</v>
      </c>
      <c r="N1975">
        <v>2</v>
      </c>
      <c r="O1975">
        <v>0</v>
      </c>
      <c r="P1975">
        <v>1</v>
      </c>
      <c r="Q1975">
        <v>0</v>
      </c>
      <c r="S1975" t="str">
        <f t="shared" si="591"/>
        <v>22:17:46.000</v>
      </c>
      <c r="T1975" t="str">
        <f t="shared" si="591"/>
        <v>22:17:46.000</v>
      </c>
      <c r="U1975" t="str">
        <f t="shared" si="576"/>
        <v>A9D71F</v>
      </c>
      <c r="V1975">
        <v>0</v>
      </c>
      <c r="W1975">
        <v>0</v>
      </c>
      <c r="X1975">
        <v>2</v>
      </c>
      <c r="Z1975">
        <v>1</v>
      </c>
      <c r="AA1975">
        <v>8</v>
      </c>
      <c r="AB1975">
        <v>3</v>
      </c>
      <c r="AC1975">
        <v>0</v>
      </c>
      <c r="AD1975">
        <v>9</v>
      </c>
      <c r="AE1975">
        <v>0</v>
      </c>
      <c r="AF1975">
        <v>3</v>
      </c>
      <c r="AG1975">
        <v>1</v>
      </c>
      <c r="AH1975">
        <v>0</v>
      </c>
      <c r="AI1975" t="s">
        <v>1038</v>
      </c>
      <c r="AJ1975">
        <v>33.034365000000001</v>
      </c>
      <c r="AK1975" t="s">
        <v>1039</v>
      </c>
      <c r="AL1975">
        <v>-97.660003000000003</v>
      </c>
      <c r="AM1975">
        <v>25</v>
      </c>
      <c r="AN1975">
        <v>3400</v>
      </c>
      <c r="AO1975" t="s">
        <v>118</v>
      </c>
      <c r="AP1975">
        <v>27</v>
      </c>
      <c r="AQ1975">
        <v>-78</v>
      </c>
      <c r="AR1975">
        <v>0</v>
      </c>
      <c r="AZ1975">
        <v>1200</v>
      </c>
      <c r="BA1975">
        <v>1</v>
      </c>
      <c r="BB1975" t="str">
        <f t="shared" si="583"/>
        <v xml:space="preserve">N733KP  </v>
      </c>
      <c r="BC1975">
        <v>1</v>
      </c>
      <c r="BE1975">
        <v>0</v>
      </c>
      <c r="BF1975">
        <v>0</v>
      </c>
      <c r="BG1975">
        <v>0</v>
      </c>
      <c r="BH1975">
        <v>3375</v>
      </c>
      <c r="BI1975">
        <v>1</v>
      </c>
      <c r="BJ1975">
        <v>1</v>
      </c>
      <c r="BK1975">
        <v>0</v>
      </c>
      <c r="BL1975">
        <v>0</v>
      </c>
      <c r="BO1975">
        <v>0</v>
      </c>
      <c r="BP1975">
        <v>0</v>
      </c>
      <c r="BW1975" t="str">
        <f>"22:17:46.854"</f>
        <v>22:17:46.854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119</v>
      </c>
      <c r="CQ1975">
        <v>364</v>
      </c>
      <c r="CR1975">
        <v>0</v>
      </c>
      <c r="CW1975">
        <v>1440774</v>
      </c>
      <c r="CY1975">
        <v>1</v>
      </c>
      <c r="CZ1975">
        <v>0</v>
      </c>
      <c r="DA1975">
        <v>1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>"03/24/2022 22:17:47.038"</f>
        <v>03/24/2022 22:17:47.038</v>
      </c>
      <c r="C1976" t="str">
        <f t="shared" si="581"/>
        <v>FFDFD3C0</v>
      </c>
      <c r="D1976" t="s">
        <v>120</v>
      </c>
      <c r="E1976">
        <v>14</v>
      </c>
      <c r="F1976">
        <v>1014</v>
      </c>
      <c r="G1976" t="s">
        <v>121</v>
      </c>
      <c r="J1976" t="s">
        <v>122</v>
      </c>
      <c r="K1976">
        <v>0</v>
      </c>
      <c r="L1976">
        <v>3</v>
      </c>
      <c r="M1976">
        <v>0</v>
      </c>
      <c r="N1976">
        <v>2</v>
      </c>
      <c r="O1976">
        <v>0</v>
      </c>
      <c r="P1976">
        <v>1</v>
      </c>
      <c r="Q1976">
        <v>0</v>
      </c>
      <c r="S1976" t="str">
        <f t="shared" si="591"/>
        <v>22:17:46.000</v>
      </c>
      <c r="T1976" t="str">
        <f t="shared" si="591"/>
        <v>22:17:46.000</v>
      </c>
      <c r="U1976" t="str">
        <f t="shared" si="576"/>
        <v>A9D71F</v>
      </c>
      <c r="V1976">
        <v>0</v>
      </c>
      <c r="W1976">
        <v>0</v>
      </c>
      <c r="X1976">
        <v>2</v>
      </c>
      <c r="Z1976">
        <v>1</v>
      </c>
      <c r="AA1976">
        <v>8</v>
      </c>
      <c r="AB1976">
        <v>3</v>
      </c>
      <c r="AC1976">
        <v>0</v>
      </c>
      <c r="AD1976">
        <v>9</v>
      </c>
      <c r="AE1976">
        <v>0</v>
      </c>
      <c r="AF1976">
        <v>3</v>
      </c>
      <c r="AG1976">
        <v>1</v>
      </c>
      <c r="AH1976">
        <v>0</v>
      </c>
      <c r="AI1976" t="s">
        <v>1038</v>
      </c>
      <c r="AJ1976">
        <v>33.034365000000001</v>
      </c>
      <c r="AK1976" t="s">
        <v>1039</v>
      </c>
      <c r="AL1976">
        <v>-97.660003000000003</v>
      </c>
      <c r="AM1976">
        <v>25</v>
      </c>
      <c r="AN1976">
        <v>3400</v>
      </c>
      <c r="AO1976" t="s">
        <v>118</v>
      </c>
      <c r="AP1976">
        <v>27</v>
      </c>
      <c r="AQ1976">
        <v>-78</v>
      </c>
      <c r="AR1976">
        <v>0</v>
      </c>
      <c r="AZ1976">
        <v>1200</v>
      </c>
      <c r="BA1976">
        <v>1</v>
      </c>
      <c r="BB1976" t="str">
        <f t="shared" si="583"/>
        <v xml:space="preserve">N733KP  </v>
      </c>
      <c r="BC1976">
        <v>1</v>
      </c>
      <c r="BE1976">
        <v>0</v>
      </c>
      <c r="BF1976">
        <v>0</v>
      </c>
      <c r="BG1976">
        <v>0</v>
      </c>
      <c r="BH1976">
        <v>3375</v>
      </c>
      <c r="BI1976">
        <v>1</v>
      </c>
      <c r="BJ1976">
        <v>1</v>
      </c>
      <c r="BK1976">
        <v>0</v>
      </c>
      <c r="BL1976">
        <v>0</v>
      </c>
      <c r="BO1976">
        <v>0</v>
      </c>
      <c r="BP1976">
        <v>0</v>
      </c>
      <c r="BW1976" t="str">
        <f>"22:17:46.854"</f>
        <v>22:17:46.854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119</v>
      </c>
      <c r="CQ1976">
        <v>364</v>
      </c>
      <c r="CR1976">
        <v>0</v>
      </c>
      <c r="CW1976">
        <v>1440774</v>
      </c>
      <c r="CY1976">
        <v>1</v>
      </c>
      <c r="CZ1976">
        <v>0</v>
      </c>
      <c r="DA1976">
        <v>1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>"03/24/2022 22:17:48.132"</f>
        <v>03/24/2022 22:17:48.132</v>
      </c>
      <c r="C1977" t="str">
        <f t="shared" si="581"/>
        <v>FFDFD3C0</v>
      </c>
      <c r="D1977" t="s">
        <v>123</v>
      </c>
      <c r="E1977">
        <v>8</v>
      </c>
      <c r="H1977">
        <v>31</v>
      </c>
      <c r="I1977" t="s">
        <v>124</v>
      </c>
      <c r="J1977" t="s">
        <v>125</v>
      </c>
      <c r="K1977">
        <v>0</v>
      </c>
      <c r="L1977">
        <v>3</v>
      </c>
      <c r="M1977">
        <v>0</v>
      </c>
      <c r="N1977">
        <v>2</v>
      </c>
      <c r="O1977">
        <v>0</v>
      </c>
      <c r="P1977">
        <v>1</v>
      </c>
      <c r="Q1977">
        <v>0</v>
      </c>
      <c r="S1977" t="str">
        <f t="shared" ref="S1977:T1980" si="592">"22:17:47.000"</f>
        <v>22:17:47.000</v>
      </c>
      <c r="T1977" t="str">
        <f t="shared" si="592"/>
        <v>22:17:47.000</v>
      </c>
      <c r="U1977" t="str">
        <f t="shared" si="576"/>
        <v>A9D71F</v>
      </c>
      <c r="V1977">
        <v>0</v>
      </c>
      <c r="W1977">
        <v>0</v>
      </c>
      <c r="X1977">
        <v>2</v>
      </c>
      <c r="Z1977">
        <v>1</v>
      </c>
      <c r="AA1977">
        <v>8</v>
      </c>
      <c r="AB1977">
        <v>3</v>
      </c>
      <c r="AC1977">
        <v>0</v>
      </c>
      <c r="AD1977">
        <v>9</v>
      </c>
      <c r="AE1977">
        <v>0</v>
      </c>
      <c r="AF1977">
        <v>3</v>
      </c>
      <c r="AG1977">
        <v>1</v>
      </c>
      <c r="AH1977">
        <v>0</v>
      </c>
      <c r="AI1977" t="s">
        <v>1040</v>
      </c>
      <c r="AJ1977">
        <v>33.033999999999999</v>
      </c>
      <c r="AK1977" t="s">
        <v>1041</v>
      </c>
      <c r="AL1977">
        <v>-97.659852999999998</v>
      </c>
      <c r="AM1977">
        <v>25</v>
      </c>
      <c r="AN1977">
        <v>3400</v>
      </c>
      <c r="AO1977" t="s">
        <v>118</v>
      </c>
      <c r="AP1977">
        <v>29</v>
      </c>
      <c r="AQ1977">
        <v>-77</v>
      </c>
      <c r="AR1977">
        <v>0</v>
      </c>
      <c r="AZ1977">
        <v>1200</v>
      </c>
      <c r="BA1977">
        <v>1</v>
      </c>
      <c r="BB1977" t="str">
        <f t="shared" si="583"/>
        <v xml:space="preserve">N733KP  </v>
      </c>
      <c r="BC1977">
        <v>1</v>
      </c>
      <c r="BE1977">
        <v>0</v>
      </c>
      <c r="BF1977">
        <v>0</v>
      </c>
      <c r="BG1977">
        <v>0</v>
      </c>
      <c r="BH1977">
        <v>3375</v>
      </c>
      <c r="BI1977">
        <v>1</v>
      </c>
      <c r="BJ1977">
        <v>1</v>
      </c>
      <c r="BK1977">
        <v>0</v>
      </c>
      <c r="BL1977">
        <v>0</v>
      </c>
      <c r="BO1977">
        <v>0</v>
      </c>
      <c r="BP1977">
        <v>0</v>
      </c>
      <c r="BW1977" t="str">
        <f>"22:17:47.922"</f>
        <v>22:17:47.922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6</v>
      </c>
      <c r="CP1977" t="s">
        <v>119</v>
      </c>
      <c r="CQ1977">
        <v>364</v>
      </c>
      <c r="CR1977">
        <v>0</v>
      </c>
      <c r="CW1977">
        <v>1440950</v>
      </c>
      <c r="CY1977">
        <v>1</v>
      </c>
      <c r="CZ1977">
        <v>0</v>
      </c>
      <c r="DA1977">
        <v>0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>"03/24/2022 22:17:48.132"</f>
        <v>03/24/2022 22:17:48.132</v>
      </c>
      <c r="C1978" t="str">
        <f t="shared" si="581"/>
        <v>FFDFD3C0</v>
      </c>
      <c r="D1978" t="s">
        <v>113</v>
      </c>
      <c r="E1978">
        <v>24</v>
      </c>
      <c r="F1978">
        <v>2024</v>
      </c>
      <c r="G1978" t="s">
        <v>114</v>
      </c>
      <c r="J1978" t="s">
        <v>115</v>
      </c>
      <c r="K1978">
        <v>0</v>
      </c>
      <c r="L1978">
        <v>3</v>
      </c>
      <c r="M1978">
        <v>0</v>
      </c>
      <c r="N1978">
        <v>2</v>
      </c>
      <c r="O1978">
        <v>0</v>
      </c>
      <c r="P1978">
        <v>1</v>
      </c>
      <c r="Q1978">
        <v>0</v>
      </c>
      <c r="S1978" t="str">
        <f t="shared" si="592"/>
        <v>22:17:47.000</v>
      </c>
      <c r="T1978" t="str">
        <f t="shared" si="592"/>
        <v>22:17:47.000</v>
      </c>
      <c r="U1978" t="str">
        <f t="shared" si="576"/>
        <v>A9D71F</v>
      </c>
      <c r="V1978">
        <v>0</v>
      </c>
      <c r="W1978">
        <v>0</v>
      </c>
      <c r="X1978">
        <v>2</v>
      </c>
      <c r="Z1978">
        <v>1</v>
      </c>
      <c r="AA1978">
        <v>8</v>
      </c>
      <c r="AB1978">
        <v>3</v>
      </c>
      <c r="AC1978">
        <v>0</v>
      </c>
      <c r="AD1978">
        <v>9</v>
      </c>
      <c r="AE1978">
        <v>0</v>
      </c>
      <c r="AF1978">
        <v>3</v>
      </c>
      <c r="AG1978">
        <v>1</v>
      </c>
      <c r="AH1978">
        <v>0</v>
      </c>
      <c r="AI1978" t="s">
        <v>1040</v>
      </c>
      <c r="AJ1978">
        <v>33.033999999999999</v>
      </c>
      <c r="AK1978" t="s">
        <v>1041</v>
      </c>
      <c r="AL1978">
        <v>-97.659852999999998</v>
      </c>
      <c r="AM1978">
        <v>25</v>
      </c>
      <c r="AN1978">
        <v>3400</v>
      </c>
      <c r="AO1978" t="s">
        <v>118</v>
      </c>
      <c r="AP1978">
        <v>29</v>
      </c>
      <c r="AQ1978">
        <v>-77</v>
      </c>
      <c r="AR1978">
        <v>0</v>
      </c>
      <c r="AZ1978">
        <v>1200</v>
      </c>
      <c r="BA1978">
        <v>1</v>
      </c>
      <c r="BB1978" t="str">
        <f t="shared" si="583"/>
        <v xml:space="preserve">N733KP  </v>
      </c>
      <c r="BC1978">
        <v>1</v>
      </c>
      <c r="BE1978">
        <v>0</v>
      </c>
      <c r="BF1978">
        <v>0</v>
      </c>
      <c r="BG1978">
        <v>0</v>
      </c>
      <c r="BH1978">
        <v>3375</v>
      </c>
      <c r="BI1978">
        <v>1</v>
      </c>
      <c r="BJ1978">
        <v>1</v>
      </c>
      <c r="BK1978">
        <v>0</v>
      </c>
      <c r="BL1978">
        <v>0</v>
      </c>
      <c r="BO1978">
        <v>0</v>
      </c>
      <c r="BP1978">
        <v>0</v>
      </c>
      <c r="BW1978" t="str">
        <f>"22:17:47.922"</f>
        <v>22:17:47.922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6</v>
      </c>
      <c r="CP1978" t="s">
        <v>119</v>
      </c>
      <c r="CQ1978">
        <v>364</v>
      </c>
      <c r="CR1978">
        <v>0</v>
      </c>
      <c r="CW1978">
        <v>1440950</v>
      </c>
      <c r="CY1978">
        <v>1</v>
      </c>
      <c r="CZ1978">
        <v>0</v>
      </c>
      <c r="DA1978">
        <v>1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>"03/24/2022 22:17:48.132"</f>
        <v>03/24/2022 22:17:48.132</v>
      </c>
      <c r="C1979" t="str">
        <f t="shared" si="581"/>
        <v>FFDFD3C0</v>
      </c>
      <c r="D1979" t="s">
        <v>120</v>
      </c>
      <c r="E1979">
        <v>14</v>
      </c>
      <c r="F1979">
        <v>1014</v>
      </c>
      <c r="G1979" t="s">
        <v>121</v>
      </c>
      <c r="J1979" t="s">
        <v>122</v>
      </c>
      <c r="K1979">
        <v>0</v>
      </c>
      <c r="L1979">
        <v>3</v>
      </c>
      <c r="M1979">
        <v>0</v>
      </c>
      <c r="N1979">
        <v>2</v>
      </c>
      <c r="O1979">
        <v>0</v>
      </c>
      <c r="P1979">
        <v>1</v>
      </c>
      <c r="Q1979">
        <v>0</v>
      </c>
      <c r="S1979" t="str">
        <f t="shared" si="592"/>
        <v>22:17:47.000</v>
      </c>
      <c r="T1979" t="str">
        <f t="shared" si="592"/>
        <v>22:17:47.000</v>
      </c>
      <c r="U1979" t="str">
        <f t="shared" si="576"/>
        <v>A9D71F</v>
      </c>
      <c r="V1979">
        <v>0</v>
      </c>
      <c r="W1979">
        <v>0</v>
      </c>
      <c r="X1979">
        <v>2</v>
      </c>
      <c r="Z1979">
        <v>1</v>
      </c>
      <c r="AA1979">
        <v>8</v>
      </c>
      <c r="AB1979">
        <v>3</v>
      </c>
      <c r="AC1979">
        <v>0</v>
      </c>
      <c r="AD1979">
        <v>9</v>
      </c>
      <c r="AE1979">
        <v>0</v>
      </c>
      <c r="AF1979">
        <v>3</v>
      </c>
      <c r="AG1979">
        <v>1</v>
      </c>
      <c r="AH1979">
        <v>0</v>
      </c>
      <c r="AI1979" t="s">
        <v>1040</v>
      </c>
      <c r="AJ1979">
        <v>33.033999999999999</v>
      </c>
      <c r="AK1979" t="s">
        <v>1041</v>
      </c>
      <c r="AL1979">
        <v>-97.659852999999998</v>
      </c>
      <c r="AM1979">
        <v>25</v>
      </c>
      <c r="AN1979">
        <v>3400</v>
      </c>
      <c r="AO1979" t="s">
        <v>118</v>
      </c>
      <c r="AP1979">
        <v>29</v>
      </c>
      <c r="AQ1979">
        <v>-77</v>
      </c>
      <c r="AR1979">
        <v>0</v>
      </c>
      <c r="AZ1979">
        <v>1200</v>
      </c>
      <c r="BA1979">
        <v>1</v>
      </c>
      <c r="BB1979" t="str">
        <f t="shared" si="583"/>
        <v xml:space="preserve">N733KP  </v>
      </c>
      <c r="BC1979">
        <v>1</v>
      </c>
      <c r="BE1979">
        <v>0</v>
      </c>
      <c r="BF1979">
        <v>0</v>
      </c>
      <c r="BG1979">
        <v>0</v>
      </c>
      <c r="BH1979">
        <v>3375</v>
      </c>
      <c r="BI1979">
        <v>1</v>
      </c>
      <c r="BJ1979">
        <v>1</v>
      </c>
      <c r="BK1979">
        <v>0</v>
      </c>
      <c r="BL1979">
        <v>0</v>
      </c>
      <c r="BO1979">
        <v>0</v>
      </c>
      <c r="BP1979">
        <v>0</v>
      </c>
      <c r="BW1979" t="str">
        <f>"22:17:47.922"</f>
        <v>22:17:47.922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6</v>
      </c>
      <c r="CP1979" t="s">
        <v>119</v>
      </c>
      <c r="CQ1979">
        <v>364</v>
      </c>
      <c r="CR1979">
        <v>0</v>
      </c>
      <c r="CW1979">
        <v>1440950</v>
      </c>
      <c r="CY1979">
        <v>1</v>
      </c>
      <c r="CZ1979">
        <v>0</v>
      </c>
      <c r="DA1979">
        <v>1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>"03/24/2022 22:17:48.132"</f>
        <v>03/24/2022 22:17:48.132</v>
      </c>
      <c r="C1980" t="str">
        <f t="shared" si="581"/>
        <v>FFDFD3C0</v>
      </c>
      <c r="D1980" t="s">
        <v>126</v>
      </c>
      <c r="E1980">
        <v>3</v>
      </c>
      <c r="H1980">
        <v>160</v>
      </c>
      <c r="I1980" t="s">
        <v>121</v>
      </c>
      <c r="J1980" t="s">
        <v>127</v>
      </c>
      <c r="K1980">
        <v>0</v>
      </c>
      <c r="L1980">
        <v>3</v>
      </c>
      <c r="M1980">
        <v>0</v>
      </c>
      <c r="N1980">
        <v>2</v>
      </c>
      <c r="O1980">
        <v>0</v>
      </c>
      <c r="P1980">
        <v>1</v>
      </c>
      <c r="Q1980">
        <v>0</v>
      </c>
      <c r="S1980" t="str">
        <f t="shared" si="592"/>
        <v>22:17:47.000</v>
      </c>
      <c r="T1980" t="str">
        <f t="shared" si="592"/>
        <v>22:17:47.000</v>
      </c>
      <c r="U1980" t="str">
        <f t="shared" si="576"/>
        <v>A9D71F</v>
      </c>
      <c r="V1980">
        <v>0</v>
      </c>
      <c r="W1980">
        <v>0</v>
      </c>
      <c r="X1980">
        <v>2</v>
      </c>
      <c r="Z1980">
        <v>1</v>
      </c>
      <c r="AA1980">
        <v>8</v>
      </c>
      <c r="AB1980">
        <v>3</v>
      </c>
      <c r="AC1980">
        <v>0</v>
      </c>
      <c r="AD1980">
        <v>9</v>
      </c>
      <c r="AE1980">
        <v>0</v>
      </c>
      <c r="AF1980">
        <v>3</v>
      </c>
      <c r="AG1980">
        <v>1</v>
      </c>
      <c r="AH1980">
        <v>0</v>
      </c>
      <c r="AI1980" t="s">
        <v>1040</v>
      </c>
      <c r="AJ1980">
        <v>33.033999999999999</v>
      </c>
      <c r="AK1980" t="s">
        <v>1041</v>
      </c>
      <c r="AL1980">
        <v>-97.659852999999998</v>
      </c>
      <c r="AM1980">
        <v>25</v>
      </c>
      <c r="AN1980">
        <v>3400</v>
      </c>
      <c r="AO1980" t="s">
        <v>118</v>
      </c>
      <c r="AP1980">
        <v>29</v>
      </c>
      <c r="AQ1980">
        <v>-77</v>
      </c>
      <c r="AR1980">
        <v>0</v>
      </c>
      <c r="AZ1980">
        <v>1200</v>
      </c>
      <c r="BA1980">
        <v>1</v>
      </c>
      <c r="BB1980" t="str">
        <f t="shared" si="583"/>
        <v xml:space="preserve">N733KP  </v>
      </c>
      <c r="BC1980">
        <v>1</v>
      </c>
      <c r="BE1980">
        <v>0</v>
      </c>
      <c r="BF1980">
        <v>0</v>
      </c>
      <c r="BG1980">
        <v>0</v>
      </c>
      <c r="BH1980">
        <v>3375</v>
      </c>
      <c r="BI1980">
        <v>1</v>
      </c>
      <c r="BJ1980">
        <v>1</v>
      </c>
      <c r="BK1980">
        <v>0</v>
      </c>
      <c r="BL1980">
        <v>0</v>
      </c>
      <c r="BO1980">
        <v>0</v>
      </c>
      <c r="BP1980">
        <v>0</v>
      </c>
      <c r="BW1980" t="str">
        <f>"22:17:47.922"</f>
        <v>22:17:47.922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6</v>
      </c>
      <c r="CP1980" t="s">
        <v>119</v>
      </c>
      <c r="CQ1980">
        <v>364</v>
      </c>
      <c r="CR1980">
        <v>0</v>
      </c>
      <c r="CW1980">
        <v>1440950</v>
      </c>
      <c r="CY1980">
        <v>1</v>
      </c>
      <c r="CZ1980">
        <v>0</v>
      </c>
      <c r="DA1980">
        <v>1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>"03/24/2022 22:17:48.556"</f>
        <v>03/24/2022 22:17:48.556</v>
      </c>
      <c r="C1981" t="str">
        <f t="shared" si="581"/>
        <v>FFDFD3C0</v>
      </c>
      <c r="D1981" t="s">
        <v>123</v>
      </c>
      <c r="E1981">
        <v>8</v>
      </c>
      <c r="H1981">
        <v>31</v>
      </c>
      <c r="I1981" t="s">
        <v>124</v>
      </c>
      <c r="J1981" t="s">
        <v>125</v>
      </c>
      <c r="K1981">
        <v>0</v>
      </c>
      <c r="L1981">
        <v>3</v>
      </c>
      <c r="M1981">
        <v>0</v>
      </c>
      <c r="N1981">
        <v>2</v>
      </c>
      <c r="O1981">
        <v>0</v>
      </c>
      <c r="P1981">
        <v>1</v>
      </c>
      <c r="Q1981">
        <v>0</v>
      </c>
      <c r="S1981" t="str">
        <f t="shared" ref="S1981:T1984" si="593">"22:17:48.000"</f>
        <v>22:17:48.000</v>
      </c>
      <c r="T1981" t="str">
        <f t="shared" si="593"/>
        <v>22:17:48.000</v>
      </c>
      <c r="U1981" t="str">
        <f t="shared" si="576"/>
        <v>A9D71F</v>
      </c>
      <c r="V1981">
        <v>0</v>
      </c>
      <c r="W1981">
        <v>0</v>
      </c>
      <c r="X1981">
        <v>2</v>
      </c>
      <c r="Z1981">
        <v>1</v>
      </c>
      <c r="AA1981">
        <v>8</v>
      </c>
      <c r="AB1981">
        <v>3</v>
      </c>
      <c r="AC1981">
        <v>0</v>
      </c>
      <c r="AD1981">
        <v>9</v>
      </c>
      <c r="AE1981">
        <v>0</v>
      </c>
      <c r="AF1981">
        <v>3</v>
      </c>
      <c r="AG1981">
        <v>1</v>
      </c>
      <c r="AH1981">
        <v>0</v>
      </c>
      <c r="AI1981" t="s">
        <v>1042</v>
      </c>
      <c r="AJ1981">
        <v>33.033636000000001</v>
      </c>
      <c r="AK1981" t="s">
        <v>1043</v>
      </c>
      <c r="AL1981">
        <v>-97.659701999999996</v>
      </c>
      <c r="AM1981">
        <v>25</v>
      </c>
      <c r="AN1981">
        <v>3400</v>
      </c>
      <c r="AO1981" t="s">
        <v>118</v>
      </c>
      <c r="AP1981">
        <v>30</v>
      </c>
      <c r="AQ1981">
        <v>-77</v>
      </c>
      <c r="AR1981">
        <v>0</v>
      </c>
      <c r="AZ1981">
        <v>1200</v>
      </c>
      <c r="BA1981">
        <v>1</v>
      </c>
      <c r="BB1981" t="str">
        <f t="shared" si="583"/>
        <v xml:space="preserve">N733KP  </v>
      </c>
      <c r="BC1981">
        <v>1</v>
      </c>
      <c r="BE1981">
        <v>0</v>
      </c>
      <c r="BF1981">
        <v>0</v>
      </c>
      <c r="BG1981">
        <v>0</v>
      </c>
      <c r="BH1981">
        <v>3350</v>
      </c>
      <c r="BI1981">
        <v>1</v>
      </c>
      <c r="BJ1981">
        <v>1</v>
      </c>
      <c r="BK1981">
        <v>0</v>
      </c>
      <c r="BL1981">
        <v>0</v>
      </c>
      <c r="BO1981">
        <v>0</v>
      </c>
      <c r="BP1981">
        <v>0</v>
      </c>
      <c r="BW1981" t="str">
        <f>"22:17:48.392"</f>
        <v>22:17:48.392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119</v>
      </c>
      <c r="CQ1981">
        <v>364</v>
      </c>
      <c r="CR1981">
        <v>0</v>
      </c>
      <c r="CW1981">
        <v>1441004</v>
      </c>
      <c r="CY1981">
        <v>1</v>
      </c>
      <c r="CZ1981">
        <v>0</v>
      </c>
      <c r="DA1981">
        <v>0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>"03/24/2022 22:17:48.556"</f>
        <v>03/24/2022 22:17:48.556</v>
      </c>
      <c r="C1982" t="str">
        <f t="shared" si="581"/>
        <v>FFDFD3C0</v>
      </c>
      <c r="D1982" t="s">
        <v>113</v>
      </c>
      <c r="E1982">
        <v>24</v>
      </c>
      <c r="F1982">
        <v>2024</v>
      </c>
      <c r="G1982" t="s">
        <v>114</v>
      </c>
      <c r="J1982" t="s">
        <v>115</v>
      </c>
      <c r="K1982">
        <v>0</v>
      </c>
      <c r="L1982">
        <v>3</v>
      </c>
      <c r="M1982">
        <v>0</v>
      </c>
      <c r="N1982">
        <v>2</v>
      </c>
      <c r="O1982">
        <v>0</v>
      </c>
      <c r="P1982">
        <v>1</v>
      </c>
      <c r="Q1982">
        <v>0</v>
      </c>
      <c r="S1982" t="str">
        <f t="shared" si="593"/>
        <v>22:17:48.000</v>
      </c>
      <c r="T1982" t="str">
        <f t="shared" si="593"/>
        <v>22:17:48.000</v>
      </c>
      <c r="U1982" t="str">
        <f t="shared" si="576"/>
        <v>A9D71F</v>
      </c>
      <c r="V1982">
        <v>0</v>
      </c>
      <c r="W1982">
        <v>0</v>
      </c>
      <c r="X1982">
        <v>2</v>
      </c>
      <c r="Z1982">
        <v>1</v>
      </c>
      <c r="AA1982">
        <v>8</v>
      </c>
      <c r="AB1982">
        <v>3</v>
      </c>
      <c r="AC1982">
        <v>0</v>
      </c>
      <c r="AD1982">
        <v>9</v>
      </c>
      <c r="AE1982">
        <v>0</v>
      </c>
      <c r="AF1982">
        <v>3</v>
      </c>
      <c r="AG1982">
        <v>1</v>
      </c>
      <c r="AH1982">
        <v>0</v>
      </c>
      <c r="AI1982" t="s">
        <v>1042</v>
      </c>
      <c r="AJ1982">
        <v>33.033636000000001</v>
      </c>
      <c r="AK1982" t="s">
        <v>1043</v>
      </c>
      <c r="AL1982">
        <v>-97.659701999999996</v>
      </c>
      <c r="AM1982">
        <v>25</v>
      </c>
      <c r="AN1982">
        <v>3400</v>
      </c>
      <c r="AO1982" t="s">
        <v>118</v>
      </c>
      <c r="AP1982">
        <v>30</v>
      </c>
      <c r="AQ1982">
        <v>-77</v>
      </c>
      <c r="AR1982">
        <v>0</v>
      </c>
      <c r="AZ1982">
        <v>1200</v>
      </c>
      <c r="BA1982">
        <v>1</v>
      </c>
      <c r="BB1982" t="str">
        <f t="shared" si="583"/>
        <v xml:space="preserve">N733KP  </v>
      </c>
      <c r="BC1982">
        <v>1</v>
      </c>
      <c r="BE1982">
        <v>0</v>
      </c>
      <c r="BF1982">
        <v>0</v>
      </c>
      <c r="BG1982">
        <v>0</v>
      </c>
      <c r="BH1982">
        <v>3350</v>
      </c>
      <c r="BI1982">
        <v>1</v>
      </c>
      <c r="BJ1982">
        <v>1</v>
      </c>
      <c r="BK1982">
        <v>0</v>
      </c>
      <c r="BL1982">
        <v>0</v>
      </c>
      <c r="BO1982">
        <v>0</v>
      </c>
      <c r="BP1982">
        <v>0</v>
      </c>
      <c r="BW1982" t="str">
        <f>"22:17:48.392"</f>
        <v>22:17:48.392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119</v>
      </c>
      <c r="CQ1982">
        <v>364</v>
      </c>
      <c r="CR1982">
        <v>0</v>
      </c>
      <c r="CW1982">
        <v>1441004</v>
      </c>
      <c r="CY1982">
        <v>1</v>
      </c>
      <c r="CZ1982">
        <v>0</v>
      </c>
      <c r="DA1982">
        <v>1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>"03/24/2022 22:17:48.556"</f>
        <v>03/24/2022 22:17:48.556</v>
      </c>
      <c r="C1983" t="str">
        <f t="shared" si="581"/>
        <v>FFDFD3C0</v>
      </c>
      <c r="D1983" t="s">
        <v>120</v>
      </c>
      <c r="E1983">
        <v>14</v>
      </c>
      <c r="F1983">
        <v>1014</v>
      </c>
      <c r="G1983" t="s">
        <v>121</v>
      </c>
      <c r="J1983" t="s">
        <v>122</v>
      </c>
      <c r="K1983">
        <v>0</v>
      </c>
      <c r="L1983">
        <v>3</v>
      </c>
      <c r="M1983">
        <v>0</v>
      </c>
      <c r="N1983">
        <v>2</v>
      </c>
      <c r="O1983">
        <v>0</v>
      </c>
      <c r="P1983">
        <v>1</v>
      </c>
      <c r="Q1983">
        <v>0</v>
      </c>
      <c r="S1983" t="str">
        <f t="shared" si="593"/>
        <v>22:17:48.000</v>
      </c>
      <c r="T1983" t="str">
        <f t="shared" si="593"/>
        <v>22:17:48.000</v>
      </c>
      <c r="U1983" t="str">
        <f t="shared" si="576"/>
        <v>A9D71F</v>
      </c>
      <c r="V1983">
        <v>0</v>
      </c>
      <c r="W1983">
        <v>0</v>
      </c>
      <c r="X1983">
        <v>2</v>
      </c>
      <c r="Z1983">
        <v>1</v>
      </c>
      <c r="AA1983">
        <v>8</v>
      </c>
      <c r="AB1983">
        <v>3</v>
      </c>
      <c r="AC1983">
        <v>0</v>
      </c>
      <c r="AD1983">
        <v>9</v>
      </c>
      <c r="AE1983">
        <v>0</v>
      </c>
      <c r="AF1983">
        <v>3</v>
      </c>
      <c r="AG1983">
        <v>1</v>
      </c>
      <c r="AH1983">
        <v>0</v>
      </c>
      <c r="AI1983" t="s">
        <v>1042</v>
      </c>
      <c r="AJ1983">
        <v>33.033636000000001</v>
      </c>
      <c r="AK1983" t="s">
        <v>1043</v>
      </c>
      <c r="AL1983">
        <v>-97.659701999999996</v>
      </c>
      <c r="AM1983">
        <v>25</v>
      </c>
      <c r="AN1983">
        <v>3400</v>
      </c>
      <c r="AO1983" t="s">
        <v>118</v>
      </c>
      <c r="AP1983">
        <v>30</v>
      </c>
      <c r="AQ1983">
        <v>-77</v>
      </c>
      <c r="AR1983">
        <v>0</v>
      </c>
      <c r="AZ1983">
        <v>1200</v>
      </c>
      <c r="BA1983">
        <v>1</v>
      </c>
      <c r="BB1983" t="str">
        <f t="shared" si="583"/>
        <v xml:space="preserve">N733KP  </v>
      </c>
      <c r="BC1983">
        <v>1</v>
      </c>
      <c r="BE1983">
        <v>0</v>
      </c>
      <c r="BF1983">
        <v>0</v>
      </c>
      <c r="BG1983">
        <v>0</v>
      </c>
      <c r="BH1983">
        <v>3350</v>
      </c>
      <c r="BI1983">
        <v>1</v>
      </c>
      <c r="BJ1983">
        <v>1</v>
      </c>
      <c r="BK1983">
        <v>0</v>
      </c>
      <c r="BL1983">
        <v>0</v>
      </c>
      <c r="BO1983">
        <v>0</v>
      </c>
      <c r="BP1983">
        <v>0</v>
      </c>
      <c r="BW1983" t="str">
        <f>"22:17:48.392"</f>
        <v>22:17:48.392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119</v>
      </c>
      <c r="CQ1983">
        <v>364</v>
      </c>
      <c r="CR1983">
        <v>0</v>
      </c>
      <c r="CW1983">
        <v>1441004</v>
      </c>
      <c r="CY1983">
        <v>1</v>
      </c>
      <c r="CZ1983">
        <v>0</v>
      </c>
      <c r="DA1983">
        <v>1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>"03/24/2022 22:17:48.588"</f>
        <v>03/24/2022 22:17:48.588</v>
      </c>
      <c r="C1984" t="str">
        <f t="shared" si="581"/>
        <v>FFDFD3C0</v>
      </c>
      <c r="D1984" t="s">
        <v>126</v>
      </c>
      <c r="E1984">
        <v>3</v>
      </c>
      <c r="H1984">
        <v>160</v>
      </c>
      <c r="I1984" t="s">
        <v>121</v>
      </c>
      <c r="J1984" t="s">
        <v>127</v>
      </c>
      <c r="K1984">
        <v>0</v>
      </c>
      <c r="L1984">
        <v>3</v>
      </c>
      <c r="M1984">
        <v>0</v>
      </c>
      <c r="N1984">
        <v>2</v>
      </c>
      <c r="O1984">
        <v>0</v>
      </c>
      <c r="P1984">
        <v>1</v>
      </c>
      <c r="Q1984">
        <v>0</v>
      </c>
      <c r="S1984" t="str">
        <f t="shared" si="593"/>
        <v>22:17:48.000</v>
      </c>
      <c r="T1984" t="str">
        <f t="shared" si="593"/>
        <v>22:17:48.000</v>
      </c>
      <c r="U1984" t="str">
        <f t="shared" si="576"/>
        <v>A9D71F</v>
      </c>
      <c r="V1984">
        <v>0</v>
      </c>
      <c r="W1984">
        <v>0</v>
      </c>
      <c r="X1984">
        <v>2</v>
      </c>
      <c r="Z1984">
        <v>1</v>
      </c>
      <c r="AA1984">
        <v>8</v>
      </c>
      <c r="AB1984">
        <v>3</v>
      </c>
      <c r="AC1984">
        <v>0</v>
      </c>
      <c r="AD1984">
        <v>9</v>
      </c>
      <c r="AE1984">
        <v>0</v>
      </c>
      <c r="AF1984">
        <v>3</v>
      </c>
      <c r="AG1984">
        <v>1</v>
      </c>
      <c r="AH1984">
        <v>0</v>
      </c>
      <c r="AI1984" t="s">
        <v>1042</v>
      </c>
      <c r="AJ1984">
        <v>33.033636000000001</v>
      </c>
      <c r="AK1984" t="s">
        <v>1043</v>
      </c>
      <c r="AL1984">
        <v>-97.659701999999996</v>
      </c>
      <c r="AM1984">
        <v>25</v>
      </c>
      <c r="AN1984">
        <v>3400</v>
      </c>
      <c r="AO1984" t="s">
        <v>118</v>
      </c>
      <c r="AP1984">
        <v>30</v>
      </c>
      <c r="AQ1984">
        <v>-77</v>
      </c>
      <c r="AR1984">
        <v>0</v>
      </c>
      <c r="AZ1984">
        <v>1200</v>
      </c>
      <c r="BA1984">
        <v>1</v>
      </c>
      <c r="BB1984" t="str">
        <f t="shared" si="583"/>
        <v xml:space="preserve">N733KP  </v>
      </c>
      <c r="BC1984">
        <v>1</v>
      </c>
      <c r="BE1984">
        <v>0</v>
      </c>
      <c r="BF1984">
        <v>0</v>
      </c>
      <c r="BG1984">
        <v>0</v>
      </c>
      <c r="BH1984">
        <v>3350</v>
      </c>
      <c r="BI1984">
        <v>1</v>
      </c>
      <c r="BJ1984">
        <v>1</v>
      </c>
      <c r="BK1984">
        <v>0</v>
      </c>
      <c r="BL1984">
        <v>0</v>
      </c>
      <c r="BO1984">
        <v>0</v>
      </c>
      <c r="BP1984">
        <v>0</v>
      </c>
      <c r="BW1984" t="str">
        <f>"22:17:48.392"</f>
        <v>22:17:48.392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7</v>
      </c>
      <c r="CP1984" t="s">
        <v>119</v>
      </c>
      <c r="CQ1984">
        <v>364</v>
      </c>
      <c r="CR1984">
        <v>0</v>
      </c>
      <c r="CW1984">
        <v>1441004</v>
      </c>
      <c r="CY1984">
        <v>1</v>
      </c>
      <c r="CZ1984">
        <v>0</v>
      </c>
      <c r="DA1984">
        <v>1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>"03/24/2022 22:17:49.728"</f>
        <v>03/24/2022 22:17:49.728</v>
      </c>
      <c r="C1985" t="str">
        <f t="shared" si="581"/>
        <v>FFDFD3C0</v>
      </c>
      <c r="D1985" t="s">
        <v>123</v>
      </c>
      <c r="E1985">
        <v>8</v>
      </c>
      <c r="H1985">
        <v>31</v>
      </c>
      <c r="I1985" t="s">
        <v>124</v>
      </c>
      <c r="J1985" t="s">
        <v>125</v>
      </c>
      <c r="K1985">
        <v>0</v>
      </c>
      <c r="L1985">
        <v>3</v>
      </c>
      <c r="M1985">
        <v>0</v>
      </c>
      <c r="N1985">
        <v>2</v>
      </c>
      <c r="O1985">
        <v>0</v>
      </c>
      <c r="P1985">
        <v>1</v>
      </c>
      <c r="Q1985">
        <v>0</v>
      </c>
      <c r="S1985" t="str">
        <f t="shared" ref="S1985:T1988" si="594">"22:17:49.000"</f>
        <v>22:17:49.000</v>
      </c>
      <c r="T1985" t="str">
        <f t="shared" si="594"/>
        <v>22:17:49.000</v>
      </c>
      <c r="U1985" t="str">
        <f t="shared" si="576"/>
        <v>A9D71F</v>
      </c>
      <c r="V1985">
        <v>0</v>
      </c>
      <c r="W1985">
        <v>0</v>
      </c>
      <c r="X1985">
        <v>2</v>
      </c>
      <c r="Z1985">
        <v>1</v>
      </c>
      <c r="AA1985">
        <v>8</v>
      </c>
      <c r="AB1985">
        <v>3</v>
      </c>
      <c r="AC1985">
        <v>0</v>
      </c>
      <c r="AD1985">
        <v>9</v>
      </c>
      <c r="AE1985">
        <v>0</v>
      </c>
      <c r="AF1985">
        <v>3</v>
      </c>
      <c r="AG1985">
        <v>1</v>
      </c>
      <c r="AH1985">
        <v>0</v>
      </c>
      <c r="AI1985" t="s">
        <v>1044</v>
      </c>
      <c r="AJ1985">
        <v>33.033270999999999</v>
      </c>
      <c r="AK1985" t="s">
        <v>1045</v>
      </c>
      <c r="AL1985">
        <v>-97.659531000000001</v>
      </c>
      <c r="AM1985">
        <v>25</v>
      </c>
      <c r="AN1985">
        <v>3400</v>
      </c>
      <c r="AO1985" t="s">
        <v>118</v>
      </c>
      <c r="AP1985">
        <v>32</v>
      </c>
      <c r="AQ1985">
        <v>-77</v>
      </c>
      <c r="AR1985">
        <v>64</v>
      </c>
      <c r="AZ1985">
        <v>1200</v>
      </c>
      <c r="BA1985">
        <v>1</v>
      </c>
      <c r="BB1985" t="str">
        <f t="shared" si="583"/>
        <v xml:space="preserve">N733KP  </v>
      </c>
      <c r="BC1985">
        <v>1</v>
      </c>
      <c r="BE1985">
        <v>0</v>
      </c>
      <c r="BF1985">
        <v>0</v>
      </c>
      <c r="BG1985">
        <v>0</v>
      </c>
      <c r="BH1985">
        <v>3350</v>
      </c>
      <c r="BI1985">
        <v>1</v>
      </c>
      <c r="BJ1985">
        <v>1</v>
      </c>
      <c r="BK1985">
        <v>0</v>
      </c>
      <c r="BL1985">
        <v>0</v>
      </c>
      <c r="BO1985">
        <v>0</v>
      </c>
      <c r="BP1985">
        <v>0</v>
      </c>
      <c r="BW1985" t="str">
        <f>"22:17:49.464"</f>
        <v>22:17:49.464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119</v>
      </c>
      <c r="CQ1985">
        <v>364</v>
      </c>
      <c r="CR1985">
        <v>0</v>
      </c>
      <c r="CW1985">
        <v>1441153</v>
      </c>
      <c r="CY1985">
        <v>1</v>
      </c>
      <c r="CZ1985">
        <v>0</v>
      </c>
      <c r="DA1985">
        <v>0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>"03/24/2022 22:17:49.728"</f>
        <v>03/24/2022 22:17:49.728</v>
      </c>
      <c r="C1986" t="str">
        <f t="shared" si="581"/>
        <v>FFDFD3C0</v>
      </c>
      <c r="D1986" t="s">
        <v>113</v>
      </c>
      <c r="E1986">
        <v>24</v>
      </c>
      <c r="F1986">
        <v>2024</v>
      </c>
      <c r="G1986" t="s">
        <v>114</v>
      </c>
      <c r="J1986" t="s">
        <v>115</v>
      </c>
      <c r="K1986">
        <v>0</v>
      </c>
      <c r="L1986">
        <v>3</v>
      </c>
      <c r="M1986">
        <v>0</v>
      </c>
      <c r="N1986">
        <v>2</v>
      </c>
      <c r="O1986">
        <v>0</v>
      </c>
      <c r="P1986">
        <v>1</v>
      </c>
      <c r="Q1986">
        <v>0</v>
      </c>
      <c r="S1986" t="str">
        <f t="shared" si="594"/>
        <v>22:17:49.000</v>
      </c>
      <c r="T1986" t="str">
        <f t="shared" si="594"/>
        <v>22:17:49.000</v>
      </c>
      <c r="U1986" t="str">
        <f t="shared" ref="U1986:U2049" si="595">"A9D71F"</f>
        <v>A9D71F</v>
      </c>
      <c r="V1986">
        <v>0</v>
      </c>
      <c r="W1986">
        <v>0</v>
      </c>
      <c r="X1986">
        <v>2</v>
      </c>
      <c r="Z1986">
        <v>1</v>
      </c>
      <c r="AA1986">
        <v>8</v>
      </c>
      <c r="AB1986">
        <v>3</v>
      </c>
      <c r="AC1986">
        <v>0</v>
      </c>
      <c r="AD1986">
        <v>9</v>
      </c>
      <c r="AE1986">
        <v>0</v>
      </c>
      <c r="AF1986">
        <v>3</v>
      </c>
      <c r="AG1986">
        <v>1</v>
      </c>
      <c r="AH1986">
        <v>0</v>
      </c>
      <c r="AI1986" t="s">
        <v>1044</v>
      </c>
      <c r="AJ1986">
        <v>33.033270999999999</v>
      </c>
      <c r="AK1986" t="s">
        <v>1045</v>
      </c>
      <c r="AL1986">
        <v>-97.659531000000001</v>
      </c>
      <c r="AM1986">
        <v>25</v>
      </c>
      <c r="AN1986">
        <v>3400</v>
      </c>
      <c r="AO1986" t="s">
        <v>118</v>
      </c>
      <c r="AP1986">
        <v>32</v>
      </c>
      <c r="AQ1986">
        <v>-77</v>
      </c>
      <c r="AR1986">
        <v>64</v>
      </c>
      <c r="AZ1986">
        <v>1200</v>
      </c>
      <c r="BA1986">
        <v>1</v>
      </c>
      <c r="BB1986" t="str">
        <f t="shared" si="583"/>
        <v xml:space="preserve">N733KP  </v>
      </c>
      <c r="BC1986">
        <v>1</v>
      </c>
      <c r="BE1986">
        <v>0</v>
      </c>
      <c r="BF1986">
        <v>0</v>
      </c>
      <c r="BG1986">
        <v>0</v>
      </c>
      <c r="BH1986">
        <v>3350</v>
      </c>
      <c r="BI1986">
        <v>1</v>
      </c>
      <c r="BJ1986">
        <v>1</v>
      </c>
      <c r="BK1986">
        <v>0</v>
      </c>
      <c r="BL1986">
        <v>0</v>
      </c>
      <c r="BO1986">
        <v>0</v>
      </c>
      <c r="BP1986">
        <v>0</v>
      </c>
      <c r="BW1986" t="str">
        <f>"22:17:49.464"</f>
        <v>22:17:49.464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7</v>
      </c>
      <c r="CP1986" t="s">
        <v>119</v>
      </c>
      <c r="CQ1986">
        <v>364</v>
      </c>
      <c r="CR1986">
        <v>0</v>
      </c>
      <c r="CW1986">
        <v>1441153</v>
      </c>
      <c r="CY1986">
        <v>1</v>
      </c>
      <c r="CZ1986">
        <v>0</v>
      </c>
      <c r="DA1986">
        <v>1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"03/24/2022 22:17:49.728"</f>
        <v>03/24/2022 22:17:49.728</v>
      </c>
      <c r="C1987" t="str">
        <f t="shared" si="581"/>
        <v>FFDFD3C0</v>
      </c>
      <c r="D1987" t="s">
        <v>120</v>
      </c>
      <c r="E1987">
        <v>14</v>
      </c>
      <c r="F1987">
        <v>1014</v>
      </c>
      <c r="G1987" t="s">
        <v>121</v>
      </c>
      <c r="J1987" t="s">
        <v>122</v>
      </c>
      <c r="K1987">
        <v>0</v>
      </c>
      <c r="L1987">
        <v>3</v>
      </c>
      <c r="M1987">
        <v>0</v>
      </c>
      <c r="N1987">
        <v>2</v>
      </c>
      <c r="O1987">
        <v>0</v>
      </c>
      <c r="P1987">
        <v>1</v>
      </c>
      <c r="Q1987">
        <v>0</v>
      </c>
      <c r="S1987" t="str">
        <f t="shared" si="594"/>
        <v>22:17:49.000</v>
      </c>
      <c r="T1987" t="str">
        <f t="shared" si="594"/>
        <v>22:17:49.000</v>
      </c>
      <c r="U1987" t="str">
        <f t="shared" si="595"/>
        <v>A9D71F</v>
      </c>
      <c r="V1987">
        <v>0</v>
      </c>
      <c r="W1987">
        <v>0</v>
      </c>
      <c r="X1987">
        <v>2</v>
      </c>
      <c r="Z1987">
        <v>1</v>
      </c>
      <c r="AA1987">
        <v>8</v>
      </c>
      <c r="AB1987">
        <v>3</v>
      </c>
      <c r="AC1987">
        <v>0</v>
      </c>
      <c r="AD1987">
        <v>9</v>
      </c>
      <c r="AE1987">
        <v>0</v>
      </c>
      <c r="AF1987">
        <v>3</v>
      </c>
      <c r="AG1987">
        <v>1</v>
      </c>
      <c r="AH1987">
        <v>0</v>
      </c>
      <c r="AI1987" t="s">
        <v>1044</v>
      </c>
      <c r="AJ1987">
        <v>33.033270999999999</v>
      </c>
      <c r="AK1987" t="s">
        <v>1045</v>
      </c>
      <c r="AL1987">
        <v>-97.659531000000001</v>
      </c>
      <c r="AM1987">
        <v>25</v>
      </c>
      <c r="AN1987">
        <v>3400</v>
      </c>
      <c r="AO1987" t="s">
        <v>118</v>
      </c>
      <c r="AP1987">
        <v>32</v>
      </c>
      <c r="AQ1987">
        <v>-77</v>
      </c>
      <c r="AR1987">
        <v>64</v>
      </c>
      <c r="AZ1987">
        <v>1200</v>
      </c>
      <c r="BA1987">
        <v>1</v>
      </c>
      <c r="BB1987" t="str">
        <f t="shared" si="583"/>
        <v xml:space="preserve">N733KP  </v>
      </c>
      <c r="BC1987">
        <v>1</v>
      </c>
      <c r="BE1987">
        <v>0</v>
      </c>
      <c r="BF1987">
        <v>0</v>
      </c>
      <c r="BG1987">
        <v>0</v>
      </c>
      <c r="BH1987">
        <v>3350</v>
      </c>
      <c r="BI1987">
        <v>1</v>
      </c>
      <c r="BJ1987">
        <v>1</v>
      </c>
      <c r="BK1987">
        <v>0</v>
      </c>
      <c r="BL1987">
        <v>0</v>
      </c>
      <c r="BO1987">
        <v>0</v>
      </c>
      <c r="BP1987">
        <v>0</v>
      </c>
      <c r="BW1987" t="str">
        <f>"22:17:49.464"</f>
        <v>22:17:49.464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119</v>
      </c>
      <c r="CQ1987">
        <v>364</v>
      </c>
      <c r="CR1987">
        <v>0</v>
      </c>
      <c r="CW1987">
        <v>1441153</v>
      </c>
      <c r="CY1987">
        <v>1</v>
      </c>
      <c r="CZ1987">
        <v>0</v>
      </c>
      <c r="DA1987">
        <v>1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>"03/24/2022 22:17:49.744"</f>
        <v>03/24/2022 22:17:49.744</v>
      </c>
      <c r="C1988" t="str">
        <f t="shared" si="581"/>
        <v>FFDFD3C0</v>
      </c>
      <c r="D1988" t="s">
        <v>126</v>
      </c>
      <c r="E1988">
        <v>3</v>
      </c>
      <c r="H1988">
        <v>160</v>
      </c>
      <c r="I1988" t="s">
        <v>121</v>
      </c>
      <c r="J1988" t="s">
        <v>127</v>
      </c>
      <c r="K1988">
        <v>0</v>
      </c>
      <c r="L1988">
        <v>3</v>
      </c>
      <c r="M1988">
        <v>0</v>
      </c>
      <c r="N1988">
        <v>2</v>
      </c>
      <c r="O1988">
        <v>0</v>
      </c>
      <c r="P1988">
        <v>1</v>
      </c>
      <c r="Q1988">
        <v>0</v>
      </c>
      <c r="S1988" t="str">
        <f t="shared" si="594"/>
        <v>22:17:49.000</v>
      </c>
      <c r="T1988" t="str">
        <f t="shared" si="594"/>
        <v>22:17:49.000</v>
      </c>
      <c r="U1988" t="str">
        <f t="shared" si="595"/>
        <v>A9D71F</v>
      </c>
      <c r="V1988">
        <v>0</v>
      </c>
      <c r="W1988">
        <v>0</v>
      </c>
      <c r="X1988">
        <v>2</v>
      </c>
      <c r="Z1988">
        <v>1</v>
      </c>
      <c r="AA1988">
        <v>8</v>
      </c>
      <c r="AB1988">
        <v>3</v>
      </c>
      <c r="AC1988">
        <v>0</v>
      </c>
      <c r="AD1988">
        <v>9</v>
      </c>
      <c r="AE1988">
        <v>0</v>
      </c>
      <c r="AF1988">
        <v>3</v>
      </c>
      <c r="AG1988">
        <v>1</v>
      </c>
      <c r="AH1988">
        <v>0</v>
      </c>
      <c r="AI1988" t="s">
        <v>1044</v>
      </c>
      <c r="AJ1988">
        <v>33.033270999999999</v>
      </c>
      <c r="AK1988" t="s">
        <v>1045</v>
      </c>
      <c r="AL1988">
        <v>-97.659531000000001</v>
      </c>
      <c r="AM1988">
        <v>25</v>
      </c>
      <c r="AN1988">
        <v>3400</v>
      </c>
      <c r="AO1988" t="s">
        <v>118</v>
      </c>
      <c r="AP1988">
        <v>32</v>
      </c>
      <c r="AQ1988">
        <v>-77</v>
      </c>
      <c r="AR1988">
        <v>64</v>
      </c>
      <c r="AZ1988">
        <v>1200</v>
      </c>
      <c r="BA1988">
        <v>1</v>
      </c>
      <c r="BB1988" t="str">
        <f t="shared" si="583"/>
        <v xml:space="preserve">N733KP  </v>
      </c>
      <c r="BC1988">
        <v>1</v>
      </c>
      <c r="BE1988">
        <v>0</v>
      </c>
      <c r="BF1988">
        <v>0</v>
      </c>
      <c r="BG1988">
        <v>0</v>
      </c>
      <c r="BH1988">
        <v>3350</v>
      </c>
      <c r="BI1988">
        <v>1</v>
      </c>
      <c r="BJ1988">
        <v>1</v>
      </c>
      <c r="BK1988">
        <v>0</v>
      </c>
      <c r="BL1988">
        <v>0</v>
      </c>
      <c r="BO1988">
        <v>0</v>
      </c>
      <c r="BP1988">
        <v>0</v>
      </c>
      <c r="BW1988" t="str">
        <f>"22:17:49.464"</f>
        <v>22:17:49.464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7</v>
      </c>
      <c r="CP1988" t="s">
        <v>119</v>
      </c>
      <c r="CQ1988">
        <v>364</v>
      </c>
      <c r="CR1988">
        <v>0</v>
      </c>
      <c r="CW1988">
        <v>1441153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>"03/24/2022 22:17:50.713"</f>
        <v>03/24/2022 22:17:50.713</v>
      </c>
      <c r="C1989" t="str">
        <f t="shared" si="581"/>
        <v>FFDFD3C0</v>
      </c>
      <c r="D1989" t="s">
        <v>113</v>
      </c>
      <c r="E1989">
        <v>24</v>
      </c>
      <c r="F1989">
        <v>2024</v>
      </c>
      <c r="G1989" t="s">
        <v>114</v>
      </c>
      <c r="J1989" t="s">
        <v>115</v>
      </c>
      <c r="K1989">
        <v>0</v>
      </c>
      <c r="L1989">
        <v>3</v>
      </c>
      <c r="M1989">
        <v>0</v>
      </c>
      <c r="N1989">
        <v>2</v>
      </c>
      <c r="O1989">
        <v>0</v>
      </c>
      <c r="P1989">
        <v>1</v>
      </c>
      <c r="Q1989">
        <v>0</v>
      </c>
      <c r="S1989" t="str">
        <f t="shared" ref="S1989:T1992" si="596">"22:17:50.000"</f>
        <v>22:17:50.000</v>
      </c>
      <c r="T1989" t="str">
        <f t="shared" si="596"/>
        <v>22:17:50.000</v>
      </c>
      <c r="U1989" t="str">
        <f t="shared" si="595"/>
        <v>A9D71F</v>
      </c>
      <c r="V1989">
        <v>0</v>
      </c>
      <c r="W1989">
        <v>0</v>
      </c>
      <c r="X1989">
        <v>2</v>
      </c>
      <c r="Z1989">
        <v>1</v>
      </c>
      <c r="AA1989">
        <v>8</v>
      </c>
      <c r="AB1989">
        <v>3</v>
      </c>
      <c r="AC1989">
        <v>0</v>
      </c>
      <c r="AD1989">
        <v>9</v>
      </c>
      <c r="AE1989">
        <v>0</v>
      </c>
      <c r="AF1989">
        <v>3</v>
      </c>
      <c r="AG1989">
        <v>1</v>
      </c>
      <c r="AH1989">
        <v>0</v>
      </c>
      <c r="AI1989" t="s">
        <v>1046</v>
      </c>
      <c r="AJ1989">
        <v>33.032927999999998</v>
      </c>
      <c r="AK1989" t="s">
        <v>1047</v>
      </c>
      <c r="AL1989">
        <v>-97.659358999999995</v>
      </c>
      <c r="AM1989">
        <v>25</v>
      </c>
      <c r="AN1989">
        <v>3400</v>
      </c>
      <c r="AO1989" t="s">
        <v>118</v>
      </c>
      <c r="AP1989">
        <v>33</v>
      </c>
      <c r="AQ1989">
        <v>-78</v>
      </c>
      <c r="AR1989">
        <v>64</v>
      </c>
      <c r="AZ1989">
        <v>1200</v>
      </c>
      <c r="BA1989">
        <v>1</v>
      </c>
      <c r="BB1989" t="str">
        <f t="shared" si="583"/>
        <v xml:space="preserve">N733KP  </v>
      </c>
      <c r="BC1989">
        <v>1</v>
      </c>
      <c r="BE1989">
        <v>0</v>
      </c>
      <c r="BF1989">
        <v>0</v>
      </c>
      <c r="BG1989">
        <v>0</v>
      </c>
      <c r="BH1989">
        <v>3350</v>
      </c>
      <c r="BI1989">
        <v>1</v>
      </c>
      <c r="BJ1989">
        <v>1</v>
      </c>
      <c r="BK1989">
        <v>0</v>
      </c>
      <c r="BL1989">
        <v>0</v>
      </c>
      <c r="BO1989">
        <v>0</v>
      </c>
      <c r="BP1989">
        <v>0</v>
      </c>
      <c r="BW1989" t="str">
        <f>"22:17:50.526"</f>
        <v>22:17:50.526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6</v>
      </c>
      <c r="CP1989" t="s">
        <v>119</v>
      </c>
      <c r="CQ1989">
        <v>364</v>
      </c>
      <c r="CR1989">
        <v>0</v>
      </c>
      <c r="CW1989">
        <v>1441293</v>
      </c>
      <c r="CY1989">
        <v>1</v>
      </c>
      <c r="CZ1989">
        <v>0</v>
      </c>
      <c r="DA1989">
        <v>0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>"03/24/2022 22:17:50.713"</f>
        <v>03/24/2022 22:17:50.713</v>
      </c>
      <c r="C1990" t="str">
        <f t="shared" si="581"/>
        <v>FFDFD3C0</v>
      </c>
      <c r="D1990" t="s">
        <v>120</v>
      </c>
      <c r="E1990">
        <v>14</v>
      </c>
      <c r="F1990">
        <v>1014</v>
      </c>
      <c r="G1990" t="s">
        <v>121</v>
      </c>
      <c r="J1990" t="s">
        <v>122</v>
      </c>
      <c r="K1990">
        <v>0</v>
      </c>
      <c r="L1990">
        <v>3</v>
      </c>
      <c r="M1990">
        <v>0</v>
      </c>
      <c r="N1990">
        <v>2</v>
      </c>
      <c r="O1990">
        <v>0</v>
      </c>
      <c r="P1990">
        <v>1</v>
      </c>
      <c r="Q1990">
        <v>0</v>
      </c>
      <c r="S1990" t="str">
        <f t="shared" si="596"/>
        <v>22:17:50.000</v>
      </c>
      <c r="T1990" t="str">
        <f t="shared" si="596"/>
        <v>22:17:50.000</v>
      </c>
      <c r="U1990" t="str">
        <f t="shared" si="595"/>
        <v>A9D71F</v>
      </c>
      <c r="V1990">
        <v>0</v>
      </c>
      <c r="W1990">
        <v>0</v>
      </c>
      <c r="X1990">
        <v>2</v>
      </c>
      <c r="Z1990">
        <v>1</v>
      </c>
      <c r="AA1990">
        <v>8</v>
      </c>
      <c r="AB1990">
        <v>3</v>
      </c>
      <c r="AC1990">
        <v>0</v>
      </c>
      <c r="AD1990">
        <v>9</v>
      </c>
      <c r="AE1990">
        <v>0</v>
      </c>
      <c r="AF1990">
        <v>3</v>
      </c>
      <c r="AG1990">
        <v>1</v>
      </c>
      <c r="AH1990">
        <v>0</v>
      </c>
      <c r="AI1990" t="s">
        <v>1046</v>
      </c>
      <c r="AJ1990">
        <v>33.032927999999998</v>
      </c>
      <c r="AK1990" t="s">
        <v>1047</v>
      </c>
      <c r="AL1990">
        <v>-97.659358999999995</v>
      </c>
      <c r="AM1990">
        <v>25</v>
      </c>
      <c r="AN1990">
        <v>3400</v>
      </c>
      <c r="AO1990" t="s">
        <v>118</v>
      </c>
      <c r="AP1990">
        <v>33</v>
      </c>
      <c r="AQ1990">
        <v>-78</v>
      </c>
      <c r="AR1990">
        <v>64</v>
      </c>
      <c r="AZ1990">
        <v>1200</v>
      </c>
      <c r="BA1990">
        <v>1</v>
      </c>
      <c r="BB1990" t="str">
        <f t="shared" si="583"/>
        <v xml:space="preserve">N733KP  </v>
      </c>
      <c r="BC1990">
        <v>1</v>
      </c>
      <c r="BE1990">
        <v>0</v>
      </c>
      <c r="BF1990">
        <v>0</v>
      </c>
      <c r="BG1990">
        <v>0</v>
      </c>
      <c r="BH1990">
        <v>3350</v>
      </c>
      <c r="BI1990">
        <v>1</v>
      </c>
      <c r="BJ1990">
        <v>1</v>
      </c>
      <c r="BK1990">
        <v>0</v>
      </c>
      <c r="BL1990">
        <v>0</v>
      </c>
      <c r="BO1990">
        <v>0</v>
      </c>
      <c r="BP1990">
        <v>0</v>
      </c>
      <c r="BW1990" t="str">
        <f>"22:17:50.526"</f>
        <v>22:17:50.526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6</v>
      </c>
      <c r="CP1990" t="s">
        <v>119</v>
      </c>
      <c r="CQ1990">
        <v>364</v>
      </c>
      <c r="CR1990">
        <v>0</v>
      </c>
      <c r="CW1990">
        <v>1441293</v>
      </c>
      <c r="CY1990">
        <v>1</v>
      </c>
      <c r="CZ1990">
        <v>0</v>
      </c>
      <c r="DA1990">
        <v>1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>"03/24/2022 22:17:50.713"</f>
        <v>03/24/2022 22:17:50.713</v>
      </c>
      <c r="C1991" t="str">
        <f t="shared" si="581"/>
        <v>FFDFD3C0</v>
      </c>
      <c r="D1991" t="s">
        <v>126</v>
      </c>
      <c r="E1991">
        <v>3</v>
      </c>
      <c r="H1991">
        <v>160</v>
      </c>
      <c r="I1991" t="s">
        <v>121</v>
      </c>
      <c r="J1991" t="s">
        <v>127</v>
      </c>
      <c r="K1991">
        <v>0</v>
      </c>
      <c r="L1991">
        <v>3</v>
      </c>
      <c r="M1991">
        <v>0</v>
      </c>
      <c r="N1991">
        <v>2</v>
      </c>
      <c r="O1991">
        <v>0</v>
      </c>
      <c r="P1991">
        <v>1</v>
      </c>
      <c r="Q1991">
        <v>0</v>
      </c>
      <c r="S1991" t="str">
        <f t="shared" si="596"/>
        <v>22:17:50.000</v>
      </c>
      <c r="T1991" t="str">
        <f t="shared" si="596"/>
        <v>22:17:50.000</v>
      </c>
      <c r="U1991" t="str">
        <f t="shared" si="595"/>
        <v>A9D71F</v>
      </c>
      <c r="V1991">
        <v>0</v>
      </c>
      <c r="W1991">
        <v>0</v>
      </c>
      <c r="X1991">
        <v>2</v>
      </c>
      <c r="Z1991">
        <v>1</v>
      </c>
      <c r="AA1991">
        <v>8</v>
      </c>
      <c r="AB1991">
        <v>3</v>
      </c>
      <c r="AC1991">
        <v>0</v>
      </c>
      <c r="AD1991">
        <v>9</v>
      </c>
      <c r="AE1991">
        <v>0</v>
      </c>
      <c r="AF1991">
        <v>3</v>
      </c>
      <c r="AG1991">
        <v>1</v>
      </c>
      <c r="AH1991">
        <v>0</v>
      </c>
      <c r="AI1991" t="s">
        <v>1046</v>
      </c>
      <c r="AJ1991">
        <v>33.032927999999998</v>
      </c>
      <c r="AK1991" t="s">
        <v>1047</v>
      </c>
      <c r="AL1991">
        <v>-97.659358999999995</v>
      </c>
      <c r="AM1991">
        <v>25</v>
      </c>
      <c r="AN1991">
        <v>3400</v>
      </c>
      <c r="AO1991" t="s">
        <v>118</v>
      </c>
      <c r="AP1991">
        <v>33</v>
      </c>
      <c r="AQ1991">
        <v>-78</v>
      </c>
      <c r="AR1991">
        <v>64</v>
      </c>
      <c r="AZ1991">
        <v>1200</v>
      </c>
      <c r="BA1991">
        <v>1</v>
      </c>
      <c r="BB1991" t="str">
        <f t="shared" si="583"/>
        <v xml:space="preserve">N733KP  </v>
      </c>
      <c r="BC1991">
        <v>1</v>
      </c>
      <c r="BE1991">
        <v>0</v>
      </c>
      <c r="BF1991">
        <v>0</v>
      </c>
      <c r="BG1991">
        <v>0</v>
      </c>
      <c r="BH1991">
        <v>3350</v>
      </c>
      <c r="BI1991">
        <v>1</v>
      </c>
      <c r="BJ1991">
        <v>1</v>
      </c>
      <c r="BK1991">
        <v>0</v>
      </c>
      <c r="BL1991">
        <v>0</v>
      </c>
      <c r="BO1991">
        <v>0</v>
      </c>
      <c r="BP1991">
        <v>0</v>
      </c>
      <c r="BW1991" t="str">
        <f>"22:17:50.526"</f>
        <v>22:17:50.526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6</v>
      </c>
      <c r="CP1991" t="s">
        <v>119</v>
      </c>
      <c r="CQ1991">
        <v>364</v>
      </c>
      <c r="CR1991">
        <v>0</v>
      </c>
      <c r="CW1991">
        <v>1441293</v>
      </c>
      <c r="CY1991">
        <v>1</v>
      </c>
      <c r="CZ1991">
        <v>0</v>
      </c>
      <c r="DA1991">
        <v>1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>"03/24/2022 22:17:50.713"</f>
        <v>03/24/2022 22:17:50.713</v>
      </c>
      <c r="C1992" t="str">
        <f t="shared" si="581"/>
        <v>FFDFD3C0</v>
      </c>
      <c r="D1992" t="s">
        <v>123</v>
      </c>
      <c r="E1992">
        <v>8</v>
      </c>
      <c r="H1992">
        <v>31</v>
      </c>
      <c r="I1992" t="s">
        <v>124</v>
      </c>
      <c r="J1992" t="s">
        <v>125</v>
      </c>
      <c r="K1992">
        <v>0</v>
      </c>
      <c r="L1992">
        <v>3</v>
      </c>
      <c r="M1992">
        <v>0</v>
      </c>
      <c r="N1992">
        <v>2</v>
      </c>
      <c r="O1992">
        <v>0</v>
      </c>
      <c r="P1992">
        <v>1</v>
      </c>
      <c r="Q1992">
        <v>0</v>
      </c>
      <c r="S1992" t="str">
        <f t="shared" si="596"/>
        <v>22:17:50.000</v>
      </c>
      <c r="T1992" t="str">
        <f t="shared" si="596"/>
        <v>22:17:50.000</v>
      </c>
      <c r="U1992" t="str">
        <f t="shared" si="595"/>
        <v>A9D71F</v>
      </c>
      <c r="V1992">
        <v>0</v>
      </c>
      <c r="W1992">
        <v>0</v>
      </c>
      <c r="X1992">
        <v>2</v>
      </c>
      <c r="Z1992">
        <v>1</v>
      </c>
      <c r="AA1992">
        <v>8</v>
      </c>
      <c r="AB1992">
        <v>3</v>
      </c>
      <c r="AC1992">
        <v>0</v>
      </c>
      <c r="AD1992">
        <v>9</v>
      </c>
      <c r="AE1992">
        <v>0</v>
      </c>
      <c r="AF1992">
        <v>3</v>
      </c>
      <c r="AG1992">
        <v>1</v>
      </c>
      <c r="AH1992">
        <v>0</v>
      </c>
      <c r="AI1992" t="s">
        <v>1046</v>
      </c>
      <c r="AJ1992">
        <v>33.032927999999998</v>
      </c>
      <c r="AK1992" t="s">
        <v>1047</v>
      </c>
      <c r="AL1992">
        <v>-97.659358999999995</v>
      </c>
      <c r="AM1992">
        <v>25</v>
      </c>
      <c r="AN1992">
        <v>3400</v>
      </c>
      <c r="AO1992" t="s">
        <v>118</v>
      </c>
      <c r="AP1992">
        <v>33</v>
      </c>
      <c r="AQ1992">
        <v>-78</v>
      </c>
      <c r="AR1992">
        <v>64</v>
      </c>
      <c r="AZ1992">
        <v>1200</v>
      </c>
      <c r="BA1992">
        <v>1</v>
      </c>
      <c r="BB1992" t="str">
        <f t="shared" si="583"/>
        <v xml:space="preserve">N733KP  </v>
      </c>
      <c r="BC1992">
        <v>1</v>
      </c>
      <c r="BE1992">
        <v>0</v>
      </c>
      <c r="BF1992">
        <v>0</v>
      </c>
      <c r="BG1992">
        <v>0</v>
      </c>
      <c r="BH1992">
        <v>3350</v>
      </c>
      <c r="BI1992">
        <v>1</v>
      </c>
      <c r="BJ1992">
        <v>1</v>
      </c>
      <c r="BK1992">
        <v>0</v>
      </c>
      <c r="BL1992">
        <v>0</v>
      </c>
      <c r="BO1992">
        <v>0</v>
      </c>
      <c r="BP1992">
        <v>0</v>
      </c>
      <c r="BW1992" t="str">
        <f>"22:17:50.526"</f>
        <v>22:17:50.526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6</v>
      </c>
      <c r="CP1992" t="s">
        <v>119</v>
      </c>
      <c r="CQ1992">
        <v>364</v>
      </c>
      <c r="CR1992">
        <v>0</v>
      </c>
      <c r="CW1992">
        <v>1441293</v>
      </c>
      <c r="CY1992">
        <v>1</v>
      </c>
      <c r="CZ1992">
        <v>0</v>
      </c>
      <c r="DA1992">
        <v>1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>"03/24/2022 22:17:51.385"</f>
        <v>03/24/2022 22:17:51.385</v>
      </c>
      <c r="C1993" t="str">
        <f t="shared" si="581"/>
        <v>FFDFD3C0</v>
      </c>
      <c r="D1993" t="s">
        <v>123</v>
      </c>
      <c r="E1993">
        <v>8</v>
      </c>
      <c r="H1993">
        <v>31</v>
      </c>
      <c r="I1993" t="s">
        <v>124</v>
      </c>
      <c r="J1993" t="s">
        <v>125</v>
      </c>
      <c r="K1993">
        <v>0</v>
      </c>
      <c r="L1993">
        <v>3</v>
      </c>
      <c r="M1993">
        <v>0</v>
      </c>
      <c r="N1993">
        <v>2</v>
      </c>
      <c r="O1993">
        <v>0</v>
      </c>
      <c r="P1993">
        <v>1</v>
      </c>
      <c r="Q1993">
        <v>0</v>
      </c>
      <c r="S1993" t="str">
        <f t="shared" ref="S1993:T1996" si="597">"22:17:51.000"</f>
        <v>22:17:51.000</v>
      </c>
      <c r="T1993" t="str">
        <f t="shared" si="597"/>
        <v>22:17:51.000</v>
      </c>
      <c r="U1993" t="str">
        <f t="shared" si="595"/>
        <v>A9D71F</v>
      </c>
      <c r="V1993">
        <v>0</v>
      </c>
      <c r="W1993">
        <v>0</v>
      </c>
      <c r="X1993">
        <v>2</v>
      </c>
      <c r="Z1993">
        <v>1</v>
      </c>
      <c r="AA1993">
        <v>8</v>
      </c>
      <c r="AB1993">
        <v>3</v>
      </c>
      <c r="AC1993">
        <v>0</v>
      </c>
      <c r="AD1993">
        <v>9</v>
      </c>
      <c r="AE1993">
        <v>0</v>
      </c>
      <c r="AF1993">
        <v>3</v>
      </c>
      <c r="AG1993">
        <v>1</v>
      </c>
      <c r="AH1993">
        <v>0</v>
      </c>
      <c r="AI1993" t="s">
        <v>1048</v>
      </c>
      <c r="AJ1993">
        <v>33.032563000000003</v>
      </c>
      <c r="AK1993" t="s">
        <v>1049</v>
      </c>
      <c r="AL1993">
        <v>-97.659165999999999</v>
      </c>
      <c r="AM1993">
        <v>25</v>
      </c>
      <c r="AN1993">
        <v>3400</v>
      </c>
      <c r="AO1993" t="s">
        <v>118</v>
      </c>
      <c r="AP1993">
        <v>33</v>
      </c>
      <c r="AQ1993">
        <v>-78</v>
      </c>
      <c r="AR1993">
        <v>64</v>
      </c>
      <c r="AZ1993">
        <v>1200</v>
      </c>
      <c r="BA1993">
        <v>1</v>
      </c>
      <c r="BB1993" t="str">
        <f t="shared" si="583"/>
        <v xml:space="preserve">N733KP  </v>
      </c>
      <c r="BC1993">
        <v>1</v>
      </c>
      <c r="BE1993">
        <v>0</v>
      </c>
      <c r="BF1993">
        <v>0</v>
      </c>
      <c r="BG1993">
        <v>0</v>
      </c>
      <c r="BH1993">
        <v>3350</v>
      </c>
      <c r="BI1993">
        <v>1</v>
      </c>
      <c r="BJ1993">
        <v>1</v>
      </c>
      <c r="BK1993">
        <v>0</v>
      </c>
      <c r="BL1993">
        <v>0</v>
      </c>
      <c r="BO1993">
        <v>0</v>
      </c>
      <c r="BP1993">
        <v>0</v>
      </c>
      <c r="BW1993" t="str">
        <f>"22:17:51.202"</f>
        <v>22:17:51.202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1</v>
      </c>
      <c r="CP1993" t="s">
        <v>119</v>
      </c>
      <c r="CQ1993">
        <v>352</v>
      </c>
      <c r="CR1993">
        <v>0</v>
      </c>
      <c r="CW1993">
        <v>11258311</v>
      </c>
      <c r="CY1993">
        <v>1</v>
      </c>
      <c r="CZ1993">
        <v>0</v>
      </c>
      <c r="DA1993">
        <v>0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>"03/24/2022 22:17:51.385"</f>
        <v>03/24/2022 22:17:51.385</v>
      </c>
      <c r="C1994" t="str">
        <f t="shared" si="581"/>
        <v>FFDFD3C0</v>
      </c>
      <c r="D1994" t="s">
        <v>113</v>
      </c>
      <c r="E1994">
        <v>24</v>
      </c>
      <c r="F1994">
        <v>2024</v>
      </c>
      <c r="G1994" t="s">
        <v>114</v>
      </c>
      <c r="J1994" t="s">
        <v>115</v>
      </c>
      <c r="K1994">
        <v>0</v>
      </c>
      <c r="L1994">
        <v>3</v>
      </c>
      <c r="M1994">
        <v>0</v>
      </c>
      <c r="N1994">
        <v>2</v>
      </c>
      <c r="O1994">
        <v>0</v>
      </c>
      <c r="P1994">
        <v>1</v>
      </c>
      <c r="Q1994">
        <v>0</v>
      </c>
      <c r="S1994" t="str">
        <f t="shared" si="597"/>
        <v>22:17:51.000</v>
      </c>
      <c r="T1994" t="str">
        <f t="shared" si="597"/>
        <v>22:17:51.000</v>
      </c>
      <c r="U1994" t="str">
        <f t="shared" si="595"/>
        <v>A9D71F</v>
      </c>
      <c r="V1994">
        <v>0</v>
      </c>
      <c r="W1994">
        <v>0</v>
      </c>
      <c r="X1994">
        <v>2</v>
      </c>
      <c r="Z1994">
        <v>1</v>
      </c>
      <c r="AA1994">
        <v>8</v>
      </c>
      <c r="AB1994">
        <v>3</v>
      </c>
      <c r="AC1994">
        <v>0</v>
      </c>
      <c r="AD1994">
        <v>9</v>
      </c>
      <c r="AE1994">
        <v>0</v>
      </c>
      <c r="AF1994">
        <v>3</v>
      </c>
      <c r="AG1994">
        <v>1</v>
      </c>
      <c r="AH1994">
        <v>0</v>
      </c>
      <c r="AI1994" t="s">
        <v>1048</v>
      </c>
      <c r="AJ1994">
        <v>33.032563000000003</v>
      </c>
      <c r="AK1994" t="s">
        <v>1049</v>
      </c>
      <c r="AL1994">
        <v>-97.659165999999999</v>
      </c>
      <c r="AM1994">
        <v>25</v>
      </c>
      <c r="AN1994">
        <v>3400</v>
      </c>
      <c r="AO1994" t="s">
        <v>118</v>
      </c>
      <c r="AP1994">
        <v>33</v>
      </c>
      <c r="AQ1994">
        <v>-78</v>
      </c>
      <c r="AR1994">
        <v>64</v>
      </c>
      <c r="AZ1994">
        <v>1200</v>
      </c>
      <c r="BA1994">
        <v>1</v>
      </c>
      <c r="BB1994" t="str">
        <f t="shared" si="583"/>
        <v xml:space="preserve">N733KP  </v>
      </c>
      <c r="BC1994">
        <v>1</v>
      </c>
      <c r="BE1994">
        <v>0</v>
      </c>
      <c r="BF1994">
        <v>0</v>
      </c>
      <c r="BG1994">
        <v>0</v>
      </c>
      <c r="BH1994">
        <v>3350</v>
      </c>
      <c r="BI1994">
        <v>1</v>
      </c>
      <c r="BJ1994">
        <v>1</v>
      </c>
      <c r="BK1994">
        <v>0</v>
      </c>
      <c r="BL1994">
        <v>0</v>
      </c>
      <c r="BO1994">
        <v>0</v>
      </c>
      <c r="BP1994">
        <v>0</v>
      </c>
      <c r="BW1994" t="str">
        <f>"22:17:51.202"</f>
        <v>22:17:51.202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1</v>
      </c>
      <c r="CP1994" t="s">
        <v>119</v>
      </c>
      <c r="CQ1994">
        <v>352</v>
      </c>
      <c r="CR1994">
        <v>0</v>
      </c>
      <c r="CW1994">
        <v>11258311</v>
      </c>
      <c r="CY1994">
        <v>1</v>
      </c>
      <c r="CZ1994">
        <v>0</v>
      </c>
      <c r="DA1994">
        <v>1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>"03/24/2022 22:17:51.400"</f>
        <v>03/24/2022 22:17:51.400</v>
      </c>
      <c r="C1995" t="str">
        <f t="shared" si="581"/>
        <v>FFDFD3C0</v>
      </c>
      <c r="D1995" t="s">
        <v>126</v>
      </c>
      <c r="E1995">
        <v>3</v>
      </c>
      <c r="H1995">
        <v>160</v>
      </c>
      <c r="I1995" t="s">
        <v>121</v>
      </c>
      <c r="J1995" t="s">
        <v>127</v>
      </c>
      <c r="K1995">
        <v>0</v>
      </c>
      <c r="L1995">
        <v>3</v>
      </c>
      <c r="M1995">
        <v>0</v>
      </c>
      <c r="N1995">
        <v>2</v>
      </c>
      <c r="O1995">
        <v>0</v>
      </c>
      <c r="P1995">
        <v>1</v>
      </c>
      <c r="Q1995">
        <v>0</v>
      </c>
      <c r="S1995" t="str">
        <f t="shared" si="597"/>
        <v>22:17:51.000</v>
      </c>
      <c r="T1995" t="str">
        <f t="shared" si="597"/>
        <v>22:17:51.000</v>
      </c>
      <c r="U1995" t="str">
        <f t="shared" si="595"/>
        <v>A9D71F</v>
      </c>
      <c r="V1995">
        <v>0</v>
      </c>
      <c r="W1995">
        <v>0</v>
      </c>
      <c r="X1995">
        <v>2</v>
      </c>
      <c r="Z1995">
        <v>1</v>
      </c>
      <c r="AA1995">
        <v>8</v>
      </c>
      <c r="AB1995">
        <v>3</v>
      </c>
      <c r="AC1995">
        <v>0</v>
      </c>
      <c r="AD1995">
        <v>9</v>
      </c>
      <c r="AE1995">
        <v>0</v>
      </c>
      <c r="AF1995">
        <v>3</v>
      </c>
      <c r="AG1995">
        <v>1</v>
      </c>
      <c r="AH1995">
        <v>0</v>
      </c>
      <c r="AI1995" t="s">
        <v>1048</v>
      </c>
      <c r="AJ1995">
        <v>33.032563000000003</v>
      </c>
      <c r="AK1995" t="s">
        <v>1049</v>
      </c>
      <c r="AL1995">
        <v>-97.659165999999999</v>
      </c>
      <c r="AM1995">
        <v>25</v>
      </c>
      <c r="AN1995">
        <v>3400</v>
      </c>
      <c r="AO1995" t="s">
        <v>118</v>
      </c>
      <c r="AP1995">
        <v>33</v>
      </c>
      <c r="AQ1995">
        <v>-78</v>
      </c>
      <c r="AR1995">
        <v>64</v>
      </c>
      <c r="AZ1995">
        <v>1200</v>
      </c>
      <c r="BA1995">
        <v>1</v>
      </c>
      <c r="BB1995" t="str">
        <f t="shared" si="583"/>
        <v xml:space="preserve">N733KP  </v>
      </c>
      <c r="BC1995">
        <v>1</v>
      </c>
      <c r="BE1995">
        <v>0</v>
      </c>
      <c r="BF1995">
        <v>0</v>
      </c>
      <c r="BG1995">
        <v>0</v>
      </c>
      <c r="BH1995">
        <v>3350</v>
      </c>
      <c r="BI1995">
        <v>1</v>
      </c>
      <c r="BJ1995">
        <v>1</v>
      </c>
      <c r="BK1995">
        <v>0</v>
      </c>
      <c r="BL1995">
        <v>0</v>
      </c>
      <c r="BO1995">
        <v>0</v>
      </c>
      <c r="BP1995">
        <v>0</v>
      </c>
      <c r="BW1995" t="str">
        <f>"22:17:51.202"</f>
        <v>22:17:51.202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1</v>
      </c>
      <c r="CP1995" t="s">
        <v>119</v>
      </c>
      <c r="CQ1995">
        <v>352</v>
      </c>
      <c r="CR1995">
        <v>0</v>
      </c>
      <c r="CW1995">
        <v>11258311</v>
      </c>
      <c r="CY1995">
        <v>1</v>
      </c>
      <c r="CZ1995">
        <v>0</v>
      </c>
      <c r="DA1995">
        <v>1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>"03/24/2022 22:17:51.400"</f>
        <v>03/24/2022 22:17:51.400</v>
      </c>
      <c r="C1996" t="str">
        <f t="shared" si="581"/>
        <v>FFDFD3C0</v>
      </c>
      <c r="D1996" t="s">
        <v>120</v>
      </c>
      <c r="E1996">
        <v>14</v>
      </c>
      <c r="F1996">
        <v>1014</v>
      </c>
      <c r="G1996" t="s">
        <v>121</v>
      </c>
      <c r="J1996" t="s">
        <v>122</v>
      </c>
      <c r="K1996">
        <v>0</v>
      </c>
      <c r="L1996">
        <v>3</v>
      </c>
      <c r="M1996">
        <v>0</v>
      </c>
      <c r="N1996">
        <v>2</v>
      </c>
      <c r="O1996">
        <v>0</v>
      </c>
      <c r="P1996">
        <v>1</v>
      </c>
      <c r="Q1996">
        <v>0</v>
      </c>
      <c r="S1996" t="str">
        <f t="shared" si="597"/>
        <v>22:17:51.000</v>
      </c>
      <c r="T1996" t="str">
        <f t="shared" si="597"/>
        <v>22:17:51.000</v>
      </c>
      <c r="U1996" t="str">
        <f t="shared" si="595"/>
        <v>A9D71F</v>
      </c>
      <c r="V1996">
        <v>0</v>
      </c>
      <c r="W1996">
        <v>0</v>
      </c>
      <c r="X1996">
        <v>2</v>
      </c>
      <c r="Z1996">
        <v>1</v>
      </c>
      <c r="AA1996">
        <v>8</v>
      </c>
      <c r="AB1996">
        <v>3</v>
      </c>
      <c r="AC1996">
        <v>0</v>
      </c>
      <c r="AD1996">
        <v>9</v>
      </c>
      <c r="AE1996">
        <v>0</v>
      </c>
      <c r="AF1996">
        <v>3</v>
      </c>
      <c r="AG1996">
        <v>1</v>
      </c>
      <c r="AH1996">
        <v>0</v>
      </c>
      <c r="AI1996" t="s">
        <v>1048</v>
      </c>
      <c r="AJ1996">
        <v>33.032563000000003</v>
      </c>
      <c r="AK1996" t="s">
        <v>1049</v>
      </c>
      <c r="AL1996">
        <v>-97.659165999999999</v>
      </c>
      <c r="AM1996">
        <v>25</v>
      </c>
      <c r="AN1996">
        <v>3400</v>
      </c>
      <c r="AO1996" t="s">
        <v>118</v>
      </c>
      <c r="AP1996">
        <v>33</v>
      </c>
      <c r="AQ1996">
        <v>-78</v>
      </c>
      <c r="AR1996">
        <v>64</v>
      </c>
      <c r="AZ1996">
        <v>1200</v>
      </c>
      <c r="BA1996">
        <v>1</v>
      </c>
      <c r="BB1996" t="str">
        <f t="shared" si="583"/>
        <v xml:space="preserve">N733KP  </v>
      </c>
      <c r="BC1996">
        <v>1</v>
      </c>
      <c r="BE1996">
        <v>0</v>
      </c>
      <c r="BF1996">
        <v>0</v>
      </c>
      <c r="BG1996">
        <v>0</v>
      </c>
      <c r="BH1996">
        <v>3350</v>
      </c>
      <c r="BI1996">
        <v>1</v>
      </c>
      <c r="BJ1996">
        <v>1</v>
      </c>
      <c r="BK1996">
        <v>0</v>
      </c>
      <c r="BL1996">
        <v>0</v>
      </c>
      <c r="BO1996">
        <v>0</v>
      </c>
      <c r="BP1996">
        <v>0</v>
      </c>
      <c r="BW1996" t="str">
        <f>"22:17:51.202"</f>
        <v>22:17:51.202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1</v>
      </c>
      <c r="CP1996" t="s">
        <v>119</v>
      </c>
      <c r="CQ1996">
        <v>352</v>
      </c>
      <c r="CR1996">
        <v>0</v>
      </c>
      <c r="CW1996">
        <v>11258311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>"03/24/2022 22:17:53.043"</f>
        <v>03/24/2022 22:17:53.043</v>
      </c>
      <c r="C1997" t="str">
        <f t="shared" si="581"/>
        <v>FFDFD3C0</v>
      </c>
      <c r="D1997" t="s">
        <v>126</v>
      </c>
      <c r="E1997">
        <v>3</v>
      </c>
      <c r="H1997">
        <v>160</v>
      </c>
      <c r="I1997" t="s">
        <v>121</v>
      </c>
      <c r="J1997" t="s">
        <v>127</v>
      </c>
      <c r="K1997">
        <v>0</v>
      </c>
      <c r="L1997">
        <v>3</v>
      </c>
      <c r="M1997">
        <v>0</v>
      </c>
      <c r="N1997">
        <v>2</v>
      </c>
      <c r="O1997">
        <v>0</v>
      </c>
      <c r="P1997">
        <v>1</v>
      </c>
      <c r="Q1997">
        <v>0</v>
      </c>
      <c r="S1997" t="str">
        <f t="shared" ref="S1997:T2000" si="598">"22:17:52.000"</f>
        <v>22:17:52.000</v>
      </c>
      <c r="T1997" t="str">
        <f t="shared" si="598"/>
        <v>22:17:52.000</v>
      </c>
      <c r="U1997" t="str">
        <f t="shared" si="595"/>
        <v>A9D71F</v>
      </c>
      <c r="V1997">
        <v>0</v>
      </c>
      <c r="W1997">
        <v>0</v>
      </c>
      <c r="X1997">
        <v>2</v>
      </c>
      <c r="Z1997">
        <v>1</v>
      </c>
      <c r="AA1997">
        <v>8</v>
      </c>
      <c r="AB1997">
        <v>3</v>
      </c>
      <c r="AC1997">
        <v>0</v>
      </c>
      <c r="AD1997">
        <v>9</v>
      </c>
      <c r="AE1997">
        <v>0</v>
      </c>
      <c r="AF1997">
        <v>3</v>
      </c>
      <c r="AG1997">
        <v>1</v>
      </c>
      <c r="AH1997">
        <v>0</v>
      </c>
      <c r="AI1997" t="s">
        <v>1050</v>
      </c>
      <c r="AJ1997">
        <v>33.032176</v>
      </c>
      <c r="AK1997" t="s">
        <v>1051</v>
      </c>
      <c r="AL1997">
        <v>-97.658929999999998</v>
      </c>
      <c r="AM1997">
        <v>25</v>
      </c>
      <c r="AN1997">
        <v>3400</v>
      </c>
      <c r="AO1997" t="s">
        <v>118</v>
      </c>
      <c r="AP1997">
        <v>33</v>
      </c>
      <c r="AQ1997">
        <v>-78</v>
      </c>
      <c r="AR1997">
        <v>0</v>
      </c>
      <c r="AZ1997">
        <v>1200</v>
      </c>
      <c r="BA1997">
        <v>1</v>
      </c>
      <c r="BB1997" t="str">
        <f t="shared" si="583"/>
        <v xml:space="preserve">N733KP  </v>
      </c>
      <c r="BC1997">
        <v>1</v>
      </c>
      <c r="BE1997">
        <v>0</v>
      </c>
      <c r="BF1997">
        <v>0</v>
      </c>
      <c r="BG1997">
        <v>0</v>
      </c>
      <c r="BH1997">
        <v>3350</v>
      </c>
      <c r="BI1997">
        <v>1</v>
      </c>
      <c r="BJ1997">
        <v>1</v>
      </c>
      <c r="BK1997">
        <v>0</v>
      </c>
      <c r="BL1997">
        <v>0</v>
      </c>
      <c r="BO1997">
        <v>0</v>
      </c>
      <c r="BP1997">
        <v>0</v>
      </c>
      <c r="BW1997" t="str">
        <f>"22:17:52.855"</f>
        <v>22:17:52.855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7</v>
      </c>
      <c r="CP1997" t="s">
        <v>119</v>
      </c>
      <c r="CQ1997">
        <v>364</v>
      </c>
      <c r="CR1997">
        <v>0</v>
      </c>
      <c r="CW1997">
        <v>1441598</v>
      </c>
      <c r="CY1997">
        <v>1</v>
      </c>
      <c r="CZ1997">
        <v>0</v>
      </c>
      <c r="DA1997">
        <v>0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>"03/24/2022 22:17:53.074"</f>
        <v>03/24/2022 22:17:53.074</v>
      </c>
      <c r="C1998" t="str">
        <f t="shared" si="581"/>
        <v>FFDFD3C0</v>
      </c>
      <c r="D1998" t="s">
        <v>120</v>
      </c>
      <c r="E1998">
        <v>14</v>
      </c>
      <c r="F1998">
        <v>1014</v>
      </c>
      <c r="G1998" t="s">
        <v>121</v>
      </c>
      <c r="J1998" t="s">
        <v>122</v>
      </c>
      <c r="K1998">
        <v>0</v>
      </c>
      <c r="L1998">
        <v>3</v>
      </c>
      <c r="M1998">
        <v>0</v>
      </c>
      <c r="N1998">
        <v>2</v>
      </c>
      <c r="O1998">
        <v>0</v>
      </c>
      <c r="P1998">
        <v>1</v>
      </c>
      <c r="Q1998">
        <v>0</v>
      </c>
      <c r="S1998" t="str">
        <f t="shared" si="598"/>
        <v>22:17:52.000</v>
      </c>
      <c r="T1998" t="str">
        <f t="shared" si="598"/>
        <v>22:17:52.000</v>
      </c>
      <c r="U1998" t="str">
        <f t="shared" si="595"/>
        <v>A9D71F</v>
      </c>
      <c r="V1998">
        <v>0</v>
      </c>
      <c r="W1998">
        <v>0</v>
      </c>
      <c r="X1998">
        <v>2</v>
      </c>
      <c r="Z1998">
        <v>1</v>
      </c>
      <c r="AA1998">
        <v>8</v>
      </c>
      <c r="AB1998">
        <v>3</v>
      </c>
      <c r="AC1998">
        <v>0</v>
      </c>
      <c r="AD1998">
        <v>9</v>
      </c>
      <c r="AE1998">
        <v>0</v>
      </c>
      <c r="AF1998">
        <v>3</v>
      </c>
      <c r="AG1998">
        <v>1</v>
      </c>
      <c r="AH1998">
        <v>0</v>
      </c>
      <c r="AI1998" t="s">
        <v>1050</v>
      </c>
      <c r="AJ1998">
        <v>33.032176</v>
      </c>
      <c r="AK1998" t="s">
        <v>1051</v>
      </c>
      <c r="AL1998">
        <v>-97.658929999999998</v>
      </c>
      <c r="AM1998">
        <v>25</v>
      </c>
      <c r="AN1998">
        <v>3400</v>
      </c>
      <c r="AO1998" t="s">
        <v>118</v>
      </c>
      <c r="AP1998">
        <v>33</v>
      </c>
      <c r="AQ1998">
        <v>-78</v>
      </c>
      <c r="AR1998">
        <v>0</v>
      </c>
      <c r="AZ1998">
        <v>1200</v>
      </c>
      <c r="BA1998">
        <v>1</v>
      </c>
      <c r="BB1998" t="str">
        <f t="shared" si="583"/>
        <v xml:space="preserve">N733KP  </v>
      </c>
      <c r="BC1998">
        <v>1</v>
      </c>
      <c r="BE1998">
        <v>0</v>
      </c>
      <c r="BF1998">
        <v>0</v>
      </c>
      <c r="BG1998">
        <v>0</v>
      </c>
      <c r="BH1998">
        <v>3350</v>
      </c>
      <c r="BI1998">
        <v>1</v>
      </c>
      <c r="BJ1998">
        <v>1</v>
      </c>
      <c r="BK1998">
        <v>0</v>
      </c>
      <c r="BL1998">
        <v>0</v>
      </c>
      <c r="BO1998">
        <v>0</v>
      </c>
      <c r="BP1998">
        <v>0</v>
      </c>
      <c r="BW1998" t="str">
        <f>"22:17:52.855"</f>
        <v>22:17:52.855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7</v>
      </c>
      <c r="CP1998" t="s">
        <v>119</v>
      </c>
      <c r="CQ1998">
        <v>364</v>
      </c>
      <c r="CR1998">
        <v>0</v>
      </c>
      <c r="CW1998">
        <v>1441598</v>
      </c>
      <c r="CY1998">
        <v>1</v>
      </c>
      <c r="CZ1998">
        <v>0</v>
      </c>
      <c r="DA1998">
        <v>1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>"03/24/2022 22:17:53.074"</f>
        <v>03/24/2022 22:17:53.074</v>
      </c>
      <c r="C1999" t="str">
        <f t="shared" si="581"/>
        <v>FFDFD3C0</v>
      </c>
      <c r="D1999" t="s">
        <v>123</v>
      </c>
      <c r="E1999">
        <v>8</v>
      </c>
      <c r="H1999">
        <v>31</v>
      </c>
      <c r="I1999" t="s">
        <v>124</v>
      </c>
      <c r="J1999" t="s">
        <v>125</v>
      </c>
      <c r="K1999">
        <v>0</v>
      </c>
      <c r="L1999">
        <v>3</v>
      </c>
      <c r="M1999">
        <v>0</v>
      </c>
      <c r="N1999">
        <v>2</v>
      </c>
      <c r="O1999">
        <v>0</v>
      </c>
      <c r="P1999">
        <v>1</v>
      </c>
      <c r="Q1999">
        <v>0</v>
      </c>
      <c r="S1999" t="str">
        <f t="shared" si="598"/>
        <v>22:17:52.000</v>
      </c>
      <c r="T1999" t="str">
        <f t="shared" si="598"/>
        <v>22:17:52.000</v>
      </c>
      <c r="U1999" t="str">
        <f t="shared" si="595"/>
        <v>A9D71F</v>
      </c>
      <c r="V1999">
        <v>0</v>
      </c>
      <c r="W1999">
        <v>0</v>
      </c>
      <c r="X1999">
        <v>2</v>
      </c>
      <c r="Z1999">
        <v>1</v>
      </c>
      <c r="AA1999">
        <v>8</v>
      </c>
      <c r="AB1999">
        <v>3</v>
      </c>
      <c r="AC1999">
        <v>0</v>
      </c>
      <c r="AD1999">
        <v>9</v>
      </c>
      <c r="AE1999">
        <v>0</v>
      </c>
      <c r="AF1999">
        <v>3</v>
      </c>
      <c r="AG1999">
        <v>1</v>
      </c>
      <c r="AH1999">
        <v>0</v>
      </c>
      <c r="AI1999" t="s">
        <v>1050</v>
      </c>
      <c r="AJ1999">
        <v>33.032176</v>
      </c>
      <c r="AK1999" t="s">
        <v>1051</v>
      </c>
      <c r="AL1999">
        <v>-97.658929999999998</v>
      </c>
      <c r="AM1999">
        <v>25</v>
      </c>
      <c r="AN1999">
        <v>3400</v>
      </c>
      <c r="AO1999" t="s">
        <v>118</v>
      </c>
      <c r="AP1999">
        <v>33</v>
      </c>
      <c r="AQ1999">
        <v>-78</v>
      </c>
      <c r="AR1999">
        <v>0</v>
      </c>
      <c r="AZ1999">
        <v>1200</v>
      </c>
      <c r="BA1999">
        <v>1</v>
      </c>
      <c r="BB1999" t="str">
        <f t="shared" si="583"/>
        <v xml:space="preserve">N733KP  </v>
      </c>
      <c r="BC1999">
        <v>1</v>
      </c>
      <c r="BE1999">
        <v>0</v>
      </c>
      <c r="BF1999">
        <v>0</v>
      </c>
      <c r="BG1999">
        <v>0</v>
      </c>
      <c r="BH1999">
        <v>3350</v>
      </c>
      <c r="BI1999">
        <v>1</v>
      </c>
      <c r="BJ1999">
        <v>1</v>
      </c>
      <c r="BK1999">
        <v>0</v>
      </c>
      <c r="BL1999">
        <v>0</v>
      </c>
      <c r="BO1999">
        <v>0</v>
      </c>
      <c r="BP1999">
        <v>0</v>
      </c>
      <c r="BW1999" t="str">
        <f>"22:17:52.855"</f>
        <v>22:17:52.855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119</v>
      </c>
      <c r="CQ1999">
        <v>364</v>
      </c>
      <c r="CR1999">
        <v>0</v>
      </c>
      <c r="CW1999">
        <v>1441598</v>
      </c>
      <c r="CY1999">
        <v>1</v>
      </c>
      <c r="CZ1999">
        <v>0</v>
      </c>
      <c r="DA1999">
        <v>1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>"03/24/2022 22:17:53.090"</f>
        <v>03/24/2022 22:17:53.090</v>
      </c>
      <c r="C2000" t="str">
        <f t="shared" si="581"/>
        <v>FFDFD3C0</v>
      </c>
      <c r="D2000" t="s">
        <v>113</v>
      </c>
      <c r="E2000">
        <v>24</v>
      </c>
      <c r="F2000">
        <v>2024</v>
      </c>
      <c r="G2000" t="s">
        <v>114</v>
      </c>
      <c r="J2000" t="s">
        <v>115</v>
      </c>
      <c r="K2000">
        <v>0</v>
      </c>
      <c r="L2000">
        <v>3</v>
      </c>
      <c r="M2000">
        <v>0</v>
      </c>
      <c r="N2000">
        <v>2</v>
      </c>
      <c r="O2000">
        <v>0</v>
      </c>
      <c r="P2000">
        <v>1</v>
      </c>
      <c r="Q2000">
        <v>0</v>
      </c>
      <c r="S2000" t="str">
        <f t="shared" si="598"/>
        <v>22:17:52.000</v>
      </c>
      <c r="T2000" t="str">
        <f t="shared" si="598"/>
        <v>22:17:52.000</v>
      </c>
      <c r="U2000" t="str">
        <f t="shared" si="595"/>
        <v>A9D71F</v>
      </c>
      <c r="V2000">
        <v>0</v>
      </c>
      <c r="W2000">
        <v>0</v>
      </c>
      <c r="X2000">
        <v>2</v>
      </c>
      <c r="Z2000">
        <v>1</v>
      </c>
      <c r="AA2000">
        <v>8</v>
      </c>
      <c r="AB2000">
        <v>3</v>
      </c>
      <c r="AC2000">
        <v>0</v>
      </c>
      <c r="AD2000">
        <v>9</v>
      </c>
      <c r="AE2000">
        <v>0</v>
      </c>
      <c r="AF2000">
        <v>3</v>
      </c>
      <c r="AG2000">
        <v>1</v>
      </c>
      <c r="AH2000">
        <v>0</v>
      </c>
      <c r="AI2000" t="s">
        <v>1050</v>
      </c>
      <c r="AJ2000">
        <v>33.032176</v>
      </c>
      <c r="AK2000" t="s">
        <v>1051</v>
      </c>
      <c r="AL2000">
        <v>-97.658929999999998</v>
      </c>
      <c r="AM2000">
        <v>25</v>
      </c>
      <c r="AN2000">
        <v>3400</v>
      </c>
      <c r="AO2000" t="s">
        <v>118</v>
      </c>
      <c r="AP2000">
        <v>33</v>
      </c>
      <c r="AQ2000">
        <v>-78</v>
      </c>
      <c r="AR2000">
        <v>0</v>
      </c>
      <c r="AZ2000">
        <v>1200</v>
      </c>
      <c r="BA2000">
        <v>1</v>
      </c>
      <c r="BB2000" t="str">
        <f t="shared" si="583"/>
        <v xml:space="preserve">N733KP  </v>
      </c>
      <c r="BC2000">
        <v>1</v>
      </c>
      <c r="BE2000">
        <v>0</v>
      </c>
      <c r="BF2000">
        <v>0</v>
      </c>
      <c r="BG2000">
        <v>0</v>
      </c>
      <c r="BH2000">
        <v>3350</v>
      </c>
      <c r="BI2000">
        <v>1</v>
      </c>
      <c r="BJ2000">
        <v>1</v>
      </c>
      <c r="BK2000">
        <v>0</v>
      </c>
      <c r="BL2000">
        <v>0</v>
      </c>
      <c r="BO2000">
        <v>0</v>
      </c>
      <c r="BP2000">
        <v>0</v>
      </c>
      <c r="BW2000" t="str">
        <f>"22:17:52.855"</f>
        <v>22:17:52.855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119</v>
      </c>
      <c r="CQ2000">
        <v>364</v>
      </c>
      <c r="CR2000">
        <v>0</v>
      </c>
      <c r="CW2000">
        <v>1441598</v>
      </c>
      <c r="CY2000">
        <v>1</v>
      </c>
      <c r="CZ2000">
        <v>0</v>
      </c>
      <c r="DA2000">
        <v>1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>"03/24/2022 22:17:53.718"</f>
        <v>03/24/2022 22:17:53.718</v>
      </c>
      <c r="C2001" t="str">
        <f t="shared" si="581"/>
        <v>FFDFD3C0</v>
      </c>
      <c r="D2001" t="s">
        <v>123</v>
      </c>
      <c r="E2001">
        <v>8</v>
      </c>
      <c r="H2001">
        <v>31</v>
      </c>
      <c r="I2001" t="s">
        <v>124</v>
      </c>
      <c r="J2001" t="s">
        <v>125</v>
      </c>
      <c r="K2001">
        <v>0</v>
      </c>
      <c r="L2001">
        <v>3</v>
      </c>
      <c r="M2001">
        <v>0</v>
      </c>
      <c r="N2001">
        <v>2</v>
      </c>
      <c r="O2001">
        <v>0</v>
      </c>
      <c r="P2001">
        <v>1</v>
      </c>
      <c r="Q2001">
        <v>0</v>
      </c>
      <c r="S2001" t="str">
        <f t="shared" ref="S2001:T2004" si="599">"22:17:53.000"</f>
        <v>22:17:53.000</v>
      </c>
      <c r="T2001" t="str">
        <f t="shared" si="599"/>
        <v>22:17:53.000</v>
      </c>
      <c r="U2001" t="str">
        <f t="shared" si="595"/>
        <v>A9D71F</v>
      </c>
      <c r="V2001">
        <v>0</v>
      </c>
      <c r="W2001">
        <v>0</v>
      </c>
      <c r="X2001">
        <v>2</v>
      </c>
      <c r="Z2001">
        <v>1</v>
      </c>
      <c r="AA2001">
        <v>8</v>
      </c>
      <c r="AB2001">
        <v>3</v>
      </c>
      <c r="AC2001">
        <v>0</v>
      </c>
      <c r="AD2001">
        <v>9</v>
      </c>
      <c r="AE2001">
        <v>0</v>
      </c>
      <c r="AF2001">
        <v>3</v>
      </c>
      <c r="AG2001">
        <v>1</v>
      </c>
      <c r="AH2001">
        <v>0</v>
      </c>
      <c r="AI2001" t="s">
        <v>1052</v>
      </c>
      <c r="AJ2001">
        <v>33.031812000000002</v>
      </c>
      <c r="AK2001" t="s">
        <v>1053</v>
      </c>
      <c r="AL2001">
        <v>-97.658758000000006</v>
      </c>
      <c r="AM2001">
        <v>25</v>
      </c>
      <c r="AN2001">
        <v>3400</v>
      </c>
      <c r="AO2001" t="s">
        <v>118</v>
      </c>
      <c r="AP2001">
        <v>33</v>
      </c>
      <c r="AQ2001">
        <v>-78</v>
      </c>
      <c r="AR2001">
        <v>-128</v>
      </c>
      <c r="AZ2001">
        <v>1200</v>
      </c>
      <c r="BA2001">
        <v>1</v>
      </c>
      <c r="BB2001" t="str">
        <f t="shared" si="583"/>
        <v xml:space="preserve">N733KP  </v>
      </c>
      <c r="BC2001">
        <v>1</v>
      </c>
      <c r="BE2001">
        <v>0</v>
      </c>
      <c r="BF2001">
        <v>0</v>
      </c>
      <c r="BG2001">
        <v>0</v>
      </c>
      <c r="BH2001">
        <v>3350</v>
      </c>
      <c r="BI2001">
        <v>1</v>
      </c>
      <c r="BJ2001">
        <v>1</v>
      </c>
      <c r="BK2001">
        <v>0</v>
      </c>
      <c r="BL2001">
        <v>0</v>
      </c>
      <c r="BO2001">
        <v>0</v>
      </c>
      <c r="BP2001">
        <v>0</v>
      </c>
      <c r="BW2001" t="str">
        <f>"22:17:53.536"</f>
        <v>22:17:53.536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6</v>
      </c>
      <c r="CP2001" t="s">
        <v>119</v>
      </c>
      <c r="CQ2001">
        <v>364</v>
      </c>
      <c r="CR2001">
        <v>0</v>
      </c>
      <c r="CW2001">
        <v>1441695</v>
      </c>
      <c r="CY2001">
        <v>1</v>
      </c>
      <c r="CZ2001">
        <v>0</v>
      </c>
      <c r="DA2001">
        <v>0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>"03/24/2022 22:17:53.718"</f>
        <v>03/24/2022 22:17:53.718</v>
      </c>
      <c r="C2002" t="str">
        <f t="shared" si="581"/>
        <v>FFDFD3C0</v>
      </c>
      <c r="D2002" t="s">
        <v>113</v>
      </c>
      <c r="E2002">
        <v>24</v>
      </c>
      <c r="F2002">
        <v>2024</v>
      </c>
      <c r="G2002" t="s">
        <v>114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0</v>
      </c>
      <c r="P2002">
        <v>1</v>
      </c>
      <c r="Q2002">
        <v>0</v>
      </c>
      <c r="S2002" t="str">
        <f t="shared" si="599"/>
        <v>22:17:53.000</v>
      </c>
      <c r="T2002" t="str">
        <f t="shared" si="599"/>
        <v>22:17:53.000</v>
      </c>
      <c r="U2002" t="str">
        <f t="shared" si="595"/>
        <v>A9D71F</v>
      </c>
      <c r="V2002">
        <v>0</v>
      </c>
      <c r="W2002">
        <v>0</v>
      </c>
      <c r="X2002">
        <v>2</v>
      </c>
      <c r="Z2002">
        <v>1</v>
      </c>
      <c r="AA2002">
        <v>8</v>
      </c>
      <c r="AB2002">
        <v>3</v>
      </c>
      <c r="AC2002">
        <v>0</v>
      </c>
      <c r="AD2002">
        <v>9</v>
      </c>
      <c r="AE2002">
        <v>0</v>
      </c>
      <c r="AF2002">
        <v>3</v>
      </c>
      <c r="AG2002">
        <v>1</v>
      </c>
      <c r="AH2002">
        <v>0</v>
      </c>
      <c r="AI2002" t="s">
        <v>1052</v>
      </c>
      <c r="AJ2002">
        <v>33.031812000000002</v>
      </c>
      <c r="AK2002" t="s">
        <v>1053</v>
      </c>
      <c r="AL2002">
        <v>-97.658758000000006</v>
      </c>
      <c r="AM2002">
        <v>25</v>
      </c>
      <c r="AN2002">
        <v>3400</v>
      </c>
      <c r="AO2002" t="s">
        <v>118</v>
      </c>
      <c r="AP2002">
        <v>33</v>
      </c>
      <c r="AQ2002">
        <v>-78</v>
      </c>
      <c r="AR2002">
        <v>-128</v>
      </c>
      <c r="AZ2002">
        <v>1200</v>
      </c>
      <c r="BA2002">
        <v>1</v>
      </c>
      <c r="BB2002" t="str">
        <f t="shared" si="583"/>
        <v xml:space="preserve">N733KP  </v>
      </c>
      <c r="BC2002">
        <v>1</v>
      </c>
      <c r="BE2002">
        <v>0</v>
      </c>
      <c r="BF2002">
        <v>0</v>
      </c>
      <c r="BG2002">
        <v>0</v>
      </c>
      <c r="BH2002">
        <v>3350</v>
      </c>
      <c r="BI2002">
        <v>1</v>
      </c>
      <c r="BJ2002">
        <v>1</v>
      </c>
      <c r="BK2002">
        <v>0</v>
      </c>
      <c r="BL2002">
        <v>0</v>
      </c>
      <c r="BO2002">
        <v>0</v>
      </c>
      <c r="BP2002">
        <v>0</v>
      </c>
      <c r="BW2002" t="str">
        <f>"22:17:53.536"</f>
        <v>22:17:53.536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6</v>
      </c>
      <c r="CP2002" t="s">
        <v>119</v>
      </c>
      <c r="CQ2002">
        <v>364</v>
      </c>
      <c r="CR2002">
        <v>0</v>
      </c>
      <c r="CW2002">
        <v>1441695</v>
      </c>
      <c r="CY2002">
        <v>1</v>
      </c>
      <c r="CZ2002">
        <v>0</v>
      </c>
      <c r="DA2002">
        <v>1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>"03/24/2022 22:17:53.749"</f>
        <v>03/24/2022 22:17:53.749</v>
      </c>
      <c r="C2003" t="str">
        <f t="shared" si="581"/>
        <v>FFDFD3C0</v>
      </c>
      <c r="D2003" t="s">
        <v>126</v>
      </c>
      <c r="E2003">
        <v>3</v>
      </c>
      <c r="H2003">
        <v>160</v>
      </c>
      <c r="I2003" t="s">
        <v>121</v>
      </c>
      <c r="J2003" t="s">
        <v>127</v>
      </c>
      <c r="K2003">
        <v>0</v>
      </c>
      <c r="L2003">
        <v>3</v>
      </c>
      <c r="M2003">
        <v>0</v>
      </c>
      <c r="N2003">
        <v>2</v>
      </c>
      <c r="O2003">
        <v>0</v>
      </c>
      <c r="P2003">
        <v>1</v>
      </c>
      <c r="Q2003">
        <v>0</v>
      </c>
      <c r="S2003" t="str">
        <f t="shared" si="599"/>
        <v>22:17:53.000</v>
      </c>
      <c r="T2003" t="str">
        <f t="shared" si="599"/>
        <v>22:17:53.000</v>
      </c>
      <c r="U2003" t="str">
        <f t="shared" si="595"/>
        <v>A9D71F</v>
      </c>
      <c r="V2003">
        <v>0</v>
      </c>
      <c r="W2003">
        <v>0</v>
      </c>
      <c r="X2003">
        <v>2</v>
      </c>
      <c r="Z2003">
        <v>1</v>
      </c>
      <c r="AA2003">
        <v>8</v>
      </c>
      <c r="AB2003">
        <v>3</v>
      </c>
      <c r="AC2003">
        <v>0</v>
      </c>
      <c r="AD2003">
        <v>9</v>
      </c>
      <c r="AE2003">
        <v>0</v>
      </c>
      <c r="AF2003">
        <v>3</v>
      </c>
      <c r="AG2003">
        <v>1</v>
      </c>
      <c r="AH2003">
        <v>0</v>
      </c>
      <c r="AI2003" t="s">
        <v>1052</v>
      </c>
      <c r="AJ2003">
        <v>33.031812000000002</v>
      </c>
      <c r="AK2003" t="s">
        <v>1053</v>
      </c>
      <c r="AL2003">
        <v>-97.658758000000006</v>
      </c>
      <c r="AM2003">
        <v>25</v>
      </c>
      <c r="AN2003">
        <v>3400</v>
      </c>
      <c r="AO2003" t="s">
        <v>118</v>
      </c>
      <c r="AP2003">
        <v>33</v>
      </c>
      <c r="AQ2003">
        <v>-78</v>
      </c>
      <c r="AR2003">
        <v>-128</v>
      </c>
      <c r="AZ2003">
        <v>1200</v>
      </c>
      <c r="BA2003">
        <v>1</v>
      </c>
      <c r="BB2003" t="str">
        <f t="shared" si="583"/>
        <v xml:space="preserve">N733KP  </v>
      </c>
      <c r="BC2003">
        <v>1</v>
      </c>
      <c r="BE2003">
        <v>0</v>
      </c>
      <c r="BF2003">
        <v>0</v>
      </c>
      <c r="BG2003">
        <v>0</v>
      </c>
      <c r="BH2003">
        <v>3350</v>
      </c>
      <c r="BI2003">
        <v>1</v>
      </c>
      <c r="BJ2003">
        <v>1</v>
      </c>
      <c r="BK2003">
        <v>0</v>
      </c>
      <c r="BL2003">
        <v>0</v>
      </c>
      <c r="BO2003">
        <v>0</v>
      </c>
      <c r="BP2003">
        <v>0</v>
      </c>
      <c r="BW2003" t="str">
        <f>"22:17:53.536"</f>
        <v>22:17:53.536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6</v>
      </c>
      <c r="CP2003" t="s">
        <v>119</v>
      </c>
      <c r="CQ2003">
        <v>364</v>
      </c>
      <c r="CR2003">
        <v>0</v>
      </c>
      <c r="CW2003">
        <v>1441695</v>
      </c>
      <c r="CY2003">
        <v>1</v>
      </c>
      <c r="CZ2003">
        <v>0</v>
      </c>
      <c r="DA2003">
        <v>1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>"03/24/2022 22:17:53.749"</f>
        <v>03/24/2022 22:17:53.749</v>
      </c>
      <c r="C2004" t="str">
        <f t="shared" si="581"/>
        <v>FFDFD3C0</v>
      </c>
      <c r="D2004" t="s">
        <v>120</v>
      </c>
      <c r="E2004">
        <v>14</v>
      </c>
      <c r="F2004">
        <v>1014</v>
      </c>
      <c r="G2004" t="s">
        <v>121</v>
      </c>
      <c r="J2004" t="s">
        <v>122</v>
      </c>
      <c r="K2004">
        <v>0</v>
      </c>
      <c r="L2004">
        <v>3</v>
      </c>
      <c r="M2004">
        <v>0</v>
      </c>
      <c r="N2004">
        <v>2</v>
      </c>
      <c r="O2004">
        <v>0</v>
      </c>
      <c r="P2004">
        <v>1</v>
      </c>
      <c r="Q2004">
        <v>0</v>
      </c>
      <c r="S2004" t="str">
        <f t="shared" si="599"/>
        <v>22:17:53.000</v>
      </c>
      <c r="T2004" t="str">
        <f t="shared" si="599"/>
        <v>22:17:53.000</v>
      </c>
      <c r="U2004" t="str">
        <f t="shared" si="595"/>
        <v>A9D71F</v>
      </c>
      <c r="V2004">
        <v>0</v>
      </c>
      <c r="W2004">
        <v>0</v>
      </c>
      <c r="X2004">
        <v>2</v>
      </c>
      <c r="Z2004">
        <v>1</v>
      </c>
      <c r="AA2004">
        <v>8</v>
      </c>
      <c r="AB2004">
        <v>3</v>
      </c>
      <c r="AC2004">
        <v>0</v>
      </c>
      <c r="AD2004">
        <v>9</v>
      </c>
      <c r="AE2004">
        <v>0</v>
      </c>
      <c r="AF2004">
        <v>3</v>
      </c>
      <c r="AG2004">
        <v>1</v>
      </c>
      <c r="AH2004">
        <v>0</v>
      </c>
      <c r="AI2004" t="s">
        <v>1052</v>
      </c>
      <c r="AJ2004">
        <v>33.031812000000002</v>
      </c>
      <c r="AK2004" t="s">
        <v>1053</v>
      </c>
      <c r="AL2004">
        <v>-97.658758000000006</v>
      </c>
      <c r="AM2004">
        <v>25</v>
      </c>
      <c r="AN2004">
        <v>3400</v>
      </c>
      <c r="AO2004" t="s">
        <v>118</v>
      </c>
      <c r="AP2004">
        <v>33</v>
      </c>
      <c r="AQ2004">
        <v>-78</v>
      </c>
      <c r="AR2004">
        <v>-128</v>
      </c>
      <c r="AZ2004">
        <v>1200</v>
      </c>
      <c r="BA2004">
        <v>1</v>
      </c>
      <c r="BB2004" t="str">
        <f t="shared" si="583"/>
        <v xml:space="preserve">N733KP  </v>
      </c>
      <c r="BC2004">
        <v>1</v>
      </c>
      <c r="BE2004">
        <v>0</v>
      </c>
      <c r="BF2004">
        <v>0</v>
      </c>
      <c r="BG2004">
        <v>0</v>
      </c>
      <c r="BH2004">
        <v>3350</v>
      </c>
      <c r="BI2004">
        <v>1</v>
      </c>
      <c r="BJ2004">
        <v>1</v>
      </c>
      <c r="BK2004">
        <v>0</v>
      </c>
      <c r="BL2004">
        <v>0</v>
      </c>
      <c r="BO2004">
        <v>0</v>
      </c>
      <c r="BP2004">
        <v>0</v>
      </c>
      <c r="BW2004" t="str">
        <f>"22:17:53.536"</f>
        <v>22:17:53.536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6</v>
      </c>
      <c r="CP2004" t="s">
        <v>119</v>
      </c>
      <c r="CQ2004">
        <v>364</v>
      </c>
      <c r="CR2004">
        <v>0</v>
      </c>
      <c r="CW2004">
        <v>1441695</v>
      </c>
      <c r="CY2004">
        <v>1</v>
      </c>
      <c r="CZ2004">
        <v>0</v>
      </c>
      <c r="DA2004">
        <v>1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>"03/24/2022 22:17:55.407"</f>
        <v>03/24/2022 22:17:55.407</v>
      </c>
      <c r="C2005" t="str">
        <f t="shared" si="581"/>
        <v>FFDFD3C0</v>
      </c>
      <c r="D2005" t="s">
        <v>120</v>
      </c>
      <c r="E2005">
        <v>14</v>
      </c>
      <c r="F2005">
        <v>1014</v>
      </c>
      <c r="G2005" t="s">
        <v>121</v>
      </c>
      <c r="J2005" t="s">
        <v>122</v>
      </c>
      <c r="K2005">
        <v>0</v>
      </c>
      <c r="L2005">
        <v>3</v>
      </c>
      <c r="M2005">
        <v>0</v>
      </c>
      <c r="N2005">
        <v>2</v>
      </c>
      <c r="O2005">
        <v>0</v>
      </c>
      <c r="P2005">
        <v>1</v>
      </c>
      <c r="Q2005">
        <v>0</v>
      </c>
      <c r="S2005" t="str">
        <f>"22:17:55.000"</f>
        <v>22:17:55.000</v>
      </c>
      <c r="T2005" t="str">
        <f>"22:17:55.000"</f>
        <v>22:17:55.000</v>
      </c>
      <c r="U2005" t="str">
        <f t="shared" si="595"/>
        <v>A9D71F</v>
      </c>
      <c r="V2005">
        <v>0</v>
      </c>
      <c r="W2005">
        <v>0</v>
      </c>
      <c r="X2005">
        <v>2</v>
      </c>
      <c r="Z2005">
        <v>1</v>
      </c>
      <c r="AA2005">
        <v>8</v>
      </c>
      <c r="AB2005">
        <v>3</v>
      </c>
      <c r="AC2005">
        <v>0</v>
      </c>
      <c r="AD2005">
        <v>9</v>
      </c>
      <c r="AE2005">
        <v>0</v>
      </c>
      <c r="AF2005">
        <v>3</v>
      </c>
      <c r="AG2005">
        <v>1</v>
      </c>
      <c r="AH2005">
        <v>0</v>
      </c>
      <c r="AI2005" t="s">
        <v>1054</v>
      </c>
      <c r="AJ2005">
        <v>33.031103999999999</v>
      </c>
      <c r="AK2005" t="s">
        <v>1055</v>
      </c>
      <c r="AL2005">
        <v>-97.658415000000005</v>
      </c>
      <c r="AM2005">
        <v>25</v>
      </c>
      <c r="AN2005">
        <v>3400</v>
      </c>
      <c r="AO2005" t="s">
        <v>118</v>
      </c>
      <c r="AP2005">
        <v>34</v>
      </c>
      <c r="AQ2005">
        <v>-77</v>
      </c>
      <c r="AR2005">
        <v>-64</v>
      </c>
      <c r="AZ2005">
        <v>1200</v>
      </c>
      <c r="BA2005">
        <v>1</v>
      </c>
      <c r="BB2005" t="str">
        <f t="shared" si="583"/>
        <v xml:space="preserve">N733KP  </v>
      </c>
      <c r="BC2005">
        <v>1</v>
      </c>
      <c r="BE2005">
        <v>0</v>
      </c>
      <c r="BF2005">
        <v>0</v>
      </c>
      <c r="BG2005">
        <v>0</v>
      </c>
      <c r="BH2005">
        <v>3350</v>
      </c>
      <c r="BI2005">
        <v>1</v>
      </c>
      <c r="BJ2005">
        <v>1</v>
      </c>
      <c r="BK2005">
        <v>0</v>
      </c>
      <c r="BL2005">
        <v>0</v>
      </c>
      <c r="BO2005">
        <v>0</v>
      </c>
      <c r="BP2005">
        <v>0</v>
      </c>
      <c r="BW2005" t="str">
        <f>"22:17:55.265"</f>
        <v>22:17:55.265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119</v>
      </c>
      <c r="CQ2005">
        <v>364</v>
      </c>
      <c r="CR2005">
        <v>0</v>
      </c>
      <c r="CW2005">
        <v>1441943</v>
      </c>
      <c r="CY2005">
        <v>1</v>
      </c>
      <c r="CZ2005">
        <v>0</v>
      </c>
      <c r="DA2005">
        <v>0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>"03/24/2022 22:17:55.172"</f>
        <v>03/24/2022 22:17:55.172</v>
      </c>
      <c r="C2006" t="str">
        <f t="shared" ref="C2006:C2069" si="600">"FFDFD3C0"</f>
        <v>FFDFD3C0</v>
      </c>
      <c r="D2006" t="s">
        <v>120</v>
      </c>
      <c r="E2006">
        <v>14</v>
      </c>
      <c r="F2006">
        <v>1014</v>
      </c>
      <c r="G2006" t="s">
        <v>121</v>
      </c>
      <c r="J2006" t="s">
        <v>122</v>
      </c>
      <c r="K2006">
        <v>0</v>
      </c>
      <c r="L2006">
        <v>3</v>
      </c>
      <c r="M2006">
        <v>0</v>
      </c>
      <c r="N2006">
        <v>2</v>
      </c>
      <c r="O2006">
        <v>0</v>
      </c>
      <c r="P2006">
        <v>1</v>
      </c>
      <c r="Q2006">
        <v>0</v>
      </c>
      <c r="S2006" t="str">
        <f t="shared" ref="S2006:T2009" si="601">"22:17:54.000"</f>
        <v>22:17:54.000</v>
      </c>
      <c r="T2006" t="str">
        <f t="shared" si="601"/>
        <v>22:17:54.000</v>
      </c>
      <c r="U2006" t="str">
        <f t="shared" si="595"/>
        <v>A9D71F</v>
      </c>
      <c r="V2006">
        <v>0</v>
      </c>
      <c r="W2006">
        <v>0</v>
      </c>
      <c r="X2006">
        <v>2</v>
      </c>
      <c r="Z2006">
        <v>1</v>
      </c>
      <c r="AA2006">
        <v>8</v>
      </c>
      <c r="AB2006">
        <v>3</v>
      </c>
      <c r="AC2006">
        <v>0</v>
      </c>
      <c r="AD2006">
        <v>9</v>
      </c>
      <c r="AE2006">
        <v>0</v>
      </c>
      <c r="AF2006">
        <v>3</v>
      </c>
      <c r="AG2006">
        <v>1</v>
      </c>
      <c r="AH2006">
        <v>0</v>
      </c>
      <c r="AI2006" t="s">
        <v>1056</v>
      </c>
      <c r="AJ2006">
        <v>33.031489999999998</v>
      </c>
      <c r="AK2006" t="s">
        <v>1057</v>
      </c>
      <c r="AL2006">
        <v>-97.658608000000001</v>
      </c>
      <c r="AM2006">
        <v>25</v>
      </c>
      <c r="AN2006">
        <v>3400</v>
      </c>
      <c r="AO2006" t="s">
        <v>118</v>
      </c>
      <c r="AP2006">
        <v>34</v>
      </c>
      <c r="AQ2006">
        <v>-77</v>
      </c>
      <c r="AR2006">
        <v>-64</v>
      </c>
      <c r="AZ2006">
        <v>1200</v>
      </c>
      <c r="BA2006">
        <v>1</v>
      </c>
      <c r="BB2006" t="str">
        <f t="shared" ref="BB2006:BB2069" si="602">"N733KP  "</f>
        <v xml:space="preserve">N733KP  </v>
      </c>
      <c r="BC2006">
        <v>1</v>
      </c>
      <c r="BE2006">
        <v>0</v>
      </c>
      <c r="BF2006">
        <v>0</v>
      </c>
      <c r="BG2006">
        <v>0</v>
      </c>
      <c r="BH2006">
        <v>3350</v>
      </c>
      <c r="BI2006">
        <v>1</v>
      </c>
      <c r="BJ2006">
        <v>1</v>
      </c>
      <c r="BK2006">
        <v>0</v>
      </c>
      <c r="BL2006">
        <v>0</v>
      </c>
      <c r="BO2006">
        <v>0</v>
      </c>
      <c r="BP2006">
        <v>0</v>
      </c>
      <c r="BW2006" t="str">
        <f>"22:17:54.980"</f>
        <v>22:17:54.980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6</v>
      </c>
      <c r="CP2006" t="s">
        <v>119</v>
      </c>
      <c r="CQ2006">
        <v>364</v>
      </c>
      <c r="CR2006">
        <v>0</v>
      </c>
      <c r="CW2006">
        <v>1441904</v>
      </c>
      <c r="CY2006">
        <v>1</v>
      </c>
      <c r="CZ2006">
        <v>0</v>
      </c>
      <c r="DA2006">
        <v>1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>"03/24/2022 22:17:55.172"</f>
        <v>03/24/2022 22:17:55.172</v>
      </c>
      <c r="C2007" t="str">
        <f t="shared" si="600"/>
        <v>FFDFD3C0</v>
      </c>
      <c r="D2007" t="s">
        <v>123</v>
      </c>
      <c r="E2007">
        <v>8</v>
      </c>
      <c r="H2007">
        <v>31</v>
      </c>
      <c r="I2007" t="s">
        <v>124</v>
      </c>
      <c r="J2007" t="s">
        <v>125</v>
      </c>
      <c r="K2007">
        <v>0</v>
      </c>
      <c r="L2007">
        <v>3</v>
      </c>
      <c r="M2007">
        <v>0</v>
      </c>
      <c r="N2007">
        <v>2</v>
      </c>
      <c r="O2007">
        <v>0</v>
      </c>
      <c r="P2007">
        <v>1</v>
      </c>
      <c r="Q2007">
        <v>0</v>
      </c>
      <c r="S2007" t="str">
        <f t="shared" si="601"/>
        <v>22:17:54.000</v>
      </c>
      <c r="T2007" t="str">
        <f t="shared" si="601"/>
        <v>22:17:54.000</v>
      </c>
      <c r="U2007" t="str">
        <f t="shared" si="595"/>
        <v>A9D71F</v>
      </c>
      <c r="V2007">
        <v>0</v>
      </c>
      <c r="W2007">
        <v>0</v>
      </c>
      <c r="X2007">
        <v>2</v>
      </c>
      <c r="Z2007">
        <v>1</v>
      </c>
      <c r="AA2007">
        <v>8</v>
      </c>
      <c r="AB2007">
        <v>3</v>
      </c>
      <c r="AC2007">
        <v>0</v>
      </c>
      <c r="AD2007">
        <v>9</v>
      </c>
      <c r="AE2007">
        <v>0</v>
      </c>
      <c r="AF2007">
        <v>3</v>
      </c>
      <c r="AG2007">
        <v>1</v>
      </c>
      <c r="AH2007">
        <v>0</v>
      </c>
      <c r="AI2007" t="s">
        <v>1056</v>
      </c>
      <c r="AJ2007">
        <v>33.031489999999998</v>
      </c>
      <c r="AK2007" t="s">
        <v>1057</v>
      </c>
      <c r="AL2007">
        <v>-97.658608000000001</v>
      </c>
      <c r="AM2007">
        <v>25</v>
      </c>
      <c r="AN2007">
        <v>3400</v>
      </c>
      <c r="AO2007" t="s">
        <v>118</v>
      </c>
      <c r="AP2007">
        <v>34</v>
      </c>
      <c r="AQ2007">
        <v>-77</v>
      </c>
      <c r="AR2007">
        <v>-64</v>
      </c>
      <c r="AZ2007">
        <v>1200</v>
      </c>
      <c r="BA2007">
        <v>1</v>
      </c>
      <c r="BB2007" t="str">
        <f t="shared" si="602"/>
        <v xml:space="preserve">N733KP  </v>
      </c>
      <c r="BC2007">
        <v>1</v>
      </c>
      <c r="BE2007">
        <v>0</v>
      </c>
      <c r="BF2007">
        <v>0</v>
      </c>
      <c r="BG2007">
        <v>0</v>
      </c>
      <c r="BH2007">
        <v>3350</v>
      </c>
      <c r="BI2007">
        <v>1</v>
      </c>
      <c r="BJ2007">
        <v>1</v>
      </c>
      <c r="BK2007">
        <v>0</v>
      </c>
      <c r="BL2007">
        <v>0</v>
      </c>
      <c r="BO2007">
        <v>0</v>
      </c>
      <c r="BP2007">
        <v>0</v>
      </c>
      <c r="BW2007" t="str">
        <f>"22:17:54.980"</f>
        <v>22:17:54.980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6</v>
      </c>
      <c r="CP2007" t="s">
        <v>119</v>
      </c>
      <c r="CQ2007">
        <v>364</v>
      </c>
      <c r="CR2007">
        <v>0</v>
      </c>
      <c r="CW2007">
        <v>1441904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>"03/24/2022 22:17:55.172"</f>
        <v>03/24/2022 22:17:55.172</v>
      </c>
      <c r="C2008" t="str">
        <f t="shared" si="600"/>
        <v>FFDFD3C0</v>
      </c>
      <c r="D2008" t="s">
        <v>113</v>
      </c>
      <c r="E2008">
        <v>24</v>
      </c>
      <c r="F2008">
        <v>2024</v>
      </c>
      <c r="G2008" t="s">
        <v>114</v>
      </c>
      <c r="J2008" t="s">
        <v>115</v>
      </c>
      <c r="K2008">
        <v>0</v>
      </c>
      <c r="L2008">
        <v>3</v>
      </c>
      <c r="M2008">
        <v>0</v>
      </c>
      <c r="N2008">
        <v>2</v>
      </c>
      <c r="O2008">
        <v>0</v>
      </c>
      <c r="P2008">
        <v>1</v>
      </c>
      <c r="Q2008">
        <v>0</v>
      </c>
      <c r="S2008" t="str">
        <f t="shared" si="601"/>
        <v>22:17:54.000</v>
      </c>
      <c r="T2008" t="str">
        <f t="shared" si="601"/>
        <v>22:17:54.000</v>
      </c>
      <c r="U2008" t="str">
        <f t="shared" si="595"/>
        <v>A9D71F</v>
      </c>
      <c r="V2008">
        <v>0</v>
      </c>
      <c r="W2008">
        <v>0</v>
      </c>
      <c r="X2008">
        <v>2</v>
      </c>
      <c r="Z2008">
        <v>1</v>
      </c>
      <c r="AA2008">
        <v>8</v>
      </c>
      <c r="AB2008">
        <v>3</v>
      </c>
      <c r="AC2008">
        <v>0</v>
      </c>
      <c r="AD2008">
        <v>9</v>
      </c>
      <c r="AE2008">
        <v>0</v>
      </c>
      <c r="AF2008">
        <v>3</v>
      </c>
      <c r="AG2008">
        <v>1</v>
      </c>
      <c r="AH2008">
        <v>0</v>
      </c>
      <c r="AI2008" t="s">
        <v>1056</v>
      </c>
      <c r="AJ2008">
        <v>33.031489999999998</v>
      </c>
      <c r="AK2008" t="s">
        <v>1057</v>
      </c>
      <c r="AL2008">
        <v>-97.658608000000001</v>
      </c>
      <c r="AM2008">
        <v>25</v>
      </c>
      <c r="AN2008">
        <v>3400</v>
      </c>
      <c r="AO2008" t="s">
        <v>118</v>
      </c>
      <c r="AP2008">
        <v>34</v>
      </c>
      <c r="AQ2008">
        <v>-77</v>
      </c>
      <c r="AR2008">
        <v>-64</v>
      </c>
      <c r="AZ2008">
        <v>1200</v>
      </c>
      <c r="BA2008">
        <v>1</v>
      </c>
      <c r="BB2008" t="str">
        <f t="shared" si="602"/>
        <v xml:space="preserve">N733KP  </v>
      </c>
      <c r="BC2008">
        <v>1</v>
      </c>
      <c r="BE2008">
        <v>0</v>
      </c>
      <c r="BF2008">
        <v>0</v>
      </c>
      <c r="BG2008">
        <v>0</v>
      </c>
      <c r="BH2008">
        <v>3350</v>
      </c>
      <c r="BI2008">
        <v>1</v>
      </c>
      <c r="BJ2008">
        <v>1</v>
      </c>
      <c r="BK2008">
        <v>0</v>
      </c>
      <c r="BL2008">
        <v>0</v>
      </c>
      <c r="BO2008">
        <v>0</v>
      </c>
      <c r="BP2008">
        <v>0</v>
      </c>
      <c r="BW2008" t="str">
        <f>"22:17:54.980"</f>
        <v>22:17:54.980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6</v>
      </c>
      <c r="CP2008" t="s">
        <v>119</v>
      </c>
      <c r="CQ2008">
        <v>364</v>
      </c>
      <c r="CR2008">
        <v>0</v>
      </c>
      <c r="CW2008">
        <v>1441904</v>
      </c>
      <c r="CY2008">
        <v>1</v>
      </c>
      <c r="CZ2008">
        <v>0</v>
      </c>
      <c r="DA2008">
        <v>1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>"03/24/2022 22:17:55.172"</f>
        <v>03/24/2022 22:17:55.172</v>
      </c>
      <c r="C2009" t="str">
        <f t="shared" si="600"/>
        <v>FFDFD3C0</v>
      </c>
      <c r="D2009" t="s">
        <v>126</v>
      </c>
      <c r="E2009">
        <v>3</v>
      </c>
      <c r="H2009">
        <v>160</v>
      </c>
      <c r="I2009" t="s">
        <v>121</v>
      </c>
      <c r="J2009" t="s">
        <v>127</v>
      </c>
      <c r="K2009">
        <v>0</v>
      </c>
      <c r="L2009">
        <v>3</v>
      </c>
      <c r="M2009">
        <v>0</v>
      </c>
      <c r="N2009">
        <v>2</v>
      </c>
      <c r="O2009">
        <v>0</v>
      </c>
      <c r="P2009">
        <v>1</v>
      </c>
      <c r="Q2009">
        <v>0</v>
      </c>
      <c r="S2009" t="str">
        <f t="shared" si="601"/>
        <v>22:17:54.000</v>
      </c>
      <c r="T2009" t="str">
        <f t="shared" si="601"/>
        <v>22:17:54.000</v>
      </c>
      <c r="U2009" t="str">
        <f t="shared" si="595"/>
        <v>A9D71F</v>
      </c>
      <c r="V2009">
        <v>0</v>
      </c>
      <c r="W2009">
        <v>0</v>
      </c>
      <c r="X2009">
        <v>2</v>
      </c>
      <c r="Z2009">
        <v>1</v>
      </c>
      <c r="AA2009">
        <v>8</v>
      </c>
      <c r="AB2009">
        <v>3</v>
      </c>
      <c r="AC2009">
        <v>0</v>
      </c>
      <c r="AD2009">
        <v>9</v>
      </c>
      <c r="AE2009">
        <v>0</v>
      </c>
      <c r="AF2009">
        <v>3</v>
      </c>
      <c r="AG2009">
        <v>1</v>
      </c>
      <c r="AH2009">
        <v>0</v>
      </c>
      <c r="AI2009" t="s">
        <v>1056</v>
      </c>
      <c r="AJ2009">
        <v>33.031489999999998</v>
      </c>
      <c r="AK2009" t="s">
        <v>1057</v>
      </c>
      <c r="AL2009">
        <v>-97.658608000000001</v>
      </c>
      <c r="AM2009">
        <v>25</v>
      </c>
      <c r="AN2009">
        <v>3400</v>
      </c>
      <c r="AO2009" t="s">
        <v>118</v>
      </c>
      <c r="AP2009">
        <v>34</v>
      </c>
      <c r="AQ2009">
        <v>-77</v>
      </c>
      <c r="AR2009">
        <v>-64</v>
      </c>
      <c r="AZ2009">
        <v>1200</v>
      </c>
      <c r="BA2009">
        <v>1</v>
      </c>
      <c r="BB2009" t="str">
        <f t="shared" si="602"/>
        <v xml:space="preserve">N733KP  </v>
      </c>
      <c r="BC2009">
        <v>1</v>
      </c>
      <c r="BE2009">
        <v>0</v>
      </c>
      <c r="BF2009">
        <v>0</v>
      </c>
      <c r="BG2009">
        <v>0</v>
      </c>
      <c r="BH2009">
        <v>3350</v>
      </c>
      <c r="BI2009">
        <v>1</v>
      </c>
      <c r="BJ2009">
        <v>1</v>
      </c>
      <c r="BK2009">
        <v>0</v>
      </c>
      <c r="BL2009">
        <v>0</v>
      </c>
      <c r="BO2009">
        <v>0</v>
      </c>
      <c r="BP2009">
        <v>0</v>
      </c>
      <c r="BW2009" t="str">
        <f>"22:17:54.980"</f>
        <v>22:17:54.980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6</v>
      </c>
      <c r="CP2009" t="s">
        <v>119</v>
      </c>
      <c r="CQ2009">
        <v>364</v>
      </c>
      <c r="CR2009">
        <v>0</v>
      </c>
      <c r="CW2009">
        <v>1441904</v>
      </c>
      <c r="CY2009">
        <v>1</v>
      </c>
      <c r="CZ2009">
        <v>0</v>
      </c>
      <c r="DA2009">
        <v>1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>"03/24/2022 22:17:55.469"</f>
        <v>03/24/2022 22:17:55.469</v>
      </c>
      <c r="C2010" t="str">
        <f t="shared" si="600"/>
        <v>FFDFD3C0</v>
      </c>
      <c r="D2010" t="s">
        <v>123</v>
      </c>
      <c r="E2010">
        <v>8</v>
      </c>
      <c r="H2010">
        <v>31</v>
      </c>
      <c r="I2010" t="s">
        <v>124</v>
      </c>
      <c r="J2010" t="s">
        <v>125</v>
      </c>
      <c r="K2010">
        <v>0</v>
      </c>
      <c r="L2010">
        <v>3</v>
      </c>
      <c r="M2010">
        <v>0</v>
      </c>
      <c r="N2010">
        <v>2</v>
      </c>
      <c r="O2010">
        <v>0</v>
      </c>
      <c r="P2010">
        <v>1</v>
      </c>
      <c r="Q2010">
        <v>0</v>
      </c>
      <c r="S2010" t="str">
        <f t="shared" ref="S2010:T2012" si="603">"22:17:55.000"</f>
        <v>22:17:55.000</v>
      </c>
      <c r="T2010" t="str">
        <f t="shared" si="603"/>
        <v>22:17:55.000</v>
      </c>
      <c r="U2010" t="str">
        <f t="shared" si="595"/>
        <v>A9D71F</v>
      </c>
      <c r="V2010">
        <v>0</v>
      </c>
      <c r="W2010">
        <v>0</v>
      </c>
      <c r="X2010">
        <v>2</v>
      </c>
      <c r="Z2010">
        <v>1</v>
      </c>
      <c r="AA2010">
        <v>8</v>
      </c>
      <c r="AB2010">
        <v>3</v>
      </c>
      <c r="AC2010">
        <v>0</v>
      </c>
      <c r="AD2010">
        <v>9</v>
      </c>
      <c r="AE2010">
        <v>0</v>
      </c>
      <c r="AF2010">
        <v>3</v>
      </c>
      <c r="AG2010">
        <v>1</v>
      </c>
      <c r="AH2010">
        <v>0</v>
      </c>
      <c r="AI2010" t="s">
        <v>1054</v>
      </c>
      <c r="AJ2010">
        <v>33.031103999999999</v>
      </c>
      <c r="AK2010" t="s">
        <v>1055</v>
      </c>
      <c r="AL2010">
        <v>-97.658415000000005</v>
      </c>
      <c r="AM2010">
        <v>25</v>
      </c>
      <c r="AN2010">
        <v>3400</v>
      </c>
      <c r="AO2010" t="s">
        <v>118</v>
      </c>
      <c r="AP2010">
        <v>34</v>
      </c>
      <c r="AQ2010">
        <v>-77</v>
      </c>
      <c r="AR2010">
        <v>-64</v>
      </c>
      <c r="AZ2010">
        <v>1200</v>
      </c>
      <c r="BA2010">
        <v>1</v>
      </c>
      <c r="BB2010" t="str">
        <f t="shared" si="602"/>
        <v xml:space="preserve">N733KP  </v>
      </c>
      <c r="BC2010">
        <v>1</v>
      </c>
      <c r="BE2010">
        <v>0</v>
      </c>
      <c r="BF2010">
        <v>0</v>
      </c>
      <c r="BG2010">
        <v>0</v>
      </c>
      <c r="BH2010">
        <v>3350</v>
      </c>
      <c r="BI2010">
        <v>1</v>
      </c>
      <c r="BJ2010">
        <v>1</v>
      </c>
      <c r="BK2010">
        <v>0</v>
      </c>
      <c r="BL2010">
        <v>0</v>
      </c>
      <c r="BO2010">
        <v>0</v>
      </c>
      <c r="BP2010">
        <v>0</v>
      </c>
      <c r="BW2010" t="str">
        <f>"22:17:55.265"</f>
        <v>22:17:55.265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7</v>
      </c>
      <c r="CP2010" t="s">
        <v>119</v>
      </c>
      <c r="CQ2010">
        <v>364</v>
      </c>
      <c r="CR2010">
        <v>0</v>
      </c>
      <c r="CW2010">
        <v>1441943</v>
      </c>
      <c r="CY2010">
        <v>1</v>
      </c>
      <c r="CZ2010">
        <v>0</v>
      </c>
      <c r="DA2010">
        <v>1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>"03/24/2022 22:17:55.500"</f>
        <v>03/24/2022 22:17:55.500</v>
      </c>
      <c r="C2011" t="str">
        <f t="shared" si="600"/>
        <v>FFDFD3C0</v>
      </c>
      <c r="D2011" t="s">
        <v>113</v>
      </c>
      <c r="E2011">
        <v>24</v>
      </c>
      <c r="F2011">
        <v>2024</v>
      </c>
      <c r="G2011" t="s">
        <v>114</v>
      </c>
      <c r="J2011" t="s">
        <v>115</v>
      </c>
      <c r="K2011">
        <v>0</v>
      </c>
      <c r="L2011">
        <v>3</v>
      </c>
      <c r="M2011">
        <v>0</v>
      </c>
      <c r="N2011">
        <v>2</v>
      </c>
      <c r="O2011">
        <v>0</v>
      </c>
      <c r="P2011">
        <v>1</v>
      </c>
      <c r="Q2011">
        <v>0</v>
      </c>
      <c r="S2011" t="str">
        <f t="shared" si="603"/>
        <v>22:17:55.000</v>
      </c>
      <c r="T2011" t="str">
        <f t="shared" si="603"/>
        <v>22:17:55.000</v>
      </c>
      <c r="U2011" t="str">
        <f t="shared" si="595"/>
        <v>A9D71F</v>
      </c>
      <c r="V2011">
        <v>0</v>
      </c>
      <c r="W2011">
        <v>0</v>
      </c>
      <c r="X2011">
        <v>2</v>
      </c>
      <c r="Z2011">
        <v>1</v>
      </c>
      <c r="AA2011">
        <v>8</v>
      </c>
      <c r="AB2011">
        <v>3</v>
      </c>
      <c r="AC2011">
        <v>0</v>
      </c>
      <c r="AD2011">
        <v>9</v>
      </c>
      <c r="AE2011">
        <v>0</v>
      </c>
      <c r="AF2011">
        <v>3</v>
      </c>
      <c r="AG2011">
        <v>1</v>
      </c>
      <c r="AH2011">
        <v>0</v>
      </c>
      <c r="AI2011" t="s">
        <v>1054</v>
      </c>
      <c r="AJ2011">
        <v>33.031103999999999</v>
      </c>
      <c r="AK2011" t="s">
        <v>1055</v>
      </c>
      <c r="AL2011">
        <v>-97.658415000000005</v>
      </c>
      <c r="AM2011">
        <v>25</v>
      </c>
      <c r="AN2011">
        <v>3400</v>
      </c>
      <c r="AO2011" t="s">
        <v>118</v>
      </c>
      <c r="AP2011">
        <v>34</v>
      </c>
      <c r="AQ2011">
        <v>-77</v>
      </c>
      <c r="AR2011">
        <v>-64</v>
      </c>
      <c r="AZ2011">
        <v>1200</v>
      </c>
      <c r="BA2011">
        <v>1</v>
      </c>
      <c r="BB2011" t="str">
        <f t="shared" si="602"/>
        <v xml:space="preserve">N733KP  </v>
      </c>
      <c r="BC2011">
        <v>1</v>
      </c>
      <c r="BE2011">
        <v>0</v>
      </c>
      <c r="BF2011">
        <v>0</v>
      </c>
      <c r="BG2011">
        <v>0</v>
      </c>
      <c r="BH2011">
        <v>3350</v>
      </c>
      <c r="BI2011">
        <v>1</v>
      </c>
      <c r="BJ2011">
        <v>1</v>
      </c>
      <c r="BK2011">
        <v>0</v>
      </c>
      <c r="BL2011">
        <v>0</v>
      </c>
      <c r="BO2011">
        <v>0</v>
      </c>
      <c r="BP2011">
        <v>0</v>
      </c>
      <c r="BW2011" t="str">
        <f>"22:17:55.265"</f>
        <v>22:17:55.265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7</v>
      </c>
      <c r="CP2011" t="s">
        <v>119</v>
      </c>
      <c r="CQ2011">
        <v>364</v>
      </c>
      <c r="CR2011">
        <v>0</v>
      </c>
      <c r="CW2011">
        <v>1441943</v>
      </c>
      <c r="CY2011">
        <v>1</v>
      </c>
      <c r="CZ2011">
        <v>0</v>
      </c>
      <c r="DA2011">
        <v>1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>"03/24/2022 22:17:55.500"</f>
        <v>03/24/2022 22:17:55.500</v>
      </c>
      <c r="C2012" t="str">
        <f t="shared" si="600"/>
        <v>FFDFD3C0</v>
      </c>
      <c r="D2012" t="s">
        <v>126</v>
      </c>
      <c r="E2012">
        <v>3</v>
      </c>
      <c r="H2012">
        <v>160</v>
      </c>
      <c r="I2012" t="s">
        <v>121</v>
      </c>
      <c r="J2012" t="s">
        <v>127</v>
      </c>
      <c r="K2012">
        <v>0</v>
      </c>
      <c r="L2012">
        <v>3</v>
      </c>
      <c r="M2012">
        <v>0</v>
      </c>
      <c r="N2012">
        <v>2</v>
      </c>
      <c r="O2012">
        <v>0</v>
      </c>
      <c r="P2012">
        <v>1</v>
      </c>
      <c r="Q2012">
        <v>0</v>
      </c>
      <c r="S2012" t="str">
        <f t="shared" si="603"/>
        <v>22:17:55.000</v>
      </c>
      <c r="T2012" t="str">
        <f t="shared" si="603"/>
        <v>22:17:55.000</v>
      </c>
      <c r="U2012" t="str">
        <f t="shared" si="595"/>
        <v>A9D71F</v>
      </c>
      <c r="V2012">
        <v>0</v>
      </c>
      <c r="W2012">
        <v>0</v>
      </c>
      <c r="X2012">
        <v>2</v>
      </c>
      <c r="Z2012">
        <v>1</v>
      </c>
      <c r="AA2012">
        <v>8</v>
      </c>
      <c r="AB2012">
        <v>3</v>
      </c>
      <c r="AC2012">
        <v>0</v>
      </c>
      <c r="AD2012">
        <v>9</v>
      </c>
      <c r="AE2012">
        <v>0</v>
      </c>
      <c r="AF2012">
        <v>3</v>
      </c>
      <c r="AG2012">
        <v>1</v>
      </c>
      <c r="AH2012">
        <v>0</v>
      </c>
      <c r="AI2012" t="s">
        <v>1054</v>
      </c>
      <c r="AJ2012">
        <v>33.031103999999999</v>
      </c>
      <c r="AK2012" t="s">
        <v>1055</v>
      </c>
      <c r="AL2012">
        <v>-97.658415000000005</v>
      </c>
      <c r="AM2012">
        <v>25</v>
      </c>
      <c r="AN2012">
        <v>3400</v>
      </c>
      <c r="AO2012" t="s">
        <v>118</v>
      </c>
      <c r="AP2012">
        <v>34</v>
      </c>
      <c r="AQ2012">
        <v>-77</v>
      </c>
      <c r="AR2012">
        <v>-64</v>
      </c>
      <c r="AZ2012">
        <v>1200</v>
      </c>
      <c r="BA2012">
        <v>1</v>
      </c>
      <c r="BB2012" t="str">
        <f t="shared" si="602"/>
        <v xml:space="preserve">N733KP  </v>
      </c>
      <c r="BC2012">
        <v>1</v>
      </c>
      <c r="BE2012">
        <v>0</v>
      </c>
      <c r="BF2012">
        <v>0</v>
      </c>
      <c r="BG2012">
        <v>0</v>
      </c>
      <c r="BH2012">
        <v>3350</v>
      </c>
      <c r="BI2012">
        <v>1</v>
      </c>
      <c r="BJ2012">
        <v>1</v>
      </c>
      <c r="BK2012">
        <v>0</v>
      </c>
      <c r="BL2012">
        <v>0</v>
      </c>
      <c r="BO2012">
        <v>0</v>
      </c>
      <c r="BP2012">
        <v>0</v>
      </c>
      <c r="BW2012" t="str">
        <f>"22:17:55.265"</f>
        <v>22:17:55.265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7</v>
      </c>
      <c r="CP2012" t="s">
        <v>119</v>
      </c>
      <c r="CQ2012">
        <v>364</v>
      </c>
      <c r="CR2012">
        <v>0</v>
      </c>
      <c r="CW2012">
        <v>1441943</v>
      </c>
      <c r="CY2012">
        <v>1</v>
      </c>
      <c r="CZ2012">
        <v>0</v>
      </c>
      <c r="DA2012">
        <v>1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>"03/24/2022 22:17:56.501"</f>
        <v>03/24/2022 22:17:56.501</v>
      </c>
      <c r="C2013" t="str">
        <f t="shared" si="600"/>
        <v>FFDFD3C0</v>
      </c>
      <c r="D2013" t="s">
        <v>113</v>
      </c>
      <c r="E2013">
        <v>24</v>
      </c>
      <c r="F2013">
        <v>2024</v>
      </c>
      <c r="G2013" t="s">
        <v>114</v>
      </c>
      <c r="J2013" t="s">
        <v>115</v>
      </c>
      <c r="K2013">
        <v>0</v>
      </c>
      <c r="L2013">
        <v>3</v>
      </c>
      <c r="M2013">
        <v>0</v>
      </c>
      <c r="N2013">
        <v>2</v>
      </c>
      <c r="O2013">
        <v>0</v>
      </c>
      <c r="P2013">
        <v>1</v>
      </c>
      <c r="Q2013">
        <v>0</v>
      </c>
      <c r="S2013" t="str">
        <f t="shared" ref="S2013:T2016" si="604">"22:17:56.000"</f>
        <v>22:17:56.000</v>
      </c>
      <c r="T2013" t="str">
        <f t="shared" si="604"/>
        <v>22:17:56.000</v>
      </c>
      <c r="U2013" t="str">
        <f t="shared" si="595"/>
        <v>A9D71F</v>
      </c>
      <c r="V2013">
        <v>0</v>
      </c>
      <c r="W2013">
        <v>0</v>
      </c>
      <c r="X2013">
        <v>2</v>
      </c>
      <c r="Z2013">
        <v>1</v>
      </c>
      <c r="AA2013">
        <v>8</v>
      </c>
      <c r="AB2013">
        <v>3</v>
      </c>
      <c r="AC2013">
        <v>0</v>
      </c>
      <c r="AD2013">
        <v>9</v>
      </c>
      <c r="AE2013">
        <v>0</v>
      </c>
      <c r="AF2013">
        <v>3</v>
      </c>
      <c r="AG2013">
        <v>1</v>
      </c>
      <c r="AH2013">
        <v>0</v>
      </c>
      <c r="AI2013" t="s">
        <v>1058</v>
      </c>
      <c r="AJ2013">
        <v>33.030738999999997</v>
      </c>
      <c r="AK2013" t="s">
        <v>1059</v>
      </c>
      <c r="AL2013">
        <v>-97.658221999999995</v>
      </c>
      <c r="AM2013">
        <v>25</v>
      </c>
      <c r="AN2013">
        <v>3400</v>
      </c>
      <c r="AO2013" t="s">
        <v>118</v>
      </c>
      <c r="AP2013">
        <v>35</v>
      </c>
      <c r="AQ2013">
        <v>-76</v>
      </c>
      <c r="AR2013">
        <v>0</v>
      </c>
      <c r="AZ2013">
        <v>1200</v>
      </c>
      <c r="BA2013">
        <v>1</v>
      </c>
      <c r="BB2013" t="str">
        <f t="shared" si="602"/>
        <v xml:space="preserve">N733KP  </v>
      </c>
      <c r="BC2013">
        <v>1</v>
      </c>
      <c r="BE2013">
        <v>0</v>
      </c>
      <c r="BF2013">
        <v>0</v>
      </c>
      <c r="BG2013">
        <v>0</v>
      </c>
      <c r="BH2013">
        <v>3375</v>
      </c>
      <c r="BI2013">
        <v>1</v>
      </c>
      <c r="BJ2013">
        <v>1</v>
      </c>
      <c r="BK2013">
        <v>0</v>
      </c>
      <c r="BL2013">
        <v>0</v>
      </c>
      <c r="BO2013">
        <v>0</v>
      </c>
      <c r="BP2013">
        <v>0</v>
      </c>
      <c r="BW2013" t="str">
        <f>"22:17:56.301"</f>
        <v>22:17:56.301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7</v>
      </c>
      <c r="CP2013" t="s">
        <v>119</v>
      </c>
      <c r="CQ2013">
        <v>364</v>
      </c>
      <c r="CR2013">
        <v>0</v>
      </c>
      <c r="CW2013">
        <v>1442097</v>
      </c>
      <c r="CY2013">
        <v>1</v>
      </c>
      <c r="CZ2013">
        <v>0</v>
      </c>
      <c r="DA2013">
        <v>0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>"03/24/2022 22:17:56.501"</f>
        <v>03/24/2022 22:17:56.501</v>
      </c>
      <c r="C2014" t="str">
        <f t="shared" si="600"/>
        <v>FFDFD3C0</v>
      </c>
      <c r="D2014" t="s">
        <v>126</v>
      </c>
      <c r="E2014">
        <v>3</v>
      </c>
      <c r="H2014">
        <v>160</v>
      </c>
      <c r="I2014" t="s">
        <v>121</v>
      </c>
      <c r="J2014" t="s">
        <v>127</v>
      </c>
      <c r="K2014">
        <v>0</v>
      </c>
      <c r="L2014">
        <v>3</v>
      </c>
      <c r="M2014">
        <v>0</v>
      </c>
      <c r="N2014">
        <v>2</v>
      </c>
      <c r="O2014">
        <v>0</v>
      </c>
      <c r="P2014">
        <v>1</v>
      </c>
      <c r="Q2014">
        <v>0</v>
      </c>
      <c r="S2014" t="str">
        <f t="shared" si="604"/>
        <v>22:17:56.000</v>
      </c>
      <c r="T2014" t="str">
        <f t="shared" si="604"/>
        <v>22:17:56.000</v>
      </c>
      <c r="U2014" t="str">
        <f t="shared" si="595"/>
        <v>A9D71F</v>
      </c>
      <c r="V2014">
        <v>0</v>
      </c>
      <c r="W2014">
        <v>0</v>
      </c>
      <c r="X2014">
        <v>2</v>
      </c>
      <c r="Z2014">
        <v>1</v>
      </c>
      <c r="AA2014">
        <v>8</v>
      </c>
      <c r="AB2014">
        <v>3</v>
      </c>
      <c r="AC2014">
        <v>0</v>
      </c>
      <c r="AD2014">
        <v>9</v>
      </c>
      <c r="AE2014">
        <v>0</v>
      </c>
      <c r="AF2014">
        <v>3</v>
      </c>
      <c r="AG2014">
        <v>1</v>
      </c>
      <c r="AH2014">
        <v>0</v>
      </c>
      <c r="AI2014" t="s">
        <v>1058</v>
      </c>
      <c r="AJ2014">
        <v>33.030738999999997</v>
      </c>
      <c r="AK2014" t="s">
        <v>1059</v>
      </c>
      <c r="AL2014">
        <v>-97.658221999999995</v>
      </c>
      <c r="AM2014">
        <v>25</v>
      </c>
      <c r="AN2014">
        <v>3400</v>
      </c>
      <c r="AO2014" t="s">
        <v>118</v>
      </c>
      <c r="AP2014">
        <v>35</v>
      </c>
      <c r="AQ2014">
        <v>-76</v>
      </c>
      <c r="AR2014">
        <v>0</v>
      </c>
      <c r="AZ2014">
        <v>1200</v>
      </c>
      <c r="BA2014">
        <v>1</v>
      </c>
      <c r="BB2014" t="str">
        <f t="shared" si="602"/>
        <v xml:space="preserve">N733KP  </v>
      </c>
      <c r="BC2014">
        <v>1</v>
      </c>
      <c r="BE2014">
        <v>0</v>
      </c>
      <c r="BF2014">
        <v>0</v>
      </c>
      <c r="BG2014">
        <v>0</v>
      </c>
      <c r="BH2014">
        <v>3375</v>
      </c>
      <c r="BI2014">
        <v>1</v>
      </c>
      <c r="BJ2014">
        <v>1</v>
      </c>
      <c r="BK2014">
        <v>0</v>
      </c>
      <c r="BL2014">
        <v>0</v>
      </c>
      <c r="BO2014">
        <v>0</v>
      </c>
      <c r="BP2014">
        <v>0</v>
      </c>
      <c r="BW2014" t="str">
        <f>"22:17:56.301"</f>
        <v>22:17:56.301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7</v>
      </c>
      <c r="CP2014" t="s">
        <v>119</v>
      </c>
      <c r="CQ2014">
        <v>364</v>
      </c>
      <c r="CR2014">
        <v>0</v>
      </c>
      <c r="CW2014">
        <v>1442097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>"03/24/2022 22:17:56.501"</f>
        <v>03/24/2022 22:17:56.501</v>
      </c>
      <c r="C2015" t="str">
        <f t="shared" si="600"/>
        <v>FFDFD3C0</v>
      </c>
      <c r="D2015" t="s">
        <v>120</v>
      </c>
      <c r="E2015">
        <v>14</v>
      </c>
      <c r="F2015">
        <v>1014</v>
      </c>
      <c r="G2015" t="s">
        <v>121</v>
      </c>
      <c r="J2015" t="s">
        <v>122</v>
      </c>
      <c r="K2015">
        <v>0</v>
      </c>
      <c r="L2015">
        <v>3</v>
      </c>
      <c r="M2015">
        <v>0</v>
      </c>
      <c r="N2015">
        <v>2</v>
      </c>
      <c r="O2015">
        <v>0</v>
      </c>
      <c r="P2015">
        <v>1</v>
      </c>
      <c r="Q2015">
        <v>0</v>
      </c>
      <c r="S2015" t="str">
        <f t="shared" si="604"/>
        <v>22:17:56.000</v>
      </c>
      <c r="T2015" t="str">
        <f t="shared" si="604"/>
        <v>22:17:56.000</v>
      </c>
      <c r="U2015" t="str">
        <f t="shared" si="595"/>
        <v>A9D71F</v>
      </c>
      <c r="V2015">
        <v>0</v>
      </c>
      <c r="W2015">
        <v>0</v>
      </c>
      <c r="X2015">
        <v>2</v>
      </c>
      <c r="Z2015">
        <v>1</v>
      </c>
      <c r="AA2015">
        <v>8</v>
      </c>
      <c r="AB2015">
        <v>3</v>
      </c>
      <c r="AC2015">
        <v>0</v>
      </c>
      <c r="AD2015">
        <v>9</v>
      </c>
      <c r="AE2015">
        <v>0</v>
      </c>
      <c r="AF2015">
        <v>3</v>
      </c>
      <c r="AG2015">
        <v>1</v>
      </c>
      <c r="AH2015">
        <v>0</v>
      </c>
      <c r="AI2015" t="s">
        <v>1058</v>
      </c>
      <c r="AJ2015">
        <v>33.030738999999997</v>
      </c>
      <c r="AK2015" t="s">
        <v>1059</v>
      </c>
      <c r="AL2015">
        <v>-97.658221999999995</v>
      </c>
      <c r="AM2015">
        <v>25</v>
      </c>
      <c r="AN2015">
        <v>3400</v>
      </c>
      <c r="AO2015" t="s">
        <v>118</v>
      </c>
      <c r="AP2015">
        <v>35</v>
      </c>
      <c r="AQ2015">
        <v>-76</v>
      </c>
      <c r="AR2015">
        <v>0</v>
      </c>
      <c r="AZ2015">
        <v>1200</v>
      </c>
      <c r="BA2015">
        <v>1</v>
      </c>
      <c r="BB2015" t="str">
        <f t="shared" si="602"/>
        <v xml:space="preserve">N733KP  </v>
      </c>
      <c r="BC2015">
        <v>1</v>
      </c>
      <c r="BE2015">
        <v>0</v>
      </c>
      <c r="BF2015">
        <v>0</v>
      </c>
      <c r="BG2015">
        <v>0</v>
      </c>
      <c r="BH2015">
        <v>3375</v>
      </c>
      <c r="BI2015">
        <v>1</v>
      </c>
      <c r="BJ2015">
        <v>1</v>
      </c>
      <c r="BK2015">
        <v>0</v>
      </c>
      <c r="BL2015">
        <v>0</v>
      </c>
      <c r="BO2015">
        <v>0</v>
      </c>
      <c r="BP2015">
        <v>0</v>
      </c>
      <c r="BW2015" t="str">
        <f>"22:17:56.301"</f>
        <v>22:17:56.301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7</v>
      </c>
      <c r="CP2015" t="s">
        <v>119</v>
      </c>
      <c r="CQ2015">
        <v>364</v>
      </c>
      <c r="CR2015">
        <v>0</v>
      </c>
      <c r="CW2015">
        <v>1442097</v>
      </c>
      <c r="CY2015">
        <v>1</v>
      </c>
      <c r="CZ2015">
        <v>0</v>
      </c>
      <c r="DA2015">
        <v>1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>"03/24/2022 22:17:56.501"</f>
        <v>03/24/2022 22:17:56.501</v>
      </c>
      <c r="C2016" t="str">
        <f t="shared" si="600"/>
        <v>FFDFD3C0</v>
      </c>
      <c r="D2016" t="s">
        <v>123</v>
      </c>
      <c r="E2016">
        <v>8</v>
      </c>
      <c r="H2016">
        <v>31</v>
      </c>
      <c r="I2016" t="s">
        <v>124</v>
      </c>
      <c r="J2016" t="s">
        <v>125</v>
      </c>
      <c r="K2016">
        <v>0</v>
      </c>
      <c r="L2016">
        <v>3</v>
      </c>
      <c r="M2016">
        <v>0</v>
      </c>
      <c r="N2016">
        <v>2</v>
      </c>
      <c r="O2016">
        <v>0</v>
      </c>
      <c r="P2016">
        <v>1</v>
      </c>
      <c r="Q2016">
        <v>0</v>
      </c>
      <c r="S2016" t="str">
        <f t="shared" si="604"/>
        <v>22:17:56.000</v>
      </c>
      <c r="T2016" t="str">
        <f t="shared" si="604"/>
        <v>22:17:56.000</v>
      </c>
      <c r="U2016" t="str">
        <f t="shared" si="595"/>
        <v>A9D71F</v>
      </c>
      <c r="V2016">
        <v>0</v>
      </c>
      <c r="W2016">
        <v>0</v>
      </c>
      <c r="X2016">
        <v>2</v>
      </c>
      <c r="Z2016">
        <v>1</v>
      </c>
      <c r="AA2016">
        <v>8</v>
      </c>
      <c r="AB2016">
        <v>3</v>
      </c>
      <c r="AC2016">
        <v>0</v>
      </c>
      <c r="AD2016">
        <v>9</v>
      </c>
      <c r="AE2016">
        <v>0</v>
      </c>
      <c r="AF2016">
        <v>3</v>
      </c>
      <c r="AG2016">
        <v>1</v>
      </c>
      <c r="AH2016">
        <v>0</v>
      </c>
      <c r="AI2016" t="s">
        <v>1058</v>
      </c>
      <c r="AJ2016">
        <v>33.030738999999997</v>
      </c>
      <c r="AK2016" t="s">
        <v>1059</v>
      </c>
      <c r="AL2016">
        <v>-97.658221999999995</v>
      </c>
      <c r="AM2016">
        <v>25</v>
      </c>
      <c r="AN2016">
        <v>3400</v>
      </c>
      <c r="AO2016" t="s">
        <v>118</v>
      </c>
      <c r="AP2016">
        <v>35</v>
      </c>
      <c r="AQ2016">
        <v>-76</v>
      </c>
      <c r="AR2016">
        <v>0</v>
      </c>
      <c r="AZ2016">
        <v>1200</v>
      </c>
      <c r="BA2016">
        <v>1</v>
      </c>
      <c r="BB2016" t="str">
        <f t="shared" si="602"/>
        <v xml:space="preserve">N733KP  </v>
      </c>
      <c r="BC2016">
        <v>1</v>
      </c>
      <c r="BE2016">
        <v>0</v>
      </c>
      <c r="BF2016">
        <v>0</v>
      </c>
      <c r="BG2016">
        <v>0</v>
      </c>
      <c r="BH2016">
        <v>3375</v>
      </c>
      <c r="BI2016">
        <v>1</v>
      </c>
      <c r="BJ2016">
        <v>1</v>
      </c>
      <c r="BK2016">
        <v>0</v>
      </c>
      <c r="BL2016">
        <v>0</v>
      </c>
      <c r="BO2016">
        <v>0</v>
      </c>
      <c r="BP2016">
        <v>0</v>
      </c>
      <c r="BW2016" t="str">
        <f>"22:17:56.301"</f>
        <v>22:17:56.301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7</v>
      </c>
      <c r="CP2016" t="s">
        <v>119</v>
      </c>
      <c r="CQ2016">
        <v>364</v>
      </c>
      <c r="CR2016">
        <v>0</v>
      </c>
      <c r="CW2016">
        <v>1442097</v>
      </c>
      <c r="CY2016">
        <v>1</v>
      </c>
      <c r="CZ2016">
        <v>0</v>
      </c>
      <c r="DA2016">
        <v>1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>"03/24/2022 22:17:57.549"</f>
        <v>03/24/2022 22:17:57.549</v>
      </c>
      <c r="C2017" t="str">
        <f t="shared" si="600"/>
        <v>FFDFD3C0</v>
      </c>
      <c r="D2017" t="s">
        <v>123</v>
      </c>
      <c r="E2017">
        <v>8</v>
      </c>
      <c r="H2017">
        <v>31</v>
      </c>
      <c r="I2017" t="s">
        <v>124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0</v>
      </c>
      <c r="P2017">
        <v>1</v>
      </c>
      <c r="Q2017">
        <v>0</v>
      </c>
      <c r="S2017" t="str">
        <f t="shared" ref="S2017:T2020" si="605">"22:17:57.000"</f>
        <v>22:17:57.000</v>
      </c>
      <c r="T2017" t="str">
        <f t="shared" si="605"/>
        <v>22:17:57.000</v>
      </c>
      <c r="U2017" t="str">
        <f t="shared" si="595"/>
        <v>A9D71F</v>
      </c>
      <c r="V2017">
        <v>0</v>
      </c>
      <c r="W2017">
        <v>0</v>
      </c>
      <c r="X2017">
        <v>2</v>
      </c>
      <c r="Z2017">
        <v>1</v>
      </c>
      <c r="AA2017">
        <v>8</v>
      </c>
      <c r="AB2017">
        <v>3</v>
      </c>
      <c r="AC2017">
        <v>0</v>
      </c>
      <c r="AD2017">
        <v>9</v>
      </c>
      <c r="AE2017">
        <v>0</v>
      </c>
      <c r="AF2017">
        <v>3</v>
      </c>
      <c r="AG2017">
        <v>1</v>
      </c>
      <c r="AH2017">
        <v>0</v>
      </c>
      <c r="AI2017" t="s">
        <v>1060</v>
      </c>
      <c r="AJ2017">
        <v>33.030374000000002</v>
      </c>
      <c r="AK2017" t="s">
        <v>1061</v>
      </c>
      <c r="AL2017">
        <v>-97.658028999999999</v>
      </c>
      <c r="AM2017">
        <v>25</v>
      </c>
      <c r="AN2017">
        <v>3400</v>
      </c>
      <c r="AO2017" t="s">
        <v>118</v>
      </c>
      <c r="AP2017">
        <v>35</v>
      </c>
      <c r="AQ2017">
        <v>-75</v>
      </c>
      <c r="AR2017">
        <v>0</v>
      </c>
      <c r="AZ2017">
        <v>1200</v>
      </c>
      <c r="BA2017">
        <v>1</v>
      </c>
      <c r="BB2017" t="str">
        <f t="shared" si="602"/>
        <v xml:space="preserve">N733KP  </v>
      </c>
      <c r="BC2017">
        <v>1</v>
      </c>
      <c r="BE2017">
        <v>0</v>
      </c>
      <c r="BF2017">
        <v>0</v>
      </c>
      <c r="BG2017">
        <v>0</v>
      </c>
      <c r="BH2017">
        <v>3375</v>
      </c>
      <c r="BI2017">
        <v>1</v>
      </c>
      <c r="BJ2017">
        <v>1</v>
      </c>
      <c r="BK2017">
        <v>0</v>
      </c>
      <c r="BL2017">
        <v>0</v>
      </c>
      <c r="BO2017">
        <v>0</v>
      </c>
      <c r="BP2017">
        <v>0</v>
      </c>
      <c r="BW2017" t="str">
        <f>"22:17:57.391"</f>
        <v>22:17:57.391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119</v>
      </c>
      <c r="CQ2017">
        <v>364</v>
      </c>
      <c r="CR2017">
        <v>0</v>
      </c>
      <c r="CW2017">
        <v>1442257</v>
      </c>
      <c r="CY2017">
        <v>1</v>
      </c>
      <c r="CZ2017">
        <v>0</v>
      </c>
      <c r="DA2017">
        <v>0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>"03/24/2022 22:17:57.580"</f>
        <v>03/24/2022 22:17:57.580</v>
      </c>
      <c r="C2018" t="str">
        <f t="shared" si="600"/>
        <v>FFDFD3C0</v>
      </c>
      <c r="D2018" t="s">
        <v>113</v>
      </c>
      <c r="E2018">
        <v>24</v>
      </c>
      <c r="F2018">
        <v>2024</v>
      </c>
      <c r="G2018" t="s">
        <v>114</v>
      </c>
      <c r="J2018" t="s">
        <v>115</v>
      </c>
      <c r="K2018">
        <v>0</v>
      </c>
      <c r="L2018">
        <v>3</v>
      </c>
      <c r="M2018">
        <v>0</v>
      </c>
      <c r="N2018">
        <v>2</v>
      </c>
      <c r="O2018">
        <v>0</v>
      </c>
      <c r="P2018">
        <v>1</v>
      </c>
      <c r="Q2018">
        <v>0</v>
      </c>
      <c r="S2018" t="str">
        <f t="shared" si="605"/>
        <v>22:17:57.000</v>
      </c>
      <c r="T2018" t="str">
        <f t="shared" si="605"/>
        <v>22:17:57.000</v>
      </c>
      <c r="U2018" t="str">
        <f t="shared" si="595"/>
        <v>A9D71F</v>
      </c>
      <c r="V2018">
        <v>0</v>
      </c>
      <c r="W2018">
        <v>0</v>
      </c>
      <c r="X2018">
        <v>2</v>
      </c>
      <c r="Z2018">
        <v>1</v>
      </c>
      <c r="AA2018">
        <v>8</v>
      </c>
      <c r="AB2018">
        <v>3</v>
      </c>
      <c r="AC2018">
        <v>0</v>
      </c>
      <c r="AD2018">
        <v>9</v>
      </c>
      <c r="AE2018">
        <v>0</v>
      </c>
      <c r="AF2018">
        <v>3</v>
      </c>
      <c r="AG2018">
        <v>1</v>
      </c>
      <c r="AH2018">
        <v>0</v>
      </c>
      <c r="AI2018" t="s">
        <v>1060</v>
      </c>
      <c r="AJ2018">
        <v>33.030374000000002</v>
      </c>
      <c r="AK2018" t="s">
        <v>1061</v>
      </c>
      <c r="AL2018">
        <v>-97.658028999999999</v>
      </c>
      <c r="AM2018">
        <v>25</v>
      </c>
      <c r="AN2018">
        <v>3400</v>
      </c>
      <c r="AO2018" t="s">
        <v>118</v>
      </c>
      <c r="AP2018">
        <v>35</v>
      </c>
      <c r="AQ2018">
        <v>-75</v>
      </c>
      <c r="AR2018">
        <v>0</v>
      </c>
      <c r="AZ2018">
        <v>1200</v>
      </c>
      <c r="BA2018">
        <v>1</v>
      </c>
      <c r="BB2018" t="str">
        <f t="shared" si="602"/>
        <v xml:space="preserve">N733KP  </v>
      </c>
      <c r="BC2018">
        <v>1</v>
      </c>
      <c r="BE2018">
        <v>0</v>
      </c>
      <c r="BF2018">
        <v>0</v>
      </c>
      <c r="BG2018">
        <v>0</v>
      </c>
      <c r="BH2018">
        <v>3375</v>
      </c>
      <c r="BI2018">
        <v>1</v>
      </c>
      <c r="BJ2018">
        <v>1</v>
      </c>
      <c r="BK2018">
        <v>0</v>
      </c>
      <c r="BL2018">
        <v>0</v>
      </c>
      <c r="BO2018">
        <v>0</v>
      </c>
      <c r="BP2018">
        <v>0</v>
      </c>
      <c r="BW2018" t="str">
        <f>"22:17:57.391"</f>
        <v>22:17:57.391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119</v>
      </c>
      <c r="CQ2018">
        <v>364</v>
      </c>
      <c r="CR2018">
        <v>0</v>
      </c>
      <c r="CW2018">
        <v>1442257</v>
      </c>
      <c r="CY2018">
        <v>1</v>
      </c>
      <c r="CZ2018">
        <v>0</v>
      </c>
      <c r="DA2018">
        <v>1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>"03/24/2022 22:17:57.595"</f>
        <v>03/24/2022 22:17:57.595</v>
      </c>
      <c r="C2019" t="str">
        <f t="shared" si="600"/>
        <v>FFDFD3C0</v>
      </c>
      <c r="D2019" t="s">
        <v>126</v>
      </c>
      <c r="E2019">
        <v>3</v>
      </c>
      <c r="H2019">
        <v>160</v>
      </c>
      <c r="I2019" t="s">
        <v>121</v>
      </c>
      <c r="J2019" t="s">
        <v>127</v>
      </c>
      <c r="K2019">
        <v>0</v>
      </c>
      <c r="L2019">
        <v>3</v>
      </c>
      <c r="M2019">
        <v>0</v>
      </c>
      <c r="N2019">
        <v>2</v>
      </c>
      <c r="O2019">
        <v>0</v>
      </c>
      <c r="P2019">
        <v>1</v>
      </c>
      <c r="Q2019">
        <v>0</v>
      </c>
      <c r="S2019" t="str">
        <f t="shared" si="605"/>
        <v>22:17:57.000</v>
      </c>
      <c r="T2019" t="str">
        <f t="shared" si="605"/>
        <v>22:17:57.000</v>
      </c>
      <c r="U2019" t="str">
        <f t="shared" si="595"/>
        <v>A9D71F</v>
      </c>
      <c r="V2019">
        <v>0</v>
      </c>
      <c r="W2019">
        <v>0</v>
      </c>
      <c r="X2019">
        <v>2</v>
      </c>
      <c r="Z2019">
        <v>1</v>
      </c>
      <c r="AA2019">
        <v>8</v>
      </c>
      <c r="AB2019">
        <v>3</v>
      </c>
      <c r="AC2019">
        <v>0</v>
      </c>
      <c r="AD2019">
        <v>9</v>
      </c>
      <c r="AE2019">
        <v>0</v>
      </c>
      <c r="AF2019">
        <v>3</v>
      </c>
      <c r="AG2019">
        <v>1</v>
      </c>
      <c r="AH2019">
        <v>0</v>
      </c>
      <c r="AI2019" t="s">
        <v>1060</v>
      </c>
      <c r="AJ2019">
        <v>33.030374000000002</v>
      </c>
      <c r="AK2019" t="s">
        <v>1061</v>
      </c>
      <c r="AL2019">
        <v>-97.658028999999999</v>
      </c>
      <c r="AM2019">
        <v>25</v>
      </c>
      <c r="AN2019">
        <v>3400</v>
      </c>
      <c r="AO2019" t="s">
        <v>118</v>
      </c>
      <c r="AP2019">
        <v>35</v>
      </c>
      <c r="AQ2019">
        <v>-75</v>
      </c>
      <c r="AR2019">
        <v>0</v>
      </c>
      <c r="AZ2019">
        <v>1200</v>
      </c>
      <c r="BA2019">
        <v>1</v>
      </c>
      <c r="BB2019" t="str">
        <f t="shared" si="602"/>
        <v xml:space="preserve">N733KP  </v>
      </c>
      <c r="BC2019">
        <v>1</v>
      </c>
      <c r="BE2019">
        <v>0</v>
      </c>
      <c r="BF2019">
        <v>0</v>
      </c>
      <c r="BG2019">
        <v>0</v>
      </c>
      <c r="BH2019">
        <v>3375</v>
      </c>
      <c r="BI2019">
        <v>1</v>
      </c>
      <c r="BJ2019">
        <v>1</v>
      </c>
      <c r="BK2019">
        <v>0</v>
      </c>
      <c r="BL2019">
        <v>0</v>
      </c>
      <c r="BO2019">
        <v>0</v>
      </c>
      <c r="BP2019">
        <v>0</v>
      </c>
      <c r="BW2019" t="str">
        <f>"22:17:57.391"</f>
        <v>22:17:57.391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119</v>
      </c>
      <c r="CQ2019">
        <v>364</v>
      </c>
      <c r="CR2019">
        <v>0</v>
      </c>
      <c r="CW2019">
        <v>1442257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>"03/24/2022 22:17:57.595"</f>
        <v>03/24/2022 22:17:57.595</v>
      </c>
      <c r="C2020" t="str">
        <f t="shared" si="600"/>
        <v>FFDFD3C0</v>
      </c>
      <c r="D2020" t="s">
        <v>120</v>
      </c>
      <c r="E2020">
        <v>14</v>
      </c>
      <c r="F2020">
        <v>1014</v>
      </c>
      <c r="G2020" t="s">
        <v>121</v>
      </c>
      <c r="J2020" t="s">
        <v>122</v>
      </c>
      <c r="K2020">
        <v>0</v>
      </c>
      <c r="L2020">
        <v>3</v>
      </c>
      <c r="M2020">
        <v>0</v>
      </c>
      <c r="N2020">
        <v>2</v>
      </c>
      <c r="O2020">
        <v>0</v>
      </c>
      <c r="P2020">
        <v>1</v>
      </c>
      <c r="Q2020">
        <v>0</v>
      </c>
      <c r="S2020" t="str">
        <f t="shared" si="605"/>
        <v>22:17:57.000</v>
      </c>
      <c r="T2020" t="str">
        <f t="shared" si="605"/>
        <v>22:17:57.000</v>
      </c>
      <c r="U2020" t="str">
        <f t="shared" si="595"/>
        <v>A9D71F</v>
      </c>
      <c r="V2020">
        <v>0</v>
      </c>
      <c r="W2020">
        <v>0</v>
      </c>
      <c r="X2020">
        <v>2</v>
      </c>
      <c r="Z2020">
        <v>1</v>
      </c>
      <c r="AA2020">
        <v>8</v>
      </c>
      <c r="AB2020">
        <v>3</v>
      </c>
      <c r="AC2020">
        <v>0</v>
      </c>
      <c r="AD2020">
        <v>9</v>
      </c>
      <c r="AE2020">
        <v>0</v>
      </c>
      <c r="AF2020">
        <v>3</v>
      </c>
      <c r="AG2020">
        <v>1</v>
      </c>
      <c r="AH2020">
        <v>0</v>
      </c>
      <c r="AI2020" t="s">
        <v>1060</v>
      </c>
      <c r="AJ2020">
        <v>33.030374000000002</v>
      </c>
      <c r="AK2020" t="s">
        <v>1061</v>
      </c>
      <c r="AL2020">
        <v>-97.658028999999999</v>
      </c>
      <c r="AM2020">
        <v>25</v>
      </c>
      <c r="AN2020">
        <v>3400</v>
      </c>
      <c r="AO2020" t="s">
        <v>118</v>
      </c>
      <c r="AP2020">
        <v>35</v>
      </c>
      <c r="AQ2020">
        <v>-75</v>
      </c>
      <c r="AR2020">
        <v>0</v>
      </c>
      <c r="AZ2020">
        <v>1200</v>
      </c>
      <c r="BA2020">
        <v>1</v>
      </c>
      <c r="BB2020" t="str">
        <f t="shared" si="602"/>
        <v xml:space="preserve">N733KP  </v>
      </c>
      <c r="BC2020">
        <v>1</v>
      </c>
      <c r="BE2020">
        <v>0</v>
      </c>
      <c r="BF2020">
        <v>0</v>
      </c>
      <c r="BG2020">
        <v>0</v>
      </c>
      <c r="BH2020">
        <v>3375</v>
      </c>
      <c r="BI2020">
        <v>1</v>
      </c>
      <c r="BJ2020">
        <v>1</v>
      </c>
      <c r="BK2020">
        <v>0</v>
      </c>
      <c r="BL2020">
        <v>0</v>
      </c>
      <c r="BO2020">
        <v>0</v>
      </c>
      <c r="BP2020">
        <v>0</v>
      </c>
      <c r="BW2020" t="str">
        <f>"22:17:57.391"</f>
        <v>22:17:57.391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7</v>
      </c>
      <c r="CP2020" t="s">
        <v>119</v>
      </c>
      <c r="CQ2020">
        <v>364</v>
      </c>
      <c r="CR2020">
        <v>0</v>
      </c>
      <c r="CW2020">
        <v>1442257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>"03/24/2022 22:17:59.082"</f>
        <v>03/24/2022 22:17:59.082</v>
      </c>
      <c r="C2021" t="str">
        <f t="shared" si="600"/>
        <v>FFDFD3C0</v>
      </c>
      <c r="D2021" t="s">
        <v>113</v>
      </c>
      <c r="E2021">
        <v>24</v>
      </c>
      <c r="F2021">
        <v>2024</v>
      </c>
      <c r="G2021" t="s">
        <v>114</v>
      </c>
      <c r="J2021" t="s">
        <v>115</v>
      </c>
      <c r="K2021">
        <v>0</v>
      </c>
      <c r="L2021">
        <v>3</v>
      </c>
      <c r="M2021">
        <v>0</v>
      </c>
      <c r="N2021">
        <v>2</v>
      </c>
      <c r="O2021">
        <v>0</v>
      </c>
      <c r="P2021">
        <v>1</v>
      </c>
      <c r="Q2021">
        <v>0</v>
      </c>
      <c r="S2021" t="str">
        <f t="shared" ref="S2021:T2024" si="606">"22:17:58.000"</f>
        <v>22:17:58.000</v>
      </c>
      <c r="T2021" t="str">
        <f t="shared" si="606"/>
        <v>22:17:58.000</v>
      </c>
      <c r="U2021" t="str">
        <f t="shared" si="595"/>
        <v>A9D71F</v>
      </c>
      <c r="V2021">
        <v>0</v>
      </c>
      <c r="W2021">
        <v>0</v>
      </c>
      <c r="X2021">
        <v>2</v>
      </c>
      <c r="Z2021">
        <v>1</v>
      </c>
      <c r="AA2021">
        <v>8</v>
      </c>
      <c r="AB2021">
        <v>3</v>
      </c>
      <c r="AC2021">
        <v>0</v>
      </c>
      <c r="AD2021">
        <v>9</v>
      </c>
      <c r="AE2021">
        <v>0</v>
      </c>
      <c r="AF2021">
        <v>3</v>
      </c>
      <c r="AG2021">
        <v>1</v>
      </c>
      <c r="AH2021">
        <v>0</v>
      </c>
      <c r="AI2021" t="s">
        <v>1062</v>
      </c>
      <c r="AJ2021">
        <v>33.030031000000001</v>
      </c>
      <c r="AK2021" t="s">
        <v>1063</v>
      </c>
      <c r="AL2021">
        <v>-97.657814000000002</v>
      </c>
      <c r="AM2021">
        <v>25</v>
      </c>
      <c r="AN2021">
        <v>3400</v>
      </c>
      <c r="AO2021" t="s">
        <v>118</v>
      </c>
      <c r="AP2021">
        <v>36</v>
      </c>
      <c r="AQ2021">
        <v>-74</v>
      </c>
      <c r="AR2021">
        <v>128</v>
      </c>
      <c r="AZ2021">
        <v>1200</v>
      </c>
      <c r="BA2021">
        <v>1</v>
      </c>
      <c r="BB2021" t="str">
        <f t="shared" si="602"/>
        <v xml:space="preserve">N733KP  </v>
      </c>
      <c r="BC2021">
        <v>1</v>
      </c>
      <c r="BE2021">
        <v>0</v>
      </c>
      <c r="BF2021">
        <v>0</v>
      </c>
      <c r="BG2021">
        <v>0</v>
      </c>
      <c r="BH2021">
        <v>3375</v>
      </c>
      <c r="BI2021">
        <v>1</v>
      </c>
      <c r="BJ2021">
        <v>1</v>
      </c>
      <c r="BK2021">
        <v>0</v>
      </c>
      <c r="BL2021">
        <v>0</v>
      </c>
      <c r="BO2021">
        <v>0</v>
      </c>
      <c r="BP2021">
        <v>0</v>
      </c>
      <c r="BW2021" t="str">
        <f>"22:17:58.818"</f>
        <v>22:17:58.818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6</v>
      </c>
      <c r="CP2021" t="s">
        <v>119</v>
      </c>
      <c r="CQ2021">
        <v>364</v>
      </c>
      <c r="CR2021">
        <v>0</v>
      </c>
      <c r="CW2021">
        <v>1442493</v>
      </c>
      <c r="CY2021">
        <v>1</v>
      </c>
      <c r="CZ2021">
        <v>0</v>
      </c>
      <c r="DA2021">
        <v>0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>"03/24/2022 22:17:59.082"</f>
        <v>03/24/2022 22:17:59.082</v>
      </c>
      <c r="C2022" t="str">
        <f t="shared" si="600"/>
        <v>FFDFD3C0</v>
      </c>
      <c r="D2022" t="s">
        <v>126</v>
      </c>
      <c r="E2022">
        <v>3</v>
      </c>
      <c r="H2022">
        <v>160</v>
      </c>
      <c r="I2022" t="s">
        <v>121</v>
      </c>
      <c r="J2022" t="s">
        <v>127</v>
      </c>
      <c r="K2022">
        <v>0</v>
      </c>
      <c r="L2022">
        <v>3</v>
      </c>
      <c r="M2022">
        <v>0</v>
      </c>
      <c r="N2022">
        <v>2</v>
      </c>
      <c r="O2022">
        <v>0</v>
      </c>
      <c r="P2022">
        <v>1</v>
      </c>
      <c r="Q2022">
        <v>0</v>
      </c>
      <c r="S2022" t="str">
        <f t="shared" si="606"/>
        <v>22:17:58.000</v>
      </c>
      <c r="T2022" t="str">
        <f t="shared" si="606"/>
        <v>22:17:58.000</v>
      </c>
      <c r="U2022" t="str">
        <f t="shared" si="595"/>
        <v>A9D71F</v>
      </c>
      <c r="V2022">
        <v>0</v>
      </c>
      <c r="W2022">
        <v>0</v>
      </c>
      <c r="X2022">
        <v>2</v>
      </c>
      <c r="Z2022">
        <v>1</v>
      </c>
      <c r="AA2022">
        <v>8</v>
      </c>
      <c r="AB2022">
        <v>3</v>
      </c>
      <c r="AC2022">
        <v>0</v>
      </c>
      <c r="AD2022">
        <v>9</v>
      </c>
      <c r="AE2022">
        <v>0</v>
      </c>
      <c r="AF2022">
        <v>3</v>
      </c>
      <c r="AG2022">
        <v>1</v>
      </c>
      <c r="AH2022">
        <v>0</v>
      </c>
      <c r="AI2022" t="s">
        <v>1062</v>
      </c>
      <c r="AJ2022">
        <v>33.030031000000001</v>
      </c>
      <c r="AK2022" t="s">
        <v>1063</v>
      </c>
      <c r="AL2022">
        <v>-97.657814000000002</v>
      </c>
      <c r="AM2022">
        <v>25</v>
      </c>
      <c r="AN2022">
        <v>3400</v>
      </c>
      <c r="AO2022" t="s">
        <v>118</v>
      </c>
      <c r="AP2022">
        <v>36</v>
      </c>
      <c r="AQ2022">
        <v>-74</v>
      </c>
      <c r="AR2022">
        <v>128</v>
      </c>
      <c r="AZ2022">
        <v>1200</v>
      </c>
      <c r="BA2022">
        <v>1</v>
      </c>
      <c r="BB2022" t="str">
        <f t="shared" si="602"/>
        <v xml:space="preserve">N733KP  </v>
      </c>
      <c r="BC2022">
        <v>1</v>
      </c>
      <c r="BE2022">
        <v>0</v>
      </c>
      <c r="BF2022">
        <v>0</v>
      </c>
      <c r="BG2022">
        <v>0</v>
      </c>
      <c r="BH2022">
        <v>3375</v>
      </c>
      <c r="BI2022">
        <v>1</v>
      </c>
      <c r="BJ2022">
        <v>1</v>
      </c>
      <c r="BK2022">
        <v>0</v>
      </c>
      <c r="BL2022">
        <v>0</v>
      </c>
      <c r="BO2022">
        <v>0</v>
      </c>
      <c r="BP2022">
        <v>0</v>
      </c>
      <c r="BW2022" t="str">
        <f>"22:17:58.818"</f>
        <v>22:17:58.818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6</v>
      </c>
      <c r="CP2022" t="s">
        <v>119</v>
      </c>
      <c r="CQ2022">
        <v>364</v>
      </c>
      <c r="CR2022">
        <v>0</v>
      </c>
      <c r="CW2022">
        <v>1442493</v>
      </c>
      <c r="CY2022">
        <v>1</v>
      </c>
      <c r="CZ2022">
        <v>0</v>
      </c>
      <c r="DA2022">
        <v>1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>"03/24/2022 22:17:59.129"</f>
        <v>03/24/2022 22:17:59.129</v>
      </c>
      <c r="C2023" t="str">
        <f t="shared" si="600"/>
        <v>FFDFD3C0</v>
      </c>
      <c r="D2023" t="s">
        <v>120</v>
      </c>
      <c r="E2023">
        <v>14</v>
      </c>
      <c r="F2023">
        <v>1014</v>
      </c>
      <c r="G2023" t="s">
        <v>121</v>
      </c>
      <c r="J2023" t="s">
        <v>122</v>
      </c>
      <c r="K2023">
        <v>0</v>
      </c>
      <c r="L2023">
        <v>3</v>
      </c>
      <c r="M2023">
        <v>0</v>
      </c>
      <c r="N2023">
        <v>2</v>
      </c>
      <c r="O2023">
        <v>0</v>
      </c>
      <c r="P2023">
        <v>1</v>
      </c>
      <c r="Q2023">
        <v>0</v>
      </c>
      <c r="S2023" t="str">
        <f t="shared" si="606"/>
        <v>22:17:58.000</v>
      </c>
      <c r="T2023" t="str">
        <f t="shared" si="606"/>
        <v>22:17:58.000</v>
      </c>
      <c r="U2023" t="str">
        <f t="shared" si="595"/>
        <v>A9D71F</v>
      </c>
      <c r="V2023">
        <v>0</v>
      </c>
      <c r="W2023">
        <v>0</v>
      </c>
      <c r="X2023">
        <v>2</v>
      </c>
      <c r="Z2023">
        <v>1</v>
      </c>
      <c r="AA2023">
        <v>8</v>
      </c>
      <c r="AB2023">
        <v>3</v>
      </c>
      <c r="AC2023">
        <v>0</v>
      </c>
      <c r="AD2023">
        <v>9</v>
      </c>
      <c r="AE2023">
        <v>0</v>
      </c>
      <c r="AF2023">
        <v>3</v>
      </c>
      <c r="AG2023">
        <v>1</v>
      </c>
      <c r="AH2023">
        <v>0</v>
      </c>
      <c r="AI2023" t="s">
        <v>1062</v>
      </c>
      <c r="AJ2023">
        <v>33.030031000000001</v>
      </c>
      <c r="AK2023" t="s">
        <v>1063</v>
      </c>
      <c r="AL2023">
        <v>-97.657814000000002</v>
      </c>
      <c r="AM2023">
        <v>25</v>
      </c>
      <c r="AN2023">
        <v>3400</v>
      </c>
      <c r="AO2023" t="s">
        <v>118</v>
      </c>
      <c r="AP2023">
        <v>36</v>
      </c>
      <c r="AQ2023">
        <v>-74</v>
      </c>
      <c r="AR2023">
        <v>128</v>
      </c>
      <c r="AZ2023">
        <v>1200</v>
      </c>
      <c r="BA2023">
        <v>1</v>
      </c>
      <c r="BB2023" t="str">
        <f t="shared" si="602"/>
        <v xml:space="preserve">N733KP  </v>
      </c>
      <c r="BC2023">
        <v>1</v>
      </c>
      <c r="BE2023">
        <v>0</v>
      </c>
      <c r="BF2023">
        <v>0</v>
      </c>
      <c r="BG2023">
        <v>0</v>
      </c>
      <c r="BH2023">
        <v>3375</v>
      </c>
      <c r="BI2023">
        <v>1</v>
      </c>
      <c r="BJ2023">
        <v>1</v>
      </c>
      <c r="BK2023">
        <v>0</v>
      </c>
      <c r="BL2023">
        <v>0</v>
      </c>
      <c r="BO2023">
        <v>0</v>
      </c>
      <c r="BP2023">
        <v>0</v>
      </c>
      <c r="BW2023" t="str">
        <f>"22:17:58.818"</f>
        <v>22:17:58.818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6</v>
      </c>
      <c r="CP2023" t="s">
        <v>119</v>
      </c>
      <c r="CQ2023">
        <v>364</v>
      </c>
      <c r="CR2023">
        <v>0</v>
      </c>
      <c r="CW2023">
        <v>1442493</v>
      </c>
      <c r="CY2023">
        <v>1</v>
      </c>
      <c r="CZ2023">
        <v>0</v>
      </c>
      <c r="DA2023">
        <v>1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>"03/24/2022 22:17:59.129"</f>
        <v>03/24/2022 22:17:59.129</v>
      </c>
      <c r="C2024" t="str">
        <f t="shared" si="600"/>
        <v>FFDFD3C0</v>
      </c>
      <c r="D2024" t="s">
        <v>123</v>
      </c>
      <c r="E2024">
        <v>8</v>
      </c>
      <c r="H2024">
        <v>31</v>
      </c>
      <c r="I2024" t="s">
        <v>124</v>
      </c>
      <c r="J2024" t="s">
        <v>125</v>
      </c>
      <c r="K2024">
        <v>0</v>
      </c>
      <c r="L2024">
        <v>3</v>
      </c>
      <c r="M2024">
        <v>0</v>
      </c>
      <c r="N2024">
        <v>2</v>
      </c>
      <c r="O2024">
        <v>0</v>
      </c>
      <c r="P2024">
        <v>1</v>
      </c>
      <c r="Q2024">
        <v>0</v>
      </c>
      <c r="S2024" t="str">
        <f t="shared" si="606"/>
        <v>22:17:58.000</v>
      </c>
      <c r="T2024" t="str">
        <f t="shared" si="606"/>
        <v>22:17:58.000</v>
      </c>
      <c r="U2024" t="str">
        <f t="shared" si="595"/>
        <v>A9D71F</v>
      </c>
      <c r="V2024">
        <v>0</v>
      </c>
      <c r="W2024">
        <v>0</v>
      </c>
      <c r="X2024">
        <v>2</v>
      </c>
      <c r="Z2024">
        <v>1</v>
      </c>
      <c r="AA2024">
        <v>8</v>
      </c>
      <c r="AB2024">
        <v>3</v>
      </c>
      <c r="AC2024">
        <v>0</v>
      </c>
      <c r="AD2024">
        <v>9</v>
      </c>
      <c r="AE2024">
        <v>0</v>
      </c>
      <c r="AF2024">
        <v>3</v>
      </c>
      <c r="AG2024">
        <v>1</v>
      </c>
      <c r="AH2024">
        <v>0</v>
      </c>
      <c r="AI2024" t="s">
        <v>1062</v>
      </c>
      <c r="AJ2024">
        <v>33.030031000000001</v>
      </c>
      <c r="AK2024" t="s">
        <v>1063</v>
      </c>
      <c r="AL2024">
        <v>-97.657814000000002</v>
      </c>
      <c r="AM2024">
        <v>25</v>
      </c>
      <c r="AN2024">
        <v>3400</v>
      </c>
      <c r="AO2024" t="s">
        <v>118</v>
      </c>
      <c r="AP2024">
        <v>36</v>
      </c>
      <c r="AQ2024">
        <v>-74</v>
      </c>
      <c r="AR2024">
        <v>128</v>
      </c>
      <c r="AZ2024">
        <v>1200</v>
      </c>
      <c r="BA2024">
        <v>1</v>
      </c>
      <c r="BB2024" t="str">
        <f t="shared" si="602"/>
        <v xml:space="preserve">N733KP  </v>
      </c>
      <c r="BC2024">
        <v>1</v>
      </c>
      <c r="BE2024">
        <v>0</v>
      </c>
      <c r="BF2024">
        <v>0</v>
      </c>
      <c r="BG2024">
        <v>0</v>
      </c>
      <c r="BH2024">
        <v>3375</v>
      </c>
      <c r="BI2024">
        <v>1</v>
      </c>
      <c r="BJ2024">
        <v>1</v>
      </c>
      <c r="BK2024">
        <v>0</v>
      </c>
      <c r="BL2024">
        <v>0</v>
      </c>
      <c r="BO2024">
        <v>0</v>
      </c>
      <c r="BP2024">
        <v>0</v>
      </c>
      <c r="BW2024" t="str">
        <f>"22:17:58.818"</f>
        <v>22:17:58.818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6</v>
      </c>
      <c r="CP2024" t="s">
        <v>119</v>
      </c>
      <c r="CQ2024">
        <v>364</v>
      </c>
      <c r="CR2024">
        <v>0</v>
      </c>
      <c r="CW2024">
        <v>1442493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>"03/24/2022 22:17:59.567"</f>
        <v>03/24/2022 22:17:59.567</v>
      </c>
      <c r="C2025" t="str">
        <f t="shared" si="600"/>
        <v>FFDFD3C0</v>
      </c>
      <c r="D2025" t="s">
        <v>123</v>
      </c>
      <c r="E2025">
        <v>8</v>
      </c>
      <c r="H2025">
        <v>31</v>
      </c>
      <c r="I2025" t="s">
        <v>124</v>
      </c>
      <c r="J2025" t="s">
        <v>125</v>
      </c>
      <c r="K2025">
        <v>0</v>
      </c>
      <c r="L2025">
        <v>3</v>
      </c>
      <c r="M2025">
        <v>0</v>
      </c>
      <c r="N2025">
        <v>2</v>
      </c>
      <c r="O2025">
        <v>0</v>
      </c>
      <c r="P2025">
        <v>1</v>
      </c>
      <c r="Q2025">
        <v>0</v>
      </c>
      <c r="S2025" t="str">
        <f t="shared" ref="S2025:T2028" si="607">"22:17:59.000"</f>
        <v>22:17:59.000</v>
      </c>
      <c r="T2025" t="str">
        <f t="shared" si="607"/>
        <v>22:17:59.000</v>
      </c>
      <c r="U2025" t="str">
        <f t="shared" si="595"/>
        <v>A9D71F</v>
      </c>
      <c r="V2025">
        <v>0</v>
      </c>
      <c r="W2025">
        <v>0</v>
      </c>
      <c r="X2025">
        <v>2</v>
      </c>
      <c r="Z2025">
        <v>1</v>
      </c>
      <c r="AA2025">
        <v>8</v>
      </c>
      <c r="AB2025">
        <v>3</v>
      </c>
      <c r="AC2025">
        <v>0</v>
      </c>
      <c r="AD2025">
        <v>9</v>
      </c>
      <c r="AE2025">
        <v>0</v>
      </c>
      <c r="AF2025">
        <v>3</v>
      </c>
      <c r="AG2025">
        <v>1</v>
      </c>
      <c r="AH2025">
        <v>0</v>
      </c>
      <c r="AI2025" t="s">
        <v>1064</v>
      </c>
      <c r="AJ2025">
        <v>33.029687000000003</v>
      </c>
      <c r="AK2025" t="s">
        <v>1065</v>
      </c>
      <c r="AL2025">
        <v>-97.657621000000006</v>
      </c>
      <c r="AM2025">
        <v>25</v>
      </c>
      <c r="AN2025">
        <v>3400</v>
      </c>
      <c r="AO2025" t="s">
        <v>118</v>
      </c>
      <c r="AP2025">
        <v>35</v>
      </c>
      <c r="AQ2025">
        <v>-73</v>
      </c>
      <c r="AR2025">
        <v>128</v>
      </c>
      <c r="AZ2025">
        <v>1200</v>
      </c>
      <c r="BA2025">
        <v>1</v>
      </c>
      <c r="BB2025" t="str">
        <f t="shared" si="602"/>
        <v xml:space="preserve">N733KP  </v>
      </c>
      <c r="BC2025">
        <v>1</v>
      </c>
      <c r="BE2025">
        <v>0</v>
      </c>
      <c r="BF2025">
        <v>0</v>
      </c>
      <c r="BG2025">
        <v>0</v>
      </c>
      <c r="BH2025">
        <v>3375</v>
      </c>
      <c r="BI2025">
        <v>1</v>
      </c>
      <c r="BJ2025">
        <v>1</v>
      </c>
      <c r="BK2025">
        <v>0</v>
      </c>
      <c r="BL2025">
        <v>0</v>
      </c>
      <c r="BO2025">
        <v>0</v>
      </c>
      <c r="BP2025">
        <v>0</v>
      </c>
      <c r="BW2025" t="str">
        <f>"22:17:59.312"</f>
        <v>22:17:59.312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6</v>
      </c>
      <c r="CP2025" t="s">
        <v>119</v>
      </c>
      <c r="CQ2025">
        <v>364</v>
      </c>
      <c r="CR2025">
        <v>0</v>
      </c>
      <c r="CW2025">
        <v>1442556</v>
      </c>
      <c r="CY2025">
        <v>1</v>
      </c>
      <c r="CZ2025">
        <v>0</v>
      </c>
      <c r="DA2025">
        <v>0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>"03/24/2022 22:17:59.567"</f>
        <v>03/24/2022 22:17:59.567</v>
      </c>
      <c r="C2026" t="str">
        <f t="shared" si="600"/>
        <v>FFDFD3C0</v>
      </c>
      <c r="D2026" t="s">
        <v>120</v>
      </c>
      <c r="E2026">
        <v>14</v>
      </c>
      <c r="F2026">
        <v>1014</v>
      </c>
      <c r="G2026" t="s">
        <v>121</v>
      </c>
      <c r="J2026" t="s">
        <v>122</v>
      </c>
      <c r="K2026">
        <v>0</v>
      </c>
      <c r="L2026">
        <v>3</v>
      </c>
      <c r="M2026">
        <v>0</v>
      </c>
      <c r="N2026">
        <v>2</v>
      </c>
      <c r="O2026">
        <v>0</v>
      </c>
      <c r="P2026">
        <v>1</v>
      </c>
      <c r="Q2026">
        <v>0</v>
      </c>
      <c r="S2026" t="str">
        <f t="shared" si="607"/>
        <v>22:17:59.000</v>
      </c>
      <c r="T2026" t="str">
        <f t="shared" si="607"/>
        <v>22:17:59.000</v>
      </c>
      <c r="U2026" t="str">
        <f t="shared" si="595"/>
        <v>A9D71F</v>
      </c>
      <c r="V2026">
        <v>0</v>
      </c>
      <c r="W2026">
        <v>0</v>
      </c>
      <c r="X2026">
        <v>2</v>
      </c>
      <c r="Z2026">
        <v>1</v>
      </c>
      <c r="AA2026">
        <v>8</v>
      </c>
      <c r="AB2026">
        <v>3</v>
      </c>
      <c r="AC2026">
        <v>0</v>
      </c>
      <c r="AD2026">
        <v>9</v>
      </c>
      <c r="AE2026">
        <v>0</v>
      </c>
      <c r="AF2026">
        <v>3</v>
      </c>
      <c r="AG2026">
        <v>1</v>
      </c>
      <c r="AH2026">
        <v>0</v>
      </c>
      <c r="AI2026" t="s">
        <v>1064</v>
      </c>
      <c r="AJ2026">
        <v>33.029687000000003</v>
      </c>
      <c r="AK2026" t="s">
        <v>1065</v>
      </c>
      <c r="AL2026">
        <v>-97.657621000000006</v>
      </c>
      <c r="AM2026">
        <v>25</v>
      </c>
      <c r="AN2026">
        <v>3400</v>
      </c>
      <c r="AO2026" t="s">
        <v>118</v>
      </c>
      <c r="AP2026">
        <v>35</v>
      </c>
      <c r="AQ2026">
        <v>-73</v>
      </c>
      <c r="AR2026">
        <v>128</v>
      </c>
      <c r="AZ2026">
        <v>1200</v>
      </c>
      <c r="BA2026">
        <v>1</v>
      </c>
      <c r="BB2026" t="str">
        <f t="shared" si="602"/>
        <v xml:space="preserve">N733KP  </v>
      </c>
      <c r="BC2026">
        <v>1</v>
      </c>
      <c r="BE2026">
        <v>0</v>
      </c>
      <c r="BF2026">
        <v>0</v>
      </c>
      <c r="BG2026">
        <v>0</v>
      </c>
      <c r="BH2026">
        <v>3375</v>
      </c>
      <c r="BI2026">
        <v>1</v>
      </c>
      <c r="BJ2026">
        <v>1</v>
      </c>
      <c r="BK2026">
        <v>0</v>
      </c>
      <c r="BL2026">
        <v>0</v>
      </c>
      <c r="BO2026">
        <v>0</v>
      </c>
      <c r="BP2026">
        <v>0</v>
      </c>
      <c r="BW2026" t="str">
        <f>"22:17:59.312"</f>
        <v>22:17:59.312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6</v>
      </c>
      <c r="CP2026" t="s">
        <v>119</v>
      </c>
      <c r="CQ2026">
        <v>364</v>
      </c>
      <c r="CR2026">
        <v>0</v>
      </c>
      <c r="CW2026">
        <v>1442556</v>
      </c>
      <c r="CY2026">
        <v>1</v>
      </c>
      <c r="CZ2026">
        <v>0</v>
      </c>
      <c r="DA2026">
        <v>1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>"03/24/2022 22:17:59.567"</f>
        <v>03/24/2022 22:17:59.567</v>
      </c>
      <c r="C2027" t="str">
        <f t="shared" si="600"/>
        <v>FFDFD3C0</v>
      </c>
      <c r="D2027" t="s">
        <v>113</v>
      </c>
      <c r="E2027">
        <v>24</v>
      </c>
      <c r="F2027">
        <v>2024</v>
      </c>
      <c r="G2027" t="s">
        <v>114</v>
      </c>
      <c r="J2027" t="s">
        <v>115</v>
      </c>
      <c r="K2027">
        <v>0</v>
      </c>
      <c r="L2027">
        <v>3</v>
      </c>
      <c r="M2027">
        <v>0</v>
      </c>
      <c r="N2027">
        <v>2</v>
      </c>
      <c r="O2027">
        <v>0</v>
      </c>
      <c r="P2027">
        <v>1</v>
      </c>
      <c r="Q2027">
        <v>0</v>
      </c>
      <c r="S2027" t="str">
        <f t="shared" si="607"/>
        <v>22:17:59.000</v>
      </c>
      <c r="T2027" t="str">
        <f t="shared" si="607"/>
        <v>22:17:59.000</v>
      </c>
      <c r="U2027" t="str">
        <f t="shared" si="595"/>
        <v>A9D71F</v>
      </c>
      <c r="V2027">
        <v>0</v>
      </c>
      <c r="W2027">
        <v>0</v>
      </c>
      <c r="X2027">
        <v>2</v>
      </c>
      <c r="Z2027">
        <v>1</v>
      </c>
      <c r="AA2027">
        <v>8</v>
      </c>
      <c r="AB2027">
        <v>3</v>
      </c>
      <c r="AC2027">
        <v>0</v>
      </c>
      <c r="AD2027">
        <v>9</v>
      </c>
      <c r="AE2027">
        <v>0</v>
      </c>
      <c r="AF2027">
        <v>3</v>
      </c>
      <c r="AG2027">
        <v>1</v>
      </c>
      <c r="AH2027">
        <v>0</v>
      </c>
      <c r="AI2027" t="s">
        <v>1064</v>
      </c>
      <c r="AJ2027">
        <v>33.029687000000003</v>
      </c>
      <c r="AK2027" t="s">
        <v>1065</v>
      </c>
      <c r="AL2027">
        <v>-97.657621000000006</v>
      </c>
      <c r="AM2027">
        <v>25</v>
      </c>
      <c r="AN2027">
        <v>3400</v>
      </c>
      <c r="AO2027" t="s">
        <v>118</v>
      </c>
      <c r="AP2027">
        <v>35</v>
      </c>
      <c r="AQ2027">
        <v>-73</v>
      </c>
      <c r="AR2027">
        <v>128</v>
      </c>
      <c r="AZ2027">
        <v>1200</v>
      </c>
      <c r="BA2027">
        <v>1</v>
      </c>
      <c r="BB2027" t="str">
        <f t="shared" si="602"/>
        <v xml:space="preserve">N733KP  </v>
      </c>
      <c r="BC2027">
        <v>1</v>
      </c>
      <c r="BE2027">
        <v>0</v>
      </c>
      <c r="BF2027">
        <v>0</v>
      </c>
      <c r="BG2027">
        <v>0</v>
      </c>
      <c r="BH2027">
        <v>3375</v>
      </c>
      <c r="BI2027">
        <v>1</v>
      </c>
      <c r="BJ2027">
        <v>1</v>
      </c>
      <c r="BK2027">
        <v>0</v>
      </c>
      <c r="BL2027">
        <v>0</v>
      </c>
      <c r="BO2027">
        <v>0</v>
      </c>
      <c r="BP2027">
        <v>0</v>
      </c>
      <c r="BW2027" t="str">
        <f>"22:17:59.312"</f>
        <v>22:17:59.312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6</v>
      </c>
      <c r="CP2027" t="s">
        <v>119</v>
      </c>
      <c r="CQ2027">
        <v>364</v>
      </c>
      <c r="CR2027">
        <v>0</v>
      </c>
      <c r="CW2027">
        <v>1442556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>"03/24/2022 22:17:59.567"</f>
        <v>03/24/2022 22:17:59.567</v>
      </c>
      <c r="C2028" t="str">
        <f t="shared" si="600"/>
        <v>FFDFD3C0</v>
      </c>
      <c r="D2028" t="s">
        <v>126</v>
      </c>
      <c r="E2028">
        <v>3</v>
      </c>
      <c r="H2028">
        <v>160</v>
      </c>
      <c r="I2028" t="s">
        <v>121</v>
      </c>
      <c r="J2028" t="s">
        <v>127</v>
      </c>
      <c r="K2028">
        <v>0</v>
      </c>
      <c r="L2028">
        <v>3</v>
      </c>
      <c r="M2028">
        <v>0</v>
      </c>
      <c r="N2028">
        <v>2</v>
      </c>
      <c r="O2028">
        <v>0</v>
      </c>
      <c r="P2028">
        <v>1</v>
      </c>
      <c r="Q2028">
        <v>0</v>
      </c>
      <c r="S2028" t="str">
        <f t="shared" si="607"/>
        <v>22:17:59.000</v>
      </c>
      <c r="T2028" t="str">
        <f t="shared" si="607"/>
        <v>22:17:59.000</v>
      </c>
      <c r="U2028" t="str">
        <f t="shared" si="595"/>
        <v>A9D71F</v>
      </c>
      <c r="V2028">
        <v>0</v>
      </c>
      <c r="W2028">
        <v>0</v>
      </c>
      <c r="X2028">
        <v>2</v>
      </c>
      <c r="Z2028">
        <v>1</v>
      </c>
      <c r="AA2028">
        <v>8</v>
      </c>
      <c r="AB2028">
        <v>3</v>
      </c>
      <c r="AC2028">
        <v>0</v>
      </c>
      <c r="AD2028">
        <v>9</v>
      </c>
      <c r="AE2028">
        <v>0</v>
      </c>
      <c r="AF2028">
        <v>3</v>
      </c>
      <c r="AG2028">
        <v>1</v>
      </c>
      <c r="AH2028">
        <v>0</v>
      </c>
      <c r="AI2028" t="s">
        <v>1064</v>
      </c>
      <c r="AJ2028">
        <v>33.029687000000003</v>
      </c>
      <c r="AK2028" t="s">
        <v>1065</v>
      </c>
      <c r="AL2028">
        <v>-97.657621000000006</v>
      </c>
      <c r="AM2028">
        <v>25</v>
      </c>
      <c r="AN2028">
        <v>3400</v>
      </c>
      <c r="AO2028" t="s">
        <v>118</v>
      </c>
      <c r="AP2028">
        <v>35</v>
      </c>
      <c r="AQ2028">
        <v>-73</v>
      </c>
      <c r="AR2028">
        <v>128</v>
      </c>
      <c r="AZ2028">
        <v>1200</v>
      </c>
      <c r="BA2028">
        <v>1</v>
      </c>
      <c r="BB2028" t="str">
        <f t="shared" si="602"/>
        <v xml:space="preserve">N733KP  </v>
      </c>
      <c r="BC2028">
        <v>1</v>
      </c>
      <c r="BE2028">
        <v>0</v>
      </c>
      <c r="BF2028">
        <v>0</v>
      </c>
      <c r="BG2028">
        <v>0</v>
      </c>
      <c r="BH2028">
        <v>3375</v>
      </c>
      <c r="BI2028">
        <v>1</v>
      </c>
      <c r="BJ2028">
        <v>1</v>
      </c>
      <c r="BK2028">
        <v>0</v>
      </c>
      <c r="BL2028">
        <v>0</v>
      </c>
      <c r="BO2028">
        <v>0</v>
      </c>
      <c r="BP2028">
        <v>0</v>
      </c>
      <c r="BW2028" t="str">
        <f>"22:17:59.312"</f>
        <v>22:17:59.312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6</v>
      </c>
      <c r="CP2028" t="s">
        <v>119</v>
      </c>
      <c r="CQ2028">
        <v>364</v>
      </c>
      <c r="CR2028">
        <v>0</v>
      </c>
      <c r="CW2028">
        <v>1442556</v>
      </c>
      <c r="CY2028">
        <v>1</v>
      </c>
      <c r="CZ2028">
        <v>0</v>
      </c>
      <c r="DA2028">
        <v>1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>"03/24/2022 22:18:00.707"</f>
        <v>03/24/2022 22:18:00.707</v>
      </c>
      <c r="C2029" t="str">
        <f t="shared" si="600"/>
        <v>FFDFD3C0</v>
      </c>
      <c r="D2029" t="s">
        <v>123</v>
      </c>
      <c r="E2029">
        <v>8</v>
      </c>
      <c r="H2029">
        <v>31</v>
      </c>
      <c r="I2029" t="s">
        <v>124</v>
      </c>
      <c r="J2029" t="s">
        <v>125</v>
      </c>
      <c r="K2029">
        <v>0</v>
      </c>
      <c r="L2029">
        <v>3</v>
      </c>
      <c r="M2029">
        <v>0</v>
      </c>
      <c r="N2029">
        <v>2</v>
      </c>
      <c r="O2029">
        <v>0</v>
      </c>
      <c r="P2029">
        <v>1</v>
      </c>
      <c r="Q2029">
        <v>0</v>
      </c>
      <c r="S2029" t="str">
        <f t="shared" ref="S2029:T2032" si="608">"22:18:00.000"</f>
        <v>22:18:00.000</v>
      </c>
      <c r="T2029" t="str">
        <f t="shared" si="608"/>
        <v>22:18:00.000</v>
      </c>
      <c r="U2029" t="str">
        <f t="shared" si="595"/>
        <v>A9D71F</v>
      </c>
      <c r="V2029">
        <v>0</v>
      </c>
      <c r="W2029">
        <v>0</v>
      </c>
      <c r="X2029">
        <v>2</v>
      </c>
      <c r="Z2029">
        <v>1</v>
      </c>
      <c r="AA2029">
        <v>8</v>
      </c>
      <c r="AB2029">
        <v>3</v>
      </c>
      <c r="AC2029">
        <v>0</v>
      </c>
      <c r="AD2029">
        <v>9</v>
      </c>
      <c r="AE2029">
        <v>0</v>
      </c>
      <c r="AF2029">
        <v>3</v>
      </c>
      <c r="AG2029">
        <v>1</v>
      </c>
      <c r="AH2029">
        <v>0</v>
      </c>
      <c r="AI2029" t="s">
        <v>1066</v>
      </c>
      <c r="AJ2029">
        <v>33.029366000000003</v>
      </c>
      <c r="AK2029" t="s">
        <v>1067</v>
      </c>
      <c r="AL2029">
        <v>-97.657449</v>
      </c>
      <c r="AM2029">
        <v>25</v>
      </c>
      <c r="AN2029">
        <v>3400</v>
      </c>
      <c r="AO2029" t="s">
        <v>118</v>
      </c>
      <c r="AP2029">
        <v>34</v>
      </c>
      <c r="AQ2029">
        <v>-73</v>
      </c>
      <c r="AR2029">
        <v>0</v>
      </c>
      <c r="AZ2029">
        <v>1200</v>
      </c>
      <c r="BA2029">
        <v>1</v>
      </c>
      <c r="BB2029" t="str">
        <f t="shared" si="602"/>
        <v xml:space="preserve">N733KP  </v>
      </c>
      <c r="BC2029">
        <v>1</v>
      </c>
      <c r="BE2029">
        <v>0</v>
      </c>
      <c r="BF2029">
        <v>0</v>
      </c>
      <c r="BG2029">
        <v>0</v>
      </c>
      <c r="BH2029">
        <v>3375</v>
      </c>
      <c r="BI2029">
        <v>1</v>
      </c>
      <c r="BJ2029">
        <v>1</v>
      </c>
      <c r="BK2029">
        <v>0</v>
      </c>
      <c r="BL2029">
        <v>0</v>
      </c>
      <c r="BO2029">
        <v>0</v>
      </c>
      <c r="BP2029">
        <v>0</v>
      </c>
      <c r="BW2029" t="str">
        <f>"22:18:00.533"</f>
        <v>22:18:00.533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5</v>
      </c>
      <c r="CP2029" t="s">
        <v>119</v>
      </c>
      <c r="CQ2029">
        <v>365</v>
      </c>
      <c r="CR2029">
        <v>0</v>
      </c>
      <c r="CW2029">
        <v>11512323</v>
      </c>
      <c r="CY2029">
        <v>1</v>
      </c>
      <c r="CZ2029">
        <v>0</v>
      </c>
      <c r="DA2029">
        <v>0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>"03/24/2022 22:18:00.739"</f>
        <v>03/24/2022 22:18:00.739</v>
      </c>
      <c r="C2030" t="str">
        <f t="shared" si="600"/>
        <v>FFDFD3C0</v>
      </c>
      <c r="D2030" t="s">
        <v>120</v>
      </c>
      <c r="E2030">
        <v>14</v>
      </c>
      <c r="F2030">
        <v>1014</v>
      </c>
      <c r="G2030" t="s">
        <v>121</v>
      </c>
      <c r="J2030" t="s">
        <v>122</v>
      </c>
      <c r="K2030">
        <v>0</v>
      </c>
      <c r="L2030">
        <v>3</v>
      </c>
      <c r="M2030">
        <v>0</v>
      </c>
      <c r="N2030">
        <v>2</v>
      </c>
      <c r="O2030">
        <v>0</v>
      </c>
      <c r="P2030">
        <v>1</v>
      </c>
      <c r="Q2030">
        <v>0</v>
      </c>
      <c r="S2030" t="str">
        <f t="shared" si="608"/>
        <v>22:18:00.000</v>
      </c>
      <c r="T2030" t="str">
        <f t="shared" si="608"/>
        <v>22:18:00.000</v>
      </c>
      <c r="U2030" t="str">
        <f t="shared" si="595"/>
        <v>A9D71F</v>
      </c>
      <c r="V2030">
        <v>0</v>
      </c>
      <c r="W2030">
        <v>0</v>
      </c>
      <c r="X2030">
        <v>2</v>
      </c>
      <c r="Z2030">
        <v>1</v>
      </c>
      <c r="AA2030">
        <v>8</v>
      </c>
      <c r="AB2030">
        <v>3</v>
      </c>
      <c r="AC2030">
        <v>0</v>
      </c>
      <c r="AD2030">
        <v>9</v>
      </c>
      <c r="AE2030">
        <v>0</v>
      </c>
      <c r="AF2030">
        <v>3</v>
      </c>
      <c r="AG2030">
        <v>1</v>
      </c>
      <c r="AH2030">
        <v>0</v>
      </c>
      <c r="AI2030" t="s">
        <v>1066</v>
      </c>
      <c r="AJ2030">
        <v>33.029366000000003</v>
      </c>
      <c r="AK2030" t="s">
        <v>1067</v>
      </c>
      <c r="AL2030">
        <v>-97.657449</v>
      </c>
      <c r="AM2030">
        <v>25</v>
      </c>
      <c r="AN2030">
        <v>3400</v>
      </c>
      <c r="AO2030" t="s">
        <v>118</v>
      </c>
      <c r="AP2030">
        <v>34</v>
      </c>
      <c r="AQ2030">
        <v>-73</v>
      </c>
      <c r="AR2030">
        <v>0</v>
      </c>
      <c r="AZ2030">
        <v>1200</v>
      </c>
      <c r="BA2030">
        <v>1</v>
      </c>
      <c r="BB2030" t="str">
        <f t="shared" si="602"/>
        <v xml:space="preserve">N733KP  </v>
      </c>
      <c r="BC2030">
        <v>1</v>
      </c>
      <c r="BE2030">
        <v>0</v>
      </c>
      <c r="BF2030">
        <v>0</v>
      </c>
      <c r="BG2030">
        <v>0</v>
      </c>
      <c r="BH2030">
        <v>3375</v>
      </c>
      <c r="BI2030">
        <v>1</v>
      </c>
      <c r="BJ2030">
        <v>1</v>
      </c>
      <c r="BK2030">
        <v>0</v>
      </c>
      <c r="BL2030">
        <v>0</v>
      </c>
      <c r="BO2030">
        <v>0</v>
      </c>
      <c r="BP2030">
        <v>0</v>
      </c>
      <c r="BW2030" t="str">
        <f>"22:18:00.533"</f>
        <v>22:18:00.533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5</v>
      </c>
      <c r="CP2030" t="s">
        <v>119</v>
      </c>
      <c r="CQ2030">
        <v>365</v>
      </c>
      <c r="CR2030">
        <v>0</v>
      </c>
      <c r="CW2030">
        <v>11512323</v>
      </c>
      <c r="CY2030">
        <v>1</v>
      </c>
      <c r="CZ2030">
        <v>0</v>
      </c>
      <c r="DA2030">
        <v>1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>"03/24/2022 22:18:00.739"</f>
        <v>03/24/2022 22:18:00.739</v>
      </c>
      <c r="C2031" t="str">
        <f t="shared" si="600"/>
        <v>FFDFD3C0</v>
      </c>
      <c r="D2031" t="s">
        <v>113</v>
      </c>
      <c r="E2031">
        <v>24</v>
      </c>
      <c r="F2031">
        <v>2024</v>
      </c>
      <c r="G2031" t="s">
        <v>114</v>
      </c>
      <c r="J2031" t="s">
        <v>115</v>
      </c>
      <c r="K2031">
        <v>0</v>
      </c>
      <c r="L2031">
        <v>3</v>
      </c>
      <c r="M2031">
        <v>0</v>
      </c>
      <c r="N2031">
        <v>2</v>
      </c>
      <c r="O2031">
        <v>0</v>
      </c>
      <c r="P2031">
        <v>1</v>
      </c>
      <c r="Q2031">
        <v>0</v>
      </c>
      <c r="S2031" t="str">
        <f t="shared" si="608"/>
        <v>22:18:00.000</v>
      </c>
      <c r="T2031" t="str">
        <f t="shared" si="608"/>
        <v>22:18:00.000</v>
      </c>
      <c r="U2031" t="str">
        <f t="shared" si="595"/>
        <v>A9D71F</v>
      </c>
      <c r="V2031">
        <v>0</v>
      </c>
      <c r="W2031">
        <v>0</v>
      </c>
      <c r="X2031">
        <v>2</v>
      </c>
      <c r="Z2031">
        <v>1</v>
      </c>
      <c r="AA2031">
        <v>8</v>
      </c>
      <c r="AB2031">
        <v>3</v>
      </c>
      <c r="AC2031">
        <v>0</v>
      </c>
      <c r="AD2031">
        <v>9</v>
      </c>
      <c r="AE2031">
        <v>0</v>
      </c>
      <c r="AF2031">
        <v>3</v>
      </c>
      <c r="AG2031">
        <v>1</v>
      </c>
      <c r="AH2031">
        <v>0</v>
      </c>
      <c r="AI2031" t="s">
        <v>1066</v>
      </c>
      <c r="AJ2031">
        <v>33.029366000000003</v>
      </c>
      <c r="AK2031" t="s">
        <v>1067</v>
      </c>
      <c r="AL2031">
        <v>-97.657449</v>
      </c>
      <c r="AM2031">
        <v>25</v>
      </c>
      <c r="AN2031">
        <v>3400</v>
      </c>
      <c r="AO2031" t="s">
        <v>118</v>
      </c>
      <c r="AP2031">
        <v>34</v>
      </c>
      <c r="AQ2031">
        <v>-73</v>
      </c>
      <c r="AR2031">
        <v>0</v>
      </c>
      <c r="AZ2031">
        <v>1200</v>
      </c>
      <c r="BA2031">
        <v>1</v>
      </c>
      <c r="BB2031" t="str">
        <f t="shared" si="602"/>
        <v xml:space="preserve">N733KP  </v>
      </c>
      <c r="BC2031">
        <v>1</v>
      </c>
      <c r="BE2031">
        <v>0</v>
      </c>
      <c r="BF2031">
        <v>0</v>
      </c>
      <c r="BG2031">
        <v>0</v>
      </c>
      <c r="BH2031">
        <v>3375</v>
      </c>
      <c r="BI2031">
        <v>1</v>
      </c>
      <c r="BJ2031">
        <v>1</v>
      </c>
      <c r="BK2031">
        <v>0</v>
      </c>
      <c r="BL2031">
        <v>0</v>
      </c>
      <c r="BO2031">
        <v>0</v>
      </c>
      <c r="BP2031">
        <v>0</v>
      </c>
      <c r="BW2031" t="str">
        <f>"22:18:00.533"</f>
        <v>22:18:00.533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5</v>
      </c>
      <c r="CP2031" t="s">
        <v>119</v>
      </c>
      <c r="CQ2031">
        <v>365</v>
      </c>
      <c r="CR2031">
        <v>0</v>
      </c>
      <c r="CW2031">
        <v>11512323</v>
      </c>
      <c r="CY2031">
        <v>1</v>
      </c>
      <c r="CZ2031">
        <v>0</v>
      </c>
      <c r="DA2031">
        <v>1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>"03/24/2022 22:18:00.739"</f>
        <v>03/24/2022 22:18:00.739</v>
      </c>
      <c r="C2032" t="str">
        <f t="shared" si="600"/>
        <v>FFDFD3C0</v>
      </c>
      <c r="D2032" t="s">
        <v>126</v>
      </c>
      <c r="E2032">
        <v>3</v>
      </c>
      <c r="H2032">
        <v>160</v>
      </c>
      <c r="I2032" t="s">
        <v>121</v>
      </c>
      <c r="J2032" t="s">
        <v>127</v>
      </c>
      <c r="K2032">
        <v>0</v>
      </c>
      <c r="L2032">
        <v>3</v>
      </c>
      <c r="M2032">
        <v>0</v>
      </c>
      <c r="N2032">
        <v>2</v>
      </c>
      <c r="O2032">
        <v>0</v>
      </c>
      <c r="P2032">
        <v>1</v>
      </c>
      <c r="Q2032">
        <v>0</v>
      </c>
      <c r="S2032" t="str">
        <f t="shared" si="608"/>
        <v>22:18:00.000</v>
      </c>
      <c r="T2032" t="str">
        <f t="shared" si="608"/>
        <v>22:18:00.000</v>
      </c>
      <c r="U2032" t="str">
        <f t="shared" si="595"/>
        <v>A9D71F</v>
      </c>
      <c r="V2032">
        <v>0</v>
      </c>
      <c r="W2032">
        <v>0</v>
      </c>
      <c r="X2032">
        <v>2</v>
      </c>
      <c r="Z2032">
        <v>1</v>
      </c>
      <c r="AA2032">
        <v>8</v>
      </c>
      <c r="AB2032">
        <v>3</v>
      </c>
      <c r="AC2032">
        <v>0</v>
      </c>
      <c r="AD2032">
        <v>9</v>
      </c>
      <c r="AE2032">
        <v>0</v>
      </c>
      <c r="AF2032">
        <v>3</v>
      </c>
      <c r="AG2032">
        <v>1</v>
      </c>
      <c r="AH2032">
        <v>0</v>
      </c>
      <c r="AI2032" t="s">
        <v>1066</v>
      </c>
      <c r="AJ2032">
        <v>33.029366000000003</v>
      </c>
      <c r="AK2032" t="s">
        <v>1067</v>
      </c>
      <c r="AL2032">
        <v>-97.657449</v>
      </c>
      <c r="AM2032">
        <v>25</v>
      </c>
      <c r="AN2032">
        <v>3400</v>
      </c>
      <c r="AO2032" t="s">
        <v>118</v>
      </c>
      <c r="AP2032">
        <v>34</v>
      </c>
      <c r="AQ2032">
        <v>-73</v>
      </c>
      <c r="AR2032">
        <v>0</v>
      </c>
      <c r="AZ2032">
        <v>1200</v>
      </c>
      <c r="BA2032">
        <v>1</v>
      </c>
      <c r="BB2032" t="str">
        <f t="shared" si="602"/>
        <v xml:space="preserve">N733KP  </v>
      </c>
      <c r="BC2032">
        <v>1</v>
      </c>
      <c r="BE2032">
        <v>0</v>
      </c>
      <c r="BF2032">
        <v>0</v>
      </c>
      <c r="BG2032">
        <v>0</v>
      </c>
      <c r="BH2032">
        <v>3375</v>
      </c>
      <c r="BI2032">
        <v>1</v>
      </c>
      <c r="BJ2032">
        <v>1</v>
      </c>
      <c r="BK2032">
        <v>0</v>
      </c>
      <c r="BL2032">
        <v>0</v>
      </c>
      <c r="BO2032">
        <v>0</v>
      </c>
      <c r="BP2032">
        <v>0</v>
      </c>
      <c r="BW2032" t="str">
        <f>"22:18:00.533"</f>
        <v>22:18:00.533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5</v>
      </c>
      <c r="CP2032" t="s">
        <v>119</v>
      </c>
      <c r="CQ2032">
        <v>365</v>
      </c>
      <c r="CR2032">
        <v>0</v>
      </c>
      <c r="CW2032">
        <v>11512323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>"03/24/2022 22:18:02.021"</f>
        <v>03/24/2022 22:18:02.021</v>
      </c>
      <c r="C2033" t="str">
        <f t="shared" si="600"/>
        <v>FFDFD3C0</v>
      </c>
      <c r="D2033" t="s">
        <v>123</v>
      </c>
      <c r="E2033">
        <v>8</v>
      </c>
      <c r="H2033">
        <v>31</v>
      </c>
      <c r="I2033" t="s">
        <v>124</v>
      </c>
      <c r="J2033" t="s">
        <v>125</v>
      </c>
      <c r="K2033">
        <v>0</v>
      </c>
      <c r="L2033">
        <v>3</v>
      </c>
      <c r="M2033">
        <v>0</v>
      </c>
      <c r="N2033">
        <v>2</v>
      </c>
      <c r="O2033">
        <v>0</v>
      </c>
      <c r="P2033">
        <v>1</v>
      </c>
      <c r="Q2033">
        <v>0</v>
      </c>
      <c r="S2033" t="str">
        <f t="shared" ref="S2033:T2036" si="609">"22:18:01.000"</f>
        <v>22:18:01.000</v>
      </c>
      <c r="T2033" t="str">
        <f t="shared" si="609"/>
        <v>22:18:01.000</v>
      </c>
      <c r="U2033" t="str">
        <f t="shared" si="595"/>
        <v>A9D71F</v>
      </c>
      <c r="V2033">
        <v>0</v>
      </c>
      <c r="W2033">
        <v>0</v>
      </c>
      <c r="X2033">
        <v>2</v>
      </c>
      <c r="Z2033">
        <v>1</v>
      </c>
      <c r="AA2033">
        <v>8</v>
      </c>
      <c r="AB2033">
        <v>3</v>
      </c>
      <c r="AC2033">
        <v>0</v>
      </c>
      <c r="AD2033">
        <v>9</v>
      </c>
      <c r="AE2033">
        <v>0</v>
      </c>
      <c r="AF2033">
        <v>3</v>
      </c>
      <c r="AG2033">
        <v>1</v>
      </c>
      <c r="AH2033">
        <v>0</v>
      </c>
      <c r="AI2033" t="s">
        <v>1068</v>
      </c>
      <c r="AJ2033">
        <v>33.029021999999998</v>
      </c>
      <c r="AK2033" t="s">
        <v>1069</v>
      </c>
      <c r="AL2033">
        <v>-97.657256000000004</v>
      </c>
      <c r="AM2033">
        <v>25</v>
      </c>
      <c r="AN2033">
        <v>3400</v>
      </c>
      <c r="AO2033" t="s">
        <v>118</v>
      </c>
      <c r="AP2033">
        <v>34</v>
      </c>
      <c r="AQ2033">
        <v>-72</v>
      </c>
      <c r="AR2033">
        <v>0</v>
      </c>
      <c r="AZ2033">
        <v>1200</v>
      </c>
      <c r="BA2033">
        <v>1</v>
      </c>
      <c r="BB2033" t="str">
        <f t="shared" si="602"/>
        <v xml:space="preserve">N733KP  </v>
      </c>
      <c r="BC2033">
        <v>1</v>
      </c>
      <c r="BE2033">
        <v>0</v>
      </c>
      <c r="BF2033">
        <v>0</v>
      </c>
      <c r="BG2033">
        <v>0</v>
      </c>
      <c r="BH2033">
        <v>3375</v>
      </c>
      <c r="BI2033">
        <v>1</v>
      </c>
      <c r="BJ2033">
        <v>1</v>
      </c>
      <c r="BK2033">
        <v>0</v>
      </c>
      <c r="BL2033">
        <v>0</v>
      </c>
      <c r="BO2033">
        <v>0</v>
      </c>
      <c r="BP2033">
        <v>0</v>
      </c>
      <c r="BW2033" t="str">
        <f>"22:18:01.831"</f>
        <v>22:18:01.831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6</v>
      </c>
      <c r="CP2033" t="s">
        <v>119</v>
      </c>
      <c r="CQ2033">
        <v>364</v>
      </c>
      <c r="CR2033">
        <v>0</v>
      </c>
      <c r="CW2033">
        <v>1442989</v>
      </c>
      <c r="CY2033">
        <v>1</v>
      </c>
      <c r="CZ2033">
        <v>0</v>
      </c>
      <c r="DA2033">
        <v>0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>"03/24/2022 22:18:02.021"</f>
        <v>03/24/2022 22:18:02.021</v>
      </c>
      <c r="C2034" t="str">
        <f t="shared" si="600"/>
        <v>FFDFD3C0</v>
      </c>
      <c r="D2034" t="s">
        <v>120</v>
      </c>
      <c r="E2034">
        <v>14</v>
      </c>
      <c r="F2034">
        <v>1014</v>
      </c>
      <c r="G2034" t="s">
        <v>121</v>
      </c>
      <c r="J2034" t="s">
        <v>122</v>
      </c>
      <c r="K2034">
        <v>0</v>
      </c>
      <c r="L2034">
        <v>3</v>
      </c>
      <c r="M2034">
        <v>0</v>
      </c>
      <c r="N2034">
        <v>2</v>
      </c>
      <c r="O2034">
        <v>0</v>
      </c>
      <c r="P2034">
        <v>1</v>
      </c>
      <c r="Q2034">
        <v>0</v>
      </c>
      <c r="S2034" t="str">
        <f t="shared" si="609"/>
        <v>22:18:01.000</v>
      </c>
      <c r="T2034" t="str">
        <f t="shared" si="609"/>
        <v>22:18:01.000</v>
      </c>
      <c r="U2034" t="str">
        <f t="shared" si="595"/>
        <v>A9D71F</v>
      </c>
      <c r="V2034">
        <v>0</v>
      </c>
      <c r="W2034">
        <v>0</v>
      </c>
      <c r="X2034">
        <v>2</v>
      </c>
      <c r="Z2034">
        <v>1</v>
      </c>
      <c r="AA2034">
        <v>8</v>
      </c>
      <c r="AB2034">
        <v>3</v>
      </c>
      <c r="AC2034">
        <v>0</v>
      </c>
      <c r="AD2034">
        <v>9</v>
      </c>
      <c r="AE2034">
        <v>0</v>
      </c>
      <c r="AF2034">
        <v>3</v>
      </c>
      <c r="AG2034">
        <v>1</v>
      </c>
      <c r="AH2034">
        <v>0</v>
      </c>
      <c r="AI2034" t="s">
        <v>1068</v>
      </c>
      <c r="AJ2034">
        <v>33.029021999999998</v>
      </c>
      <c r="AK2034" t="s">
        <v>1069</v>
      </c>
      <c r="AL2034">
        <v>-97.657256000000004</v>
      </c>
      <c r="AM2034">
        <v>25</v>
      </c>
      <c r="AN2034">
        <v>3400</v>
      </c>
      <c r="AO2034" t="s">
        <v>118</v>
      </c>
      <c r="AP2034">
        <v>34</v>
      </c>
      <c r="AQ2034">
        <v>-72</v>
      </c>
      <c r="AR2034">
        <v>0</v>
      </c>
      <c r="AZ2034">
        <v>1200</v>
      </c>
      <c r="BA2034">
        <v>1</v>
      </c>
      <c r="BB2034" t="str">
        <f t="shared" si="602"/>
        <v xml:space="preserve">N733KP  </v>
      </c>
      <c r="BC2034">
        <v>1</v>
      </c>
      <c r="BE2034">
        <v>0</v>
      </c>
      <c r="BF2034">
        <v>0</v>
      </c>
      <c r="BG2034">
        <v>0</v>
      </c>
      <c r="BH2034">
        <v>3375</v>
      </c>
      <c r="BI2034">
        <v>1</v>
      </c>
      <c r="BJ2034">
        <v>1</v>
      </c>
      <c r="BK2034">
        <v>0</v>
      </c>
      <c r="BL2034">
        <v>0</v>
      </c>
      <c r="BO2034">
        <v>0</v>
      </c>
      <c r="BP2034">
        <v>0</v>
      </c>
      <c r="BW2034" t="str">
        <f>"22:18:01.831"</f>
        <v>22:18:01.831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6</v>
      </c>
      <c r="CP2034" t="s">
        <v>119</v>
      </c>
      <c r="CQ2034">
        <v>364</v>
      </c>
      <c r="CR2034">
        <v>0</v>
      </c>
      <c r="CW2034">
        <v>1442989</v>
      </c>
      <c r="CY2034">
        <v>1</v>
      </c>
      <c r="CZ2034">
        <v>0</v>
      </c>
      <c r="DA2034">
        <v>1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>"03/24/2022 22:18:02.021"</f>
        <v>03/24/2022 22:18:02.021</v>
      </c>
      <c r="C2035" t="str">
        <f t="shared" si="600"/>
        <v>FFDFD3C0</v>
      </c>
      <c r="D2035" t="s">
        <v>113</v>
      </c>
      <c r="E2035">
        <v>24</v>
      </c>
      <c r="F2035">
        <v>2024</v>
      </c>
      <c r="G2035" t="s">
        <v>114</v>
      </c>
      <c r="J2035" t="s">
        <v>115</v>
      </c>
      <c r="K2035">
        <v>0</v>
      </c>
      <c r="L2035">
        <v>3</v>
      </c>
      <c r="M2035">
        <v>0</v>
      </c>
      <c r="N2035">
        <v>2</v>
      </c>
      <c r="O2035">
        <v>0</v>
      </c>
      <c r="P2035">
        <v>1</v>
      </c>
      <c r="Q2035">
        <v>0</v>
      </c>
      <c r="S2035" t="str">
        <f t="shared" si="609"/>
        <v>22:18:01.000</v>
      </c>
      <c r="T2035" t="str">
        <f t="shared" si="609"/>
        <v>22:18:01.000</v>
      </c>
      <c r="U2035" t="str">
        <f t="shared" si="595"/>
        <v>A9D71F</v>
      </c>
      <c r="V2035">
        <v>0</v>
      </c>
      <c r="W2035">
        <v>0</v>
      </c>
      <c r="X2035">
        <v>2</v>
      </c>
      <c r="Z2035">
        <v>1</v>
      </c>
      <c r="AA2035">
        <v>8</v>
      </c>
      <c r="AB2035">
        <v>3</v>
      </c>
      <c r="AC2035">
        <v>0</v>
      </c>
      <c r="AD2035">
        <v>9</v>
      </c>
      <c r="AE2035">
        <v>0</v>
      </c>
      <c r="AF2035">
        <v>3</v>
      </c>
      <c r="AG2035">
        <v>1</v>
      </c>
      <c r="AH2035">
        <v>0</v>
      </c>
      <c r="AI2035" t="s">
        <v>1068</v>
      </c>
      <c r="AJ2035">
        <v>33.029021999999998</v>
      </c>
      <c r="AK2035" t="s">
        <v>1069</v>
      </c>
      <c r="AL2035">
        <v>-97.657256000000004</v>
      </c>
      <c r="AM2035">
        <v>25</v>
      </c>
      <c r="AN2035">
        <v>3400</v>
      </c>
      <c r="AO2035" t="s">
        <v>118</v>
      </c>
      <c r="AP2035">
        <v>34</v>
      </c>
      <c r="AQ2035">
        <v>-72</v>
      </c>
      <c r="AR2035">
        <v>0</v>
      </c>
      <c r="AZ2035">
        <v>1200</v>
      </c>
      <c r="BA2035">
        <v>1</v>
      </c>
      <c r="BB2035" t="str">
        <f t="shared" si="602"/>
        <v xml:space="preserve">N733KP  </v>
      </c>
      <c r="BC2035">
        <v>1</v>
      </c>
      <c r="BE2035">
        <v>0</v>
      </c>
      <c r="BF2035">
        <v>0</v>
      </c>
      <c r="BG2035">
        <v>0</v>
      </c>
      <c r="BH2035">
        <v>3375</v>
      </c>
      <c r="BI2035">
        <v>1</v>
      </c>
      <c r="BJ2035">
        <v>1</v>
      </c>
      <c r="BK2035">
        <v>0</v>
      </c>
      <c r="BL2035">
        <v>0</v>
      </c>
      <c r="BO2035">
        <v>0</v>
      </c>
      <c r="BP2035">
        <v>0</v>
      </c>
      <c r="BW2035" t="str">
        <f>"22:18:01.831"</f>
        <v>22:18:01.831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6</v>
      </c>
      <c r="CP2035" t="s">
        <v>119</v>
      </c>
      <c r="CQ2035">
        <v>364</v>
      </c>
      <c r="CR2035">
        <v>0</v>
      </c>
      <c r="CW2035">
        <v>1442989</v>
      </c>
      <c r="CY2035">
        <v>1</v>
      </c>
      <c r="CZ2035">
        <v>0</v>
      </c>
      <c r="DA2035">
        <v>0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>"03/24/2022 22:18:02.021"</f>
        <v>03/24/2022 22:18:02.021</v>
      </c>
      <c r="C2036" t="str">
        <f t="shared" si="600"/>
        <v>FFDFD3C0</v>
      </c>
      <c r="D2036" t="s">
        <v>126</v>
      </c>
      <c r="E2036">
        <v>3</v>
      </c>
      <c r="H2036">
        <v>160</v>
      </c>
      <c r="I2036" t="s">
        <v>121</v>
      </c>
      <c r="J2036" t="s">
        <v>127</v>
      </c>
      <c r="K2036">
        <v>0</v>
      </c>
      <c r="L2036">
        <v>3</v>
      </c>
      <c r="M2036">
        <v>0</v>
      </c>
      <c r="N2036">
        <v>2</v>
      </c>
      <c r="O2036">
        <v>0</v>
      </c>
      <c r="P2036">
        <v>1</v>
      </c>
      <c r="Q2036">
        <v>0</v>
      </c>
      <c r="S2036" t="str">
        <f t="shared" si="609"/>
        <v>22:18:01.000</v>
      </c>
      <c r="T2036" t="str">
        <f t="shared" si="609"/>
        <v>22:18:01.000</v>
      </c>
      <c r="U2036" t="str">
        <f t="shared" si="595"/>
        <v>A9D71F</v>
      </c>
      <c r="V2036">
        <v>0</v>
      </c>
      <c r="W2036">
        <v>0</v>
      </c>
      <c r="X2036">
        <v>2</v>
      </c>
      <c r="Z2036">
        <v>1</v>
      </c>
      <c r="AA2036">
        <v>8</v>
      </c>
      <c r="AB2036">
        <v>3</v>
      </c>
      <c r="AC2036">
        <v>0</v>
      </c>
      <c r="AD2036">
        <v>9</v>
      </c>
      <c r="AE2036">
        <v>0</v>
      </c>
      <c r="AF2036">
        <v>3</v>
      </c>
      <c r="AG2036">
        <v>1</v>
      </c>
      <c r="AH2036">
        <v>0</v>
      </c>
      <c r="AI2036" t="s">
        <v>1068</v>
      </c>
      <c r="AJ2036">
        <v>33.029021999999998</v>
      </c>
      <c r="AK2036" t="s">
        <v>1069</v>
      </c>
      <c r="AL2036">
        <v>-97.657256000000004</v>
      </c>
      <c r="AM2036">
        <v>25</v>
      </c>
      <c r="AN2036">
        <v>3400</v>
      </c>
      <c r="AO2036" t="s">
        <v>118</v>
      </c>
      <c r="AP2036">
        <v>34</v>
      </c>
      <c r="AQ2036">
        <v>-72</v>
      </c>
      <c r="AR2036">
        <v>0</v>
      </c>
      <c r="AZ2036">
        <v>1200</v>
      </c>
      <c r="BA2036">
        <v>1</v>
      </c>
      <c r="BB2036" t="str">
        <f t="shared" si="602"/>
        <v xml:space="preserve">N733KP  </v>
      </c>
      <c r="BC2036">
        <v>1</v>
      </c>
      <c r="BE2036">
        <v>0</v>
      </c>
      <c r="BF2036">
        <v>0</v>
      </c>
      <c r="BG2036">
        <v>0</v>
      </c>
      <c r="BH2036">
        <v>3375</v>
      </c>
      <c r="BI2036">
        <v>1</v>
      </c>
      <c r="BJ2036">
        <v>1</v>
      </c>
      <c r="BK2036">
        <v>0</v>
      </c>
      <c r="BL2036">
        <v>0</v>
      </c>
      <c r="BO2036">
        <v>0</v>
      </c>
      <c r="BP2036">
        <v>0</v>
      </c>
      <c r="BW2036" t="str">
        <f>"22:18:01.831"</f>
        <v>22:18:01.831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6</v>
      </c>
      <c r="CP2036" t="s">
        <v>119</v>
      </c>
      <c r="CQ2036">
        <v>364</v>
      </c>
      <c r="CR2036">
        <v>0</v>
      </c>
      <c r="CW2036">
        <v>1442989</v>
      </c>
      <c r="CY2036">
        <v>1</v>
      </c>
      <c r="CZ2036">
        <v>0</v>
      </c>
      <c r="DA2036">
        <v>1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>"03/24/2022 22:18:03.130"</f>
        <v>03/24/2022 22:18:03.130</v>
      </c>
      <c r="C2037" t="str">
        <f t="shared" si="600"/>
        <v>FFDFD3C0</v>
      </c>
      <c r="D2037" t="s">
        <v>123</v>
      </c>
      <c r="E2037">
        <v>8</v>
      </c>
      <c r="H2037">
        <v>31</v>
      </c>
      <c r="I2037" t="s">
        <v>124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0</v>
      </c>
      <c r="P2037">
        <v>1</v>
      </c>
      <c r="Q2037">
        <v>0</v>
      </c>
      <c r="S2037" t="str">
        <f t="shared" ref="S2037:T2040" si="610">"22:18:02.000"</f>
        <v>22:18:02.000</v>
      </c>
      <c r="T2037" t="str">
        <f t="shared" si="610"/>
        <v>22:18:02.000</v>
      </c>
      <c r="U2037" t="str">
        <f t="shared" si="595"/>
        <v>A9D71F</v>
      </c>
      <c r="V2037">
        <v>0</v>
      </c>
      <c r="W2037">
        <v>0</v>
      </c>
      <c r="X2037">
        <v>2</v>
      </c>
      <c r="Z2037">
        <v>1</v>
      </c>
      <c r="AA2037">
        <v>8</v>
      </c>
      <c r="AB2037">
        <v>3</v>
      </c>
      <c r="AC2037">
        <v>0</v>
      </c>
      <c r="AD2037">
        <v>9</v>
      </c>
      <c r="AE2037">
        <v>0</v>
      </c>
      <c r="AF2037">
        <v>3</v>
      </c>
      <c r="AG2037">
        <v>1</v>
      </c>
      <c r="AH2037">
        <v>0</v>
      </c>
      <c r="AI2037" t="s">
        <v>1070</v>
      </c>
      <c r="AJ2037">
        <v>33.028657000000003</v>
      </c>
      <c r="AK2037" t="s">
        <v>1071</v>
      </c>
      <c r="AL2037">
        <v>-97.657042000000004</v>
      </c>
      <c r="AM2037">
        <v>25</v>
      </c>
      <c r="AN2037">
        <v>3400</v>
      </c>
      <c r="AO2037" t="s">
        <v>118</v>
      </c>
      <c r="AP2037">
        <v>34</v>
      </c>
      <c r="AQ2037">
        <v>-71</v>
      </c>
      <c r="AR2037">
        <v>0</v>
      </c>
      <c r="AZ2037">
        <v>1200</v>
      </c>
      <c r="BA2037">
        <v>1</v>
      </c>
      <c r="BB2037" t="str">
        <f t="shared" si="602"/>
        <v xml:space="preserve">N733KP  </v>
      </c>
      <c r="BC2037">
        <v>1</v>
      </c>
      <c r="BE2037">
        <v>0</v>
      </c>
      <c r="BF2037">
        <v>0</v>
      </c>
      <c r="BG2037">
        <v>0</v>
      </c>
      <c r="BH2037">
        <v>3375</v>
      </c>
      <c r="BI2037">
        <v>1</v>
      </c>
      <c r="BJ2037">
        <v>1</v>
      </c>
      <c r="BK2037">
        <v>0</v>
      </c>
      <c r="BL2037">
        <v>0</v>
      </c>
      <c r="BO2037">
        <v>0</v>
      </c>
      <c r="BP2037">
        <v>0</v>
      </c>
      <c r="BW2037" t="str">
        <f>"22:18:02.643"</f>
        <v>22:18:02.643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7</v>
      </c>
      <c r="CP2037" t="s">
        <v>119</v>
      </c>
      <c r="CQ2037">
        <v>364</v>
      </c>
      <c r="CR2037">
        <v>0</v>
      </c>
      <c r="CW2037">
        <v>1443111</v>
      </c>
      <c r="CY2037">
        <v>1</v>
      </c>
      <c r="CZ2037">
        <v>0</v>
      </c>
      <c r="DA2037">
        <v>0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>"03/24/2022 22:18:03.162"</f>
        <v>03/24/2022 22:18:03.162</v>
      </c>
      <c r="C2038" t="str">
        <f t="shared" si="600"/>
        <v>FFDFD3C0</v>
      </c>
      <c r="D2038" t="s">
        <v>120</v>
      </c>
      <c r="E2038">
        <v>14</v>
      </c>
      <c r="F2038">
        <v>1014</v>
      </c>
      <c r="G2038" t="s">
        <v>121</v>
      </c>
      <c r="J2038" t="s">
        <v>122</v>
      </c>
      <c r="K2038">
        <v>0</v>
      </c>
      <c r="L2038">
        <v>3</v>
      </c>
      <c r="M2038">
        <v>0</v>
      </c>
      <c r="N2038">
        <v>2</v>
      </c>
      <c r="O2038">
        <v>0</v>
      </c>
      <c r="P2038">
        <v>1</v>
      </c>
      <c r="Q2038">
        <v>0</v>
      </c>
      <c r="S2038" t="str">
        <f t="shared" si="610"/>
        <v>22:18:02.000</v>
      </c>
      <c r="T2038" t="str">
        <f t="shared" si="610"/>
        <v>22:18:02.000</v>
      </c>
      <c r="U2038" t="str">
        <f t="shared" si="595"/>
        <v>A9D71F</v>
      </c>
      <c r="V2038">
        <v>0</v>
      </c>
      <c r="W2038">
        <v>0</v>
      </c>
      <c r="X2038">
        <v>2</v>
      </c>
      <c r="Z2038">
        <v>1</v>
      </c>
      <c r="AA2038">
        <v>8</v>
      </c>
      <c r="AB2038">
        <v>3</v>
      </c>
      <c r="AC2038">
        <v>0</v>
      </c>
      <c r="AD2038">
        <v>9</v>
      </c>
      <c r="AE2038">
        <v>0</v>
      </c>
      <c r="AF2038">
        <v>3</v>
      </c>
      <c r="AG2038">
        <v>1</v>
      </c>
      <c r="AH2038">
        <v>0</v>
      </c>
      <c r="AI2038" t="s">
        <v>1070</v>
      </c>
      <c r="AJ2038">
        <v>33.028657000000003</v>
      </c>
      <c r="AK2038" t="s">
        <v>1071</v>
      </c>
      <c r="AL2038">
        <v>-97.657042000000004</v>
      </c>
      <c r="AM2038">
        <v>25</v>
      </c>
      <c r="AN2038">
        <v>3400</v>
      </c>
      <c r="AO2038" t="s">
        <v>118</v>
      </c>
      <c r="AP2038">
        <v>34</v>
      </c>
      <c r="AQ2038">
        <v>-71</v>
      </c>
      <c r="AR2038">
        <v>0</v>
      </c>
      <c r="AZ2038">
        <v>1200</v>
      </c>
      <c r="BA2038">
        <v>1</v>
      </c>
      <c r="BB2038" t="str">
        <f t="shared" si="602"/>
        <v xml:space="preserve">N733KP  </v>
      </c>
      <c r="BC2038">
        <v>1</v>
      </c>
      <c r="BE2038">
        <v>0</v>
      </c>
      <c r="BF2038">
        <v>0</v>
      </c>
      <c r="BG2038">
        <v>0</v>
      </c>
      <c r="BH2038">
        <v>3375</v>
      </c>
      <c r="BI2038">
        <v>1</v>
      </c>
      <c r="BJ2038">
        <v>1</v>
      </c>
      <c r="BK2038">
        <v>0</v>
      </c>
      <c r="BL2038">
        <v>0</v>
      </c>
      <c r="BO2038">
        <v>0</v>
      </c>
      <c r="BP2038">
        <v>0</v>
      </c>
      <c r="BW2038" t="str">
        <f>"22:18:02.643"</f>
        <v>22:18:02.643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7</v>
      </c>
      <c r="CP2038" t="s">
        <v>119</v>
      </c>
      <c r="CQ2038">
        <v>364</v>
      </c>
      <c r="CR2038">
        <v>0</v>
      </c>
      <c r="CW2038">
        <v>1443111</v>
      </c>
      <c r="CY2038">
        <v>1</v>
      </c>
      <c r="CZ2038">
        <v>0</v>
      </c>
      <c r="DA2038">
        <v>1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>"03/24/2022 22:18:03.209"</f>
        <v>03/24/2022 22:18:03.209</v>
      </c>
      <c r="C2039" t="str">
        <f t="shared" si="600"/>
        <v>FFDFD3C0</v>
      </c>
      <c r="D2039" t="s">
        <v>113</v>
      </c>
      <c r="E2039">
        <v>24</v>
      </c>
      <c r="F2039">
        <v>2024</v>
      </c>
      <c r="G2039" t="s">
        <v>114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0</v>
      </c>
      <c r="P2039">
        <v>1</v>
      </c>
      <c r="Q2039">
        <v>0</v>
      </c>
      <c r="S2039" t="str">
        <f t="shared" si="610"/>
        <v>22:18:02.000</v>
      </c>
      <c r="T2039" t="str">
        <f t="shared" si="610"/>
        <v>22:18:02.000</v>
      </c>
      <c r="U2039" t="str">
        <f t="shared" si="595"/>
        <v>A9D71F</v>
      </c>
      <c r="V2039">
        <v>0</v>
      </c>
      <c r="W2039">
        <v>0</v>
      </c>
      <c r="X2039">
        <v>2</v>
      </c>
      <c r="Z2039">
        <v>1</v>
      </c>
      <c r="AA2039">
        <v>8</v>
      </c>
      <c r="AB2039">
        <v>3</v>
      </c>
      <c r="AC2039">
        <v>0</v>
      </c>
      <c r="AD2039">
        <v>9</v>
      </c>
      <c r="AE2039">
        <v>0</v>
      </c>
      <c r="AF2039">
        <v>3</v>
      </c>
      <c r="AG2039">
        <v>1</v>
      </c>
      <c r="AH2039">
        <v>0</v>
      </c>
      <c r="AI2039" t="s">
        <v>1070</v>
      </c>
      <c r="AJ2039">
        <v>33.028657000000003</v>
      </c>
      <c r="AK2039" t="s">
        <v>1071</v>
      </c>
      <c r="AL2039">
        <v>-97.657042000000004</v>
      </c>
      <c r="AM2039">
        <v>25</v>
      </c>
      <c r="AN2039">
        <v>3400</v>
      </c>
      <c r="AO2039" t="s">
        <v>118</v>
      </c>
      <c r="AP2039">
        <v>34</v>
      </c>
      <c r="AQ2039">
        <v>-71</v>
      </c>
      <c r="AR2039">
        <v>0</v>
      </c>
      <c r="AZ2039">
        <v>1200</v>
      </c>
      <c r="BA2039">
        <v>1</v>
      </c>
      <c r="BB2039" t="str">
        <f t="shared" si="602"/>
        <v xml:space="preserve">N733KP  </v>
      </c>
      <c r="BC2039">
        <v>1</v>
      </c>
      <c r="BE2039">
        <v>0</v>
      </c>
      <c r="BF2039">
        <v>0</v>
      </c>
      <c r="BG2039">
        <v>0</v>
      </c>
      <c r="BH2039">
        <v>3375</v>
      </c>
      <c r="BI2039">
        <v>1</v>
      </c>
      <c r="BJ2039">
        <v>1</v>
      </c>
      <c r="BK2039">
        <v>0</v>
      </c>
      <c r="BL2039">
        <v>0</v>
      </c>
      <c r="BO2039">
        <v>0</v>
      </c>
      <c r="BP2039">
        <v>0</v>
      </c>
      <c r="BW2039" t="str">
        <f>"22:18:02.643"</f>
        <v>22:18:02.643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7</v>
      </c>
      <c r="CP2039" t="s">
        <v>119</v>
      </c>
      <c r="CQ2039">
        <v>364</v>
      </c>
      <c r="CR2039">
        <v>0</v>
      </c>
      <c r="CW2039">
        <v>1443111</v>
      </c>
      <c r="CY2039">
        <v>1</v>
      </c>
      <c r="CZ2039">
        <v>0</v>
      </c>
      <c r="DA2039">
        <v>1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>"03/24/2022 22:18:03.209"</f>
        <v>03/24/2022 22:18:03.209</v>
      </c>
      <c r="C2040" t="str">
        <f t="shared" si="600"/>
        <v>FFDFD3C0</v>
      </c>
      <c r="D2040" t="s">
        <v>126</v>
      </c>
      <c r="E2040">
        <v>3</v>
      </c>
      <c r="H2040">
        <v>160</v>
      </c>
      <c r="I2040" t="s">
        <v>121</v>
      </c>
      <c r="J2040" t="s">
        <v>127</v>
      </c>
      <c r="K2040">
        <v>0</v>
      </c>
      <c r="L2040">
        <v>3</v>
      </c>
      <c r="M2040">
        <v>0</v>
      </c>
      <c r="N2040">
        <v>2</v>
      </c>
      <c r="O2040">
        <v>0</v>
      </c>
      <c r="P2040">
        <v>1</v>
      </c>
      <c r="Q2040">
        <v>0</v>
      </c>
      <c r="S2040" t="str">
        <f t="shared" si="610"/>
        <v>22:18:02.000</v>
      </c>
      <c r="T2040" t="str">
        <f t="shared" si="610"/>
        <v>22:18:02.000</v>
      </c>
      <c r="U2040" t="str">
        <f t="shared" si="595"/>
        <v>A9D71F</v>
      </c>
      <c r="V2040">
        <v>0</v>
      </c>
      <c r="W2040">
        <v>0</v>
      </c>
      <c r="X2040">
        <v>2</v>
      </c>
      <c r="Z2040">
        <v>1</v>
      </c>
      <c r="AA2040">
        <v>8</v>
      </c>
      <c r="AB2040">
        <v>3</v>
      </c>
      <c r="AC2040">
        <v>0</v>
      </c>
      <c r="AD2040">
        <v>9</v>
      </c>
      <c r="AE2040">
        <v>0</v>
      </c>
      <c r="AF2040">
        <v>3</v>
      </c>
      <c r="AG2040">
        <v>1</v>
      </c>
      <c r="AH2040">
        <v>0</v>
      </c>
      <c r="AI2040" t="s">
        <v>1070</v>
      </c>
      <c r="AJ2040">
        <v>33.028657000000003</v>
      </c>
      <c r="AK2040" t="s">
        <v>1071</v>
      </c>
      <c r="AL2040">
        <v>-97.657042000000004</v>
      </c>
      <c r="AM2040">
        <v>25</v>
      </c>
      <c r="AN2040">
        <v>3400</v>
      </c>
      <c r="AO2040" t="s">
        <v>118</v>
      </c>
      <c r="AP2040">
        <v>34</v>
      </c>
      <c r="AQ2040">
        <v>-71</v>
      </c>
      <c r="AR2040">
        <v>0</v>
      </c>
      <c r="AZ2040">
        <v>1200</v>
      </c>
      <c r="BA2040">
        <v>1</v>
      </c>
      <c r="BB2040" t="str">
        <f t="shared" si="602"/>
        <v xml:space="preserve">N733KP  </v>
      </c>
      <c r="BC2040">
        <v>1</v>
      </c>
      <c r="BE2040">
        <v>0</v>
      </c>
      <c r="BF2040">
        <v>0</v>
      </c>
      <c r="BG2040">
        <v>0</v>
      </c>
      <c r="BH2040">
        <v>3375</v>
      </c>
      <c r="BI2040">
        <v>1</v>
      </c>
      <c r="BJ2040">
        <v>1</v>
      </c>
      <c r="BK2040">
        <v>0</v>
      </c>
      <c r="BL2040">
        <v>0</v>
      </c>
      <c r="BO2040">
        <v>0</v>
      </c>
      <c r="BP2040">
        <v>0</v>
      </c>
      <c r="BW2040" t="str">
        <f>"22:18:02.643"</f>
        <v>22:18:02.643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7</v>
      </c>
      <c r="CP2040" t="s">
        <v>119</v>
      </c>
      <c r="CQ2040">
        <v>364</v>
      </c>
      <c r="CR2040">
        <v>0</v>
      </c>
      <c r="CW2040">
        <v>1443111</v>
      </c>
      <c r="CY2040">
        <v>1</v>
      </c>
      <c r="CZ2040">
        <v>0</v>
      </c>
      <c r="DA2040">
        <v>1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>"03/24/2022 22:18:03.508"</f>
        <v>03/24/2022 22:18:03.508</v>
      </c>
      <c r="C2041" t="str">
        <f t="shared" si="600"/>
        <v>FFDFD3C0</v>
      </c>
      <c r="D2041" t="s">
        <v>120</v>
      </c>
      <c r="E2041">
        <v>14</v>
      </c>
      <c r="F2041">
        <v>1014</v>
      </c>
      <c r="G2041" t="s">
        <v>121</v>
      </c>
      <c r="J2041" t="s">
        <v>122</v>
      </c>
      <c r="K2041">
        <v>0</v>
      </c>
      <c r="L2041">
        <v>3</v>
      </c>
      <c r="M2041">
        <v>0</v>
      </c>
      <c r="N2041">
        <v>2</v>
      </c>
      <c r="O2041">
        <v>0</v>
      </c>
      <c r="P2041">
        <v>1</v>
      </c>
      <c r="Q2041">
        <v>0</v>
      </c>
      <c r="S2041" t="str">
        <f t="shared" ref="S2041:T2044" si="611">"22:18:03.000"</f>
        <v>22:18:03.000</v>
      </c>
      <c r="T2041" t="str">
        <f t="shared" si="611"/>
        <v>22:18:03.000</v>
      </c>
      <c r="U2041" t="str">
        <f t="shared" si="595"/>
        <v>A9D71F</v>
      </c>
      <c r="V2041">
        <v>0</v>
      </c>
      <c r="W2041">
        <v>0</v>
      </c>
      <c r="X2041">
        <v>2</v>
      </c>
      <c r="Z2041">
        <v>1</v>
      </c>
      <c r="AA2041">
        <v>8</v>
      </c>
      <c r="AB2041">
        <v>3</v>
      </c>
      <c r="AC2041">
        <v>0</v>
      </c>
      <c r="AD2041">
        <v>9</v>
      </c>
      <c r="AE2041">
        <v>0</v>
      </c>
      <c r="AF2041">
        <v>3</v>
      </c>
      <c r="AG2041">
        <v>1</v>
      </c>
      <c r="AH2041">
        <v>0</v>
      </c>
      <c r="AI2041" t="s">
        <v>1072</v>
      </c>
      <c r="AJ2041">
        <v>33.028336000000003</v>
      </c>
      <c r="AK2041" t="s">
        <v>1073</v>
      </c>
      <c r="AL2041">
        <v>-97.656869999999998</v>
      </c>
      <c r="AM2041">
        <v>25</v>
      </c>
      <c r="AN2041">
        <v>3400</v>
      </c>
      <c r="AO2041" t="s">
        <v>118</v>
      </c>
      <c r="AP2041">
        <v>34</v>
      </c>
      <c r="AQ2041">
        <v>-72</v>
      </c>
      <c r="AR2041">
        <v>0</v>
      </c>
      <c r="AZ2041">
        <v>1200</v>
      </c>
      <c r="BA2041">
        <v>1</v>
      </c>
      <c r="BB2041" t="str">
        <f t="shared" si="602"/>
        <v xml:space="preserve">N733KP  </v>
      </c>
      <c r="BC2041">
        <v>1</v>
      </c>
      <c r="BE2041">
        <v>0</v>
      </c>
      <c r="BF2041">
        <v>0</v>
      </c>
      <c r="BG2041">
        <v>0</v>
      </c>
      <c r="BH2041">
        <v>3375</v>
      </c>
      <c r="BI2041">
        <v>1</v>
      </c>
      <c r="BJ2041">
        <v>1</v>
      </c>
      <c r="BK2041">
        <v>0</v>
      </c>
      <c r="BL2041">
        <v>0</v>
      </c>
      <c r="BO2041">
        <v>0</v>
      </c>
      <c r="BP2041">
        <v>0</v>
      </c>
      <c r="BW2041" t="str">
        <f>"22:18:03.346"</f>
        <v>22:18:03.346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7</v>
      </c>
      <c r="CP2041" t="s">
        <v>119</v>
      </c>
      <c r="CQ2041">
        <v>364</v>
      </c>
      <c r="CR2041">
        <v>0</v>
      </c>
      <c r="CW2041">
        <v>1443226</v>
      </c>
      <c r="CY2041">
        <v>1</v>
      </c>
      <c r="CZ2041">
        <v>0</v>
      </c>
      <c r="DA2041">
        <v>0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>"03/24/2022 22:18:03.539"</f>
        <v>03/24/2022 22:18:03.539</v>
      </c>
      <c r="C2042" t="str">
        <f t="shared" si="600"/>
        <v>FFDFD3C0</v>
      </c>
      <c r="D2042" t="s">
        <v>113</v>
      </c>
      <c r="E2042">
        <v>24</v>
      </c>
      <c r="F2042">
        <v>2024</v>
      </c>
      <c r="G2042" t="s">
        <v>114</v>
      </c>
      <c r="J2042" t="s">
        <v>115</v>
      </c>
      <c r="K2042">
        <v>0</v>
      </c>
      <c r="L2042">
        <v>3</v>
      </c>
      <c r="M2042">
        <v>0</v>
      </c>
      <c r="N2042">
        <v>2</v>
      </c>
      <c r="O2042">
        <v>0</v>
      </c>
      <c r="P2042">
        <v>1</v>
      </c>
      <c r="Q2042">
        <v>0</v>
      </c>
      <c r="S2042" t="str">
        <f t="shared" si="611"/>
        <v>22:18:03.000</v>
      </c>
      <c r="T2042" t="str">
        <f t="shared" si="611"/>
        <v>22:18:03.000</v>
      </c>
      <c r="U2042" t="str">
        <f t="shared" si="595"/>
        <v>A9D71F</v>
      </c>
      <c r="V2042">
        <v>0</v>
      </c>
      <c r="W2042">
        <v>0</v>
      </c>
      <c r="X2042">
        <v>2</v>
      </c>
      <c r="Z2042">
        <v>1</v>
      </c>
      <c r="AA2042">
        <v>8</v>
      </c>
      <c r="AB2042">
        <v>3</v>
      </c>
      <c r="AC2042">
        <v>0</v>
      </c>
      <c r="AD2042">
        <v>9</v>
      </c>
      <c r="AE2042">
        <v>0</v>
      </c>
      <c r="AF2042">
        <v>3</v>
      </c>
      <c r="AG2042">
        <v>1</v>
      </c>
      <c r="AH2042">
        <v>0</v>
      </c>
      <c r="AI2042" t="s">
        <v>1072</v>
      </c>
      <c r="AJ2042">
        <v>33.028336000000003</v>
      </c>
      <c r="AK2042" t="s">
        <v>1073</v>
      </c>
      <c r="AL2042">
        <v>-97.656869999999998</v>
      </c>
      <c r="AM2042">
        <v>25</v>
      </c>
      <c r="AN2042">
        <v>3400</v>
      </c>
      <c r="AO2042" t="s">
        <v>118</v>
      </c>
      <c r="AP2042">
        <v>34</v>
      </c>
      <c r="AQ2042">
        <v>-72</v>
      </c>
      <c r="AR2042">
        <v>0</v>
      </c>
      <c r="AZ2042">
        <v>1200</v>
      </c>
      <c r="BA2042">
        <v>1</v>
      </c>
      <c r="BB2042" t="str">
        <f t="shared" si="602"/>
        <v xml:space="preserve">N733KP  </v>
      </c>
      <c r="BC2042">
        <v>1</v>
      </c>
      <c r="BE2042">
        <v>0</v>
      </c>
      <c r="BF2042">
        <v>0</v>
      </c>
      <c r="BG2042">
        <v>0</v>
      </c>
      <c r="BH2042">
        <v>3375</v>
      </c>
      <c r="BI2042">
        <v>1</v>
      </c>
      <c r="BJ2042">
        <v>1</v>
      </c>
      <c r="BK2042">
        <v>0</v>
      </c>
      <c r="BL2042">
        <v>0</v>
      </c>
      <c r="BO2042">
        <v>0</v>
      </c>
      <c r="BP2042">
        <v>0</v>
      </c>
      <c r="BW2042" t="str">
        <f>"22:18:03.346"</f>
        <v>22:18:03.346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7</v>
      </c>
      <c r="CP2042" t="s">
        <v>119</v>
      </c>
      <c r="CQ2042">
        <v>364</v>
      </c>
      <c r="CR2042">
        <v>0</v>
      </c>
      <c r="CW2042">
        <v>1443226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>"03/24/2022 22:18:03.601"</f>
        <v>03/24/2022 22:18:03.601</v>
      </c>
      <c r="C2043" t="str">
        <f t="shared" si="600"/>
        <v>FFDFD3C0</v>
      </c>
      <c r="D2043" t="s">
        <v>126</v>
      </c>
      <c r="E2043">
        <v>3</v>
      </c>
      <c r="H2043">
        <v>160</v>
      </c>
      <c r="I2043" t="s">
        <v>121</v>
      </c>
      <c r="J2043" t="s">
        <v>127</v>
      </c>
      <c r="K2043">
        <v>0</v>
      </c>
      <c r="L2043">
        <v>3</v>
      </c>
      <c r="M2043">
        <v>0</v>
      </c>
      <c r="N2043">
        <v>2</v>
      </c>
      <c r="O2043">
        <v>0</v>
      </c>
      <c r="P2043">
        <v>1</v>
      </c>
      <c r="Q2043">
        <v>0</v>
      </c>
      <c r="S2043" t="str">
        <f t="shared" si="611"/>
        <v>22:18:03.000</v>
      </c>
      <c r="T2043" t="str">
        <f t="shared" si="611"/>
        <v>22:18:03.000</v>
      </c>
      <c r="U2043" t="str">
        <f t="shared" si="595"/>
        <v>A9D71F</v>
      </c>
      <c r="V2043">
        <v>0</v>
      </c>
      <c r="W2043">
        <v>0</v>
      </c>
      <c r="X2043">
        <v>2</v>
      </c>
      <c r="Z2043">
        <v>1</v>
      </c>
      <c r="AA2043">
        <v>8</v>
      </c>
      <c r="AB2043">
        <v>3</v>
      </c>
      <c r="AC2043">
        <v>0</v>
      </c>
      <c r="AD2043">
        <v>9</v>
      </c>
      <c r="AE2043">
        <v>0</v>
      </c>
      <c r="AF2043">
        <v>3</v>
      </c>
      <c r="AG2043">
        <v>1</v>
      </c>
      <c r="AH2043">
        <v>0</v>
      </c>
      <c r="AI2043" t="s">
        <v>1072</v>
      </c>
      <c r="AJ2043">
        <v>33.028336000000003</v>
      </c>
      <c r="AK2043" t="s">
        <v>1073</v>
      </c>
      <c r="AL2043">
        <v>-97.656869999999998</v>
      </c>
      <c r="AM2043">
        <v>25</v>
      </c>
      <c r="AN2043">
        <v>3400</v>
      </c>
      <c r="AO2043" t="s">
        <v>118</v>
      </c>
      <c r="AP2043">
        <v>34</v>
      </c>
      <c r="AQ2043">
        <v>-72</v>
      </c>
      <c r="AR2043">
        <v>0</v>
      </c>
      <c r="AZ2043">
        <v>1200</v>
      </c>
      <c r="BA2043">
        <v>1</v>
      </c>
      <c r="BB2043" t="str">
        <f t="shared" si="602"/>
        <v xml:space="preserve">N733KP  </v>
      </c>
      <c r="BC2043">
        <v>1</v>
      </c>
      <c r="BE2043">
        <v>0</v>
      </c>
      <c r="BF2043">
        <v>0</v>
      </c>
      <c r="BG2043">
        <v>0</v>
      </c>
      <c r="BH2043">
        <v>3375</v>
      </c>
      <c r="BI2043">
        <v>1</v>
      </c>
      <c r="BJ2043">
        <v>1</v>
      </c>
      <c r="BK2043">
        <v>0</v>
      </c>
      <c r="BL2043">
        <v>0</v>
      </c>
      <c r="BO2043">
        <v>0</v>
      </c>
      <c r="BP2043">
        <v>0</v>
      </c>
      <c r="BW2043" t="str">
        <f>"22:18:03.346"</f>
        <v>22:18:03.346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7</v>
      </c>
      <c r="CP2043" t="s">
        <v>119</v>
      </c>
      <c r="CQ2043">
        <v>364</v>
      </c>
      <c r="CR2043">
        <v>0</v>
      </c>
      <c r="CW2043">
        <v>1443226</v>
      </c>
      <c r="CY2043">
        <v>1</v>
      </c>
      <c r="CZ2043">
        <v>0</v>
      </c>
      <c r="DA2043">
        <v>1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>"03/24/2022 22:18:03.601"</f>
        <v>03/24/2022 22:18:03.601</v>
      </c>
      <c r="C2044" t="str">
        <f t="shared" si="600"/>
        <v>FFDFD3C0</v>
      </c>
      <c r="D2044" t="s">
        <v>123</v>
      </c>
      <c r="E2044">
        <v>8</v>
      </c>
      <c r="H2044">
        <v>31</v>
      </c>
      <c r="I2044" t="s">
        <v>124</v>
      </c>
      <c r="J2044" t="s">
        <v>125</v>
      </c>
      <c r="K2044">
        <v>0</v>
      </c>
      <c r="L2044">
        <v>3</v>
      </c>
      <c r="M2044">
        <v>0</v>
      </c>
      <c r="N2044">
        <v>2</v>
      </c>
      <c r="O2044">
        <v>0</v>
      </c>
      <c r="P2044">
        <v>1</v>
      </c>
      <c r="Q2044">
        <v>0</v>
      </c>
      <c r="S2044" t="str">
        <f t="shared" si="611"/>
        <v>22:18:03.000</v>
      </c>
      <c r="T2044" t="str">
        <f t="shared" si="611"/>
        <v>22:18:03.000</v>
      </c>
      <c r="U2044" t="str">
        <f t="shared" si="595"/>
        <v>A9D71F</v>
      </c>
      <c r="V2044">
        <v>0</v>
      </c>
      <c r="W2044">
        <v>0</v>
      </c>
      <c r="X2044">
        <v>2</v>
      </c>
      <c r="Z2044">
        <v>1</v>
      </c>
      <c r="AA2044">
        <v>8</v>
      </c>
      <c r="AB2044">
        <v>3</v>
      </c>
      <c r="AC2044">
        <v>0</v>
      </c>
      <c r="AD2044">
        <v>9</v>
      </c>
      <c r="AE2044">
        <v>0</v>
      </c>
      <c r="AF2044">
        <v>3</v>
      </c>
      <c r="AG2044">
        <v>1</v>
      </c>
      <c r="AH2044">
        <v>0</v>
      </c>
      <c r="AI2044" t="s">
        <v>1072</v>
      </c>
      <c r="AJ2044">
        <v>33.028336000000003</v>
      </c>
      <c r="AK2044" t="s">
        <v>1073</v>
      </c>
      <c r="AL2044">
        <v>-97.656869999999998</v>
      </c>
      <c r="AM2044">
        <v>25</v>
      </c>
      <c r="AN2044">
        <v>3400</v>
      </c>
      <c r="AO2044" t="s">
        <v>118</v>
      </c>
      <c r="AP2044">
        <v>34</v>
      </c>
      <c r="AQ2044">
        <v>-72</v>
      </c>
      <c r="AR2044">
        <v>0</v>
      </c>
      <c r="AZ2044">
        <v>1200</v>
      </c>
      <c r="BA2044">
        <v>1</v>
      </c>
      <c r="BB2044" t="str">
        <f t="shared" si="602"/>
        <v xml:space="preserve">N733KP  </v>
      </c>
      <c r="BC2044">
        <v>1</v>
      </c>
      <c r="BE2044">
        <v>0</v>
      </c>
      <c r="BF2044">
        <v>0</v>
      </c>
      <c r="BG2044">
        <v>0</v>
      </c>
      <c r="BH2044">
        <v>3375</v>
      </c>
      <c r="BI2044">
        <v>1</v>
      </c>
      <c r="BJ2044">
        <v>1</v>
      </c>
      <c r="BK2044">
        <v>0</v>
      </c>
      <c r="BL2044">
        <v>0</v>
      </c>
      <c r="BO2044">
        <v>0</v>
      </c>
      <c r="BP2044">
        <v>0</v>
      </c>
      <c r="BW2044" t="str">
        <f>"22:18:03.346"</f>
        <v>22:18:03.346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7</v>
      </c>
      <c r="CP2044" t="s">
        <v>119</v>
      </c>
      <c r="CQ2044">
        <v>364</v>
      </c>
      <c r="CR2044">
        <v>0</v>
      </c>
      <c r="CW2044">
        <v>1443226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>"03/24/2022 22:18:04.914"</f>
        <v>03/24/2022 22:18:04.914</v>
      </c>
      <c r="C2045" t="str">
        <f t="shared" si="600"/>
        <v>FFDFD3C0</v>
      </c>
      <c r="D2045" t="s">
        <v>123</v>
      </c>
      <c r="E2045">
        <v>8</v>
      </c>
      <c r="H2045">
        <v>31</v>
      </c>
      <c r="I2045" t="s">
        <v>124</v>
      </c>
      <c r="J2045" t="s">
        <v>125</v>
      </c>
      <c r="K2045">
        <v>0</v>
      </c>
      <c r="L2045">
        <v>3</v>
      </c>
      <c r="M2045">
        <v>0</v>
      </c>
      <c r="N2045">
        <v>2</v>
      </c>
      <c r="O2045">
        <v>0</v>
      </c>
      <c r="P2045">
        <v>1</v>
      </c>
      <c r="Q2045">
        <v>0</v>
      </c>
      <c r="S2045" t="str">
        <f t="shared" ref="S2045:T2048" si="612">"22:18:04.000"</f>
        <v>22:18:04.000</v>
      </c>
      <c r="T2045" t="str">
        <f t="shared" si="612"/>
        <v>22:18:04.000</v>
      </c>
      <c r="U2045" t="str">
        <f t="shared" si="595"/>
        <v>A9D71F</v>
      </c>
      <c r="V2045">
        <v>0</v>
      </c>
      <c r="W2045">
        <v>0</v>
      </c>
      <c r="X2045">
        <v>2</v>
      </c>
      <c r="Z2045">
        <v>1</v>
      </c>
      <c r="AA2045">
        <v>8</v>
      </c>
      <c r="AB2045">
        <v>3</v>
      </c>
      <c r="AC2045">
        <v>0</v>
      </c>
      <c r="AD2045">
        <v>9</v>
      </c>
      <c r="AE2045">
        <v>0</v>
      </c>
      <c r="AF2045">
        <v>3</v>
      </c>
      <c r="AG2045">
        <v>1</v>
      </c>
      <c r="AH2045">
        <v>0</v>
      </c>
      <c r="AI2045" t="s">
        <v>1074</v>
      </c>
      <c r="AJ2045">
        <v>33.027991999999998</v>
      </c>
      <c r="AK2045" t="s">
        <v>1075</v>
      </c>
      <c r="AL2045">
        <v>-97.656677000000002</v>
      </c>
      <c r="AM2045">
        <v>25</v>
      </c>
      <c r="AN2045">
        <v>3400</v>
      </c>
      <c r="AO2045" t="s">
        <v>118</v>
      </c>
      <c r="AP2045">
        <v>33</v>
      </c>
      <c r="AQ2045">
        <v>-72</v>
      </c>
      <c r="AR2045">
        <v>-64</v>
      </c>
      <c r="AZ2045">
        <v>1200</v>
      </c>
      <c r="BA2045">
        <v>1</v>
      </c>
      <c r="BB2045" t="str">
        <f t="shared" si="602"/>
        <v xml:space="preserve">N733KP  </v>
      </c>
      <c r="BC2045">
        <v>1</v>
      </c>
      <c r="BE2045">
        <v>0</v>
      </c>
      <c r="BF2045">
        <v>0</v>
      </c>
      <c r="BG2045">
        <v>0</v>
      </c>
      <c r="BH2045">
        <v>3375</v>
      </c>
      <c r="BI2045">
        <v>1</v>
      </c>
      <c r="BJ2045">
        <v>1</v>
      </c>
      <c r="BK2045">
        <v>0</v>
      </c>
      <c r="BL2045">
        <v>0</v>
      </c>
      <c r="BO2045">
        <v>0</v>
      </c>
      <c r="BP2045">
        <v>0</v>
      </c>
      <c r="BW2045" t="str">
        <f>"22:18:04.750"</f>
        <v>22:18:04.750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6</v>
      </c>
      <c r="CP2045" t="s">
        <v>119</v>
      </c>
      <c r="CQ2045">
        <v>364</v>
      </c>
      <c r="CR2045">
        <v>0</v>
      </c>
      <c r="CW2045">
        <v>1443475</v>
      </c>
      <c r="CY2045">
        <v>1</v>
      </c>
      <c r="CZ2045">
        <v>0</v>
      </c>
      <c r="DA2045">
        <v>0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>"03/24/2022 22:18:04.945"</f>
        <v>03/24/2022 22:18:04.945</v>
      </c>
      <c r="C2046" t="str">
        <f t="shared" si="600"/>
        <v>FFDFD3C0</v>
      </c>
      <c r="D2046" t="s">
        <v>120</v>
      </c>
      <c r="E2046">
        <v>14</v>
      </c>
      <c r="F2046">
        <v>1014</v>
      </c>
      <c r="G2046" t="s">
        <v>121</v>
      </c>
      <c r="J2046" t="s">
        <v>122</v>
      </c>
      <c r="K2046">
        <v>0</v>
      </c>
      <c r="L2046">
        <v>3</v>
      </c>
      <c r="M2046">
        <v>0</v>
      </c>
      <c r="N2046">
        <v>2</v>
      </c>
      <c r="O2046">
        <v>0</v>
      </c>
      <c r="P2046">
        <v>1</v>
      </c>
      <c r="Q2046">
        <v>0</v>
      </c>
      <c r="S2046" t="str">
        <f t="shared" si="612"/>
        <v>22:18:04.000</v>
      </c>
      <c r="T2046" t="str">
        <f t="shared" si="612"/>
        <v>22:18:04.000</v>
      </c>
      <c r="U2046" t="str">
        <f t="shared" si="595"/>
        <v>A9D71F</v>
      </c>
      <c r="V2046">
        <v>0</v>
      </c>
      <c r="W2046">
        <v>0</v>
      </c>
      <c r="X2046">
        <v>2</v>
      </c>
      <c r="Z2046">
        <v>1</v>
      </c>
      <c r="AA2046">
        <v>8</v>
      </c>
      <c r="AB2046">
        <v>3</v>
      </c>
      <c r="AC2046">
        <v>0</v>
      </c>
      <c r="AD2046">
        <v>9</v>
      </c>
      <c r="AE2046">
        <v>0</v>
      </c>
      <c r="AF2046">
        <v>3</v>
      </c>
      <c r="AG2046">
        <v>1</v>
      </c>
      <c r="AH2046">
        <v>0</v>
      </c>
      <c r="AI2046" t="s">
        <v>1074</v>
      </c>
      <c r="AJ2046">
        <v>33.027991999999998</v>
      </c>
      <c r="AK2046" t="s">
        <v>1075</v>
      </c>
      <c r="AL2046">
        <v>-97.656677000000002</v>
      </c>
      <c r="AM2046">
        <v>25</v>
      </c>
      <c r="AN2046">
        <v>3400</v>
      </c>
      <c r="AO2046" t="s">
        <v>118</v>
      </c>
      <c r="AP2046">
        <v>33</v>
      </c>
      <c r="AQ2046">
        <v>-72</v>
      </c>
      <c r="AR2046">
        <v>-64</v>
      </c>
      <c r="AZ2046">
        <v>1200</v>
      </c>
      <c r="BA2046">
        <v>1</v>
      </c>
      <c r="BB2046" t="str">
        <f t="shared" si="602"/>
        <v xml:space="preserve">N733KP  </v>
      </c>
      <c r="BC2046">
        <v>1</v>
      </c>
      <c r="BE2046">
        <v>0</v>
      </c>
      <c r="BF2046">
        <v>0</v>
      </c>
      <c r="BG2046">
        <v>0</v>
      </c>
      <c r="BH2046">
        <v>3375</v>
      </c>
      <c r="BI2046">
        <v>1</v>
      </c>
      <c r="BJ2046">
        <v>1</v>
      </c>
      <c r="BK2046">
        <v>0</v>
      </c>
      <c r="BL2046">
        <v>0</v>
      </c>
      <c r="BO2046">
        <v>0</v>
      </c>
      <c r="BP2046">
        <v>0</v>
      </c>
      <c r="BW2046" t="str">
        <f>"22:18:04.750"</f>
        <v>22:18:04.750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6</v>
      </c>
      <c r="CP2046" t="s">
        <v>119</v>
      </c>
      <c r="CQ2046">
        <v>364</v>
      </c>
      <c r="CR2046">
        <v>0</v>
      </c>
      <c r="CW2046">
        <v>1443475</v>
      </c>
      <c r="CY2046">
        <v>1</v>
      </c>
      <c r="CZ2046">
        <v>0</v>
      </c>
      <c r="DA2046">
        <v>1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>"03/24/2022 22:18:04.961"</f>
        <v>03/24/2022 22:18:04.961</v>
      </c>
      <c r="C2047" t="str">
        <f t="shared" si="600"/>
        <v>FFDFD3C0</v>
      </c>
      <c r="D2047" t="s">
        <v>126</v>
      </c>
      <c r="E2047">
        <v>3</v>
      </c>
      <c r="H2047">
        <v>160</v>
      </c>
      <c r="I2047" t="s">
        <v>121</v>
      </c>
      <c r="J2047" t="s">
        <v>127</v>
      </c>
      <c r="K2047">
        <v>0</v>
      </c>
      <c r="L2047">
        <v>3</v>
      </c>
      <c r="M2047">
        <v>0</v>
      </c>
      <c r="N2047">
        <v>2</v>
      </c>
      <c r="O2047">
        <v>0</v>
      </c>
      <c r="P2047">
        <v>1</v>
      </c>
      <c r="Q2047">
        <v>0</v>
      </c>
      <c r="S2047" t="str">
        <f t="shared" si="612"/>
        <v>22:18:04.000</v>
      </c>
      <c r="T2047" t="str">
        <f t="shared" si="612"/>
        <v>22:18:04.000</v>
      </c>
      <c r="U2047" t="str">
        <f t="shared" si="595"/>
        <v>A9D71F</v>
      </c>
      <c r="V2047">
        <v>0</v>
      </c>
      <c r="W2047">
        <v>0</v>
      </c>
      <c r="X2047">
        <v>2</v>
      </c>
      <c r="Z2047">
        <v>1</v>
      </c>
      <c r="AA2047">
        <v>8</v>
      </c>
      <c r="AB2047">
        <v>3</v>
      </c>
      <c r="AC2047">
        <v>0</v>
      </c>
      <c r="AD2047">
        <v>9</v>
      </c>
      <c r="AE2047">
        <v>0</v>
      </c>
      <c r="AF2047">
        <v>3</v>
      </c>
      <c r="AG2047">
        <v>1</v>
      </c>
      <c r="AH2047">
        <v>0</v>
      </c>
      <c r="AI2047" t="s">
        <v>1074</v>
      </c>
      <c r="AJ2047">
        <v>33.027991999999998</v>
      </c>
      <c r="AK2047" t="s">
        <v>1075</v>
      </c>
      <c r="AL2047">
        <v>-97.656677000000002</v>
      </c>
      <c r="AM2047">
        <v>25</v>
      </c>
      <c r="AN2047">
        <v>3400</v>
      </c>
      <c r="AO2047" t="s">
        <v>118</v>
      </c>
      <c r="AP2047">
        <v>33</v>
      </c>
      <c r="AQ2047">
        <v>-72</v>
      </c>
      <c r="AR2047">
        <v>-64</v>
      </c>
      <c r="AZ2047">
        <v>1200</v>
      </c>
      <c r="BA2047">
        <v>1</v>
      </c>
      <c r="BB2047" t="str">
        <f t="shared" si="602"/>
        <v xml:space="preserve">N733KP  </v>
      </c>
      <c r="BC2047">
        <v>1</v>
      </c>
      <c r="BE2047">
        <v>0</v>
      </c>
      <c r="BF2047">
        <v>0</v>
      </c>
      <c r="BG2047">
        <v>0</v>
      </c>
      <c r="BH2047">
        <v>3375</v>
      </c>
      <c r="BI2047">
        <v>1</v>
      </c>
      <c r="BJ2047">
        <v>1</v>
      </c>
      <c r="BK2047">
        <v>0</v>
      </c>
      <c r="BL2047">
        <v>0</v>
      </c>
      <c r="BO2047">
        <v>0</v>
      </c>
      <c r="BP2047">
        <v>0</v>
      </c>
      <c r="BW2047" t="str">
        <f>"22:18:04.750"</f>
        <v>22:18:04.750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6</v>
      </c>
      <c r="CP2047" t="s">
        <v>119</v>
      </c>
      <c r="CQ2047">
        <v>364</v>
      </c>
      <c r="CR2047">
        <v>0</v>
      </c>
      <c r="CW2047">
        <v>1443475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>"03/24/2022 22:18:04.961"</f>
        <v>03/24/2022 22:18:04.961</v>
      </c>
      <c r="C2048" t="str">
        <f t="shared" si="600"/>
        <v>FFDFD3C0</v>
      </c>
      <c r="D2048" t="s">
        <v>113</v>
      </c>
      <c r="E2048">
        <v>24</v>
      </c>
      <c r="F2048">
        <v>2024</v>
      </c>
      <c r="G2048" t="s">
        <v>114</v>
      </c>
      <c r="J2048" t="s">
        <v>115</v>
      </c>
      <c r="K2048">
        <v>0</v>
      </c>
      <c r="L2048">
        <v>3</v>
      </c>
      <c r="M2048">
        <v>0</v>
      </c>
      <c r="N2048">
        <v>2</v>
      </c>
      <c r="O2048">
        <v>0</v>
      </c>
      <c r="P2048">
        <v>1</v>
      </c>
      <c r="Q2048">
        <v>0</v>
      </c>
      <c r="S2048" t="str">
        <f t="shared" si="612"/>
        <v>22:18:04.000</v>
      </c>
      <c r="T2048" t="str">
        <f t="shared" si="612"/>
        <v>22:18:04.000</v>
      </c>
      <c r="U2048" t="str">
        <f t="shared" si="595"/>
        <v>A9D71F</v>
      </c>
      <c r="V2048">
        <v>0</v>
      </c>
      <c r="W2048">
        <v>0</v>
      </c>
      <c r="X2048">
        <v>2</v>
      </c>
      <c r="Z2048">
        <v>1</v>
      </c>
      <c r="AA2048">
        <v>8</v>
      </c>
      <c r="AB2048">
        <v>3</v>
      </c>
      <c r="AC2048">
        <v>0</v>
      </c>
      <c r="AD2048">
        <v>9</v>
      </c>
      <c r="AE2048">
        <v>0</v>
      </c>
      <c r="AF2048">
        <v>3</v>
      </c>
      <c r="AG2048">
        <v>1</v>
      </c>
      <c r="AH2048">
        <v>0</v>
      </c>
      <c r="AI2048" t="s">
        <v>1074</v>
      </c>
      <c r="AJ2048">
        <v>33.027991999999998</v>
      </c>
      <c r="AK2048" t="s">
        <v>1075</v>
      </c>
      <c r="AL2048">
        <v>-97.656677000000002</v>
      </c>
      <c r="AM2048">
        <v>25</v>
      </c>
      <c r="AN2048">
        <v>3400</v>
      </c>
      <c r="AO2048" t="s">
        <v>118</v>
      </c>
      <c r="AP2048">
        <v>33</v>
      </c>
      <c r="AQ2048">
        <v>-72</v>
      </c>
      <c r="AR2048">
        <v>-64</v>
      </c>
      <c r="AZ2048">
        <v>1200</v>
      </c>
      <c r="BA2048">
        <v>1</v>
      </c>
      <c r="BB2048" t="str">
        <f t="shared" si="602"/>
        <v xml:space="preserve">N733KP  </v>
      </c>
      <c r="BC2048">
        <v>1</v>
      </c>
      <c r="BE2048">
        <v>0</v>
      </c>
      <c r="BF2048">
        <v>0</v>
      </c>
      <c r="BG2048">
        <v>0</v>
      </c>
      <c r="BH2048">
        <v>3375</v>
      </c>
      <c r="BI2048">
        <v>1</v>
      </c>
      <c r="BJ2048">
        <v>1</v>
      </c>
      <c r="BK2048">
        <v>0</v>
      </c>
      <c r="BL2048">
        <v>0</v>
      </c>
      <c r="BO2048">
        <v>0</v>
      </c>
      <c r="BP2048">
        <v>0</v>
      </c>
      <c r="BW2048" t="str">
        <f>"22:18:04.750"</f>
        <v>22:18:04.750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6</v>
      </c>
      <c r="CP2048" t="s">
        <v>119</v>
      </c>
      <c r="CQ2048">
        <v>364</v>
      </c>
      <c r="CR2048">
        <v>0</v>
      </c>
      <c r="CW2048">
        <v>1443475</v>
      </c>
      <c r="CY2048">
        <v>1</v>
      </c>
      <c r="CZ2048">
        <v>0</v>
      </c>
      <c r="DA2048">
        <v>1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>"03/24/2022 22:18:05.617"</f>
        <v>03/24/2022 22:18:05.617</v>
      </c>
      <c r="C2049" t="str">
        <f t="shared" si="600"/>
        <v>FFDFD3C0</v>
      </c>
      <c r="D2049" t="s">
        <v>123</v>
      </c>
      <c r="E2049">
        <v>8</v>
      </c>
      <c r="H2049">
        <v>31</v>
      </c>
      <c r="I2049" t="s">
        <v>124</v>
      </c>
      <c r="J2049" t="s">
        <v>125</v>
      </c>
      <c r="K2049">
        <v>0</v>
      </c>
      <c r="L2049">
        <v>3</v>
      </c>
      <c r="M2049">
        <v>0</v>
      </c>
      <c r="N2049">
        <v>2</v>
      </c>
      <c r="O2049">
        <v>0</v>
      </c>
      <c r="P2049">
        <v>1</v>
      </c>
      <c r="Q2049">
        <v>0</v>
      </c>
      <c r="S2049" t="str">
        <f t="shared" ref="S2049:T2052" si="613">"22:18:05.000"</f>
        <v>22:18:05.000</v>
      </c>
      <c r="T2049" t="str">
        <f t="shared" si="613"/>
        <v>22:18:05.000</v>
      </c>
      <c r="U2049" t="str">
        <f t="shared" si="595"/>
        <v>A9D71F</v>
      </c>
      <c r="V2049">
        <v>0</v>
      </c>
      <c r="W2049">
        <v>0</v>
      </c>
      <c r="X2049">
        <v>2</v>
      </c>
      <c r="Z2049">
        <v>1</v>
      </c>
      <c r="AA2049">
        <v>8</v>
      </c>
      <c r="AB2049">
        <v>3</v>
      </c>
      <c r="AC2049">
        <v>0</v>
      </c>
      <c r="AD2049">
        <v>9</v>
      </c>
      <c r="AE2049">
        <v>0</v>
      </c>
      <c r="AF2049">
        <v>3</v>
      </c>
      <c r="AG2049">
        <v>1</v>
      </c>
      <c r="AH2049">
        <v>0</v>
      </c>
      <c r="AI2049" t="s">
        <v>1076</v>
      </c>
      <c r="AJ2049">
        <v>33.027670000000001</v>
      </c>
      <c r="AK2049" t="s">
        <v>1077</v>
      </c>
      <c r="AL2049">
        <v>-97.656484000000006</v>
      </c>
      <c r="AM2049">
        <v>25</v>
      </c>
      <c r="AN2049">
        <v>3400</v>
      </c>
      <c r="AO2049" t="s">
        <v>118</v>
      </c>
      <c r="AP2049">
        <v>32</v>
      </c>
      <c r="AQ2049">
        <v>-73</v>
      </c>
      <c r="AR2049">
        <v>-128</v>
      </c>
      <c r="AZ2049">
        <v>1200</v>
      </c>
      <c r="BA2049">
        <v>1</v>
      </c>
      <c r="BB2049" t="str">
        <f t="shared" si="602"/>
        <v xml:space="preserve">N733KP  </v>
      </c>
      <c r="BC2049">
        <v>1</v>
      </c>
      <c r="BE2049">
        <v>0</v>
      </c>
      <c r="BF2049">
        <v>0</v>
      </c>
      <c r="BG2049">
        <v>0</v>
      </c>
      <c r="BH2049">
        <v>3375</v>
      </c>
      <c r="BI2049">
        <v>1</v>
      </c>
      <c r="BJ2049">
        <v>1</v>
      </c>
      <c r="BK2049">
        <v>0</v>
      </c>
      <c r="BL2049">
        <v>0</v>
      </c>
      <c r="BO2049">
        <v>0</v>
      </c>
      <c r="BP2049">
        <v>0</v>
      </c>
      <c r="BW2049" t="str">
        <f>"22:18:05.457"</f>
        <v>22:18:05.457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7</v>
      </c>
      <c r="CP2049" t="s">
        <v>119</v>
      </c>
      <c r="CQ2049">
        <v>364</v>
      </c>
      <c r="CR2049">
        <v>0</v>
      </c>
      <c r="CW2049">
        <v>1443573</v>
      </c>
      <c r="CY2049">
        <v>1</v>
      </c>
      <c r="CZ2049">
        <v>0</v>
      </c>
      <c r="DA2049">
        <v>0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>"03/24/2022 22:18:05.711"</f>
        <v>03/24/2022 22:18:05.711</v>
      </c>
      <c r="C2050" t="str">
        <f t="shared" si="600"/>
        <v>FFDFD3C0</v>
      </c>
      <c r="D2050" t="s">
        <v>113</v>
      </c>
      <c r="E2050">
        <v>24</v>
      </c>
      <c r="F2050">
        <v>2024</v>
      </c>
      <c r="G2050" t="s">
        <v>114</v>
      </c>
      <c r="J2050" t="s">
        <v>115</v>
      </c>
      <c r="K2050">
        <v>0</v>
      </c>
      <c r="L2050">
        <v>3</v>
      </c>
      <c r="M2050">
        <v>0</v>
      </c>
      <c r="N2050">
        <v>2</v>
      </c>
      <c r="O2050">
        <v>0</v>
      </c>
      <c r="P2050">
        <v>1</v>
      </c>
      <c r="Q2050">
        <v>0</v>
      </c>
      <c r="S2050" t="str">
        <f t="shared" si="613"/>
        <v>22:18:05.000</v>
      </c>
      <c r="T2050" t="str">
        <f t="shared" si="613"/>
        <v>22:18:05.000</v>
      </c>
      <c r="U2050" t="str">
        <f t="shared" ref="U2050:U2113" si="614">"A9D71F"</f>
        <v>A9D71F</v>
      </c>
      <c r="V2050">
        <v>0</v>
      </c>
      <c r="W2050">
        <v>0</v>
      </c>
      <c r="X2050">
        <v>2</v>
      </c>
      <c r="Z2050">
        <v>1</v>
      </c>
      <c r="AA2050">
        <v>8</v>
      </c>
      <c r="AB2050">
        <v>3</v>
      </c>
      <c r="AC2050">
        <v>0</v>
      </c>
      <c r="AD2050">
        <v>9</v>
      </c>
      <c r="AE2050">
        <v>0</v>
      </c>
      <c r="AF2050">
        <v>3</v>
      </c>
      <c r="AG2050">
        <v>1</v>
      </c>
      <c r="AH2050">
        <v>0</v>
      </c>
      <c r="AI2050" t="s">
        <v>1076</v>
      </c>
      <c r="AJ2050">
        <v>33.027670000000001</v>
      </c>
      <c r="AK2050" t="s">
        <v>1077</v>
      </c>
      <c r="AL2050">
        <v>-97.656484000000006</v>
      </c>
      <c r="AM2050">
        <v>25</v>
      </c>
      <c r="AN2050">
        <v>3400</v>
      </c>
      <c r="AO2050" t="s">
        <v>118</v>
      </c>
      <c r="AP2050">
        <v>32</v>
      </c>
      <c r="AQ2050">
        <v>-73</v>
      </c>
      <c r="AR2050">
        <v>-128</v>
      </c>
      <c r="AZ2050">
        <v>1200</v>
      </c>
      <c r="BA2050">
        <v>1</v>
      </c>
      <c r="BB2050" t="str">
        <f t="shared" si="602"/>
        <v xml:space="preserve">N733KP  </v>
      </c>
      <c r="BC2050">
        <v>1</v>
      </c>
      <c r="BE2050">
        <v>0</v>
      </c>
      <c r="BF2050">
        <v>0</v>
      </c>
      <c r="BG2050">
        <v>0</v>
      </c>
      <c r="BH2050">
        <v>3375</v>
      </c>
      <c r="BI2050">
        <v>1</v>
      </c>
      <c r="BJ2050">
        <v>1</v>
      </c>
      <c r="BK2050">
        <v>0</v>
      </c>
      <c r="BL2050">
        <v>0</v>
      </c>
      <c r="BO2050">
        <v>0</v>
      </c>
      <c r="BP2050">
        <v>0</v>
      </c>
      <c r="BW2050" t="str">
        <f>"22:18:05.457"</f>
        <v>22:18:05.457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7</v>
      </c>
      <c r="CP2050" t="s">
        <v>119</v>
      </c>
      <c r="CQ2050">
        <v>364</v>
      </c>
      <c r="CR2050">
        <v>0</v>
      </c>
      <c r="CW2050">
        <v>1443573</v>
      </c>
      <c r="CY2050">
        <v>1</v>
      </c>
      <c r="CZ2050">
        <v>0</v>
      </c>
      <c r="DA2050">
        <v>1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>"03/24/2022 22:18:05.711"</f>
        <v>03/24/2022 22:18:05.711</v>
      </c>
      <c r="C2051" t="str">
        <f t="shared" si="600"/>
        <v>FFDFD3C0</v>
      </c>
      <c r="D2051" t="s">
        <v>126</v>
      </c>
      <c r="E2051">
        <v>3</v>
      </c>
      <c r="H2051">
        <v>160</v>
      </c>
      <c r="I2051" t="s">
        <v>121</v>
      </c>
      <c r="J2051" t="s">
        <v>127</v>
      </c>
      <c r="K2051">
        <v>0</v>
      </c>
      <c r="L2051">
        <v>3</v>
      </c>
      <c r="M2051">
        <v>0</v>
      </c>
      <c r="N2051">
        <v>2</v>
      </c>
      <c r="O2051">
        <v>0</v>
      </c>
      <c r="P2051">
        <v>1</v>
      </c>
      <c r="Q2051">
        <v>0</v>
      </c>
      <c r="S2051" t="str">
        <f t="shared" si="613"/>
        <v>22:18:05.000</v>
      </c>
      <c r="T2051" t="str">
        <f t="shared" si="613"/>
        <v>22:18:05.000</v>
      </c>
      <c r="U2051" t="str">
        <f t="shared" si="614"/>
        <v>A9D71F</v>
      </c>
      <c r="V2051">
        <v>0</v>
      </c>
      <c r="W2051">
        <v>0</v>
      </c>
      <c r="X2051">
        <v>2</v>
      </c>
      <c r="Z2051">
        <v>1</v>
      </c>
      <c r="AA2051">
        <v>8</v>
      </c>
      <c r="AB2051">
        <v>3</v>
      </c>
      <c r="AC2051">
        <v>0</v>
      </c>
      <c r="AD2051">
        <v>9</v>
      </c>
      <c r="AE2051">
        <v>0</v>
      </c>
      <c r="AF2051">
        <v>3</v>
      </c>
      <c r="AG2051">
        <v>1</v>
      </c>
      <c r="AH2051">
        <v>0</v>
      </c>
      <c r="AI2051" t="s">
        <v>1076</v>
      </c>
      <c r="AJ2051">
        <v>33.027670000000001</v>
      </c>
      <c r="AK2051" t="s">
        <v>1077</v>
      </c>
      <c r="AL2051">
        <v>-97.656484000000006</v>
      </c>
      <c r="AM2051">
        <v>25</v>
      </c>
      <c r="AN2051">
        <v>3400</v>
      </c>
      <c r="AO2051" t="s">
        <v>118</v>
      </c>
      <c r="AP2051">
        <v>32</v>
      </c>
      <c r="AQ2051">
        <v>-73</v>
      </c>
      <c r="AR2051">
        <v>-128</v>
      </c>
      <c r="AZ2051">
        <v>1200</v>
      </c>
      <c r="BA2051">
        <v>1</v>
      </c>
      <c r="BB2051" t="str">
        <f t="shared" si="602"/>
        <v xml:space="preserve">N733KP  </v>
      </c>
      <c r="BC2051">
        <v>1</v>
      </c>
      <c r="BE2051">
        <v>0</v>
      </c>
      <c r="BF2051">
        <v>0</v>
      </c>
      <c r="BG2051">
        <v>0</v>
      </c>
      <c r="BH2051">
        <v>3375</v>
      </c>
      <c r="BI2051">
        <v>1</v>
      </c>
      <c r="BJ2051">
        <v>1</v>
      </c>
      <c r="BK2051">
        <v>0</v>
      </c>
      <c r="BL2051">
        <v>0</v>
      </c>
      <c r="BO2051">
        <v>0</v>
      </c>
      <c r="BP2051">
        <v>0</v>
      </c>
      <c r="BW2051" t="str">
        <f>"22:18:05.457"</f>
        <v>22:18:05.457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364</v>
      </c>
      <c r="CR2051">
        <v>0</v>
      </c>
      <c r="CW2051">
        <v>1443573</v>
      </c>
      <c r="CY2051">
        <v>1</v>
      </c>
      <c r="CZ2051">
        <v>0</v>
      </c>
      <c r="DA2051">
        <v>1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>"03/24/2022 22:18:05.711"</f>
        <v>03/24/2022 22:18:05.711</v>
      </c>
      <c r="C2052" t="str">
        <f t="shared" si="600"/>
        <v>FFDFD3C0</v>
      </c>
      <c r="D2052" t="s">
        <v>120</v>
      </c>
      <c r="E2052">
        <v>14</v>
      </c>
      <c r="F2052">
        <v>1014</v>
      </c>
      <c r="G2052" t="s">
        <v>121</v>
      </c>
      <c r="J2052" t="s">
        <v>122</v>
      </c>
      <c r="K2052">
        <v>0</v>
      </c>
      <c r="L2052">
        <v>3</v>
      </c>
      <c r="M2052">
        <v>0</v>
      </c>
      <c r="N2052">
        <v>2</v>
      </c>
      <c r="O2052">
        <v>0</v>
      </c>
      <c r="P2052">
        <v>1</v>
      </c>
      <c r="Q2052">
        <v>0</v>
      </c>
      <c r="S2052" t="str">
        <f t="shared" si="613"/>
        <v>22:18:05.000</v>
      </c>
      <c r="T2052" t="str">
        <f t="shared" si="613"/>
        <v>22:18:05.000</v>
      </c>
      <c r="U2052" t="str">
        <f t="shared" si="614"/>
        <v>A9D71F</v>
      </c>
      <c r="V2052">
        <v>0</v>
      </c>
      <c r="W2052">
        <v>0</v>
      </c>
      <c r="X2052">
        <v>2</v>
      </c>
      <c r="Z2052">
        <v>1</v>
      </c>
      <c r="AA2052">
        <v>8</v>
      </c>
      <c r="AB2052">
        <v>3</v>
      </c>
      <c r="AC2052">
        <v>0</v>
      </c>
      <c r="AD2052">
        <v>9</v>
      </c>
      <c r="AE2052">
        <v>0</v>
      </c>
      <c r="AF2052">
        <v>3</v>
      </c>
      <c r="AG2052">
        <v>1</v>
      </c>
      <c r="AH2052">
        <v>0</v>
      </c>
      <c r="AI2052" t="s">
        <v>1076</v>
      </c>
      <c r="AJ2052">
        <v>33.027670000000001</v>
      </c>
      <c r="AK2052" t="s">
        <v>1077</v>
      </c>
      <c r="AL2052">
        <v>-97.656484000000006</v>
      </c>
      <c r="AM2052">
        <v>25</v>
      </c>
      <c r="AN2052">
        <v>3400</v>
      </c>
      <c r="AO2052" t="s">
        <v>118</v>
      </c>
      <c r="AP2052">
        <v>32</v>
      </c>
      <c r="AQ2052">
        <v>-73</v>
      </c>
      <c r="AR2052">
        <v>-128</v>
      </c>
      <c r="AZ2052">
        <v>1200</v>
      </c>
      <c r="BA2052">
        <v>1</v>
      </c>
      <c r="BB2052" t="str">
        <f t="shared" si="602"/>
        <v xml:space="preserve">N733KP  </v>
      </c>
      <c r="BC2052">
        <v>1</v>
      </c>
      <c r="BE2052">
        <v>0</v>
      </c>
      <c r="BF2052">
        <v>0</v>
      </c>
      <c r="BG2052">
        <v>0</v>
      </c>
      <c r="BH2052">
        <v>3375</v>
      </c>
      <c r="BI2052">
        <v>1</v>
      </c>
      <c r="BJ2052">
        <v>1</v>
      </c>
      <c r="BK2052">
        <v>0</v>
      </c>
      <c r="BL2052">
        <v>0</v>
      </c>
      <c r="BO2052">
        <v>0</v>
      </c>
      <c r="BP2052">
        <v>0</v>
      </c>
      <c r="BW2052" t="str">
        <f>"22:18:05.457"</f>
        <v>22:18:05.457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7</v>
      </c>
      <c r="CP2052" t="s">
        <v>119</v>
      </c>
      <c r="CQ2052">
        <v>364</v>
      </c>
      <c r="CR2052">
        <v>0</v>
      </c>
      <c r="CW2052">
        <v>1443573</v>
      </c>
      <c r="CY2052">
        <v>1</v>
      </c>
      <c r="CZ2052">
        <v>0</v>
      </c>
      <c r="DA2052">
        <v>1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>"03/24/2022 22:18:06.617"</f>
        <v>03/24/2022 22:18:06.617</v>
      </c>
      <c r="C2053" t="str">
        <f t="shared" si="600"/>
        <v>FFDFD3C0</v>
      </c>
      <c r="D2053" t="s">
        <v>120</v>
      </c>
      <c r="E2053">
        <v>14</v>
      </c>
      <c r="F2053">
        <v>1014</v>
      </c>
      <c r="G2053" t="s">
        <v>121</v>
      </c>
      <c r="J2053" t="s">
        <v>122</v>
      </c>
      <c r="K2053">
        <v>0</v>
      </c>
      <c r="L2053">
        <v>3</v>
      </c>
      <c r="M2053">
        <v>0</v>
      </c>
      <c r="N2053">
        <v>2</v>
      </c>
      <c r="O2053">
        <v>0</v>
      </c>
      <c r="P2053">
        <v>1</v>
      </c>
      <c r="Q2053">
        <v>0</v>
      </c>
      <c r="S2053" t="str">
        <f t="shared" ref="S2053:T2056" si="615">"22:18:06.000"</f>
        <v>22:18:06.000</v>
      </c>
      <c r="T2053" t="str">
        <f t="shared" si="615"/>
        <v>22:18:06.000</v>
      </c>
      <c r="U2053" t="str">
        <f t="shared" si="614"/>
        <v>A9D71F</v>
      </c>
      <c r="V2053">
        <v>0</v>
      </c>
      <c r="W2053">
        <v>0</v>
      </c>
      <c r="X2053">
        <v>2</v>
      </c>
      <c r="Z2053">
        <v>1</v>
      </c>
      <c r="AA2053">
        <v>8</v>
      </c>
      <c r="AB2053">
        <v>3</v>
      </c>
      <c r="AC2053">
        <v>0</v>
      </c>
      <c r="AD2053">
        <v>9</v>
      </c>
      <c r="AE2053">
        <v>0</v>
      </c>
      <c r="AF2053">
        <v>3</v>
      </c>
      <c r="AG2053">
        <v>1</v>
      </c>
      <c r="AH2053">
        <v>0</v>
      </c>
      <c r="AI2053" t="s">
        <v>1078</v>
      </c>
      <c r="AJ2053">
        <v>33.027349000000001</v>
      </c>
      <c r="AK2053" t="s">
        <v>1079</v>
      </c>
      <c r="AL2053">
        <v>-97.656290999999996</v>
      </c>
      <c r="AM2053">
        <v>25</v>
      </c>
      <c r="AN2053">
        <v>3400</v>
      </c>
      <c r="AO2053" t="s">
        <v>118</v>
      </c>
      <c r="AP2053">
        <v>31</v>
      </c>
      <c r="AQ2053">
        <v>-73</v>
      </c>
      <c r="AR2053">
        <v>-64</v>
      </c>
      <c r="AZ2053">
        <v>1200</v>
      </c>
      <c r="BA2053">
        <v>1</v>
      </c>
      <c r="BB2053" t="str">
        <f t="shared" si="602"/>
        <v xml:space="preserve">N733KP  </v>
      </c>
      <c r="BC2053">
        <v>1</v>
      </c>
      <c r="BE2053">
        <v>0</v>
      </c>
      <c r="BF2053">
        <v>0</v>
      </c>
      <c r="BG2053">
        <v>0</v>
      </c>
      <c r="BH2053">
        <v>3350</v>
      </c>
      <c r="BI2053">
        <v>1</v>
      </c>
      <c r="BJ2053">
        <v>1</v>
      </c>
      <c r="BK2053">
        <v>0</v>
      </c>
      <c r="BL2053">
        <v>0</v>
      </c>
      <c r="BO2053">
        <v>0</v>
      </c>
      <c r="BP2053">
        <v>0</v>
      </c>
      <c r="BW2053" t="str">
        <f>"22:18:06.453"</f>
        <v>22:18:06.453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7</v>
      </c>
      <c r="CP2053" t="s">
        <v>119</v>
      </c>
      <c r="CQ2053">
        <v>364</v>
      </c>
      <c r="CR2053">
        <v>0</v>
      </c>
      <c r="CW2053">
        <v>1443753</v>
      </c>
      <c r="CY2053">
        <v>1</v>
      </c>
      <c r="CZ2053">
        <v>0</v>
      </c>
      <c r="DA2053">
        <v>0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>"03/24/2022 22:18:06.633"</f>
        <v>03/24/2022 22:18:06.633</v>
      </c>
      <c r="C2054" t="str">
        <f t="shared" si="600"/>
        <v>FFDFD3C0</v>
      </c>
      <c r="D2054" t="s">
        <v>113</v>
      </c>
      <c r="E2054">
        <v>24</v>
      </c>
      <c r="F2054">
        <v>2024</v>
      </c>
      <c r="G2054" t="s">
        <v>114</v>
      </c>
      <c r="J2054" t="s">
        <v>115</v>
      </c>
      <c r="K2054">
        <v>0</v>
      </c>
      <c r="L2054">
        <v>3</v>
      </c>
      <c r="M2054">
        <v>0</v>
      </c>
      <c r="N2054">
        <v>2</v>
      </c>
      <c r="O2054">
        <v>0</v>
      </c>
      <c r="P2054">
        <v>1</v>
      </c>
      <c r="Q2054">
        <v>0</v>
      </c>
      <c r="S2054" t="str">
        <f t="shared" si="615"/>
        <v>22:18:06.000</v>
      </c>
      <c r="T2054" t="str">
        <f t="shared" si="615"/>
        <v>22:18:06.000</v>
      </c>
      <c r="U2054" t="str">
        <f t="shared" si="614"/>
        <v>A9D71F</v>
      </c>
      <c r="V2054">
        <v>0</v>
      </c>
      <c r="W2054">
        <v>0</v>
      </c>
      <c r="X2054">
        <v>2</v>
      </c>
      <c r="Z2054">
        <v>1</v>
      </c>
      <c r="AA2054">
        <v>8</v>
      </c>
      <c r="AB2054">
        <v>3</v>
      </c>
      <c r="AC2054">
        <v>0</v>
      </c>
      <c r="AD2054">
        <v>9</v>
      </c>
      <c r="AE2054">
        <v>0</v>
      </c>
      <c r="AF2054">
        <v>3</v>
      </c>
      <c r="AG2054">
        <v>1</v>
      </c>
      <c r="AH2054">
        <v>0</v>
      </c>
      <c r="AI2054" t="s">
        <v>1078</v>
      </c>
      <c r="AJ2054">
        <v>33.027349000000001</v>
      </c>
      <c r="AK2054" t="s">
        <v>1079</v>
      </c>
      <c r="AL2054">
        <v>-97.656290999999996</v>
      </c>
      <c r="AM2054">
        <v>25</v>
      </c>
      <c r="AN2054">
        <v>3400</v>
      </c>
      <c r="AO2054" t="s">
        <v>118</v>
      </c>
      <c r="AP2054">
        <v>31</v>
      </c>
      <c r="AQ2054">
        <v>-73</v>
      </c>
      <c r="AR2054">
        <v>-64</v>
      </c>
      <c r="AZ2054">
        <v>1200</v>
      </c>
      <c r="BA2054">
        <v>1</v>
      </c>
      <c r="BB2054" t="str">
        <f t="shared" si="602"/>
        <v xml:space="preserve">N733KP  </v>
      </c>
      <c r="BC2054">
        <v>1</v>
      </c>
      <c r="BE2054">
        <v>0</v>
      </c>
      <c r="BF2054">
        <v>0</v>
      </c>
      <c r="BG2054">
        <v>0</v>
      </c>
      <c r="BH2054">
        <v>3350</v>
      </c>
      <c r="BI2054">
        <v>1</v>
      </c>
      <c r="BJ2054">
        <v>1</v>
      </c>
      <c r="BK2054">
        <v>0</v>
      </c>
      <c r="BL2054">
        <v>0</v>
      </c>
      <c r="BO2054">
        <v>0</v>
      </c>
      <c r="BP2054">
        <v>0</v>
      </c>
      <c r="BW2054" t="str">
        <f>"22:18:06.453"</f>
        <v>22:18:06.453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7</v>
      </c>
      <c r="CP2054" t="s">
        <v>119</v>
      </c>
      <c r="CQ2054">
        <v>364</v>
      </c>
      <c r="CR2054">
        <v>0</v>
      </c>
      <c r="CW2054">
        <v>1443753</v>
      </c>
      <c r="CY2054">
        <v>1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>"03/24/2022 22:18:06.648"</f>
        <v>03/24/2022 22:18:06.648</v>
      </c>
      <c r="C2055" t="str">
        <f t="shared" si="600"/>
        <v>FFDFD3C0</v>
      </c>
      <c r="D2055" t="s">
        <v>126</v>
      </c>
      <c r="E2055">
        <v>3</v>
      </c>
      <c r="H2055">
        <v>160</v>
      </c>
      <c r="I2055" t="s">
        <v>121</v>
      </c>
      <c r="J2055" t="s">
        <v>127</v>
      </c>
      <c r="K2055">
        <v>0</v>
      </c>
      <c r="L2055">
        <v>3</v>
      </c>
      <c r="M2055">
        <v>0</v>
      </c>
      <c r="N2055">
        <v>2</v>
      </c>
      <c r="O2055">
        <v>0</v>
      </c>
      <c r="P2055">
        <v>1</v>
      </c>
      <c r="Q2055">
        <v>0</v>
      </c>
      <c r="S2055" t="str">
        <f t="shared" si="615"/>
        <v>22:18:06.000</v>
      </c>
      <c r="T2055" t="str">
        <f t="shared" si="615"/>
        <v>22:18:06.000</v>
      </c>
      <c r="U2055" t="str">
        <f t="shared" si="614"/>
        <v>A9D71F</v>
      </c>
      <c r="V2055">
        <v>0</v>
      </c>
      <c r="W2055">
        <v>0</v>
      </c>
      <c r="X2055">
        <v>2</v>
      </c>
      <c r="Z2055">
        <v>1</v>
      </c>
      <c r="AA2055">
        <v>8</v>
      </c>
      <c r="AB2055">
        <v>3</v>
      </c>
      <c r="AC2055">
        <v>0</v>
      </c>
      <c r="AD2055">
        <v>9</v>
      </c>
      <c r="AE2055">
        <v>0</v>
      </c>
      <c r="AF2055">
        <v>3</v>
      </c>
      <c r="AG2055">
        <v>1</v>
      </c>
      <c r="AH2055">
        <v>0</v>
      </c>
      <c r="AI2055" t="s">
        <v>1078</v>
      </c>
      <c r="AJ2055">
        <v>33.027349000000001</v>
      </c>
      <c r="AK2055" t="s">
        <v>1079</v>
      </c>
      <c r="AL2055">
        <v>-97.656290999999996</v>
      </c>
      <c r="AM2055">
        <v>25</v>
      </c>
      <c r="AN2055">
        <v>3400</v>
      </c>
      <c r="AO2055" t="s">
        <v>118</v>
      </c>
      <c r="AP2055">
        <v>31</v>
      </c>
      <c r="AQ2055">
        <v>-73</v>
      </c>
      <c r="AR2055">
        <v>-64</v>
      </c>
      <c r="AZ2055">
        <v>1200</v>
      </c>
      <c r="BA2055">
        <v>1</v>
      </c>
      <c r="BB2055" t="str">
        <f t="shared" si="602"/>
        <v xml:space="preserve">N733KP  </v>
      </c>
      <c r="BC2055">
        <v>1</v>
      </c>
      <c r="BE2055">
        <v>0</v>
      </c>
      <c r="BF2055">
        <v>0</v>
      </c>
      <c r="BG2055">
        <v>0</v>
      </c>
      <c r="BH2055">
        <v>3350</v>
      </c>
      <c r="BI2055">
        <v>1</v>
      </c>
      <c r="BJ2055">
        <v>1</v>
      </c>
      <c r="BK2055">
        <v>0</v>
      </c>
      <c r="BL2055">
        <v>0</v>
      </c>
      <c r="BO2055">
        <v>0</v>
      </c>
      <c r="BP2055">
        <v>0</v>
      </c>
      <c r="BW2055" t="str">
        <f>"22:18:06.453"</f>
        <v>22:18:06.453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7</v>
      </c>
      <c r="CP2055" t="s">
        <v>119</v>
      </c>
      <c r="CQ2055">
        <v>364</v>
      </c>
      <c r="CR2055">
        <v>0</v>
      </c>
      <c r="CW2055">
        <v>1443753</v>
      </c>
      <c r="CY2055">
        <v>1</v>
      </c>
      <c r="CZ2055">
        <v>0</v>
      </c>
      <c r="DA2055">
        <v>1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>"03/24/2022 22:18:06.648"</f>
        <v>03/24/2022 22:18:06.648</v>
      </c>
      <c r="C2056" t="str">
        <f t="shared" si="600"/>
        <v>FFDFD3C0</v>
      </c>
      <c r="D2056" t="s">
        <v>123</v>
      </c>
      <c r="E2056">
        <v>8</v>
      </c>
      <c r="H2056">
        <v>31</v>
      </c>
      <c r="I2056" t="s">
        <v>124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0</v>
      </c>
      <c r="P2056">
        <v>1</v>
      </c>
      <c r="Q2056">
        <v>0</v>
      </c>
      <c r="S2056" t="str">
        <f t="shared" si="615"/>
        <v>22:18:06.000</v>
      </c>
      <c r="T2056" t="str">
        <f t="shared" si="615"/>
        <v>22:18:06.000</v>
      </c>
      <c r="U2056" t="str">
        <f t="shared" si="614"/>
        <v>A9D71F</v>
      </c>
      <c r="V2056">
        <v>0</v>
      </c>
      <c r="W2056">
        <v>0</v>
      </c>
      <c r="X2056">
        <v>2</v>
      </c>
      <c r="Z2056">
        <v>1</v>
      </c>
      <c r="AA2056">
        <v>8</v>
      </c>
      <c r="AB2056">
        <v>3</v>
      </c>
      <c r="AC2056">
        <v>0</v>
      </c>
      <c r="AD2056">
        <v>9</v>
      </c>
      <c r="AE2056">
        <v>0</v>
      </c>
      <c r="AF2056">
        <v>3</v>
      </c>
      <c r="AG2056">
        <v>1</v>
      </c>
      <c r="AH2056">
        <v>0</v>
      </c>
      <c r="AI2056" t="s">
        <v>1078</v>
      </c>
      <c r="AJ2056">
        <v>33.027349000000001</v>
      </c>
      <c r="AK2056" t="s">
        <v>1079</v>
      </c>
      <c r="AL2056">
        <v>-97.656290999999996</v>
      </c>
      <c r="AM2056">
        <v>25</v>
      </c>
      <c r="AN2056">
        <v>3400</v>
      </c>
      <c r="AO2056" t="s">
        <v>118</v>
      </c>
      <c r="AP2056">
        <v>31</v>
      </c>
      <c r="AQ2056">
        <v>-73</v>
      </c>
      <c r="AR2056">
        <v>-64</v>
      </c>
      <c r="AZ2056">
        <v>1200</v>
      </c>
      <c r="BA2056">
        <v>1</v>
      </c>
      <c r="BB2056" t="str">
        <f t="shared" si="602"/>
        <v xml:space="preserve">N733KP  </v>
      </c>
      <c r="BC2056">
        <v>1</v>
      </c>
      <c r="BE2056">
        <v>0</v>
      </c>
      <c r="BF2056">
        <v>0</v>
      </c>
      <c r="BG2056">
        <v>0</v>
      </c>
      <c r="BH2056">
        <v>3350</v>
      </c>
      <c r="BI2056">
        <v>1</v>
      </c>
      <c r="BJ2056">
        <v>1</v>
      </c>
      <c r="BK2056">
        <v>0</v>
      </c>
      <c r="BL2056">
        <v>0</v>
      </c>
      <c r="BO2056">
        <v>0</v>
      </c>
      <c r="BP2056">
        <v>0</v>
      </c>
      <c r="BW2056" t="str">
        <f>"22:18:06.453"</f>
        <v>22:18:06.453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7</v>
      </c>
      <c r="CP2056" t="s">
        <v>119</v>
      </c>
      <c r="CQ2056">
        <v>364</v>
      </c>
      <c r="CR2056">
        <v>0</v>
      </c>
      <c r="CW2056">
        <v>1443753</v>
      </c>
      <c r="CY2056">
        <v>1</v>
      </c>
      <c r="CZ2056">
        <v>0</v>
      </c>
      <c r="DA2056">
        <v>1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>"03/24/2022 22:18:07.946"</f>
        <v>03/24/2022 22:18:07.946</v>
      </c>
      <c r="C2057" t="str">
        <f t="shared" si="600"/>
        <v>FFDFD3C0</v>
      </c>
      <c r="D2057" t="s">
        <v>120</v>
      </c>
      <c r="E2057">
        <v>14</v>
      </c>
      <c r="F2057">
        <v>1014</v>
      </c>
      <c r="G2057" t="s">
        <v>121</v>
      </c>
      <c r="J2057" t="s">
        <v>122</v>
      </c>
      <c r="K2057">
        <v>0</v>
      </c>
      <c r="L2057">
        <v>3</v>
      </c>
      <c r="M2057">
        <v>0</v>
      </c>
      <c r="N2057">
        <v>2</v>
      </c>
      <c r="O2057">
        <v>0</v>
      </c>
      <c r="P2057">
        <v>1</v>
      </c>
      <c r="Q2057">
        <v>0</v>
      </c>
      <c r="S2057" t="str">
        <f t="shared" ref="S2057:T2060" si="616">"22:18:07.000"</f>
        <v>22:18:07.000</v>
      </c>
      <c r="T2057" t="str">
        <f t="shared" si="616"/>
        <v>22:18:07.000</v>
      </c>
      <c r="U2057" t="str">
        <f t="shared" si="614"/>
        <v>A9D71F</v>
      </c>
      <c r="V2057">
        <v>0</v>
      </c>
      <c r="W2057">
        <v>0</v>
      </c>
      <c r="X2057">
        <v>2</v>
      </c>
      <c r="Z2057">
        <v>1</v>
      </c>
      <c r="AA2057">
        <v>8</v>
      </c>
      <c r="AB2057">
        <v>3</v>
      </c>
      <c r="AC2057">
        <v>0</v>
      </c>
      <c r="AD2057">
        <v>9</v>
      </c>
      <c r="AE2057">
        <v>0</v>
      </c>
      <c r="AF2057">
        <v>3</v>
      </c>
      <c r="AG2057">
        <v>1</v>
      </c>
      <c r="AH2057">
        <v>0</v>
      </c>
      <c r="AI2057" t="s">
        <v>1080</v>
      </c>
      <c r="AJ2057">
        <v>33.026983999999999</v>
      </c>
      <c r="AK2057" t="s">
        <v>1081</v>
      </c>
      <c r="AL2057">
        <v>-97.656119000000004</v>
      </c>
      <c r="AM2057">
        <v>25</v>
      </c>
      <c r="AN2057">
        <v>3400</v>
      </c>
      <c r="AO2057" t="s">
        <v>118</v>
      </c>
      <c r="AP2057">
        <v>31</v>
      </c>
      <c r="AQ2057">
        <v>-73</v>
      </c>
      <c r="AR2057">
        <v>0</v>
      </c>
      <c r="AZ2057">
        <v>1200</v>
      </c>
      <c r="BA2057">
        <v>1</v>
      </c>
      <c r="BB2057" t="str">
        <f t="shared" si="602"/>
        <v xml:space="preserve">N733KP  </v>
      </c>
      <c r="BC2057">
        <v>1</v>
      </c>
      <c r="BE2057">
        <v>0</v>
      </c>
      <c r="BF2057">
        <v>0</v>
      </c>
      <c r="BG2057">
        <v>0</v>
      </c>
      <c r="BH2057">
        <v>3350</v>
      </c>
      <c r="BI2057">
        <v>1</v>
      </c>
      <c r="BJ2057">
        <v>1</v>
      </c>
      <c r="BK2057">
        <v>0</v>
      </c>
      <c r="BL2057">
        <v>0</v>
      </c>
      <c r="BO2057">
        <v>0</v>
      </c>
      <c r="BP2057">
        <v>0</v>
      </c>
      <c r="BW2057" t="str">
        <f>"22:18:07.765"</f>
        <v>22:18:07.765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7</v>
      </c>
      <c r="CP2057" t="s">
        <v>119</v>
      </c>
      <c r="CQ2057">
        <v>364</v>
      </c>
      <c r="CR2057">
        <v>0</v>
      </c>
      <c r="CW2057">
        <v>1444004</v>
      </c>
      <c r="CY2057">
        <v>1</v>
      </c>
      <c r="CZ2057">
        <v>0</v>
      </c>
      <c r="DA2057">
        <v>0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>"03/24/2022 22:18:07.946"</f>
        <v>03/24/2022 22:18:07.946</v>
      </c>
      <c r="C2058" t="str">
        <f t="shared" si="600"/>
        <v>FFDFD3C0</v>
      </c>
      <c r="D2058" t="s">
        <v>113</v>
      </c>
      <c r="E2058">
        <v>24</v>
      </c>
      <c r="F2058">
        <v>2024</v>
      </c>
      <c r="G2058" t="s">
        <v>114</v>
      </c>
      <c r="J2058" t="s">
        <v>115</v>
      </c>
      <c r="K2058">
        <v>0</v>
      </c>
      <c r="L2058">
        <v>3</v>
      </c>
      <c r="M2058">
        <v>0</v>
      </c>
      <c r="N2058">
        <v>2</v>
      </c>
      <c r="O2058">
        <v>0</v>
      </c>
      <c r="P2058">
        <v>1</v>
      </c>
      <c r="Q2058">
        <v>0</v>
      </c>
      <c r="S2058" t="str">
        <f t="shared" si="616"/>
        <v>22:18:07.000</v>
      </c>
      <c r="T2058" t="str">
        <f t="shared" si="616"/>
        <v>22:18:07.000</v>
      </c>
      <c r="U2058" t="str">
        <f t="shared" si="614"/>
        <v>A9D71F</v>
      </c>
      <c r="V2058">
        <v>0</v>
      </c>
      <c r="W2058">
        <v>0</v>
      </c>
      <c r="X2058">
        <v>2</v>
      </c>
      <c r="Z2058">
        <v>1</v>
      </c>
      <c r="AA2058">
        <v>8</v>
      </c>
      <c r="AB2058">
        <v>3</v>
      </c>
      <c r="AC2058">
        <v>0</v>
      </c>
      <c r="AD2058">
        <v>9</v>
      </c>
      <c r="AE2058">
        <v>0</v>
      </c>
      <c r="AF2058">
        <v>3</v>
      </c>
      <c r="AG2058">
        <v>1</v>
      </c>
      <c r="AH2058">
        <v>0</v>
      </c>
      <c r="AI2058" t="s">
        <v>1080</v>
      </c>
      <c r="AJ2058">
        <v>33.026983999999999</v>
      </c>
      <c r="AK2058" t="s">
        <v>1081</v>
      </c>
      <c r="AL2058">
        <v>-97.656119000000004</v>
      </c>
      <c r="AM2058">
        <v>25</v>
      </c>
      <c r="AN2058">
        <v>3400</v>
      </c>
      <c r="AO2058" t="s">
        <v>118</v>
      </c>
      <c r="AP2058">
        <v>31</v>
      </c>
      <c r="AQ2058">
        <v>-73</v>
      </c>
      <c r="AR2058">
        <v>0</v>
      </c>
      <c r="AZ2058">
        <v>1200</v>
      </c>
      <c r="BA2058">
        <v>1</v>
      </c>
      <c r="BB2058" t="str">
        <f t="shared" si="602"/>
        <v xml:space="preserve">N733KP  </v>
      </c>
      <c r="BC2058">
        <v>1</v>
      </c>
      <c r="BE2058">
        <v>0</v>
      </c>
      <c r="BF2058">
        <v>0</v>
      </c>
      <c r="BG2058">
        <v>0</v>
      </c>
      <c r="BH2058">
        <v>3350</v>
      </c>
      <c r="BI2058">
        <v>1</v>
      </c>
      <c r="BJ2058">
        <v>1</v>
      </c>
      <c r="BK2058">
        <v>0</v>
      </c>
      <c r="BL2058">
        <v>0</v>
      </c>
      <c r="BO2058">
        <v>0</v>
      </c>
      <c r="BP2058">
        <v>0</v>
      </c>
      <c r="BW2058" t="str">
        <f>"22:18:07.765"</f>
        <v>22:18:07.765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7</v>
      </c>
      <c r="CP2058" t="s">
        <v>119</v>
      </c>
      <c r="CQ2058">
        <v>364</v>
      </c>
      <c r="CR2058">
        <v>0</v>
      </c>
      <c r="CW2058">
        <v>1444004</v>
      </c>
      <c r="CY2058">
        <v>1</v>
      </c>
      <c r="CZ2058">
        <v>0</v>
      </c>
      <c r="DA2058">
        <v>1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>"03/24/2022 22:18:07.946"</f>
        <v>03/24/2022 22:18:07.946</v>
      </c>
      <c r="C2059" t="str">
        <f t="shared" si="600"/>
        <v>FFDFD3C0</v>
      </c>
      <c r="D2059" t="s">
        <v>126</v>
      </c>
      <c r="E2059">
        <v>3</v>
      </c>
      <c r="H2059">
        <v>160</v>
      </c>
      <c r="I2059" t="s">
        <v>121</v>
      </c>
      <c r="J2059" t="s">
        <v>127</v>
      </c>
      <c r="K2059">
        <v>0</v>
      </c>
      <c r="L2059">
        <v>3</v>
      </c>
      <c r="M2059">
        <v>0</v>
      </c>
      <c r="N2059">
        <v>2</v>
      </c>
      <c r="O2059">
        <v>0</v>
      </c>
      <c r="P2059">
        <v>1</v>
      </c>
      <c r="Q2059">
        <v>0</v>
      </c>
      <c r="S2059" t="str">
        <f t="shared" si="616"/>
        <v>22:18:07.000</v>
      </c>
      <c r="T2059" t="str">
        <f t="shared" si="616"/>
        <v>22:18:07.000</v>
      </c>
      <c r="U2059" t="str">
        <f t="shared" si="614"/>
        <v>A9D71F</v>
      </c>
      <c r="V2059">
        <v>0</v>
      </c>
      <c r="W2059">
        <v>0</v>
      </c>
      <c r="X2059">
        <v>2</v>
      </c>
      <c r="Z2059">
        <v>1</v>
      </c>
      <c r="AA2059">
        <v>8</v>
      </c>
      <c r="AB2059">
        <v>3</v>
      </c>
      <c r="AC2059">
        <v>0</v>
      </c>
      <c r="AD2059">
        <v>9</v>
      </c>
      <c r="AE2059">
        <v>0</v>
      </c>
      <c r="AF2059">
        <v>3</v>
      </c>
      <c r="AG2059">
        <v>1</v>
      </c>
      <c r="AH2059">
        <v>0</v>
      </c>
      <c r="AI2059" t="s">
        <v>1080</v>
      </c>
      <c r="AJ2059">
        <v>33.026983999999999</v>
      </c>
      <c r="AK2059" t="s">
        <v>1081</v>
      </c>
      <c r="AL2059">
        <v>-97.656119000000004</v>
      </c>
      <c r="AM2059">
        <v>25</v>
      </c>
      <c r="AN2059">
        <v>3400</v>
      </c>
      <c r="AO2059" t="s">
        <v>118</v>
      </c>
      <c r="AP2059">
        <v>31</v>
      </c>
      <c r="AQ2059">
        <v>-73</v>
      </c>
      <c r="AR2059">
        <v>0</v>
      </c>
      <c r="AZ2059">
        <v>1200</v>
      </c>
      <c r="BA2059">
        <v>1</v>
      </c>
      <c r="BB2059" t="str">
        <f t="shared" si="602"/>
        <v xml:space="preserve">N733KP  </v>
      </c>
      <c r="BC2059">
        <v>1</v>
      </c>
      <c r="BE2059">
        <v>0</v>
      </c>
      <c r="BF2059">
        <v>0</v>
      </c>
      <c r="BG2059">
        <v>0</v>
      </c>
      <c r="BH2059">
        <v>3350</v>
      </c>
      <c r="BI2059">
        <v>1</v>
      </c>
      <c r="BJ2059">
        <v>1</v>
      </c>
      <c r="BK2059">
        <v>0</v>
      </c>
      <c r="BL2059">
        <v>0</v>
      </c>
      <c r="BO2059">
        <v>0</v>
      </c>
      <c r="BP2059">
        <v>0</v>
      </c>
      <c r="BW2059" t="str">
        <f>"22:18:07.765"</f>
        <v>22:18:07.765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7</v>
      </c>
      <c r="CP2059" t="s">
        <v>119</v>
      </c>
      <c r="CQ2059">
        <v>364</v>
      </c>
      <c r="CR2059">
        <v>0</v>
      </c>
      <c r="CW2059">
        <v>1444004</v>
      </c>
      <c r="CY2059">
        <v>1</v>
      </c>
      <c r="CZ2059">
        <v>0</v>
      </c>
      <c r="DA2059">
        <v>1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>"03/24/2022 22:18:07.946"</f>
        <v>03/24/2022 22:18:07.946</v>
      </c>
      <c r="C2060" t="str">
        <f t="shared" si="600"/>
        <v>FFDFD3C0</v>
      </c>
      <c r="D2060" t="s">
        <v>123</v>
      </c>
      <c r="E2060">
        <v>8</v>
      </c>
      <c r="H2060">
        <v>31</v>
      </c>
      <c r="I2060" t="s">
        <v>124</v>
      </c>
      <c r="J2060" t="s">
        <v>125</v>
      </c>
      <c r="K2060">
        <v>0</v>
      </c>
      <c r="L2060">
        <v>3</v>
      </c>
      <c r="M2060">
        <v>0</v>
      </c>
      <c r="N2060">
        <v>2</v>
      </c>
      <c r="O2060">
        <v>0</v>
      </c>
      <c r="P2060">
        <v>1</v>
      </c>
      <c r="Q2060">
        <v>0</v>
      </c>
      <c r="S2060" t="str">
        <f t="shared" si="616"/>
        <v>22:18:07.000</v>
      </c>
      <c r="T2060" t="str">
        <f t="shared" si="616"/>
        <v>22:18:07.000</v>
      </c>
      <c r="U2060" t="str">
        <f t="shared" si="614"/>
        <v>A9D71F</v>
      </c>
      <c r="V2060">
        <v>0</v>
      </c>
      <c r="W2060">
        <v>0</v>
      </c>
      <c r="X2060">
        <v>2</v>
      </c>
      <c r="Z2060">
        <v>1</v>
      </c>
      <c r="AA2060">
        <v>8</v>
      </c>
      <c r="AB2060">
        <v>3</v>
      </c>
      <c r="AC2060">
        <v>0</v>
      </c>
      <c r="AD2060">
        <v>9</v>
      </c>
      <c r="AE2060">
        <v>0</v>
      </c>
      <c r="AF2060">
        <v>3</v>
      </c>
      <c r="AG2060">
        <v>1</v>
      </c>
      <c r="AH2060">
        <v>0</v>
      </c>
      <c r="AI2060" t="s">
        <v>1080</v>
      </c>
      <c r="AJ2060">
        <v>33.026983999999999</v>
      </c>
      <c r="AK2060" t="s">
        <v>1081</v>
      </c>
      <c r="AL2060">
        <v>-97.656119000000004</v>
      </c>
      <c r="AM2060">
        <v>25</v>
      </c>
      <c r="AN2060">
        <v>3400</v>
      </c>
      <c r="AO2060" t="s">
        <v>118</v>
      </c>
      <c r="AP2060">
        <v>31</v>
      </c>
      <c r="AQ2060">
        <v>-73</v>
      </c>
      <c r="AR2060">
        <v>0</v>
      </c>
      <c r="AZ2060">
        <v>1200</v>
      </c>
      <c r="BA2060">
        <v>1</v>
      </c>
      <c r="BB2060" t="str">
        <f t="shared" si="602"/>
        <v xml:space="preserve">N733KP  </v>
      </c>
      <c r="BC2060">
        <v>1</v>
      </c>
      <c r="BE2060">
        <v>0</v>
      </c>
      <c r="BF2060">
        <v>0</v>
      </c>
      <c r="BG2060">
        <v>0</v>
      </c>
      <c r="BH2060">
        <v>3350</v>
      </c>
      <c r="BI2060">
        <v>1</v>
      </c>
      <c r="BJ2060">
        <v>1</v>
      </c>
      <c r="BK2060">
        <v>0</v>
      </c>
      <c r="BL2060">
        <v>0</v>
      </c>
      <c r="BO2060">
        <v>0</v>
      </c>
      <c r="BP2060">
        <v>0</v>
      </c>
      <c r="BW2060" t="str">
        <f>"22:18:07.765"</f>
        <v>22:18:07.765</v>
      </c>
      <c r="CJ2060">
        <v>0</v>
      </c>
      <c r="CK2060">
        <v>2</v>
      </c>
      <c r="CL2060">
        <v>0</v>
      </c>
      <c r="CM2060">
        <v>2</v>
      </c>
      <c r="CN2060">
        <v>0</v>
      </c>
      <c r="CO2060">
        <v>7</v>
      </c>
      <c r="CP2060" t="s">
        <v>119</v>
      </c>
      <c r="CQ2060">
        <v>364</v>
      </c>
      <c r="CR2060">
        <v>0</v>
      </c>
      <c r="CW2060">
        <v>1444004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>"03/24/2022 22:18:08.918"</f>
        <v>03/24/2022 22:18:08.918</v>
      </c>
      <c r="C2061" t="str">
        <f t="shared" si="600"/>
        <v>FFDFD3C0</v>
      </c>
      <c r="D2061" t="s">
        <v>120</v>
      </c>
      <c r="E2061">
        <v>14</v>
      </c>
      <c r="F2061">
        <v>1014</v>
      </c>
      <c r="G2061" t="s">
        <v>121</v>
      </c>
      <c r="J2061" t="s">
        <v>122</v>
      </c>
      <c r="K2061">
        <v>0</v>
      </c>
      <c r="L2061">
        <v>3</v>
      </c>
      <c r="M2061">
        <v>0</v>
      </c>
      <c r="N2061">
        <v>2</v>
      </c>
      <c r="O2061">
        <v>0</v>
      </c>
      <c r="P2061">
        <v>1</v>
      </c>
      <c r="Q2061">
        <v>0</v>
      </c>
      <c r="S2061" t="str">
        <f t="shared" ref="S2061:T2064" si="617">"22:18:08.000"</f>
        <v>22:18:08.000</v>
      </c>
      <c r="T2061" t="str">
        <f t="shared" si="617"/>
        <v>22:18:08.000</v>
      </c>
      <c r="U2061" t="str">
        <f t="shared" si="614"/>
        <v>A9D71F</v>
      </c>
      <c r="V2061">
        <v>0</v>
      </c>
      <c r="W2061">
        <v>0</v>
      </c>
      <c r="X2061">
        <v>2</v>
      </c>
      <c r="Z2061">
        <v>1</v>
      </c>
      <c r="AA2061">
        <v>8</v>
      </c>
      <c r="AB2061">
        <v>3</v>
      </c>
      <c r="AC2061">
        <v>0</v>
      </c>
      <c r="AD2061">
        <v>9</v>
      </c>
      <c r="AE2061">
        <v>0</v>
      </c>
      <c r="AF2061">
        <v>3</v>
      </c>
      <c r="AG2061">
        <v>1</v>
      </c>
      <c r="AH2061">
        <v>0</v>
      </c>
      <c r="AI2061" t="s">
        <v>1082</v>
      </c>
      <c r="AJ2061">
        <v>33.026618999999997</v>
      </c>
      <c r="AK2061" t="s">
        <v>1083</v>
      </c>
      <c r="AL2061">
        <v>-97.655925999999994</v>
      </c>
      <c r="AM2061">
        <v>25</v>
      </c>
      <c r="AN2061">
        <v>3400</v>
      </c>
      <c r="AO2061" t="s">
        <v>118</v>
      </c>
      <c r="AP2061">
        <v>31</v>
      </c>
      <c r="AQ2061">
        <v>-72</v>
      </c>
      <c r="AR2061">
        <v>-64</v>
      </c>
      <c r="AZ2061">
        <v>1200</v>
      </c>
      <c r="BA2061">
        <v>1</v>
      </c>
      <c r="BB2061" t="str">
        <f t="shared" si="602"/>
        <v xml:space="preserve">N733KP  </v>
      </c>
      <c r="BC2061">
        <v>1</v>
      </c>
      <c r="BE2061">
        <v>0</v>
      </c>
      <c r="BF2061">
        <v>0</v>
      </c>
      <c r="BG2061">
        <v>0</v>
      </c>
      <c r="BH2061">
        <v>3350</v>
      </c>
      <c r="BI2061">
        <v>1</v>
      </c>
      <c r="BJ2061">
        <v>1</v>
      </c>
      <c r="BK2061">
        <v>0</v>
      </c>
      <c r="BL2061">
        <v>0</v>
      </c>
      <c r="BO2061">
        <v>0</v>
      </c>
      <c r="BP2061">
        <v>0</v>
      </c>
      <c r="BW2061" t="str">
        <f>"22:18:08.753"</f>
        <v>22:18:08.753</v>
      </c>
      <c r="CJ2061">
        <v>0</v>
      </c>
      <c r="CK2061">
        <v>2</v>
      </c>
      <c r="CL2061">
        <v>0</v>
      </c>
      <c r="CM2061">
        <v>2</v>
      </c>
      <c r="CN2061">
        <v>0</v>
      </c>
      <c r="CO2061">
        <v>7</v>
      </c>
      <c r="CP2061" t="s">
        <v>119</v>
      </c>
      <c r="CQ2061">
        <v>364</v>
      </c>
      <c r="CR2061">
        <v>0</v>
      </c>
      <c r="CW2061">
        <v>1444195</v>
      </c>
      <c r="CY2061">
        <v>1</v>
      </c>
      <c r="CZ2061">
        <v>0</v>
      </c>
      <c r="DA2061">
        <v>0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>"03/24/2022 22:18:08.918"</f>
        <v>03/24/2022 22:18:08.918</v>
      </c>
      <c r="C2062" t="str">
        <f t="shared" si="600"/>
        <v>FFDFD3C0</v>
      </c>
      <c r="D2062" t="s">
        <v>113</v>
      </c>
      <c r="E2062">
        <v>24</v>
      </c>
      <c r="F2062">
        <v>2024</v>
      </c>
      <c r="G2062" t="s">
        <v>114</v>
      </c>
      <c r="J2062" t="s">
        <v>115</v>
      </c>
      <c r="K2062">
        <v>0</v>
      </c>
      <c r="L2062">
        <v>3</v>
      </c>
      <c r="M2062">
        <v>0</v>
      </c>
      <c r="N2062">
        <v>2</v>
      </c>
      <c r="O2062">
        <v>0</v>
      </c>
      <c r="P2062">
        <v>1</v>
      </c>
      <c r="Q2062">
        <v>0</v>
      </c>
      <c r="S2062" t="str">
        <f t="shared" si="617"/>
        <v>22:18:08.000</v>
      </c>
      <c r="T2062" t="str">
        <f t="shared" si="617"/>
        <v>22:18:08.000</v>
      </c>
      <c r="U2062" t="str">
        <f t="shared" si="614"/>
        <v>A9D71F</v>
      </c>
      <c r="V2062">
        <v>0</v>
      </c>
      <c r="W2062">
        <v>0</v>
      </c>
      <c r="X2062">
        <v>2</v>
      </c>
      <c r="Z2062">
        <v>1</v>
      </c>
      <c r="AA2062">
        <v>8</v>
      </c>
      <c r="AB2062">
        <v>3</v>
      </c>
      <c r="AC2062">
        <v>0</v>
      </c>
      <c r="AD2062">
        <v>9</v>
      </c>
      <c r="AE2062">
        <v>0</v>
      </c>
      <c r="AF2062">
        <v>3</v>
      </c>
      <c r="AG2062">
        <v>1</v>
      </c>
      <c r="AH2062">
        <v>0</v>
      </c>
      <c r="AI2062" t="s">
        <v>1082</v>
      </c>
      <c r="AJ2062">
        <v>33.026618999999997</v>
      </c>
      <c r="AK2062" t="s">
        <v>1083</v>
      </c>
      <c r="AL2062">
        <v>-97.655925999999994</v>
      </c>
      <c r="AM2062">
        <v>25</v>
      </c>
      <c r="AN2062">
        <v>3400</v>
      </c>
      <c r="AO2062" t="s">
        <v>118</v>
      </c>
      <c r="AP2062">
        <v>31</v>
      </c>
      <c r="AQ2062">
        <v>-72</v>
      </c>
      <c r="AR2062">
        <v>-64</v>
      </c>
      <c r="AZ2062">
        <v>1200</v>
      </c>
      <c r="BA2062">
        <v>1</v>
      </c>
      <c r="BB2062" t="str">
        <f t="shared" si="602"/>
        <v xml:space="preserve">N733KP  </v>
      </c>
      <c r="BC2062">
        <v>1</v>
      </c>
      <c r="BE2062">
        <v>0</v>
      </c>
      <c r="BF2062">
        <v>0</v>
      </c>
      <c r="BG2062">
        <v>0</v>
      </c>
      <c r="BH2062">
        <v>3350</v>
      </c>
      <c r="BI2062">
        <v>1</v>
      </c>
      <c r="BJ2062">
        <v>1</v>
      </c>
      <c r="BK2062">
        <v>0</v>
      </c>
      <c r="BL2062">
        <v>0</v>
      </c>
      <c r="BO2062">
        <v>0</v>
      </c>
      <c r="BP2062">
        <v>0</v>
      </c>
      <c r="BW2062" t="str">
        <f>"22:18:08.753"</f>
        <v>22:18:08.753</v>
      </c>
      <c r="CJ2062">
        <v>0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119</v>
      </c>
      <c r="CQ2062">
        <v>364</v>
      </c>
      <c r="CR2062">
        <v>0</v>
      </c>
      <c r="CW2062">
        <v>1444195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>"03/24/2022 22:18:08.918"</f>
        <v>03/24/2022 22:18:08.918</v>
      </c>
      <c r="C2063" t="str">
        <f t="shared" si="600"/>
        <v>FFDFD3C0</v>
      </c>
      <c r="D2063" t="s">
        <v>126</v>
      </c>
      <c r="E2063">
        <v>3</v>
      </c>
      <c r="H2063">
        <v>160</v>
      </c>
      <c r="I2063" t="s">
        <v>121</v>
      </c>
      <c r="J2063" t="s">
        <v>127</v>
      </c>
      <c r="K2063">
        <v>0</v>
      </c>
      <c r="L2063">
        <v>3</v>
      </c>
      <c r="M2063">
        <v>0</v>
      </c>
      <c r="N2063">
        <v>2</v>
      </c>
      <c r="O2063">
        <v>0</v>
      </c>
      <c r="P2063">
        <v>1</v>
      </c>
      <c r="Q2063">
        <v>0</v>
      </c>
      <c r="S2063" t="str">
        <f t="shared" si="617"/>
        <v>22:18:08.000</v>
      </c>
      <c r="T2063" t="str">
        <f t="shared" si="617"/>
        <v>22:18:08.000</v>
      </c>
      <c r="U2063" t="str">
        <f t="shared" si="614"/>
        <v>A9D71F</v>
      </c>
      <c r="V2063">
        <v>0</v>
      </c>
      <c r="W2063">
        <v>0</v>
      </c>
      <c r="X2063">
        <v>2</v>
      </c>
      <c r="Z2063">
        <v>1</v>
      </c>
      <c r="AA2063">
        <v>8</v>
      </c>
      <c r="AB2063">
        <v>3</v>
      </c>
      <c r="AC2063">
        <v>0</v>
      </c>
      <c r="AD2063">
        <v>9</v>
      </c>
      <c r="AE2063">
        <v>0</v>
      </c>
      <c r="AF2063">
        <v>3</v>
      </c>
      <c r="AG2063">
        <v>1</v>
      </c>
      <c r="AH2063">
        <v>0</v>
      </c>
      <c r="AI2063" t="s">
        <v>1082</v>
      </c>
      <c r="AJ2063">
        <v>33.026618999999997</v>
      </c>
      <c r="AK2063" t="s">
        <v>1083</v>
      </c>
      <c r="AL2063">
        <v>-97.655925999999994</v>
      </c>
      <c r="AM2063">
        <v>25</v>
      </c>
      <c r="AN2063">
        <v>3400</v>
      </c>
      <c r="AO2063" t="s">
        <v>118</v>
      </c>
      <c r="AP2063">
        <v>31</v>
      </c>
      <c r="AQ2063">
        <v>-72</v>
      </c>
      <c r="AR2063">
        <v>-64</v>
      </c>
      <c r="AZ2063">
        <v>1200</v>
      </c>
      <c r="BA2063">
        <v>1</v>
      </c>
      <c r="BB2063" t="str">
        <f t="shared" si="602"/>
        <v xml:space="preserve">N733KP  </v>
      </c>
      <c r="BC2063">
        <v>1</v>
      </c>
      <c r="BE2063">
        <v>0</v>
      </c>
      <c r="BF2063">
        <v>0</v>
      </c>
      <c r="BG2063">
        <v>0</v>
      </c>
      <c r="BH2063">
        <v>3350</v>
      </c>
      <c r="BI2063">
        <v>1</v>
      </c>
      <c r="BJ2063">
        <v>1</v>
      </c>
      <c r="BK2063">
        <v>0</v>
      </c>
      <c r="BL2063">
        <v>0</v>
      </c>
      <c r="BO2063">
        <v>0</v>
      </c>
      <c r="BP2063">
        <v>0</v>
      </c>
      <c r="BW2063" t="str">
        <f>"22:18:08.753"</f>
        <v>22:18:08.753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7</v>
      </c>
      <c r="CP2063" t="s">
        <v>119</v>
      </c>
      <c r="CQ2063">
        <v>364</v>
      </c>
      <c r="CR2063">
        <v>0</v>
      </c>
      <c r="CW2063">
        <v>1444195</v>
      </c>
      <c r="CY2063">
        <v>1</v>
      </c>
      <c r="CZ2063">
        <v>0</v>
      </c>
      <c r="DA2063">
        <v>1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>"03/24/2022 22:18:08.918"</f>
        <v>03/24/2022 22:18:08.918</v>
      </c>
      <c r="C2064" t="str">
        <f t="shared" si="600"/>
        <v>FFDFD3C0</v>
      </c>
      <c r="D2064" t="s">
        <v>123</v>
      </c>
      <c r="E2064">
        <v>8</v>
      </c>
      <c r="H2064">
        <v>31</v>
      </c>
      <c r="I2064" t="s">
        <v>124</v>
      </c>
      <c r="J2064" t="s">
        <v>125</v>
      </c>
      <c r="K2064">
        <v>0</v>
      </c>
      <c r="L2064">
        <v>3</v>
      </c>
      <c r="M2064">
        <v>0</v>
      </c>
      <c r="N2064">
        <v>2</v>
      </c>
      <c r="O2064">
        <v>0</v>
      </c>
      <c r="P2064">
        <v>1</v>
      </c>
      <c r="Q2064">
        <v>0</v>
      </c>
      <c r="S2064" t="str">
        <f t="shared" si="617"/>
        <v>22:18:08.000</v>
      </c>
      <c r="T2064" t="str">
        <f t="shared" si="617"/>
        <v>22:18:08.000</v>
      </c>
      <c r="U2064" t="str">
        <f t="shared" si="614"/>
        <v>A9D71F</v>
      </c>
      <c r="V2064">
        <v>0</v>
      </c>
      <c r="W2064">
        <v>0</v>
      </c>
      <c r="X2064">
        <v>2</v>
      </c>
      <c r="Z2064">
        <v>1</v>
      </c>
      <c r="AA2064">
        <v>8</v>
      </c>
      <c r="AB2064">
        <v>3</v>
      </c>
      <c r="AC2064">
        <v>0</v>
      </c>
      <c r="AD2064">
        <v>9</v>
      </c>
      <c r="AE2064">
        <v>0</v>
      </c>
      <c r="AF2064">
        <v>3</v>
      </c>
      <c r="AG2064">
        <v>1</v>
      </c>
      <c r="AH2064">
        <v>0</v>
      </c>
      <c r="AI2064" t="s">
        <v>1082</v>
      </c>
      <c r="AJ2064">
        <v>33.026618999999997</v>
      </c>
      <c r="AK2064" t="s">
        <v>1083</v>
      </c>
      <c r="AL2064">
        <v>-97.655925999999994</v>
      </c>
      <c r="AM2064">
        <v>25</v>
      </c>
      <c r="AN2064">
        <v>3400</v>
      </c>
      <c r="AO2064" t="s">
        <v>118</v>
      </c>
      <c r="AP2064">
        <v>31</v>
      </c>
      <c r="AQ2064">
        <v>-72</v>
      </c>
      <c r="AR2064">
        <v>-64</v>
      </c>
      <c r="AZ2064">
        <v>1200</v>
      </c>
      <c r="BA2064">
        <v>1</v>
      </c>
      <c r="BB2064" t="str">
        <f t="shared" si="602"/>
        <v xml:space="preserve">N733KP  </v>
      </c>
      <c r="BC2064">
        <v>1</v>
      </c>
      <c r="BE2064">
        <v>0</v>
      </c>
      <c r="BF2064">
        <v>0</v>
      </c>
      <c r="BG2064">
        <v>0</v>
      </c>
      <c r="BH2064">
        <v>3350</v>
      </c>
      <c r="BI2064">
        <v>1</v>
      </c>
      <c r="BJ2064">
        <v>1</v>
      </c>
      <c r="BK2064">
        <v>0</v>
      </c>
      <c r="BL2064">
        <v>0</v>
      </c>
      <c r="BO2064">
        <v>0</v>
      </c>
      <c r="BP2064">
        <v>0</v>
      </c>
      <c r="BW2064" t="str">
        <f>"22:18:08.753"</f>
        <v>22:18:08.753</v>
      </c>
      <c r="CJ2064">
        <v>0</v>
      </c>
      <c r="CK2064">
        <v>2</v>
      </c>
      <c r="CL2064">
        <v>0</v>
      </c>
      <c r="CM2064">
        <v>2</v>
      </c>
      <c r="CN2064">
        <v>0</v>
      </c>
      <c r="CO2064">
        <v>7</v>
      </c>
      <c r="CP2064" t="s">
        <v>119</v>
      </c>
      <c r="CQ2064">
        <v>364</v>
      </c>
      <c r="CR2064">
        <v>0</v>
      </c>
      <c r="CW2064">
        <v>1444195</v>
      </c>
      <c r="CY2064">
        <v>1</v>
      </c>
      <c r="CZ2064">
        <v>0</v>
      </c>
      <c r="DA2064">
        <v>1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>"03/24/2022 22:18:10.074"</f>
        <v>03/24/2022 22:18:10.074</v>
      </c>
      <c r="C2065" t="str">
        <f t="shared" si="600"/>
        <v>FFDFD3C0</v>
      </c>
      <c r="D2065" t="s">
        <v>113</v>
      </c>
      <c r="E2065">
        <v>24</v>
      </c>
      <c r="F2065">
        <v>2024</v>
      </c>
      <c r="G2065" t="s">
        <v>114</v>
      </c>
      <c r="J2065" t="s">
        <v>115</v>
      </c>
      <c r="K2065">
        <v>0</v>
      </c>
      <c r="L2065">
        <v>3</v>
      </c>
      <c r="M2065">
        <v>0</v>
      </c>
      <c r="N2065">
        <v>2</v>
      </c>
      <c r="O2065">
        <v>0</v>
      </c>
      <c r="P2065">
        <v>1</v>
      </c>
      <c r="Q2065">
        <v>0</v>
      </c>
      <c r="S2065" t="str">
        <f t="shared" ref="S2065:T2068" si="618">"22:18:09.000"</f>
        <v>22:18:09.000</v>
      </c>
      <c r="T2065" t="str">
        <f t="shared" si="618"/>
        <v>22:18:09.000</v>
      </c>
      <c r="U2065" t="str">
        <f t="shared" si="614"/>
        <v>A9D71F</v>
      </c>
      <c r="V2065">
        <v>0</v>
      </c>
      <c r="W2065">
        <v>0</v>
      </c>
      <c r="X2065">
        <v>2</v>
      </c>
      <c r="Z2065">
        <v>1</v>
      </c>
      <c r="AA2065">
        <v>8</v>
      </c>
      <c r="AB2065">
        <v>3</v>
      </c>
      <c r="AC2065">
        <v>0</v>
      </c>
      <c r="AD2065">
        <v>9</v>
      </c>
      <c r="AE2065">
        <v>0</v>
      </c>
      <c r="AF2065">
        <v>3</v>
      </c>
      <c r="AG2065">
        <v>1</v>
      </c>
      <c r="AH2065">
        <v>0</v>
      </c>
      <c r="AI2065" t="s">
        <v>1084</v>
      </c>
      <c r="AJ2065">
        <v>33.026297</v>
      </c>
      <c r="AK2065" t="s">
        <v>1085</v>
      </c>
      <c r="AL2065">
        <v>-97.655754000000002</v>
      </c>
      <c r="AM2065">
        <v>25</v>
      </c>
      <c r="AN2065">
        <v>3400</v>
      </c>
      <c r="AO2065" t="s">
        <v>118</v>
      </c>
      <c r="AP2065">
        <v>32</v>
      </c>
      <c r="AQ2065">
        <v>-72</v>
      </c>
      <c r="AR2065">
        <v>0</v>
      </c>
      <c r="AZ2065">
        <v>1200</v>
      </c>
      <c r="BA2065">
        <v>1</v>
      </c>
      <c r="BB2065" t="str">
        <f t="shared" si="602"/>
        <v xml:space="preserve">N733KP  </v>
      </c>
      <c r="BC2065">
        <v>1</v>
      </c>
      <c r="BE2065">
        <v>0</v>
      </c>
      <c r="BF2065">
        <v>0</v>
      </c>
      <c r="BG2065">
        <v>0</v>
      </c>
      <c r="BH2065">
        <v>3350</v>
      </c>
      <c r="BI2065">
        <v>1</v>
      </c>
      <c r="BJ2065">
        <v>1</v>
      </c>
      <c r="BK2065">
        <v>0</v>
      </c>
      <c r="BL2065">
        <v>0</v>
      </c>
      <c r="BO2065">
        <v>0</v>
      </c>
      <c r="BP2065">
        <v>0</v>
      </c>
      <c r="BW2065" t="str">
        <f>"22:18:09.869"</f>
        <v>22:18:09.869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6</v>
      </c>
      <c r="CP2065" t="s">
        <v>119</v>
      </c>
      <c r="CQ2065">
        <v>364</v>
      </c>
      <c r="CR2065">
        <v>0</v>
      </c>
      <c r="CW2065">
        <v>1444402</v>
      </c>
      <c r="CY2065">
        <v>1</v>
      </c>
      <c r="CZ2065">
        <v>0</v>
      </c>
      <c r="DA2065">
        <v>0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>"03/24/2022 22:18:10.074"</f>
        <v>03/24/2022 22:18:10.074</v>
      </c>
      <c r="C2066" t="str">
        <f t="shared" si="600"/>
        <v>FFDFD3C0</v>
      </c>
      <c r="D2066" t="s">
        <v>126</v>
      </c>
      <c r="E2066">
        <v>3</v>
      </c>
      <c r="H2066">
        <v>160</v>
      </c>
      <c r="I2066" t="s">
        <v>121</v>
      </c>
      <c r="J2066" t="s">
        <v>127</v>
      </c>
      <c r="K2066">
        <v>0</v>
      </c>
      <c r="L2066">
        <v>3</v>
      </c>
      <c r="M2066">
        <v>0</v>
      </c>
      <c r="N2066">
        <v>2</v>
      </c>
      <c r="O2066">
        <v>0</v>
      </c>
      <c r="P2066">
        <v>1</v>
      </c>
      <c r="Q2066">
        <v>0</v>
      </c>
      <c r="S2066" t="str">
        <f t="shared" si="618"/>
        <v>22:18:09.000</v>
      </c>
      <c r="T2066" t="str">
        <f t="shared" si="618"/>
        <v>22:18:09.000</v>
      </c>
      <c r="U2066" t="str">
        <f t="shared" si="614"/>
        <v>A9D71F</v>
      </c>
      <c r="V2066">
        <v>0</v>
      </c>
      <c r="W2066">
        <v>0</v>
      </c>
      <c r="X2066">
        <v>2</v>
      </c>
      <c r="Z2066">
        <v>1</v>
      </c>
      <c r="AA2066">
        <v>8</v>
      </c>
      <c r="AB2066">
        <v>3</v>
      </c>
      <c r="AC2066">
        <v>0</v>
      </c>
      <c r="AD2066">
        <v>9</v>
      </c>
      <c r="AE2066">
        <v>0</v>
      </c>
      <c r="AF2066">
        <v>3</v>
      </c>
      <c r="AG2066">
        <v>1</v>
      </c>
      <c r="AH2066">
        <v>0</v>
      </c>
      <c r="AI2066" t="s">
        <v>1084</v>
      </c>
      <c r="AJ2066">
        <v>33.026297</v>
      </c>
      <c r="AK2066" t="s">
        <v>1085</v>
      </c>
      <c r="AL2066">
        <v>-97.655754000000002</v>
      </c>
      <c r="AM2066">
        <v>25</v>
      </c>
      <c r="AN2066">
        <v>3400</v>
      </c>
      <c r="AO2066" t="s">
        <v>118</v>
      </c>
      <c r="AP2066">
        <v>32</v>
      </c>
      <c r="AQ2066">
        <v>-72</v>
      </c>
      <c r="AR2066">
        <v>0</v>
      </c>
      <c r="AZ2066">
        <v>1200</v>
      </c>
      <c r="BA2066">
        <v>1</v>
      </c>
      <c r="BB2066" t="str">
        <f t="shared" si="602"/>
        <v xml:space="preserve">N733KP  </v>
      </c>
      <c r="BC2066">
        <v>1</v>
      </c>
      <c r="BE2066">
        <v>0</v>
      </c>
      <c r="BF2066">
        <v>0</v>
      </c>
      <c r="BG2066">
        <v>0</v>
      </c>
      <c r="BH2066">
        <v>3350</v>
      </c>
      <c r="BI2066">
        <v>1</v>
      </c>
      <c r="BJ2066">
        <v>1</v>
      </c>
      <c r="BK2066">
        <v>0</v>
      </c>
      <c r="BL2066">
        <v>0</v>
      </c>
      <c r="BO2066">
        <v>0</v>
      </c>
      <c r="BP2066">
        <v>0</v>
      </c>
      <c r="BW2066" t="str">
        <f>"22:18:09.869"</f>
        <v>22:18:09.869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6</v>
      </c>
      <c r="CP2066" t="s">
        <v>119</v>
      </c>
      <c r="CQ2066">
        <v>364</v>
      </c>
      <c r="CR2066">
        <v>0</v>
      </c>
      <c r="CW2066">
        <v>1444402</v>
      </c>
      <c r="CY2066">
        <v>1</v>
      </c>
      <c r="CZ2066">
        <v>0</v>
      </c>
      <c r="DA2066">
        <v>1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>"03/24/2022 22:18:10.074"</f>
        <v>03/24/2022 22:18:10.074</v>
      </c>
      <c r="C2067" t="str">
        <f t="shared" si="600"/>
        <v>FFDFD3C0</v>
      </c>
      <c r="D2067" t="s">
        <v>123</v>
      </c>
      <c r="E2067">
        <v>8</v>
      </c>
      <c r="H2067">
        <v>31</v>
      </c>
      <c r="I2067" t="s">
        <v>124</v>
      </c>
      <c r="J2067" t="s">
        <v>125</v>
      </c>
      <c r="K2067">
        <v>0</v>
      </c>
      <c r="L2067">
        <v>3</v>
      </c>
      <c r="M2067">
        <v>0</v>
      </c>
      <c r="N2067">
        <v>2</v>
      </c>
      <c r="O2067">
        <v>0</v>
      </c>
      <c r="P2067">
        <v>1</v>
      </c>
      <c r="Q2067">
        <v>0</v>
      </c>
      <c r="S2067" t="str">
        <f t="shared" si="618"/>
        <v>22:18:09.000</v>
      </c>
      <c r="T2067" t="str">
        <f t="shared" si="618"/>
        <v>22:18:09.000</v>
      </c>
      <c r="U2067" t="str">
        <f t="shared" si="614"/>
        <v>A9D71F</v>
      </c>
      <c r="V2067">
        <v>0</v>
      </c>
      <c r="W2067">
        <v>0</v>
      </c>
      <c r="X2067">
        <v>2</v>
      </c>
      <c r="Z2067">
        <v>1</v>
      </c>
      <c r="AA2067">
        <v>8</v>
      </c>
      <c r="AB2067">
        <v>3</v>
      </c>
      <c r="AC2067">
        <v>0</v>
      </c>
      <c r="AD2067">
        <v>9</v>
      </c>
      <c r="AE2067">
        <v>0</v>
      </c>
      <c r="AF2067">
        <v>3</v>
      </c>
      <c r="AG2067">
        <v>1</v>
      </c>
      <c r="AH2067">
        <v>0</v>
      </c>
      <c r="AI2067" t="s">
        <v>1084</v>
      </c>
      <c r="AJ2067">
        <v>33.026297</v>
      </c>
      <c r="AK2067" t="s">
        <v>1085</v>
      </c>
      <c r="AL2067">
        <v>-97.655754000000002</v>
      </c>
      <c r="AM2067">
        <v>25</v>
      </c>
      <c r="AN2067">
        <v>3400</v>
      </c>
      <c r="AO2067" t="s">
        <v>118</v>
      </c>
      <c r="AP2067">
        <v>32</v>
      </c>
      <c r="AQ2067">
        <v>-72</v>
      </c>
      <c r="AR2067">
        <v>0</v>
      </c>
      <c r="AZ2067">
        <v>1200</v>
      </c>
      <c r="BA2067">
        <v>1</v>
      </c>
      <c r="BB2067" t="str">
        <f t="shared" si="602"/>
        <v xml:space="preserve">N733KP  </v>
      </c>
      <c r="BC2067">
        <v>1</v>
      </c>
      <c r="BE2067">
        <v>0</v>
      </c>
      <c r="BF2067">
        <v>0</v>
      </c>
      <c r="BG2067">
        <v>0</v>
      </c>
      <c r="BH2067">
        <v>3350</v>
      </c>
      <c r="BI2067">
        <v>1</v>
      </c>
      <c r="BJ2067">
        <v>1</v>
      </c>
      <c r="BK2067">
        <v>0</v>
      </c>
      <c r="BL2067">
        <v>0</v>
      </c>
      <c r="BO2067">
        <v>0</v>
      </c>
      <c r="BP2067">
        <v>0</v>
      </c>
      <c r="BW2067" t="str">
        <f>"22:18:09.869"</f>
        <v>22:18:09.869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6</v>
      </c>
      <c r="CP2067" t="s">
        <v>119</v>
      </c>
      <c r="CQ2067">
        <v>364</v>
      </c>
      <c r="CR2067">
        <v>0</v>
      </c>
      <c r="CW2067">
        <v>1444402</v>
      </c>
      <c r="CY2067">
        <v>1</v>
      </c>
      <c r="CZ2067">
        <v>0</v>
      </c>
      <c r="DA2067">
        <v>1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>"03/24/2022 22:18:10.074"</f>
        <v>03/24/2022 22:18:10.074</v>
      </c>
      <c r="C2068" t="str">
        <f t="shared" si="600"/>
        <v>FFDFD3C0</v>
      </c>
      <c r="D2068" t="s">
        <v>120</v>
      </c>
      <c r="E2068">
        <v>14</v>
      </c>
      <c r="F2068">
        <v>1014</v>
      </c>
      <c r="G2068" t="s">
        <v>121</v>
      </c>
      <c r="J2068" t="s">
        <v>122</v>
      </c>
      <c r="K2068">
        <v>0</v>
      </c>
      <c r="L2068">
        <v>3</v>
      </c>
      <c r="M2068">
        <v>0</v>
      </c>
      <c r="N2068">
        <v>2</v>
      </c>
      <c r="O2068">
        <v>0</v>
      </c>
      <c r="P2068">
        <v>1</v>
      </c>
      <c r="Q2068">
        <v>0</v>
      </c>
      <c r="S2068" t="str">
        <f t="shared" si="618"/>
        <v>22:18:09.000</v>
      </c>
      <c r="T2068" t="str">
        <f t="shared" si="618"/>
        <v>22:18:09.000</v>
      </c>
      <c r="U2068" t="str">
        <f t="shared" si="614"/>
        <v>A9D71F</v>
      </c>
      <c r="V2068">
        <v>0</v>
      </c>
      <c r="W2068">
        <v>0</v>
      </c>
      <c r="X2068">
        <v>2</v>
      </c>
      <c r="Z2068">
        <v>1</v>
      </c>
      <c r="AA2068">
        <v>8</v>
      </c>
      <c r="AB2068">
        <v>3</v>
      </c>
      <c r="AC2068">
        <v>0</v>
      </c>
      <c r="AD2068">
        <v>9</v>
      </c>
      <c r="AE2068">
        <v>0</v>
      </c>
      <c r="AF2068">
        <v>3</v>
      </c>
      <c r="AG2068">
        <v>1</v>
      </c>
      <c r="AH2068">
        <v>0</v>
      </c>
      <c r="AI2068" t="s">
        <v>1084</v>
      </c>
      <c r="AJ2068">
        <v>33.026297</v>
      </c>
      <c r="AK2068" t="s">
        <v>1085</v>
      </c>
      <c r="AL2068">
        <v>-97.655754000000002</v>
      </c>
      <c r="AM2068">
        <v>25</v>
      </c>
      <c r="AN2068">
        <v>3400</v>
      </c>
      <c r="AO2068" t="s">
        <v>118</v>
      </c>
      <c r="AP2068">
        <v>32</v>
      </c>
      <c r="AQ2068">
        <v>-72</v>
      </c>
      <c r="AR2068">
        <v>0</v>
      </c>
      <c r="AZ2068">
        <v>1200</v>
      </c>
      <c r="BA2068">
        <v>1</v>
      </c>
      <c r="BB2068" t="str">
        <f t="shared" si="602"/>
        <v xml:space="preserve">N733KP  </v>
      </c>
      <c r="BC2068">
        <v>1</v>
      </c>
      <c r="BE2068">
        <v>0</v>
      </c>
      <c r="BF2068">
        <v>0</v>
      </c>
      <c r="BG2068">
        <v>0</v>
      </c>
      <c r="BH2068">
        <v>3350</v>
      </c>
      <c r="BI2068">
        <v>1</v>
      </c>
      <c r="BJ2068">
        <v>1</v>
      </c>
      <c r="BK2068">
        <v>0</v>
      </c>
      <c r="BL2068">
        <v>0</v>
      </c>
      <c r="BO2068">
        <v>0</v>
      </c>
      <c r="BP2068">
        <v>0</v>
      </c>
      <c r="BW2068" t="str">
        <f>"22:18:09.869"</f>
        <v>22:18:09.869</v>
      </c>
      <c r="CJ2068">
        <v>0</v>
      </c>
      <c r="CK2068">
        <v>2</v>
      </c>
      <c r="CL2068">
        <v>0</v>
      </c>
      <c r="CM2068">
        <v>2</v>
      </c>
      <c r="CN2068">
        <v>0</v>
      </c>
      <c r="CO2068">
        <v>6</v>
      </c>
      <c r="CP2068" t="s">
        <v>119</v>
      </c>
      <c r="CQ2068">
        <v>364</v>
      </c>
      <c r="CR2068">
        <v>0</v>
      </c>
      <c r="CW2068">
        <v>1444402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>"03/24/2022 22:18:11.027"</f>
        <v>03/24/2022 22:18:11.027</v>
      </c>
      <c r="C2069" t="str">
        <f t="shared" si="600"/>
        <v>FFDFD3C0</v>
      </c>
      <c r="D2069" t="s">
        <v>120</v>
      </c>
      <c r="E2069">
        <v>14</v>
      </c>
      <c r="F2069">
        <v>1014</v>
      </c>
      <c r="G2069" t="s">
        <v>121</v>
      </c>
      <c r="J2069" t="s">
        <v>122</v>
      </c>
      <c r="K2069">
        <v>0</v>
      </c>
      <c r="L2069">
        <v>3</v>
      </c>
      <c r="M2069">
        <v>0</v>
      </c>
      <c r="N2069">
        <v>2</v>
      </c>
      <c r="O2069">
        <v>0</v>
      </c>
      <c r="P2069">
        <v>1</v>
      </c>
      <c r="Q2069">
        <v>0</v>
      </c>
      <c r="S2069" t="str">
        <f t="shared" ref="S2069:T2072" si="619">"22:18:10.000"</f>
        <v>22:18:10.000</v>
      </c>
      <c r="T2069" t="str">
        <f t="shared" si="619"/>
        <v>22:18:10.000</v>
      </c>
      <c r="U2069" t="str">
        <f t="shared" si="614"/>
        <v>A9D71F</v>
      </c>
      <c r="V2069">
        <v>0</v>
      </c>
      <c r="W2069">
        <v>0</v>
      </c>
      <c r="X2069">
        <v>2</v>
      </c>
      <c r="Z2069">
        <v>1</v>
      </c>
      <c r="AA2069">
        <v>8</v>
      </c>
      <c r="AB2069">
        <v>3</v>
      </c>
      <c r="AC2069">
        <v>0</v>
      </c>
      <c r="AD2069">
        <v>9</v>
      </c>
      <c r="AE2069">
        <v>0</v>
      </c>
      <c r="AF2069">
        <v>3</v>
      </c>
      <c r="AG2069">
        <v>1</v>
      </c>
      <c r="AH2069">
        <v>0</v>
      </c>
      <c r="AI2069" t="s">
        <v>1086</v>
      </c>
      <c r="AJ2069">
        <v>33.025975000000003</v>
      </c>
      <c r="AK2069" t="s">
        <v>1087</v>
      </c>
      <c r="AL2069">
        <v>-97.655581999999995</v>
      </c>
      <c r="AM2069">
        <v>25</v>
      </c>
      <c r="AN2069">
        <v>3400</v>
      </c>
      <c r="AO2069" t="s">
        <v>118</v>
      </c>
      <c r="AP2069">
        <v>33</v>
      </c>
      <c r="AQ2069">
        <v>-72</v>
      </c>
      <c r="AR2069">
        <v>0</v>
      </c>
      <c r="AZ2069">
        <v>1200</v>
      </c>
      <c r="BA2069">
        <v>1</v>
      </c>
      <c r="BB2069" t="str">
        <f t="shared" si="602"/>
        <v xml:space="preserve">N733KP  </v>
      </c>
      <c r="BC2069">
        <v>1</v>
      </c>
      <c r="BE2069">
        <v>0</v>
      </c>
      <c r="BF2069">
        <v>0</v>
      </c>
      <c r="BG2069">
        <v>0</v>
      </c>
      <c r="BH2069">
        <v>3350</v>
      </c>
      <c r="BI2069">
        <v>1</v>
      </c>
      <c r="BJ2069">
        <v>1</v>
      </c>
      <c r="BK2069">
        <v>0</v>
      </c>
      <c r="BL2069">
        <v>0</v>
      </c>
      <c r="BO2069">
        <v>0</v>
      </c>
      <c r="BP2069">
        <v>0</v>
      </c>
      <c r="BW2069" t="str">
        <f>"22:18:10.850"</f>
        <v>22:18:10.850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7</v>
      </c>
      <c r="CP2069" t="s">
        <v>119</v>
      </c>
      <c r="CQ2069">
        <v>364</v>
      </c>
      <c r="CR2069">
        <v>0</v>
      </c>
      <c r="CW2069">
        <v>1444573</v>
      </c>
      <c r="CY2069">
        <v>1</v>
      </c>
      <c r="CZ2069">
        <v>0</v>
      </c>
      <c r="DA2069">
        <v>0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>"03/24/2022 22:18:11.043"</f>
        <v>03/24/2022 22:18:11.043</v>
      </c>
      <c r="C2070" t="str">
        <f t="shared" ref="C2070:C2133" si="620">"FFDFD3C0"</f>
        <v>FFDFD3C0</v>
      </c>
      <c r="D2070" t="s">
        <v>126</v>
      </c>
      <c r="E2070">
        <v>3</v>
      </c>
      <c r="H2070">
        <v>160</v>
      </c>
      <c r="I2070" t="s">
        <v>121</v>
      </c>
      <c r="J2070" t="s">
        <v>127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1</v>
      </c>
      <c r="Q2070">
        <v>0</v>
      </c>
      <c r="S2070" t="str">
        <f t="shared" si="619"/>
        <v>22:18:10.000</v>
      </c>
      <c r="T2070" t="str">
        <f t="shared" si="619"/>
        <v>22:18:10.000</v>
      </c>
      <c r="U2070" t="str">
        <f t="shared" si="614"/>
        <v>A9D71F</v>
      </c>
      <c r="V2070">
        <v>0</v>
      </c>
      <c r="W2070">
        <v>0</v>
      </c>
      <c r="X2070">
        <v>2</v>
      </c>
      <c r="Z2070">
        <v>1</v>
      </c>
      <c r="AA2070">
        <v>8</v>
      </c>
      <c r="AB2070">
        <v>3</v>
      </c>
      <c r="AC2070">
        <v>0</v>
      </c>
      <c r="AD2070">
        <v>9</v>
      </c>
      <c r="AE2070">
        <v>0</v>
      </c>
      <c r="AF2070">
        <v>3</v>
      </c>
      <c r="AG2070">
        <v>1</v>
      </c>
      <c r="AH2070">
        <v>0</v>
      </c>
      <c r="AI2070" t="s">
        <v>1086</v>
      </c>
      <c r="AJ2070">
        <v>33.025975000000003</v>
      </c>
      <c r="AK2070" t="s">
        <v>1087</v>
      </c>
      <c r="AL2070">
        <v>-97.655581999999995</v>
      </c>
      <c r="AM2070">
        <v>25</v>
      </c>
      <c r="AN2070">
        <v>3400</v>
      </c>
      <c r="AO2070" t="s">
        <v>118</v>
      </c>
      <c r="AP2070">
        <v>33</v>
      </c>
      <c r="AQ2070">
        <v>-72</v>
      </c>
      <c r="AR2070">
        <v>0</v>
      </c>
      <c r="AZ2070">
        <v>1200</v>
      </c>
      <c r="BA2070">
        <v>1</v>
      </c>
      <c r="BB2070" t="str">
        <f t="shared" ref="BB2070:BB2133" si="621">"N733KP  "</f>
        <v xml:space="preserve">N733KP  </v>
      </c>
      <c r="BC2070">
        <v>1</v>
      </c>
      <c r="BE2070">
        <v>0</v>
      </c>
      <c r="BF2070">
        <v>0</v>
      </c>
      <c r="BG2070">
        <v>0</v>
      </c>
      <c r="BH2070">
        <v>3350</v>
      </c>
      <c r="BI2070">
        <v>1</v>
      </c>
      <c r="BJ2070">
        <v>1</v>
      </c>
      <c r="BK2070">
        <v>0</v>
      </c>
      <c r="BL2070">
        <v>0</v>
      </c>
      <c r="BO2070">
        <v>0</v>
      </c>
      <c r="BP2070">
        <v>0</v>
      </c>
      <c r="BW2070" t="str">
        <f>"22:18:10.850"</f>
        <v>22:18:10.850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7</v>
      </c>
      <c r="CP2070" t="s">
        <v>119</v>
      </c>
      <c r="CQ2070">
        <v>364</v>
      </c>
      <c r="CR2070">
        <v>0</v>
      </c>
      <c r="CW2070">
        <v>1444573</v>
      </c>
      <c r="CY2070">
        <v>1</v>
      </c>
      <c r="CZ2070">
        <v>0</v>
      </c>
      <c r="DA2070">
        <v>1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>"03/24/2022 22:18:11.043"</f>
        <v>03/24/2022 22:18:11.043</v>
      </c>
      <c r="C2071" t="str">
        <f t="shared" si="620"/>
        <v>FFDFD3C0</v>
      </c>
      <c r="D2071" t="s">
        <v>113</v>
      </c>
      <c r="E2071">
        <v>24</v>
      </c>
      <c r="F2071">
        <v>2024</v>
      </c>
      <c r="G2071" t="s">
        <v>114</v>
      </c>
      <c r="J2071" t="s">
        <v>115</v>
      </c>
      <c r="K2071">
        <v>0</v>
      </c>
      <c r="L2071">
        <v>3</v>
      </c>
      <c r="M2071">
        <v>0</v>
      </c>
      <c r="N2071">
        <v>2</v>
      </c>
      <c r="O2071">
        <v>0</v>
      </c>
      <c r="P2071">
        <v>1</v>
      </c>
      <c r="Q2071">
        <v>0</v>
      </c>
      <c r="S2071" t="str">
        <f t="shared" si="619"/>
        <v>22:18:10.000</v>
      </c>
      <c r="T2071" t="str">
        <f t="shared" si="619"/>
        <v>22:18:10.000</v>
      </c>
      <c r="U2071" t="str">
        <f t="shared" si="614"/>
        <v>A9D71F</v>
      </c>
      <c r="V2071">
        <v>0</v>
      </c>
      <c r="W2071">
        <v>0</v>
      </c>
      <c r="X2071">
        <v>2</v>
      </c>
      <c r="Z2071">
        <v>1</v>
      </c>
      <c r="AA2071">
        <v>8</v>
      </c>
      <c r="AB2071">
        <v>3</v>
      </c>
      <c r="AC2071">
        <v>0</v>
      </c>
      <c r="AD2071">
        <v>9</v>
      </c>
      <c r="AE2071">
        <v>0</v>
      </c>
      <c r="AF2071">
        <v>3</v>
      </c>
      <c r="AG2071">
        <v>1</v>
      </c>
      <c r="AH2071">
        <v>0</v>
      </c>
      <c r="AI2071" t="s">
        <v>1086</v>
      </c>
      <c r="AJ2071">
        <v>33.025975000000003</v>
      </c>
      <c r="AK2071" t="s">
        <v>1087</v>
      </c>
      <c r="AL2071">
        <v>-97.655581999999995</v>
      </c>
      <c r="AM2071">
        <v>25</v>
      </c>
      <c r="AN2071">
        <v>3400</v>
      </c>
      <c r="AO2071" t="s">
        <v>118</v>
      </c>
      <c r="AP2071">
        <v>33</v>
      </c>
      <c r="AQ2071">
        <v>-72</v>
      </c>
      <c r="AR2071">
        <v>0</v>
      </c>
      <c r="AZ2071">
        <v>1200</v>
      </c>
      <c r="BA2071">
        <v>1</v>
      </c>
      <c r="BB2071" t="str">
        <f t="shared" si="621"/>
        <v xml:space="preserve">N733KP  </v>
      </c>
      <c r="BC2071">
        <v>1</v>
      </c>
      <c r="BE2071">
        <v>0</v>
      </c>
      <c r="BF2071">
        <v>0</v>
      </c>
      <c r="BG2071">
        <v>0</v>
      </c>
      <c r="BH2071">
        <v>3350</v>
      </c>
      <c r="BI2071">
        <v>1</v>
      </c>
      <c r="BJ2071">
        <v>1</v>
      </c>
      <c r="BK2071">
        <v>0</v>
      </c>
      <c r="BL2071">
        <v>0</v>
      </c>
      <c r="BO2071">
        <v>0</v>
      </c>
      <c r="BP2071">
        <v>0</v>
      </c>
      <c r="BW2071" t="str">
        <f>"22:18:10.850"</f>
        <v>22:18:10.850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7</v>
      </c>
      <c r="CP2071" t="s">
        <v>119</v>
      </c>
      <c r="CQ2071">
        <v>364</v>
      </c>
      <c r="CR2071">
        <v>0</v>
      </c>
      <c r="CW2071">
        <v>1444573</v>
      </c>
      <c r="CY2071">
        <v>1</v>
      </c>
      <c r="CZ2071">
        <v>0</v>
      </c>
      <c r="DA2071">
        <v>1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>"03/24/2022 22:18:11.058"</f>
        <v>03/24/2022 22:18:11.058</v>
      </c>
      <c r="C2072" t="str">
        <f t="shared" si="620"/>
        <v>FFDFD3C0</v>
      </c>
      <c r="D2072" t="s">
        <v>123</v>
      </c>
      <c r="E2072">
        <v>8</v>
      </c>
      <c r="H2072">
        <v>31</v>
      </c>
      <c r="I2072" t="s">
        <v>124</v>
      </c>
      <c r="J2072" t="s">
        <v>125</v>
      </c>
      <c r="K2072">
        <v>0</v>
      </c>
      <c r="L2072">
        <v>3</v>
      </c>
      <c r="M2072">
        <v>0</v>
      </c>
      <c r="N2072">
        <v>2</v>
      </c>
      <c r="O2072">
        <v>0</v>
      </c>
      <c r="P2072">
        <v>1</v>
      </c>
      <c r="Q2072">
        <v>0</v>
      </c>
      <c r="S2072" t="str">
        <f t="shared" si="619"/>
        <v>22:18:10.000</v>
      </c>
      <c r="T2072" t="str">
        <f t="shared" si="619"/>
        <v>22:18:10.000</v>
      </c>
      <c r="U2072" t="str">
        <f t="shared" si="614"/>
        <v>A9D71F</v>
      </c>
      <c r="V2072">
        <v>0</v>
      </c>
      <c r="W2072">
        <v>0</v>
      </c>
      <c r="X2072">
        <v>2</v>
      </c>
      <c r="Z2072">
        <v>1</v>
      </c>
      <c r="AA2072">
        <v>8</v>
      </c>
      <c r="AB2072">
        <v>3</v>
      </c>
      <c r="AC2072">
        <v>0</v>
      </c>
      <c r="AD2072">
        <v>9</v>
      </c>
      <c r="AE2072">
        <v>0</v>
      </c>
      <c r="AF2072">
        <v>3</v>
      </c>
      <c r="AG2072">
        <v>1</v>
      </c>
      <c r="AH2072">
        <v>0</v>
      </c>
      <c r="AI2072" t="s">
        <v>1086</v>
      </c>
      <c r="AJ2072">
        <v>33.025975000000003</v>
      </c>
      <c r="AK2072" t="s">
        <v>1087</v>
      </c>
      <c r="AL2072">
        <v>-97.655581999999995</v>
      </c>
      <c r="AM2072">
        <v>25</v>
      </c>
      <c r="AN2072">
        <v>3400</v>
      </c>
      <c r="AO2072" t="s">
        <v>118</v>
      </c>
      <c r="AP2072">
        <v>33</v>
      </c>
      <c r="AQ2072">
        <v>-72</v>
      </c>
      <c r="AR2072">
        <v>0</v>
      </c>
      <c r="AZ2072">
        <v>1200</v>
      </c>
      <c r="BA2072">
        <v>1</v>
      </c>
      <c r="BB2072" t="str">
        <f t="shared" si="621"/>
        <v xml:space="preserve">N733KP  </v>
      </c>
      <c r="BC2072">
        <v>1</v>
      </c>
      <c r="BE2072">
        <v>0</v>
      </c>
      <c r="BF2072">
        <v>0</v>
      </c>
      <c r="BG2072">
        <v>0</v>
      </c>
      <c r="BH2072">
        <v>3350</v>
      </c>
      <c r="BI2072">
        <v>1</v>
      </c>
      <c r="BJ2072">
        <v>1</v>
      </c>
      <c r="BK2072">
        <v>0</v>
      </c>
      <c r="BL2072">
        <v>0</v>
      </c>
      <c r="BO2072">
        <v>0</v>
      </c>
      <c r="BP2072">
        <v>0</v>
      </c>
      <c r="BW2072" t="str">
        <f>"22:18:10.850"</f>
        <v>22:18:10.850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7</v>
      </c>
      <c r="CP2072" t="s">
        <v>119</v>
      </c>
      <c r="CQ2072">
        <v>364</v>
      </c>
      <c r="CR2072">
        <v>0</v>
      </c>
      <c r="CW2072">
        <v>1444573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>"03/24/2022 22:18:11.793"</f>
        <v>03/24/2022 22:18:11.793</v>
      </c>
      <c r="C2073" t="str">
        <f t="shared" si="620"/>
        <v>FFDFD3C0</v>
      </c>
      <c r="D2073" t="s">
        <v>120</v>
      </c>
      <c r="E2073">
        <v>14</v>
      </c>
      <c r="F2073">
        <v>1014</v>
      </c>
      <c r="G2073" t="s">
        <v>121</v>
      </c>
      <c r="J2073" t="s">
        <v>122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1</v>
      </c>
      <c r="Q2073">
        <v>0</v>
      </c>
      <c r="S2073" t="str">
        <f t="shared" ref="S2073:T2076" si="622">"22:18:11.000"</f>
        <v>22:18:11.000</v>
      </c>
      <c r="T2073" t="str">
        <f t="shared" si="622"/>
        <v>22:18:11.000</v>
      </c>
      <c r="U2073" t="str">
        <f t="shared" si="614"/>
        <v>A9D71F</v>
      </c>
      <c r="V2073">
        <v>0</v>
      </c>
      <c r="W2073">
        <v>0</v>
      </c>
      <c r="X2073">
        <v>2</v>
      </c>
      <c r="Z2073">
        <v>1</v>
      </c>
      <c r="AA2073">
        <v>8</v>
      </c>
      <c r="AB2073">
        <v>3</v>
      </c>
      <c r="AC2073">
        <v>0</v>
      </c>
      <c r="AD2073">
        <v>9</v>
      </c>
      <c r="AE2073">
        <v>0</v>
      </c>
      <c r="AF2073">
        <v>3</v>
      </c>
      <c r="AG2073">
        <v>1</v>
      </c>
      <c r="AH2073">
        <v>0</v>
      </c>
      <c r="AI2073" t="s">
        <v>1088</v>
      </c>
      <c r="AJ2073">
        <v>33.02561</v>
      </c>
      <c r="AK2073" t="s">
        <v>1089</v>
      </c>
      <c r="AL2073">
        <v>-97.655411000000001</v>
      </c>
      <c r="AM2073">
        <v>25</v>
      </c>
      <c r="AN2073">
        <v>3400</v>
      </c>
      <c r="AO2073" t="s">
        <v>118</v>
      </c>
      <c r="AP2073">
        <v>35</v>
      </c>
      <c r="AQ2073">
        <v>-73</v>
      </c>
      <c r="AR2073">
        <v>0</v>
      </c>
      <c r="AZ2073">
        <v>1200</v>
      </c>
      <c r="BA2073">
        <v>1</v>
      </c>
      <c r="BB2073" t="str">
        <f t="shared" si="621"/>
        <v xml:space="preserve">N733KP  </v>
      </c>
      <c r="BC2073">
        <v>1</v>
      </c>
      <c r="BE2073">
        <v>0</v>
      </c>
      <c r="BF2073">
        <v>0</v>
      </c>
      <c r="BG2073">
        <v>0</v>
      </c>
      <c r="BH2073">
        <v>3350</v>
      </c>
      <c r="BI2073">
        <v>1</v>
      </c>
      <c r="BJ2073">
        <v>1</v>
      </c>
      <c r="BK2073">
        <v>0</v>
      </c>
      <c r="BL2073">
        <v>0</v>
      </c>
      <c r="BO2073">
        <v>0</v>
      </c>
      <c r="BP2073">
        <v>0</v>
      </c>
      <c r="BW2073" t="str">
        <f>"22:18:11.570"</f>
        <v>22:18:11.570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7</v>
      </c>
      <c r="CP2073" t="s">
        <v>119</v>
      </c>
      <c r="CQ2073">
        <v>364</v>
      </c>
      <c r="CR2073">
        <v>0</v>
      </c>
      <c r="CW2073">
        <v>1444689</v>
      </c>
      <c r="CY2073">
        <v>1</v>
      </c>
      <c r="CZ2073">
        <v>0</v>
      </c>
      <c r="DA2073">
        <v>0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>"03/24/2022 22:18:11.793"</f>
        <v>03/24/2022 22:18:11.793</v>
      </c>
      <c r="C2074" t="str">
        <f t="shared" si="620"/>
        <v>FFDFD3C0</v>
      </c>
      <c r="D2074" t="s">
        <v>113</v>
      </c>
      <c r="E2074">
        <v>24</v>
      </c>
      <c r="F2074">
        <v>2024</v>
      </c>
      <c r="G2074" t="s">
        <v>114</v>
      </c>
      <c r="J2074" t="s">
        <v>115</v>
      </c>
      <c r="K2074">
        <v>0</v>
      </c>
      <c r="L2074">
        <v>3</v>
      </c>
      <c r="M2074">
        <v>0</v>
      </c>
      <c r="N2074">
        <v>2</v>
      </c>
      <c r="O2074">
        <v>0</v>
      </c>
      <c r="P2074">
        <v>1</v>
      </c>
      <c r="Q2074">
        <v>0</v>
      </c>
      <c r="S2074" t="str">
        <f t="shared" si="622"/>
        <v>22:18:11.000</v>
      </c>
      <c r="T2074" t="str">
        <f t="shared" si="622"/>
        <v>22:18:11.000</v>
      </c>
      <c r="U2074" t="str">
        <f t="shared" si="614"/>
        <v>A9D71F</v>
      </c>
      <c r="V2074">
        <v>0</v>
      </c>
      <c r="W2074">
        <v>0</v>
      </c>
      <c r="X2074">
        <v>2</v>
      </c>
      <c r="Z2074">
        <v>1</v>
      </c>
      <c r="AA2074">
        <v>8</v>
      </c>
      <c r="AB2074">
        <v>3</v>
      </c>
      <c r="AC2074">
        <v>0</v>
      </c>
      <c r="AD2074">
        <v>9</v>
      </c>
      <c r="AE2074">
        <v>0</v>
      </c>
      <c r="AF2074">
        <v>3</v>
      </c>
      <c r="AG2074">
        <v>1</v>
      </c>
      <c r="AH2074">
        <v>0</v>
      </c>
      <c r="AI2074" t="s">
        <v>1088</v>
      </c>
      <c r="AJ2074">
        <v>33.02561</v>
      </c>
      <c r="AK2074" t="s">
        <v>1089</v>
      </c>
      <c r="AL2074">
        <v>-97.655411000000001</v>
      </c>
      <c r="AM2074">
        <v>25</v>
      </c>
      <c r="AN2074">
        <v>3400</v>
      </c>
      <c r="AO2074" t="s">
        <v>118</v>
      </c>
      <c r="AP2074">
        <v>35</v>
      </c>
      <c r="AQ2074">
        <v>-73</v>
      </c>
      <c r="AR2074">
        <v>0</v>
      </c>
      <c r="AZ2074">
        <v>1200</v>
      </c>
      <c r="BA2074">
        <v>1</v>
      </c>
      <c r="BB2074" t="str">
        <f t="shared" si="621"/>
        <v xml:space="preserve">N733KP  </v>
      </c>
      <c r="BC2074">
        <v>1</v>
      </c>
      <c r="BE2074">
        <v>0</v>
      </c>
      <c r="BF2074">
        <v>0</v>
      </c>
      <c r="BG2074">
        <v>0</v>
      </c>
      <c r="BH2074">
        <v>3350</v>
      </c>
      <c r="BI2074">
        <v>1</v>
      </c>
      <c r="BJ2074">
        <v>1</v>
      </c>
      <c r="BK2074">
        <v>0</v>
      </c>
      <c r="BL2074">
        <v>0</v>
      </c>
      <c r="BO2074">
        <v>0</v>
      </c>
      <c r="BP2074">
        <v>0</v>
      </c>
      <c r="BW2074" t="str">
        <f>"22:18:11.570"</f>
        <v>22:18:11.570</v>
      </c>
      <c r="CJ2074">
        <v>0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119</v>
      </c>
      <c r="CQ2074">
        <v>364</v>
      </c>
      <c r="CR2074">
        <v>0</v>
      </c>
      <c r="CW2074">
        <v>1444689</v>
      </c>
      <c r="CY2074">
        <v>1</v>
      </c>
      <c r="CZ2074">
        <v>0</v>
      </c>
      <c r="DA2074">
        <v>1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>"03/24/2022 22:18:11.793"</f>
        <v>03/24/2022 22:18:11.793</v>
      </c>
      <c r="C2075" t="str">
        <f t="shared" si="620"/>
        <v>FFDFD3C0</v>
      </c>
      <c r="D2075" t="s">
        <v>126</v>
      </c>
      <c r="E2075">
        <v>3</v>
      </c>
      <c r="H2075">
        <v>160</v>
      </c>
      <c r="I2075" t="s">
        <v>121</v>
      </c>
      <c r="J2075" t="s">
        <v>127</v>
      </c>
      <c r="K2075">
        <v>0</v>
      </c>
      <c r="L2075">
        <v>3</v>
      </c>
      <c r="M2075">
        <v>0</v>
      </c>
      <c r="N2075">
        <v>2</v>
      </c>
      <c r="O2075">
        <v>0</v>
      </c>
      <c r="P2075">
        <v>1</v>
      </c>
      <c r="Q2075">
        <v>0</v>
      </c>
      <c r="S2075" t="str">
        <f t="shared" si="622"/>
        <v>22:18:11.000</v>
      </c>
      <c r="T2075" t="str">
        <f t="shared" si="622"/>
        <v>22:18:11.000</v>
      </c>
      <c r="U2075" t="str">
        <f t="shared" si="614"/>
        <v>A9D71F</v>
      </c>
      <c r="V2075">
        <v>0</v>
      </c>
      <c r="W2075">
        <v>0</v>
      </c>
      <c r="X2075">
        <v>2</v>
      </c>
      <c r="Z2075">
        <v>1</v>
      </c>
      <c r="AA2075">
        <v>8</v>
      </c>
      <c r="AB2075">
        <v>3</v>
      </c>
      <c r="AC2075">
        <v>0</v>
      </c>
      <c r="AD2075">
        <v>9</v>
      </c>
      <c r="AE2075">
        <v>0</v>
      </c>
      <c r="AF2075">
        <v>3</v>
      </c>
      <c r="AG2075">
        <v>1</v>
      </c>
      <c r="AH2075">
        <v>0</v>
      </c>
      <c r="AI2075" t="s">
        <v>1088</v>
      </c>
      <c r="AJ2075">
        <v>33.02561</v>
      </c>
      <c r="AK2075" t="s">
        <v>1089</v>
      </c>
      <c r="AL2075">
        <v>-97.655411000000001</v>
      </c>
      <c r="AM2075">
        <v>25</v>
      </c>
      <c r="AN2075">
        <v>3400</v>
      </c>
      <c r="AO2075" t="s">
        <v>118</v>
      </c>
      <c r="AP2075">
        <v>35</v>
      </c>
      <c r="AQ2075">
        <v>-73</v>
      </c>
      <c r="AR2075">
        <v>0</v>
      </c>
      <c r="AZ2075">
        <v>1200</v>
      </c>
      <c r="BA2075">
        <v>1</v>
      </c>
      <c r="BB2075" t="str">
        <f t="shared" si="621"/>
        <v xml:space="preserve">N733KP  </v>
      </c>
      <c r="BC2075">
        <v>1</v>
      </c>
      <c r="BE2075">
        <v>0</v>
      </c>
      <c r="BF2075">
        <v>0</v>
      </c>
      <c r="BG2075">
        <v>0</v>
      </c>
      <c r="BH2075">
        <v>3350</v>
      </c>
      <c r="BI2075">
        <v>1</v>
      </c>
      <c r="BJ2075">
        <v>1</v>
      </c>
      <c r="BK2075">
        <v>0</v>
      </c>
      <c r="BL2075">
        <v>0</v>
      </c>
      <c r="BO2075">
        <v>0</v>
      </c>
      <c r="BP2075">
        <v>0</v>
      </c>
      <c r="BW2075" t="str">
        <f>"22:18:11.570"</f>
        <v>22:18:11.570</v>
      </c>
      <c r="CJ2075">
        <v>0</v>
      </c>
      <c r="CK2075">
        <v>2</v>
      </c>
      <c r="CL2075">
        <v>0</v>
      </c>
      <c r="CM2075">
        <v>2</v>
      </c>
      <c r="CN2075">
        <v>0</v>
      </c>
      <c r="CO2075">
        <v>7</v>
      </c>
      <c r="CP2075" t="s">
        <v>119</v>
      </c>
      <c r="CQ2075">
        <v>364</v>
      </c>
      <c r="CR2075">
        <v>0</v>
      </c>
      <c r="CW2075">
        <v>1444689</v>
      </c>
      <c r="CY2075">
        <v>1</v>
      </c>
      <c r="CZ2075">
        <v>0</v>
      </c>
      <c r="DA2075">
        <v>1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>"03/24/2022 22:18:11.793"</f>
        <v>03/24/2022 22:18:11.793</v>
      </c>
      <c r="C2076" t="str">
        <f t="shared" si="620"/>
        <v>FFDFD3C0</v>
      </c>
      <c r="D2076" t="s">
        <v>123</v>
      </c>
      <c r="E2076">
        <v>8</v>
      </c>
      <c r="H2076">
        <v>31</v>
      </c>
      <c r="I2076" t="s">
        <v>124</v>
      </c>
      <c r="J2076" t="s">
        <v>125</v>
      </c>
      <c r="K2076">
        <v>0</v>
      </c>
      <c r="L2076">
        <v>3</v>
      </c>
      <c r="M2076">
        <v>0</v>
      </c>
      <c r="N2076">
        <v>2</v>
      </c>
      <c r="O2076">
        <v>0</v>
      </c>
      <c r="P2076">
        <v>1</v>
      </c>
      <c r="Q2076">
        <v>0</v>
      </c>
      <c r="S2076" t="str">
        <f t="shared" si="622"/>
        <v>22:18:11.000</v>
      </c>
      <c r="T2076" t="str">
        <f t="shared" si="622"/>
        <v>22:18:11.000</v>
      </c>
      <c r="U2076" t="str">
        <f t="shared" si="614"/>
        <v>A9D71F</v>
      </c>
      <c r="V2076">
        <v>0</v>
      </c>
      <c r="W2076">
        <v>0</v>
      </c>
      <c r="X2076">
        <v>2</v>
      </c>
      <c r="Z2076">
        <v>1</v>
      </c>
      <c r="AA2076">
        <v>8</v>
      </c>
      <c r="AB2076">
        <v>3</v>
      </c>
      <c r="AC2076">
        <v>0</v>
      </c>
      <c r="AD2076">
        <v>9</v>
      </c>
      <c r="AE2076">
        <v>0</v>
      </c>
      <c r="AF2076">
        <v>3</v>
      </c>
      <c r="AG2076">
        <v>1</v>
      </c>
      <c r="AH2076">
        <v>0</v>
      </c>
      <c r="AI2076" t="s">
        <v>1088</v>
      </c>
      <c r="AJ2076">
        <v>33.02561</v>
      </c>
      <c r="AK2076" t="s">
        <v>1089</v>
      </c>
      <c r="AL2076">
        <v>-97.655411000000001</v>
      </c>
      <c r="AM2076">
        <v>25</v>
      </c>
      <c r="AN2076">
        <v>3400</v>
      </c>
      <c r="AO2076" t="s">
        <v>118</v>
      </c>
      <c r="AP2076">
        <v>35</v>
      </c>
      <c r="AQ2076">
        <v>-73</v>
      </c>
      <c r="AR2076">
        <v>0</v>
      </c>
      <c r="AZ2076">
        <v>1200</v>
      </c>
      <c r="BA2076">
        <v>1</v>
      </c>
      <c r="BB2076" t="str">
        <f t="shared" si="621"/>
        <v xml:space="preserve">N733KP  </v>
      </c>
      <c r="BC2076">
        <v>1</v>
      </c>
      <c r="BE2076">
        <v>0</v>
      </c>
      <c r="BF2076">
        <v>0</v>
      </c>
      <c r="BG2076">
        <v>0</v>
      </c>
      <c r="BH2076">
        <v>3350</v>
      </c>
      <c r="BI2076">
        <v>1</v>
      </c>
      <c r="BJ2076">
        <v>1</v>
      </c>
      <c r="BK2076">
        <v>0</v>
      </c>
      <c r="BL2076">
        <v>0</v>
      </c>
      <c r="BO2076">
        <v>0</v>
      </c>
      <c r="BP2076">
        <v>0</v>
      </c>
      <c r="BW2076" t="str">
        <f>"22:18:11.570"</f>
        <v>22:18:11.570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7</v>
      </c>
      <c r="CP2076" t="s">
        <v>119</v>
      </c>
      <c r="CQ2076">
        <v>364</v>
      </c>
      <c r="CR2076">
        <v>0</v>
      </c>
      <c r="CW2076">
        <v>1444689</v>
      </c>
      <c r="CY2076">
        <v>1</v>
      </c>
      <c r="CZ2076">
        <v>0</v>
      </c>
      <c r="DA2076">
        <v>1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>"03/24/2022 22:18:13.143"</f>
        <v>03/24/2022 22:18:13.143</v>
      </c>
      <c r="C2077" t="str">
        <f t="shared" si="620"/>
        <v>FFDFD3C0</v>
      </c>
      <c r="D2077" t="s">
        <v>120</v>
      </c>
      <c r="E2077">
        <v>14</v>
      </c>
      <c r="F2077">
        <v>1014</v>
      </c>
      <c r="G2077" t="s">
        <v>121</v>
      </c>
      <c r="J2077" t="s">
        <v>122</v>
      </c>
      <c r="K2077">
        <v>0</v>
      </c>
      <c r="L2077">
        <v>3</v>
      </c>
      <c r="M2077">
        <v>0</v>
      </c>
      <c r="N2077">
        <v>2</v>
      </c>
      <c r="O2077">
        <v>0</v>
      </c>
      <c r="P2077">
        <v>1</v>
      </c>
      <c r="Q2077">
        <v>0</v>
      </c>
      <c r="S2077" t="str">
        <f t="shared" ref="S2077:T2080" si="623">"22:18:12.000"</f>
        <v>22:18:12.000</v>
      </c>
      <c r="T2077" t="str">
        <f t="shared" si="623"/>
        <v>22:18:12.000</v>
      </c>
      <c r="U2077" t="str">
        <f t="shared" si="614"/>
        <v>A9D71F</v>
      </c>
      <c r="V2077">
        <v>0</v>
      </c>
      <c r="W2077">
        <v>0</v>
      </c>
      <c r="X2077">
        <v>2</v>
      </c>
      <c r="Z2077">
        <v>1</v>
      </c>
      <c r="AA2077">
        <v>8</v>
      </c>
      <c r="AB2077">
        <v>3</v>
      </c>
      <c r="AC2077">
        <v>0</v>
      </c>
      <c r="AD2077">
        <v>9</v>
      </c>
      <c r="AE2077">
        <v>0</v>
      </c>
      <c r="AF2077">
        <v>3</v>
      </c>
      <c r="AG2077">
        <v>1</v>
      </c>
      <c r="AH2077">
        <v>0</v>
      </c>
      <c r="AI2077" t="s">
        <v>1090</v>
      </c>
      <c r="AJ2077">
        <v>33.025309999999998</v>
      </c>
      <c r="AK2077" t="s">
        <v>1091</v>
      </c>
      <c r="AL2077">
        <v>-97.655238999999995</v>
      </c>
      <c r="AM2077">
        <v>25</v>
      </c>
      <c r="AN2077">
        <v>3400</v>
      </c>
      <c r="AO2077" t="s">
        <v>118</v>
      </c>
      <c r="AP2077">
        <v>38</v>
      </c>
      <c r="AQ2077">
        <v>-73</v>
      </c>
      <c r="AR2077">
        <v>0</v>
      </c>
      <c r="AZ2077">
        <v>1200</v>
      </c>
      <c r="BA2077">
        <v>1</v>
      </c>
      <c r="BB2077" t="str">
        <f t="shared" si="621"/>
        <v xml:space="preserve">N733KP  </v>
      </c>
      <c r="BC2077">
        <v>1</v>
      </c>
      <c r="BE2077">
        <v>0</v>
      </c>
      <c r="BF2077">
        <v>0</v>
      </c>
      <c r="BG2077">
        <v>0</v>
      </c>
      <c r="BH2077">
        <v>3350</v>
      </c>
      <c r="BI2077">
        <v>1</v>
      </c>
      <c r="BJ2077">
        <v>1</v>
      </c>
      <c r="BK2077">
        <v>0</v>
      </c>
      <c r="BL2077">
        <v>0</v>
      </c>
      <c r="BO2077">
        <v>0</v>
      </c>
      <c r="BP2077">
        <v>0</v>
      </c>
      <c r="BW2077" t="str">
        <f>"22:18:12.942"</f>
        <v>22:18:12.942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7</v>
      </c>
      <c r="CP2077" t="s">
        <v>119</v>
      </c>
      <c r="CQ2077">
        <v>364</v>
      </c>
      <c r="CR2077">
        <v>0</v>
      </c>
      <c r="CW2077">
        <v>1444925</v>
      </c>
      <c r="CY2077">
        <v>1</v>
      </c>
      <c r="CZ2077">
        <v>0</v>
      </c>
      <c r="DA2077">
        <v>0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>"03/24/2022 22:18:13.143"</f>
        <v>03/24/2022 22:18:13.143</v>
      </c>
      <c r="C2078" t="str">
        <f t="shared" si="620"/>
        <v>FFDFD3C0</v>
      </c>
      <c r="D2078" t="s">
        <v>126</v>
      </c>
      <c r="E2078">
        <v>3</v>
      </c>
      <c r="H2078">
        <v>160</v>
      </c>
      <c r="I2078" t="s">
        <v>121</v>
      </c>
      <c r="J2078" t="s">
        <v>127</v>
      </c>
      <c r="K2078">
        <v>0</v>
      </c>
      <c r="L2078">
        <v>3</v>
      </c>
      <c r="M2078">
        <v>0</v>
      </c>
      <c r="N2078">
        <v>2</v>
      </c>
      <c r="O2078">
        <v>0</v>
      </c>
      <c r="P2078">
        <v>1</v>
      </c>
      <c r="Q2078">
        <v>0</v>
      </c>
      <c r="S2078" t="str">
        <f t="shared" si="623"/>
        <v>22:18:12.000</v>
      </c>
      <c r="T2078" t="str">
        <f t="shared" si="623"/>
        <v>22:18:12.000</v>
      </c>
      <c r="U2078" t="str">
        <f t="shared" si="614"/>
        <v>A9D71F</v>
      </c>
      <c r="V2078">
        <v>0</v>
      </c>
      <c r="W2078">
        <v>0</v>
      </c>
      <c r="X2078">
        <v>2</v>
      </c>
      <c r="Z2078">
        <v>1</v>
      </c>
      <c r="AA2078">
        <v>8</v>
      </c>
      <c r="AB2078">
        <v>3</v>
      </c>
      <c r="AC2078">
        <v>0</v>
      </c>
      <c r="AD2078">
        <v>9</v>
      </c>
      <c r="AE2078">
        <v>0</v>
      </c>
      <c r="AF2078">
        <v>3</v>
      </c>
      <c r="AG2078">
        <v>1</v>
      </c>
      <c r="AH2078">
        <v>0</v>
      </c>
      <c r="AI2078" t="s">
        <v>1090</v>
      </c>
      <c r="AJ2078">
        <v>33.025309999999998</v>
      </c>
      <c r="AK2078" t="s">
        <v>1091</v>
      </c>
      <c r="AL2078">
        <v>-97.655238999999995</v>
      </c>
      <c r="AM2078">
        <v>25</v>
      </c>
      <c r="AN2078">
        <v>3400</v>
      </c>
      <c r="AO2078" t="s">
        <v>118</v>
      </c>
      <c r="AP2078">
        <v>38</v>
      </c>
      <c r="AQ2078">
        <v>-73</v>
      </c>
      <c r="AR2078">
        <v>0</v>
      </c>
      <c r="AZ2078">
        <v>1200</v>
      </c>
      <c r="BA2078">
        <v>1</v>
      </c>
      <c r="BB2078" t="str">
        <f t="shared" si="621"/>
        <v xml:space="preserve">N733KP  </v>
      </c>
      <c r="BC2078">
        <v>1</v>
      </c>
      <c r="BE2078">
        <v>0</v>
      </c>
      <c r="BF2078">
        <v>0</v>
      </c>
      <c r="BG2078">
        <v>0</v>
      </c>
      <c r="BH2078">
        <v>3350</v>
      </c>
      <c r="BI2078">
        <v>1</v>
      </c>
      <c r="BJ2078">
        <v>1</v>
      </c>
      <c r="BK2078">
        <v>0</v>
      </c>
      <c r="BL2078">
        <v>0</v>
      </c>
      <c r="BO2078">
        <v>0</v>
      </c>
      <c r="BP2078">
        <v>0</v>
      </c>
      <c r="BW2078" t="str">
        <f>"22:18:12.942"</f>
        <v>22:18:12.942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7</v>
      </c>
      <c r="CP2078" t="s">
        <v>119</v>
      </c>
      <c r="CQ2078">
        <v>364</v>
      </c>
      <c r="CR2078">
        <v>0</v>
      </c>
      <c r="CW2078">
        <v>1444925</v>
      </c>
      <c r="CY2078">
        <v>1</v>
      </c>
      <c r="CZ2078">
        <v>0</v>
      </c>
      <c r="DA2078">
        <v>1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>"03/24/2022 22:18:13.143"</f>
        <v>03/24/2022 22:18:13.143</v>
      </c>
      <c r="C2079" t="str">
        <f t="shared" si="620"/>
        <v>FFDFD3C0</v>
      </c>
      <c r="D2079" t="s">
        <v>113</v>
      </c>
      <c r="E2079">
        <v>24</v>
      </c>
      <c r="F2079">
        <v>2024</v>
      </c>
      <c r="G2079" t="s">
        <v>114</v>
      </c>
      <c r="J2079" t="s">
        <v>115</v>
      </c>
      <c r="K2079">
        <v>0</v>
      </c>
      <c r="L2079">
        <v>3</v>
      </c>
      <c r="M2079">
        <v>0</v>
      </c>
      <c r="N2079">
        <v>2</v>
      </c>
      <c r="O2079">
        <v>0</v>
      </c>
      <c r="P2079">
        <v>1</v>
      </c>
      <c r="Q2079">
        <v>0</v>
      </c>
      <c r="S2079" t="str">
        <f t="shared" si="623"/>
        <v>22:18:12.000</v>
      </c>
      <c r="T2079" t="str">
        <f t="shared" si="623"/>
        <v>22:18:12.000</v>
      </c>
      <c r="U2079" t="str">
        <f t="shared" si="614"/>
        <v>A9D71F</v>
      </c>
      <c r="V2079">
        <v>0</v>
      </c>
      <c r="W2079">
        <v>0</v>
      </c>
      <c r="X2079">
        <v>2</v>
      </c>
      <c r="Z2079">
        <v>1</v>
      </c>
      <c r="AA2079">
        <v>8</v>
      </c>
      <c r="AB2079">
        <v>3</v>
      </c>
      <c r="AC2079">
        <v>0</v>
      </c>
      <c r="AD2079">
        <v>9</v>
      </c>
      <c r="AE2079">
        <v>0</v>
      </c>
      <c r="AF2079">
        <v>3</v>
      </c>
      <c r="AG2079">
        <v>1</v>
      </c>
      <c r="AH2079">
        <v>0</v>
      </c>
      <c r="AI2079" t="s">
        <v>1090</v>
      </c>
      <c r="AJ2079">
        <v>33.025309999999998</v>
      </c>
      <c r="AK2079" t="s">
        <v>1091</v>
      </c>
      <c r="AL2079">
        <v>-97.655238999999995</v>
      </c>
      <c r="AM2079">
        <v>25</v>
      </c>
      <c r="AN2079">
        <v>3400</v>
      </c>
      <c r="AO2079" t="s">
        <v>118</v>
      </c>
      <c r="AP2079">
        <v>38</v>
      </c>
      <c r="AQ2079">
        <v>-73</v>
      </c>
      <c r="AR2079">
        <v>0</v>
      </c>
      <c r="AZ2079">
        <v>1200</v>
      </c>
      <c r="BA2079">
        <v>1</v>
      </c>
      <c r="BB2079" t="str">
        <f t="shared" si="621"/>
        <v xml:space="preserve">N733KP  </v>
      </c>
      <c r="BC2079">
        <v>1</v>
      </c>
      <c r="BE2079">
        <v>0</v>
      </c>
      <c r="BF2079">
        <v>0</v>
      </c>
      <c r="BG2079">
        <v>0</v>
      </c>
      <c r="BH2079">
        <v>3350</v>
      </c>
      <c r="BI2079">
        <v>1</v>
      </c>
      <c r="BJ2079">
        <v>1</v>
      </c>
      <c r="BK2079">
        <v>0</v>
      </c>
      <c r="BL2079">
        <v>0</v>
      </c>
      <c r="BO2079">
        <v>0</v>
      </c>
      <c r="BP2079">
        <v>0</v>
      </c>
      <c r="BW2079" t="str">
        <f>"22:18:12.942"</f>
        <v>22:18:12.942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7</v>
      </c>
      <c r="CP2079" t="s">
        <v>119</v>
      </c>
      <c r="CQ2079">
        <v>364</v>
      </c>
      <c r="CR2079">
        <v>0</v>
      </c>
      <c r="CW2079">
        <v>1444925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>"03/24/2022 22:18:13.143"</f>
        <v>03/24/2022 22:18:13.143</v>
      </c>
      <c r="C2080" t="str">
        <f t="shared" si="620"/>
        <v>FFDFD3C0</v>
      </c>
      <c r="D2080" t="s">
        <v>123</v>
      </c>
      <c r="E2080">
        <v>8</v>
      </c>
      <c r="H2080">
        <v>31</v>
      </c>
      <c r="I2080" t="s">
        <v>124</v>
      </c>
      <c r="J2080" t="s">
        <v>125</v>
      </c>
      <c r="K2080">
        <v>0</v>
      </c>
      <c r="L2080">
        <v>3</v>
      </c>
      <c r="M2080">
        <v>0</v>
      </c>
      <c r="N2080">
        <v>2</v>
      </c>
      <c r="O2080">
        <v>0</v>
      </c>
      <c r="P2080">
        <v>1</v>
      </c>
      <c r="Q2080">
        <v>0</v>
      </c>
      <c r="S2080" t="str">
        <f t="shared" si="623"/>
        <v>22:18:12.000</v>
      </c>
      <c r="T2080" t="str">
        <f t="shared" si="623"/>
        <v>22:18:12.000</v>
      </c>
      <c r="U2080" t="str">
        <f t="shared" si="614"/>
        <v>A9D71F</v>
      </c>
      <c r="V2080">
        <v>0</v>
      </c>
      <c r="W2080">
        <v>0</v>
      </c>
      <c r="X2080">
        <v>2</v>
      </c>
      <c r="Z2080">
        <v>1</v>
      </c>
      <c r="AA2080">
        <v>8</v>
      </c>
      <c r="AB2080">
        <v>3</v>
      </c>
      <c r="AC2080">
        <v>0</v>
      </c>
      <c r="AD2080">
        <v>9</v>
      </c>
      <c r="AE2080">
        <v>0</v>
      </c>
      <c r="AF2080">
        <v>3</v>
      </c>
      <c r="AG2080">
        <v>1</v>
      </c>
      <c r="AH2080">
        <v>0</v>
      </c>
      <c r="AI2080" t="s">
        <v>1090</v>
      </c>
      <c r="AJ2080">
        <v>33.025309999999998</v>
      </c>
      <c r="AK2080" t="s">
        <v>1091</v>
      </c>
      <c r="AL2080">
        <v>-97.655238999999995</v>
      </c>
      <c r="AM2080">
        <v>25</v>
      </c>
      <c r="AN2080">
        <v>3400</v>
      </c>
      <c r="AO2080" t="s">
        <v>118</v>
      </c>
      <c r="AP2080">
        <v>38</v>
      </c>
      <c r="AQ2080">
        <v>-73</v>
      </c>
      <c r="AR2080">
        <v>0</v>
      </c>
      <c r="AZ2080">
        <v>1200</v>
      </c>
      <c r="BA2080">
        <v>1</v>
      </c>
      <c r="BB2080" t="str">
        <f t="shared" si="621"/>
        <v xml:space="preserve">N733KP  </v>
      </c>
      <c r="BC2080">
        <v>1</v>
      </c>
      <c r="BE2080">
        <v>0</v>
      </c>
      <c r="BF2080">
        <v>0</v>
      </c>
      <c r="BG2080">
        <v>0</v>
      </c>
      <c r="BH2080">
        <v>3350</v>
      </c>
      <c r="BI2080">
        <v>1</v>
      </c>
      <c r="BJ2080">
        <v>1</v>
      </c>
      <c r="BK2080">
        <v>0</v>
      </c>
      <c r="BL2080">
        <v>0</v>
      </c>
      <c r="BO2080">
        <v>0</v>
      </c>
      <c r="BP2080">
        <v>0</v>
      </c>
      <c r="BW2080" t="str">
        <f>"22:18:12.942"</f>
        <v>22:18:12.942</v>
      </c>
      <c r="CJ2080">
        <v>0</v>
      </c>
      <c r="CK2080">
        <v>2</v>
      </c>
      <c r="CL2080">
        <v>0</v>
      </c>
      <c r="CM2080">
        <v>2</v>
      </c>
      <c r="CN2080">
        <v>0</v>
      </c>
      <c r="CO2080">
        <v>7</v>
      </c>
      <c r="CP2080" t="s">
        <v>119</v>
      </c>
      <c r="CQ2080">
        <v>364</v>
      </c>
      <c r="CR2080">
        <v>0</v>
      </c>
      <c r="CW2080">
        <v>1444925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>"03/24/2022 22:18:13.629"</f>
        <v>03/24/2022 22:18:13.629</v>
      </c>
      <c r="C2081" t="str">
        <f t="shared" si="620"/>
        <v>FFDFD3C0</v>
      </c>
      <c r="D2081" t="s">
        <v>126</v>
      </c>
      <c r="E2081">
        <v>3</v>
      </c>
      <c r="H2081">
        <v>160</v>
      </c>
      <c r="I2081" t="s">
        <v>121</v>
      </c>
      <c r="J2081" t="s">
        <v>127</v>
      </c>
      <c r="K2081">
        <v>0</v>
      </c>
      <c r="L2081">
        <v>3</v>
      </c>
      <c r="M2081">
        <v>0</v>
      </c>
      <c r="N2081">
        <v>2</v>
      </c>
      <c r="O2081">
        <v>0</v>
      </c>
      <c r="P2081">
        <v>1</v>
      </c>
      <c r="Q2081">
        <v>0</v>
      </c>
      <c r="S2081" t="str">
        <f t="shared" ref="S2081:T2084" si="624">"22:18:13.000"</f>
        <v>22:18:13.000</v>
      </c>
      <c r="T2081" t="str">
        <f t="shared" si="624"/>
        <v>22:18:13.000</v>
      </c>
      <c r="U2081" t="str">
        <f t="shared" si="614"/>
        <v>A9D71F</v>
      </c>
      <c r="V2081">
        <v>0</v>
      </c>
      <c r="W2081">
        <v>0</v>
      </c>
      <c r="X2081">
        <v>2</v>
      </c>
      <c r="Z2081">
        <v>1</v>
      </c>
      <c r="AA2081">
        <v>8</v>
      </c>
      <c r="AB2081">
        <v>3</v>
      </c>
      <c r="AC2081">
        <v>0</v>
      </c>
      <c r="AD2081">
        <v>9</v>
      </c>
      <c r="AE2081">
        <v>0</v>
      </c>
      <c r="AF2081">
        <v>3</v>
      </c>
      <c r="AG2081">
        <v>1</v>
      </c>
      <c r="AH2081">
        <v>0</v>
      </c>
      <c r="AI2081" t="s">
        <v>1092</v>
      </c>
      <c r="AJ2081">
        <v>33.024988</v>
      </c>
      <c r="AK2081" t="s">
        <v>1093</v>
      </c>
      <c r="AL2081">
        <v>-97.655045999999999</v>
      </c>
      <c r="AM2081">
        <v>25</v>
      </c>
      <c r="AN2081">
        <v>3400</v>
      </c>
      <c r="AO2081" t="s">
        <v>118</v>
      </c>
      <c r="AP2081">
        <v>39</v>
      </c>
      <c r="AQ2081">
        <v>-74</v>
      </c>
      <c r="AR2081">
        <v>0</v>
      </c>
      <c r="AZ2081">
        <v>1200</v>
      </c>
      <c r="BA2081">
        <v>1</v>
      </c>
      <c r="BB2081" t="str">
        <f t="shared" si="621"/>
        <v xml:space="preserve">N733KP  </v>
      </c>
      <c r="BC2081">
        <v>1</v>
      </c>
      <c r="BE2081">
        <v>0</v>
      </c>
      <c r="BF2081">
        <v>0</v>
      </c>
      <c r="BG2081">
        <v>0</v>
      </c>
      <c r="BH2081">
        <v>3350</v>
      </c>
      <c r="BI2081">
        <v>1</v>
      </c>
      <c r="BJ2081">
        <v>1</v>
      </c>
      <c r="BK2081">
        <v>0</v>
      </c>
      <c r="BL2081">
        <v>0</v>
      </c>
      <c r="BO2081">
        <v>0</v>
      </c>
      <c r="BP2081">
        <v>0</v>
      </c>
      <c r="BW2081" t="str">
        <f>"22:18:13.467"</f>
        <v>22:18:13.467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7</v>
      </c>
      <c r="CP2081" t="s">
        <v>119</v>
      </c>
      <c r="CQ2081">
        <v>364</v>
      </c>
      <c r="CR2081">
        <v>0</v>
      </c>
      <c r="CW2081">
        <v>1445016</v>
      </c>
      <c r="CY2081">
        <v>1</v>
      </c>
      <c r="CZ2081">
        <v>0</v>
      </c>
      <c r="DA2081">
        <v>0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>"03/24/2022 22:18:13.629"</f>
        <v>03/24/2022 22:18:13.629</v>
      </c>
      <c r="C2082" t="str">
        <f t="shared" si="620"/>
        <v>FFDFD3C0</v>
      </c>
      <c r="D2082" t="s">
        <v>113</v>
      </c>
      <c r="E2082">
        <v>24</v>
      </c>
      <c r="F2082">
        <v>2024</v>
      </c>
      <c r="G2082" t="s">
        <v>114</v>
      </c>
      <c r="J2082" t="s">
        <v>115</v>
      </c>
      <c r="K2082">
        <v>0</v>
      </c>
      <c r="L2082">
        <v>3</v>
      </c>
      <c r="M2082">
        <v>0</v>
      </c>
      <c r="N2082">
        <v>2</v>
      </c>
      <c r="O2082">
        <v>0</v>
      </c>
      <c r="P2082">
        <v>1</v>
      </c>
      <c r="Q2082">
        <v>0</v>
      </c>
      <c r="S2082" t="str">
        <f t="shared" si="624"/>
        <v>22:18:13.000</v>
      </c>
      <c r="T2082" t="str">
        <f t="shared" si="624"/>
        <v>22:18:13.000</v>
      </c>
      <c r="U2082" t="str">
        <f t="shared" si="614"/>
        <v>A9D71F</v>
      </c>
      <c r="V2082">
        <v>0</v>
      </c>
      <c r="W2082">
        <v>0</v>
      </c>
      <c r="X2082">
        <v>2</v>
      </c>
      <c r="Z2082">
        <v>1</v>
      </c>
      <c r="AA2082">
        <v>8</v>
      </c>
      <c r="AB2082">
        <v>3</v>
      </c>
      <c r="AC2082">
        <v>0</v>
      </c>
      <c r="AD2082">
        <v>9</v>
      </c>
      <c r="AE2082">
        <v>0</v>
      </c>
      <c r="AF2082">
        <v>3</v>
      </c>
      <c r="AG2082">
        <v>1</v>
      </c>
      <c r="AH2082">
        <v>0</v>
      </c>
      <c r="AI2082" t="s">
        <v>1092</v>
      </c>
      <c r="AJ2082">
        <v>33.024988</v>
      </c>
      <c r="AK2082" t="s">
        <v>1093</v>
      </c>
      <c r="AL2082">
        <v>-97.655045999999999</v>
      </c>
      <c r="AM2082">
        <v>25</v>
      </c>
      <c r="AN2082">
        <v>3400</v>
      </c>
      <c r="AO2082" t="s">
        <v>118</v>
      </c>
      <c r="AP2082">
        <v>39</v>
      </c>
      <c r="AQ2082">
        <v>-74</v>
      </c>
      <c r="AR2082">
        <v>0</v>
      </c>
      <c r="AZ2082">
        <v>1200</v>
      </c>
      <c r="BA2082">
        <v>1</v>
      </c>
      <c r="BB2082" t="str">
        <f t="shared" si="621"/>
        <v xml:space="preserve">N733KP  </v>
      </c>
      <c r="BC2082">
        <v>1</v>
      </c>
      <c r="BE2082">
        <v>0</v>
      </c>
      <c r="BF2082">
        <v>0</v>
      </c>
      <c r="BG2082">
        <v>0</v>
      </c>
      <c r="BH2082">
        <v>3350</v>
      </c>
      <c r="BI2082">
        <v>1</v>
      </c>
      <c r="BJ2082">
        <v>1</v>
      </c>
      <c r="BK2082">
        <v>0</v>
      </c>
      <c r="BL2082">
        <v>0</v>
      </c>
      <c r="BO2082">
        <v>0</v>
      </c>
      <c r="BP2082">
        <v>0</v>
      </c>
      <c r="BW2082" t="str">
        <f>"22:18:13.467"</f>
        <v>22:18:13.467</v>
      </c>
      <c r="CJ2082">
        <v>0</v>
      </c>
      <c r="CK2082">
        <v>2</v>
      </c>
      <c r="CL2082">
        <v>0</v>
      </c>
      <c r="CM2082">
        <v>2</v>
      </c>
      <c r="CN2082">
        <v>0</v>
      </c>
      <c r="CO2082">
        <v>7</v>
      </c>
      <c r="CP2082" t="s">
        <v>119</v>
      </c>
      <c r="CQ2082">
        <v>364</v>
      </c>
      <c r="CR2082">
        <v>0</v>
      </c>
      <c r="CW2082">
        <v>1445016</v>
      </c>
      <c r="CY2082">
        <v>1</v>
      </c>
      <c r="CZ2082">
        <v>0</v>
      </c>
      <c r="DA2082">
        <v>1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>"03/24/2022 22:18:13.629"</f>
        <v>03/24/2022 22:18:13.629</v>
      </c>
      <c r="C2083" t="str">
        <f t="shared" si="620"/>
        <v>FFDFD3C0</v>
      </c>
      <c r="D2083" t="s">
        <v>123</v>
      </c>
      <c r="E2083">
        <v>8</v>
      </c>
      <c r="H2083">
        <v>31</v>
      </c>
      <c r="I2083" t="s">
        <v>124</v>
      </c>
      <c r="J2083" t="s">
        <v>125</v>
      </c>
      <c r="K2083">
        <v>0</v>
      </c>
      <c r="L2083">
        <v>3</v>
      </c>
      <c r="M2083">
        <v>0</v>
      </c>
      <c r="N2083">
        <v>2</v>
      </c>
      <c r="O2083">
        <v>0</v>
      </c>
      <c r="P2083">
        <v>1</v>
      </c>
      <c r="Q2083">
        <v>0</v>
      </c>
      <c r="S2083" t="str">
        <f t="shared" si="624"/>
        <v>22:18:13.000</v>
      </c>
      <c r="T2083" t="str">
        <f t="shared" si="624"/>
        <v>22:18:13.000</v>
      </c>
      <c r="U2083" t="str">
        <f t="shared" si="614"/>
        <v>A9D71F</v>
      </c>
      <c r="V2083">
        <v>0</v>
      </c>
      <c r="W2083">
        <v>0</v>
      </c>
      <c r="X2083">
        <v>2</v>
      </c>
      <c r="Z2083">
        <v>1</v>
      </c>
      <c r="AA2083">
        <v>8</v>
      </c>
      <c r="AB2083">
        <v>3</v>
      </c>
      <c r="AC2083">
        <v>0</v>
      </c>
      <c r="AD2083">
        <v>9</v>
      </c>
      <c r="AE2083">
        <v>0</v>
      </c>
      <c r="AF2083">
        <v>3</v>
      </c>
      <c r="AG2083">
        <v>1</v>
      </c>
      <c r="AH2083">
        <v>0</v>
      </c>
      <c r="AI2083" t="s">
        <v>1092</v>
      </c>
      <c r="AJ2083">
        <v>33.024988</v>
      </c>
      <c r="AK2083" t="s">
        <v>1093</v>
      </c>
      <c r="AL2083">
        <v>-97.655045999999999</v>
      </c>
      <c r="AM2083">
        <v>25</v>
      </c>
      <c r="AN2083">
        <v>3400</v>
      </c>
      <c r="AO2083" t="s">
        <v>118</v>
      </c>
      <c r="AP2083">
        <v>39</v>
      </c>
      <c r="AQ2083">
        <v>-74</v>
      </c>
      <c r="AR2083">
        <v>0</v>
      </c>
      <c r="AZ2083">
        <v>1200</v>
      </c>
      <c r="BA2083">
        <v>1</v>
      </c>
      <c r="BB2083" t="str">
        <f t="shared" si="621"/>
        <v xml:space="preserve">N733KP  </v>
      </c>
      <c r="BC2083">
        <v>1</v>
      </c>
      <c r="BE2083">
        <v>0</v>
      </c>
      <c r="BF2083">
        <v>0</v>
      </c>
      <c r="BG2083">
        <v>0</v>
      </c>
      <c r="BH2083">
        <v>3350</v>
      </c>
      <c r="BI2083">
        <v>1</v>
      </c>
      <c r="BJ2083">
        <v>1</v>
      </c>
      <c r="BK2083">
        <v>0</v>
      </c>
      <c r="BL2083">
        <v>0</v>
      </c>
      <c r="BO2083">
        <v>0</v>
      </c>
      <c r="BP2083">
        <v>0</v>
      </c>
      <c r="BW2083" t="str">
        <f>"22:18:13.467"</f>
        <v>22:18:13.467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7</v>
      </c>
      <c r="CP2083" t="s">
        <v>119</v>
      </c>
      <c r="CQ2083">
        <v>364</v>
      </c>
      <c r="CR2083">
        <v>0</v>
      </c>
      <c r="CW2083">
        <v>1445016</v>
      </c>
      <c r="CY2083">
        <v>1</v>
      </c>
      <c r="CZ2083">
        <v>0</v>
      </c>
      <c r="DA2083">
        <v>1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>"03/24/2022 22:18:13.692"</f>
        <v>03/24/2022 22:18:13.692</v>
      </c>
      <c r="C2084" t="str">
        <f t="shared" si="620"/>
        <v>FFDFD3C0</v>
      </c>
      <c r="D2084" t="s">
        <v>120</v>
      </c>
      <c r="E2084">
        <v>14</v>
      </c>
      <c r="F2084">
        <v>1014</v>
      </c>
      <c r="G2084" t="s">
        <v>121</v>
      </c>
      <c r="J2084" t="s">
        <v>122</v>
      </c>
      <c r="K2084">
        <v>0</v>
      </c>
      <c r="L2084">
        <v>3</v>
      </c>
      <c r="M2084">
        <v>0</v>
      </c>
      <c r="N2084">
        <v>2</v>
      </c>
      <c r="O2084">
        <v>0</v>
      </c>
      <c r="P2084">
        <v>1</v>
      </c>
      <c r="Q2084">
        <v>0</v>
      </c>
      <c r="S2084" t="str">
        <f t="shared" si="624"/>
        <v>22:18:13.000</v>
      </c>
      <c r="T2084" t="str">
        <f t="shared" si="624"/>
        <v>22:18:13.000</v>
      </c>
      <c r="U2084" t="str">
        <f t="shared" si="614"/>
        <v>A9D71F</v>
      </c>
      <c r="V2084">
        <v>0</v>
      </c>
      <c r="W2084">
        <v>0</v>
      </c>
      <c r="X2084">
        <v>2</v>
      </c>
      <c r="Z2084">
        <v>1</v>
      </c>
      <c r="AA2084">
        <v>8</v>
      </c>
      <c r="AB2084">
        <v>3</v>
      </c>
      <c r="AC2084">
        <v>0</v>
      </c>
      <c r="AD2084">
        <v>9</v>
      </c>
      <c r="AE2084">
        <v>0</v>
      </c>
      <c r="AF2084">
        <v>3</v>
      </c>
      <c r="AG2084">
        <v>1</v>
      </c>
      <c r="AH2084">
        <v>0</v>
      </c>
      <c r="AI2084" t="s">
        <v>1092</v>
      </c>
      <c r="AJ2084">
        <v>33.024988</v>
      </c>
      <c r="AK2084" t="s">
        <v>1093</v>
      </c>
      <c r="AL2084">
        <v>-97.655045999999999</v>
      </c>
      <c r="AM2084">
        <v>25</v>
      </c>
      <c r="AN2084">
        <v>3400</v>
      </c>
      <c r="AO2084" t="s">
        <v>118</v>
      </c>
      <c r="AP2084">
        <v>39</v>
      </c>
      <c r="AQ2084">
        <v>-74</v>
      </c>
      <c r="AR2084">
        <v>0</v>
      </c>
      <c r="AZ2084">
        <v>1200</v>
      </c>
      <c r="BA2084">
        <v>1</v>
      </c>
      <c r="BB2084" t="str">
        <f t="shared" si="621"/>
        <v xml:space="preserve">N733KP  </v>
      </c>
      <c r="BC2084">
        <v>1</v>
      </c>
      <c r="BE2084">
        <v>0</v>
      </c>
      <c r="BF2084">
        <v>0</v>
      </c>
      <c r="BG2084">
        <v>0</v>
      </c>
      <c r="BH2084">
        <v>3350</v>
      </c>
      <c r="BI2084">
        <v>1</v>
      </c>
      <c r="BJ2084">
        <v>1</v>
      </c>
      <c r="BK2084">
        <v>0</v>
      </c>
      <c r="BL2084">
        <v>0</v>
      </c>
      <c r="BO2084">
        <v>0</v>
      </c>
      <c r="BP2084">
        <v>0</v>
      </c>
      <c r="BW2084" t="str">
        <f>"22:18:13.467"</f>
        <v>22:18:13.467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119</v>
      </c>
      <c r="CQ2084">
        <v>364</v>
      </c>
      <c r="CR2084">
        <v>0</v>
      </c>
      <c r="CW2084">
        <v>1445016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>"03/24/2022 22:18:14.977"</f>
        <v>03/24/2022 22:18:14.977</v>
      </c>
      <c r="C2085" t="str">
        <f t="shared" si="620"/>
        <v>FFDFD3C0</v>
      </c>
      <c r="D2085" t="s">
        <v>120</v>
      </c>
      <c r="E2085">
        <v>14</v>
      </c>
      <c r="F2085">
        <v>1014</v>
      </c>
      <c r="G2085" t="s">
        <v>121</v>
      </c>
      <c r="J2085" t="s">
        <v>122</v>
      </c>
      <c r="K2085">
        <v>0</v>
      </c>
      <c r="L2085">
        <v>3</v>
      </c>
      <c r="M2085">
        <v>0</v>
      </c>
      <c r="N2085">
        <v>2</v>
      </c>
      <c r="O2085">
        <v>0</v>
      </c>
      <c r="P2085">
        <v>1</v>
      </c>
      <c r="Q2085">
        <v>0</v>
      </c>
      <c r="S2085" t="str">
        <f t="shared" ref="S2085:T2088" si="625">"22:18:14.000"</f>
        <v>22:18:14.000</v>
      </c>
      <c r="T2085" t="str">
        <f t="shared" si="625"/>
        <v>22:18:14.000</v>
      </c>
      <c r="U2085" t="str">
        <f t="shared" si="614"/>
        <v>A9D71F</v>
      </c>
      <c r="V2085">
        <v>0</v>
      </c>
      <c r="W2085">
        <v>0</v>
      </c>
      <c r="X2085">
        <v>2</v>
      </c>
      <c r="Z2085">
        <v>1</v>
      </c>
      <c r="AA2085">
        <v>8</v>
      </c>
      <c r="AB2085">
        <v>3</v>
      </c>
      <c r="AC2085">
        <v>0</v>
      </c>
      <c r="AD2085">
        <v>9</v>
      </c>
      <c r="AE2085">
        <v>0</v>
      </c>
      <c r="AF2085">
        <v>3</v>
      </c>
      <c r="AG2085">
        <v>1</v>
      </c>
      <c r="AH2085">
        <v>0</v>
      </c>
      <c r="AI2085" t="s">
        <v>1094</v>
      </c>
      <c r="AJ2085">
        <v>33.024645</v>
      </c>
      <c r="AK2085" t="s">
        <v>1095</v>
      </c>
      <c r="AL2085">
        <v>-97.654831000000001</v>
      </c>
      <c r="AM2085">
        <v>25</v>
      </c>
      <c r="AN2085">
        <v>3400</v>
      </c>
      <c r="AO2085" t="s">
        <v>118</v>
      </c>
      <c r="AP2085">
        <v>37</v>
      </c>
      <c r="AQ2085">
        <v>-74</v>
      </c>
      <c r="AR2085">
        <v>-64</v>
      </c>
      <c r="AZ2085">
        <v>1200</v>
      </c>
      <c r="BA2085">
        <v>1</v>
      </c>
      <c r="BB2085" t="str">
        <f t="shared" si="621"/>
        <v xml:space="preserve">N733KP  </v>
      </c>
      <c r="BC2085">
        <v>1</v>
      </c>
      <c r="BE2085">
        <v>0</v>
      </c>
      <c r="BF2085">
        <v>0</v>
      </c>
      <c r="BG2085">
        <v>0</v>
      </c>
      <c r="BH2085">
        <v>3375</v>
      </c>
      <c r="BI2085">
        <v>1</v>
      </c>
      <c r="BJ2085">
        <v>1</v>
      </c>
      <c r="BK2085">
        <v>0</v>
      </c>
      <c r="BL2085">
        <v>0</v>
      </c>
      <c r="BO2085">
        <v>0</v>
      </c>
      <c r="BP2085">
        <v>0</v>
      </c>
      <c r="BW2085" t="str">
        <f>"22:18:14.832"</f>
        <v>22:18:14.832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7</v>
      </c>
      <c r="CP2085" t="s">
        <v>119</v>
      </c>
      <c r="CQ2085">
        <v>364</v>
      </c>
      <c r="CR2085">
        <v>0</v>
      </c>
      <c r="CW2085">
        <v>1445258</v>
      </c>
      <c r="CY2085">
        <v>1</v>
      </c>
      <c r="CZ2085">
        <v>0</v>
      </c>
      <c r="DA2085">
        <v>0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>"03/24/2022 22:18:14.977"</f>
        <v>03/24/2022 22:18:14.977</v>
      </c>
      <c r="C2086" t="str">
        <f t="shared" si="620"/>
        <v>FFDFD3C0</v>
      </c>
      <c r="D2086" t="s">
        <v>113</v>
      </c>
      <c r="E2086">
        <v>24</v>
      </c>
      <c r="F2086">
        <v>2024</v>
      </c>
      <c r="G2086" t="s">
        <v>114</v>
      </c>
      <c r="J2086" t="s">
        <v>115</v>
      </c>
      <c r="K2086">
        <v>0</v>
      </c>
      <c r="L2086">
        <v>3</v>
      </c>
      <c r="M2086">
        <v>0</v>
      </c>
      <c r="N2086">
        <v>2</v>
      </c>
      <c r="O2086">
        <v>0</v>
      </c>
      <c r="P2086">
        <v>1</v>
      </c>
      <c r="Q2086">
        <v>0</v>
      </c>
      <c r="S2086" t="str">
        <f t="shared" si="625"/>
        <v>22:18:14.000</v>
      </c>
      <c r="T2086" t="str">
        <f t="shared" si="625"/>
        <v>22:18:14.000</v>
      </c>
      <c r="U2086" t="str">
        <f t="shared" si="614"/>
        <v>A9D71F</v>
      </c>
      <c r="V2086">
        <v>0</v>
      </c>
      <c r="W2086">
        <v>0</v>
      </c>
      <c r="X2086">
        <v>2</v>
      </c>
      <c r="Z2086">
        <v>1</v>
      </c>
      <c r="AA2086">
        <v>8</v>
      </c>
      <c r="AB2086">
        <v>3</v>
      </c>
      <c r="AC2086">
        <v>0</v>
      </c>
      <c r="AD2086">
        <v>9</v>
      </c>
      <c r="AE2086">
        <v>0</v>
      </c>
      <c r="AF2086">
        <v>3</v>
      </c>
      <c r="AG2086">
        <v>1</v>
      </c>
      <c r="AH2086">
        <v>0</v>
      </c>
      <c r="AI2086" t="s">
        <v>1094</v>
      </c>
      <c r="AJ2086">
        <v>33.024645</v>
      </c>
      <c r="AK2086" t="s">
        <v>1095</v>
      </c>
      <c r="AL2086">
        <v>-97.654831000000001</v>
      </c>
      <c r="AM2086">
        <v>25</v>
      </c>
      <c r="AN2086">
        <v>3400</v>
      </c>
      <c r="AO2086" t="s">
        <v>118</v>
      </c>
      <c r="AP2086">
        <v>37</v>
      </c>
      <c r="AQ2086">
        <v>-74</v>
      </c>
      <c r="AR2086">
        <v>-64</v>
      </c>
      <c r="AZ2086">
        <v>1200</v>
      </c>
      <c r="BA2086">
        <v>1</v>
      </c>
      <c r="BB2086" t="str">
        <f t="shared" si="621"/>
        <v xml:space="preserve">N733KP  </v>
      </c>
      <c r="BC2086">
        <v>1</v>
      </c>
      <c r="BE2086">
        <v>0</v>
      </c>
      <c r="BF2086">
        <v>0</v>
      </c>
      <c r="BG2086">
        <v>0</v>
      </c>
      <c r="BH2086">
        <v>3375</v>
      </c>
      <c r="BI2086">
        <v>1</v>
      </c>
      <c r="BJ2086">
        <v>1</v>
      </c>
      <c r="BK2086">
        <v>0</v>
      </c>
      <c r="BL2086">
        <v>0</v>
      </c>
      <c r="BO2086">
        <v>0</v>
      </c>
      <c r="BP2086">
        <v>0</v>
      </c>
      <c r="BW2086" t="str">
        <f>"22:18:14.832"</f>
        <v>22:18:14.832</v>
      </c>
      <c r="CJ2086">
        <v>0</v>
      </c>
      <c r="CK2086">
        <v>2</v>
      </c>
      <c r="CL2086">
        <v>0</v>
      </c>
      <c r="CM2086">
        <v>2</v>
      </c>
      <c r="CN2086">
        <v>0</v>
      </c>
      <c r="CO2086">
        <v>7</v>
      </c>
      <c r="CP2086" t="s">
        <v>119</v>
      </c>
      <c r="CQ2086">
        <v>364</v>
      </c>
      <c r="CR2086">
        <v>0</v>
      </c>
      <c r="CW2086">
        <v>1445258</v>
      </c>
      <c r="CY2086">
        <v>1</v>
      </c>
      <c r="CZ2086">
        <v>0</v>
      </c>
      <c r="DA2086">
        <v>1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>"03/24/2022 22:18:14.977"</f>
        <v>03/24/2022 22:18:14.977</v>
      </c>
      <c r="C2087" t="str">
        <f t="shared" si="620"/>
        <v>FFDFD3C0</v>
      </c>
      <c r="D2087" t="s">
        <v>123</v>
      </c>
      <c r="E2087">
        <v>8</v>
      </c>
      <c r="H2087">
        <v>31</v>
      </c>
      <c r="I2087" t="s">
        <v>124</v>
      </c>
      <c r="J2087" t="s">
        <v>125</v>
      </c>
      <c r="K2087">
        <v>0</v>
      </c>
      <c r="L2087">
        <v>3</v>
      </c>
      <c r="M2087">
        <v>0</v>
      </c>
      <c r="N2087">
        <v>2</v>
      </c>
      <c r="O2087">
        <v>0</v>
      </c>
      <c r="P2087">
        <v>1</v>
      </c>
      <c r="Q2087">
        <v>0</v>
      </c>
      <c r="S2087" t="str">
        <f t="shared" si="625"/>
        <v>22:18:14.000</v>
      </c>
      <c r="T2087" t="str">
        <f t="shared" si="625"/>
        <v>22:18:14.000</v>
      </c>
      <c r="U2087" t="str">
        <f t="shared" si="614"/>
        <v>A9D71F</v>
      </c>
      <c r="V2087">
        <v>0</v>
      </c>
      <c r="W2087">
        <v>0</v>
      </c>
      <c r="X2087">
        <v>2</v>
      </c>
      <c r="Z2087">
        <v>1</v>
      </c>
      <c r="AA2087">
        <v>8</v>
      </c>
      <c r="AB2087">
        <v>3</v>
      </c>
      <c r="AC2087">
        <v>0</v>
      </c>
      <c r="AD2087">
        <v>9</v>
      </c>
      <c r="AE2087">
        <v>0</v>
      </c>
      <c r="AF2087">
        <v>3</v>
      </c>
      <c r="AG2087">
        <v>1</v>
      </c>
      <c r="AH2087">
        <v>0</v>
      </c>
      <c r="AI2087" t="s">
        <v>1094</v>
      </c>
      <c r="AJ2087">
        <v>33.024645</v>
      </c>
      <c r="AK2087" t="s">
        <v>1095</v>
      </c>
      <c r="AL2087">
        <v>-97.654831000000001</v>
      </c>
      <c r="AM2087">
        <v>25</v>
      </c>
      <c r="AN2087">
        <v>3400</v>
      </c>
      <c r="AO2087" t="s">
        <v>118</v>
      </c>
      <c r="AP2087">
        <v>37</v>
      </c>
      <c r="AQ2087">
        <v>-74</v>
      </c>
      <c r="AR2087">
        <v>-64</v>
      </c>
      <c r="AZ2087">
        <v>1200</v>
      </c>
      <c r="BA2087">
        <v>1</v>
      </c>
      <c r="BB2087" t="str">
        <f t="shared" si="621"/>
        <v xml:space="preserve">N733KP  </v>
      </c>
      <c r="BC2087">
        <v>1</v>
      </c>
      <c r="BE2087">
        <v>0</v>
      </c>
      <c r="BF2087">
        <v>0</v>
      </c>
      <c r="BG2087">
        <v>0</v>
      </c>
      <c r="BH2087">
        <v>3375</v>
      </c>
      <c r="BI2087">
        <v>1</v>
      </c>
      <c r="BJ2087">
        <v>1</v>
      </c>
      <c r="BK2087">
        <v>0</v>
      </c>
      <c r="BL2087">
        <v>0</v>
      </c>
      <c r="BO2087">
        <v>0</v>
      </c>
      <c r="BP2087">
        <v>0</v>
      </c>
      <c r="BW2087" t="str">
        <f>"22:18:14.832"</f>
        <v>22:18:14.832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7</v>
      </c>
      <c r="CP2087" t="s">
        <v>119</v>
      </c>
      <c r="CQ2087">
        <v>364</v>
      </c>
      <c r="CR2087">
        <v>0</v>
      </c>
      <c r="CW2087">
        <v>1445258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>"03/24/2022 22:18:15.023"</f>
        <v>03/24/2022 22:18:15.023</v>
      </c>
      <c r="C2088" t="str">
        <f t="shared" si="620"/>
        <v>FFDFD3C0</v>
      </c>
      <c r="D2088" t="s">
        <v>126</v>
      </c>
      <c r="E2088">
        <v>3</v>
      </c>
      <c r="H2088">
        <v>160</v>
      </c>
      <c r="I2088" t="s">
        <v>121</v>
      </c>
      <c r="J2088" t="s">
        <v>127</v>
      </c>
      <c r="K2088">
        <v>0</v>
      </c>
      <c r="L2088">
        <v>3</v>
      </c>
      <c r="M2088">
        <v>0</v>
      </c>
      <c r="N2088">
        <v>2</v>
      </c>
      <c r="O2088">
        <v>0</v>
      </c>
      <c r="P2088">
        <v>1</v>
      </c>
      <c r="Q2088">
        <v>0</v>
      </c>
      <c r="S2088" t="str">
        <f t="shared" si="625"/>
        <v>22:18:14.000</v>
      </c>
      <c r="T2088" t="str">
        <f t="shared" si="625"/>
        <v>22:18:14.000</v>
      </c>
      <c r="U2088" t="str">
        <f t="shared" si="614"/>
        <v>A9D71F</v>
      </c>
      <c r="V2088">
        <v>0</v>
      </c>
      <c r="W2088">
        <v>0</v>
      </c>
      <c r="X2088">
        <v>2</v>
      </c>
      <c r="Z2088">
        <v>1</v>
      </c>
      <c r="AA2088">
        <v>8</v>
      </c>
      <c r="AB2088">
        <v>3</v>
      </c>
      <c r="AC2088">
        <v>0</v>
      </c>
      <c r="AD2088">
        <v>9</v>
      </c>
      <c r="AE2088">
        <v>0</v>
      </c>
      <c r="AF2088">
        <v>3</v>
      </c>
      <c r="AG2088">
        <v>1</v>
      </c>
      <c r="AH2088">
        <v>0</v>
      </c>
      <c r="AI2088" t="s">
        <v>1094</v>
      </c>
      <c r="AJ2088">
        <v>33.024645</v>
      </c>
      <c r="AK2088" t="s">
        <v>1095</v>
      </c>
      <c r="AL2088">
        <v>-97.654831000000001</v>
      </c>
      <c r="AM2088">
        <v>25</v>
      </c>
      <c r="AN2088">
        <v>3400</v>
      </c>
      <c r="AO2088" t="s">
        <v>118</v>
      </c>
      <c r="AP2088">
        <v>37</v>
      </c>
      <c r="AQ2088">
        <v>-74</v>
      </c>
      <c r="AR2088">
        <v>-64</v>
      </c>
      <c r="AZ2088">
        <v>1200</v>
      </c>
      <c r="BA2088">
        <v>1</v>
      </c>
      <c r="BB2088" t="str">
        <f t="shared" si="621"/>
        <v xml:space="preserve">N733KP  </v>
      </c>
      <c r="BC2088">
        <v>1</v>
      </c>
      <c r="BE2088">
        <v>0</v>
      </c>
      <c r="BF2088">
        <v>0</v>
      </c>
      <c r="BG2088">
        <v>0</v>
      </c>
      <c r="BH2088">
        <v>3375</v>
      </c>
      <c r="BI2088">
        <v>1</v>
      </c>
      <c r="BJ2088">
        <v>1</v>
      </c>
      <c r="BK2088">
        <v>0</v>
      </c>
      <c r="BL2088">
        <v>0</v>
      </c>
      <c r="BO2088">
        <v>0</v>
      </c>
      <c r="BP2088">
        <v>0</v>
      </c>
      <c r="BW2088" t="str">
        <f>"22:18:14.832"</f>
        <v>22:18:14.832</v>
      </c>
      <c r="CJ2088">
        <v>0</v>
      </c>
      <c r="CK2088">
        <v>2</v>
      </c>
      <c r="CL2088">
        <v>0</v>
      </c>
      <c r="CM2088">
        <v>2</v>
      </c>
      <c r="CN2088">
        <v>0</v>
      </c>
      <c r="CO2088">
        <v>7</v>
      </c>
      <c r="CP2088" t="s">
        <v>119</v>
      </c>
      <c r="CQ2088">
        <v>364</v>
      </c>
      <c r="CR2088">
        <v>0</v>
      </c>
      <c r="CW2088">
        <v>1445258</v>
      </c>
      <c r="CY2088">
        <v>1</v>
      </c>
      <c r="CZ2088">
        <v>0</v>
      </c>
      <c r="DA2088">
        <v>1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>"03/24/2022 22:18:15.742"</f>
        <v>03/24/2022 22:18:15.742</v>
      </c>
      <c r="C2089" t="str">
        <f t="shared" si="620"/>
        <v>FFDFD3C0</v>
      </c>
      <c r="D2089" t="s">
        <v>126</v>
      </c>
      <c r="E2089">
        <v>3</v>
      </c>
      <c r="H2089">
        <v>160</v>
      </c>
      <c r="I2089" t="s">
        <v>121</v>
      </c>
      <c r="J2089" t="s">
        <v>127</v>
      </c>
      <c r="K2089">
        <v>0</v>
      </c>
      <c r="L2089">
        <v>3</v>
      </c>
      <c r="M2089">
        <v>0</v>
      </c>
      <c r="N2089">
        <v>2</v>
      </c>
      <c r="O2089">
        <v>0</v>
      </c>
      <c r="P2089">
        <v>1</v>
      </c>
      <c r="Q2089">
        <v>0</v>
      </c>
      <c r="S2089" t="str">
        <f t="shared" ref="S2089:T2092" si="626">"22:18:15.000"</f>
        <v>22:18:15.000</v>
      </c>
      <c r="T2089" t="str">
        <f t="shared" si="626"/>
        <v>22:18:15.000</v>
      </c>
      <c r="U2089" t="str">
        <f t="shared" si="614"/>
        <v>A9D71F</v>
      </c>
      <c r="V2089">
        <v>0</v>
      </c>
      <c r="W2089">
        <v>0</v>
      </c>
      <c r="X2089">
        <v>2</v>
      </c>
      <c r="Z2089">
        <v>1</v>
      </c>
      <c r="AA2089">
        <v>8</v>
      </c>
      <c r="AB2089">
        <v>3</v>
      </c>
      <c r="AC2089">
        <v>0</v>
      </c>
      <c r="AD2089">
        <v>9</v>
      </c>
      <c r="AE2089">
        <v>0</v>
      </c>
      <c r="AF2089">
        <v>3</v>
      </c>
      <c r="AG2089">
        <v>1</v>
      </c>
      <c r="AH2089">
        <v>0</v>
      </c>
      <c r="AI2089" t="s">
        <v>1096</v>
      </c>
      <c r="AJ2089">
        <v>33.024279999999997</v>
      </c>
      <c r="AK2089" t="s">
        <v>1097</v>
      </c>
      <c r="AL2089">
        <v>-97.654617000000002</v>
      </c>
      <c r="AM2089">
        <v>25</v>
      </c>
      <c r="AN2089">
        <v>3300</v>
      </c>
      <c r="AO2089" t="s">
        <v>118</v>
      </c>
      <c r="AP2089">
        <v>41</v>
      </c>
      <c r="AQ2089">
        <v>-78</v>
      </c>
      <c r="AR2089">
        <v>-192</v>
      </c>
      <c r="AZ2089">
        <v>1200</v>
      </c>
      <c r="BA2089">
        <v>1</v>
      </c>
      <c r="BB2089" t="str">
        <f t="shared" si="621"/>
        <v xml:space="preserve">N733KP  </v>
      </c>
      <c r="BC2089">
        <v>1</v>
      </c>
      <c r="BE2089">
        <v>0</v>
      </c>
      <c r="BF2089">
        <v>0</v>
      </c>
      <c r="BG2089">
        <v>0</v>
      </c>
      <c r="BH2089">
        <v>3375</v>
      </c>
      <c r="BI2089">
        <v>1</v>
      </c>
      <c r="BJ2089">
        <v>1</v>
      </c>
      <c r="BK2089">
        <v>0</v>
      </c>
      <c r="BL2089">
        <v>0</v>
      </c>
      <c r="BO2089">
        <v>0</v>
      </c>
      <c r="BP2089">
        <v>0</v>
      </c>
      <c r="BW2089" t="str">
        <f>"22:18:15.561"</f>
        <v>22:18:15.561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7</v>
      </c>
      <c r="CP2089" t="s">
        <v>119</v>
      </c>
      <c r="CQ2089">
        <v>364</v>
      </c>
      <c r="CR2089">
        <v>0</v>
      </c>
      <c r="CW2089">
        <v>1445375</v>
      </c>
      <c r="CY2089">
        <v>1</v>
      </c>
      <c r="CZ2089">
        <v>0</v>
      </c>
      <c r="DA2089">
        <v>0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>"03/24/2022 22:18:15.742"</f>
        <v>03/24/2022 22:18:15.742</v>
      </c>
      <c r="C2090" t="str">
        <f t="shared" si="620"/>
        <v>FFDFD3C0</v>
      </c>
      <c r="D2090" t="s">
        <v>123</v>
      </c>
      <c r="E2090">
        <v>8</v>
      </c>
      <c r="H2090">
        <v>31</v>
      </c>
      <c r="I2090" t="s">
        <v>124</v>
      </c>
      <c r="J2090" t="s">
        <v>125</v>
      </c>
      <c r="K2090">
        <v>0</v>
      </c>
      <c r="L2090">
        <v>3</v>
      </c>
      <c r="M2090">
        <v>0</v>
      </c>
      <c r="N2090">
        <v>2</v>
      </c>
      <c r="O2090">
        <v>0</v>
      </c>
      <c r="P2090">
        <v>1</v>
      </c>
      <c r="Q2090">
        <v>0</v>
      </c>
      <c r="S2090" t="str">
        <f t="shared" si="626"/>
        <v>22:18:15.000</v>
      </c>
      <c r="T2090" t="str">
        <f t="shared" si="626"/>
        <v>22:18:15.000</v>
      </c>
      <c r="U2090" t="str">
        <f t="shared" si="614"/>
        <v>A9D71F</v>
      </c>
      <c r="V2090">
        <v>0</v>
      </c>
      <c r="W2090">
        <v>0</v>
      </c>
      <c r="X2090">
        <v>2</v>
      </c>
      <c r="Z2090">
        <v>1</v>
      </c>
      <c r="AA2090">
        <v>8</v>
      </c>
      <c r="AB2090">
        <v>3</v>
      </c>
      <c r="AC2090">
        <v>0</v>
      </c>
      <c r="AD2090">
        <v>9</v>
      </c>
      <c r="AE2090">
        <v>0</v>
      </c>
      <c r="AF2090">
        <v>3</v>
      </c>
      <c r="AG2090">
        <v>1</v>
      </c>
      <c r="AH2090">
        <v>0</v>
      </c>
      <c r="AI2090" t="s">
        <v>1096</v>
      </c>
      <c r="AJ2090">
        <v>33.024279999999997</v>
      </c>
      <c r="AK2090" t="s">
        <v>1097</v>
      </c>
      <c r="AL2090">
        <v>-97.654617000000002</v>
      </c>
      <c r="AM2090">
        <v>25</v>
      </c>
      <c r="AN2090">
        <v>3300</v>
      </c>
      <c r="AO2090" t="s">
        <v>118</v>
      </c>
      <c r="AP2090">
        <v>41</v>
      </c>
      <c r="AQ2090">
        <v>-78</v>
      </c>
      <c r="AR2090">
        <v>-192</v>
      </c>
      <c r="AZ2090">
        <v>1200</v>
      </c>
      <c r="BA2090">
        <v>1</v>
      </c>
      <c r="BB2090" t="str">
        <f t="shared" si="621"/>
        <v xml:space="preserve">N733KP  </v>
      </c>
      <c r="BC2090">
        <v>1</v>
      </c>
      <c r="BE2090">
        <v>0</v>
      </c>
      <c r="BF2090">
        <v>0</v>
      </c>
      <c r="BG2090">
        <v>0</v>
      </c>
      <c r="BH2090">
        <v>3375</v>
      </c>
      <c r="BI2090">
        <v>1</v>
      </c>
      <c r="BJ2090">
        <v>1</v>
      </c>
      <c r="BK2090">
        <v>0</v>
      </c>
      <c r="BL2090">
        <v>0</v>
      </c>
      <c r="BO2090">
        <v>0</v>
      </c>
      <c r="BP2090">
        <v>0</v>
      </c>
      <c r="BW2090" t="str">
        <f>"22:18:15.561"</f>
        <v>22:18:15.561</v>
      </c>
      <c r="CJ2090">
        <v>0</v>
      </c>
      <c r="CK2090">
        <v>2</v>
      </c>
      <c r="CL2090">
        <v>0</v>
      </c>
      <c r="CM2090">
        <v>2</v>
      </c>
      <c r="CN2090">
        <v>0</v>
      </c>
      <c r="CO2090">
        <v>7</v>
      </c>
      <c r="CP2090" t="s">
        <v>119</v>
      </c>
      <c r="CQ2090">
        <v>364</v>
      </c>
      <c r="CR2090">
        <v>0</v>
      </c>
      <c r="CW2090">
        <v>1445375</v>
      </c>
      <c r="CY2090">
        <v>1</v>
      </c>
      <c r="CZ2090">
        <v>0</v>
      </c>
      <c r="DA2090">
        <v>1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>"03/24/2022 22:18:15.742"</f>
        <v>03/24/2022 22:18:15.742</v>
      </c>
      <c r="C2091" t="str">
        <f t="shared" si="620"/>
        <v>FFDFD3C0</v>
      </c>
      <c r="D2091" t="s">
        <v>113</v>
      </c>
      <c r="E2091">
        <v>24</v>
      </c>
      <c r="F2091">
        <v>2024</v>
      </c>
      <c r="G2091" t="s">
        <v>114</v>
      </c>
      <c r="J2091" t="s">
        <v>115</v>
      </c>
      <c r="K2091">
        <v>0</v>
      </c>
      <c r="L2091">
        <v>3</v>
      </c>
      <c r="M2091">
        <v>0</v>
      </c>
      <c r="N2091">
        <v>2</v>
      </c>
      <c r="O2091">
        <v>0</v>
      </c>
      <c r="P2091">
        <v>1</v>
      </c>
      <c r="Q2091">
        <v>0</v>
      </c>
      <c r="S2091" t="str">
        <f t="shared" si="626"/>
        <v>22:18:15.000</v>
      </c>
      <c r="T2091" t="str">
        <f t="shared" si="626"/>
        <v>22:18:15.000</v>
      </c>
      <c r="U2091" t="str">
        <f t="shared" si="614"/>
        <v>A9D71F</v>
      </c>
      <c r="V2091">
        <v>0</v>
      </c>
      <c r="W2091">
        <v>0</v>
      </c>
      <c r="X2091">
        <v>2</v>
      </c>
      <c r="Z2091">
        <v>1</v>
      </c>
      <c r="AA2091">
        <v>8</v>
      </c>
      <c r="AB2091">
        <v>3</v>
      </c>
      <c r="AC2091">
        <v>0</v>
      </c>
      <c r="AD2091">
        <v>9</v>
      </c>
      <c r="AE2091">
        <v>0</v>
      </c>
      <c r="AF2091">
        <v>3</v>
      </c>
      <c r="AG2091">
        <v>1</v>
      </c>
      <c r="AH2091">
        <v>0</v>
      </c>
      <c r="AI2091" t="s">
        <v>1096</v>
      </c>
      <c r="AJ2091">
        <v>33.024279999999997</v>
      </c>
      <c r="AK2091" t="s">
        <v>1097</v>
      </c>
      <c r="AL2091">
        <v>-97.654617000000002</v>
      </c>
      <c r="AM2091">
        <v>25</v>
      </c>
      <c r="AN2091">
        <v>3300</v>
      </c>
      <c r="AO2091" t="s">
        <v>118</v>
      </c>
      <c r="AP2091">
        <v>41</v>
      </c>
      <c r="AQ2091">
        <v>-78</v>
      </c>
      <c r="AR2091">
        <v>-192</v>
      </c>
      <c r="AZ2091">
        <v>1200</v>
      </c>
      <c r="BA2091">
        <v>1</v>
      </c>
      <c r="BB2091" t="str">
        <f t="shared" si="621"/>
        <v xml:space="preserve">N733KP  </v>
      </c>
      <c r="BC2091">
        <v>1</v>
      </c>
      <c r="BE2091">
        <v>0</v>
      </c>
      <c r="BF2091">
        <v>0</v>
      </c>
      <c r="BG2091">
        <v>0</v>
      </c>
      <c r="BH2091">
        <v>3375</v>
      </c>
      <c r="BI2091">
        <v>1</v>
      </c>
      <c r="BJ2091">
        <v>1</v>
      </c>
      <c r="BK2091">
        <v>0</v>
      </c>
      <c r="BL2091">
        <v>0</v>
      </c>
      <c r="BO2091">
        <v>0</v>
      </c>
      <c r="BP2091">
        <v>0</v>
      </c>
      <c r="BW2091" t="str">
        <f>"22:18:15.561"</f>
        <v>22:18:15.561</v>
      </c>
      <c r="CJ2091">
        <v>0</v>
      </c>
      <c r="CK2091">
        <v>2</v>
      </c>
      <c r="CL2091">
        <v>0</v>
      </c>
      <c r="CM2091">
        <v>2</v>
      </c>
      <c r="CN2091">
        <v>0</v>
      </c>
      <c r="CO2091">
        <v>7</v>
      </c>
      <c r="CP2091" t="s">
        <v>119</v>
      </c>
      <c r="CQ2091">
        <v>364</v>
      </c>
      <c r="CR2091">
        <v>0</v>
      </c>
      <c r="CW2091">
        <v>1445375</v>
      </c>
      <c r="CY2091">
        <v>1</v>
      </c>
      <c r="CZ2091">
        <v>0</v>
      </c>
      <c r="DA2091">
        <v>1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>"03/24/2022 22:18:15.742"</f>
        <v>03/24/2022 22:18:15.742</v>
      </c>
      <c r="C2092" t="str">
        <f t="shared" si="620"/>
        <v>FFDFD3C0</v>
      </c>
      <c r="D2092" t="s">
        <v>120</v>
      </c>
      <c r="E2092">
        <v>14</v>
      </c>
      <c r="F2092">
        <v>1014</v>
      </c>
      <c r="G2092" t="s">
        <v>121</v>
      </c>
      <c r="J2092" t="s">
        <v>122</v>
      </c>
      <c r="K2092">
        <v>0</v>
      </c>
      <c r="L2092">
        <v>3</v>
      </c>
      <c r="M2092">
        <v>0</v>
      </c>
      <c r="N2092">
        <v>2</v>
      </c>
      <c r="O2092">
        <v>0</v>
      </c>
      <c r="P2092">
        <v>1</v>
      </c>
      <c r="Q2092">
        <v>0</v>
      </c>
      <c r="S2092" t="str">
        <f t="shared" si="626"/>
        <v>22:18:15.000</v>
      </c>
      <c r="T2092" t="str">
        <f t="shared" si="626"/>
        <v>22:18:15.000</v>
      </c>
      <c r="U2092" t="str">
        <f t="shared" si="614"/>
        <v>A9D71F</v>
      </c>
      <c r="V2092">
        <v>0</v>
      </c>
      <c r="W2092">
        <v>0</v>
      </c>
      <c r="X2092">
        <v>2</v>
      </c>
      <c r="Z2092">
        <v>1</v>
      </c>
      <c r="AA2092">
        <v>8</v>
      </c>
      <c r="AB2092">
        <v>3</v>
      </c>
      <c r="AC2092">
        <v>0</v>
      </c>
      <c r="AD2092">
        <v>9</v>
      </c>
      <c r="AE2092">
        <v>0</v>
      </c>
      <c r="AF2092">
        <v>3</v>
      </c>
      <c r="AG2092">
        <v>1</v>
      </c>
      <c r="AH2092">
        <v>0</v>
      </c>
      <c r="AI2092" t="s">
        <v>1096</v>
      </c>
      <c r="AJ2092">
        <v>33.024279999999997</v>
      </c>
      <c r="AK2092" t="s">
        <v>1097</v>
      </c>
      <c r="AL2092">
        <v>-97.654617000000002</v>
      </c>
      <c r="AM2092">
        <v>25</v>
      </c>
      <c r="AN2092">
        <v>3300</v>
      </c>
      <c r="AO2092" t="s">
        <v>118</v>
      </c>
      <c r="AP2092">
        <v>41</v>
      </c>
      <c r="AQ2092">
        <v>-78</v>
      </c>
      <c r="AR2092">
        <v>-192</v>
      </c>
      <c r="AZ2092">
        <v>1200</v>
      </c>
      <c r="BA2092">
        <v>1</v>
      </c>
      <c r="BB2092" t="str">
        <f t="shared" si="621"/>
        <v xml:space="preserve">N733KP  </v>
      </c>
      <c r="BC2092">
        <v>1</v>
      </c>
      <c r="BE2092">
        <v>0</v>
      </c>
      <c r="BF2092">
        <v>0</v>
      </c>
      <c r="BG2092">
        <v>0</v>
      </c>
      <c r="BH2092">
        <v>3375</v>
      </c>
      <c r="BI2092">
        <v>1</v>
      </c>
      <c r="BJ2092">
        <v>1</v>
      </c>
      <c r="BK2092">
        <v>0</v>
      </c>
      <c r="BL2092">
        <v>0</v>
      </c>
      <c r="BO2092">
        <v>0</v>
      </c>
      <c r="BP2092">
        <v>0</v>
      </c>
      <c r="BW2092" t="str">
        <f>"22:18:15.561"</f>
        <v>22:18:15.561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7</v>
      </c>
      <c r="CP2092" t="s">
        <v>119</v>
      </c>
      <c r="CQ2092">
        <v>364</v>
      </c>
      <c r="CR2092">
        <v>0</v>
      </c>
      <c r="CW2092">
        <v>1445375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>"03/24/2022 22:18:16.492"</f>
        <v>03/24/2022 22:18:16.492</v>
      </c>
      <c r="C2093" t="str">
        <f t="shared" si="620"/>
        <v>FFDFD3C0</v>
      </c>
      <c r="D2093" t="s">
        <v>126</v>
      </c>
      <c r="E2093">
        <v>3</v>
      </c>
      <c r="H2093">
        <v>160</v>
      </c>
      <c r="I2093" t="s">
        <v>121</v>
      </c>
      <c r="J2093" t="s">
        <v>127</v>
      </c>
      <c r="K2093">
        <v>0</v>
      </c>
      <c r="L2093">
        <v>3</v>
      </c>
      <c r="M2093">
        <v>0</v>
      </c>
      <c r="N2093">
        <v>2</v>
      </c>
      <c r="O2093">
        <v>0</v>
      </c>
      <c r="P2093">
        <v>1</v>
      </c>
      <c r="Q2093">
        <v>0</v>
      </c>
      <c r="S2093" t="str">
        <f t="shared" ref="S2093:T2096" si="627">"22:18:16.000"</f>
        <v>22:18:16.000</v>
      </c>
      <c r="T2093" t="str">
        <f t="shared" si="627"/>
        <v>22:18:16.000</v>
      </c>
      <c r="U2093" t="str">
        <f t="shared" si="614"/>
        <v>A9D71F</v>
      </c>
      <c r="V2093">
        <v>0</v>
      </c>
      <c r="W2093">
        <v>0</v>
      </c>
      <c r="X2093">
        <v>2</v>
      </c>
      <c r="Z2093">
        <v>1</v>
      </c>
      <c r="AA2093">
        <v>8</v>
      </c>
      <c r="AB2093">
        <v>3</v>
      </c>
      <c r="AC2093">
        <v>0</v>
      </c>
      <c r="AD2093">
        <v>9</v>
      </c>
      <c r="AE2093">
        <v>0</v>
      </c>
      <c r="AF2093">
        <v>3</v>
      </c>
      <c r="AG2093">
        <v>1</v>
      </c>
      <c r="AH2093">
        <v>0</v>
      </c>
      <c r="AI2093" t="s">
        <v>1098</v>
      </c>
      <c r="AJ2093">
        <v>33.023936999999997</v>
      </c>
      <c r="AK2093" t="s">
        <v>1099</v>
      </c>
      <c r="AL2093">
        <v>-97.654424000000006</v>
      </c>
      <c r="AM2093">
        <v>25</v>
      </c>
      <c r="AN2093">
        <v>3300</v>
      </c>
      <c r="AO2093" t="s">
        <v>118</v>
      </c>
      <c r="AP2093">
        <v>34</v>
      </c>
      <c r="AQ2093">
        <v>-75</v>
      </c>
      <c r="AR2093">
        <v>-128</v>
      </c>
      <c r="AZ2093">
        <v>1200</v>
      </c>
      <c r="BA2093">
        <v>1</v>
      </c>
      <c r="BB2093" t="str">
        <f t="shared" si="621"/>
        <v xml:space="preserve">N733KP  </v>
      </c>
      <c r="BC2093">
        <v>1</v>
      </c>
      <c r="BE2093">
        <v>0</v>
      </c>
      <c r="BF2093">
        <v>0</v>
      </c>
      <c r="BG2093">
        <v>0</v>
      </c>
      <c r="BH2093">
        <v>3375</v>
      </c>
      <c r="BI2093">
        <v>1</v>
      </c>
      <c r="BJ2093">
        <v>1</v>
      </c>
      <c r="BK2093">
        <v>0</v>
      </c>
      <c r="BL2093">
        <v>0</v>
      </c>
      <c r="BO2093">
        <v>0</v>
      </c>
      <c r="BP2093">
        <v>0</v>
      </c>
      <c r="BW2093" t="str">
        <f>"22:18:16.318"</f>
        <v>22:18:16.318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6</v>
      </c>
      <c r="CP2093" t="s">
        <v>119</v>
      </c>
      <c r="CQ2093">
        <v>364</v>
      </c>
      <c r="CR2093">
        <v>0</v>
      </c>
      <c r="CW2093">
        <v>1445505</v>
      </c>
      <c r="CY2093">
        <v>1</v>
      </c>
      <c r="CZ2093">
        <v>0</v>
      </c>
      <c r="DA2093">
        <v>0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>"03/24/2022 22:18:16.492"</f>
        <v>03/24/2022 22:18:16.492</v>
      </c>
      <c r="C2094" t="str">
        <f t="shared" si="620"/>
        <v>FFDFD3C0</v>
      </c>
      <c r="D2094" t="s">
        <v>120</v>
      </c>
      <c r="E2094">
        <v>14</v>
      </c>
      <c r="F2094">
        <v>1014</v>
      </c>
      <c r="G2094" t="s">
        <v>121</v>
      </c>
      <c r="J2094" t="s">
        <v>122</v>
      </c>
      <c r="K2094">
        <v>0</v>
      </c>
      <c r="L2094">
        <v>3</v>
      </c>
      <c r="M2094">
        <v>0</v>
      </c>
      <c r="N2094">
        <v>2</v>
      </c>
      <c r="O2094">
        <v>0</v>
      </c>
      <c r="P2094">
        <v>1</v>
      </c>
      <c r="Q2094">
        <v>0</v>
      </c>
      <c r="S2094" t="str">
        <f t="shared" si="627"/>
        <v>22:18:16.000</v>
      </c>
      <c r="T2094" t="str">
        <f t="shared" si="627"/>
        <v>22:18:16.000</v>
      </c>
      <c r="U2094" t="str">
        <f t="shared" si="614"/>
        <v>A9D71F</v>
      </c>
      <c r="V2094">
        <v>0</v>
      </c>
      <c r="W2094">
        <v>0</v>
      </c>
      <c r="X2094">
        <v>2</v>
      </c>
      <c r="Z2094">
        <v>1</v>
      </c>
      <c r="AA2094">
        <v>8</v>
      </c>
      <c r="AB2094">
        <v>3</v>
      </c>
      <c r="AC2094">
        <v>0</v>
      </c>
      <c r="AD2094">
        <v>9</v>
      </c>
      <c r="AE2094">
        <v>0</v>
      </c>
      <c r="AF2094">
        <v>3</v>
      </c>
      <c r="AG2094">
        <v>1</v>
      </c>
      <c r="AH2094">
        <v>0</v>
      </c>
      <c r="AI2094" t="s">
        <v>1098</v>
      </c>
      <c r="AJ2094">
        <v>33.023936999999997</v>
      </c>
      <c r="AK2094" t="s">
        <v>1099</v>
      </c>
      <c r="AL2094">
        <v>-97.654424000000006</v>
      </c>
      <c r="AM2094">
        <v>25</v>
      </c>
      <c r="AN2094">
        <v>3300</v>
      </c>
      <c r="AO2094" t="s">
        <v>118</v>
      </c>
      <c r="AP2094">
        <v>34</v>
      </c>
      <c r="AQ2094">
        <v>-75</v>
      </c>
      <c r="AR2094">
        <v>-128</v>
      </c>
      <c r="AZ2094">
        <v>1200</v>
      </c>
      <c r="BA2094">
        <v>1</v>
      </c>
      <c r="BB2094" t="str">
        <f t="shared" si="621"/>
        <v xml:space="preserve">N733KP  </v>
      </c>
      <c r="BC2094">
        <v>1</v>
      </c>
      <c r="BE2094">
        <v>0</v>
      </c>
      <c r="BF2094">
        <v>0</v>
      </c>
      <c r="BG2094">
        <v>0</v>
      </c>
      <c r="BH2094">
        <v>3375</v>
      </c>
      <c r="BI2094">
        <v>1</v>
      </c>
      <c r="BJ2094">
        <v>1</v>
      </c>
      <c r="BK2094">
        <v>0</v>
      </c>
      <c r="BL2094">
        <v>0</v>
      </c>
      <c r="BO2094">
        <v>0</v>
      </c>
      <c r="BP2094">
        <v>0</v>
      </c>
      <c r="BW2094" t="str">
        <f>"22:18:16.318"</f>
        <v>22:18:16.318</v>
      </c>
      <c r="CJ2094">
        <v>0</v>
      </c>
      <c r="CK2094">
        <v>2</v>
      </c>
      <c r="CL2094">
        <v>0</v>
      </c>
      <c r="CM2094">
        <v>2</v>
      </c>
      <c r="CN2094">
        <v>0</v>
      </c>
      <c r="CO2094">
        <v>6</v>
      </c>
      <c r="CP2094" t="s">
        <v>119</v>
      </c>
      <c r="CQ2094">
        <v>364</v>
      </c>
      <c r="CR2094">
        <v>0</v>
      </c>
      <c r="CW2094">
        <v>1445505</v>
      </c>
      <c r="CY2094">
        <v>1</v>
      </c>
      <c r="CZ2094">
        <v>0</v>
      </c>
      <c r="DA2094">
        <v>1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>"03/24/2022 22:18:16.524"</f>
        <v>03/24/2022 22:18:16.524</v>
      </c>
      <c r="C2095" t="str">
        <f t="shared" si="620"/>
        <v>FFDFD3C0</v>
      </c>
      <c r="D2095" t="s">
        <v>113</v>
      </c>
      <c r="E2095">
        <v>24</v>
      </c>
      <c r="F2095">
        <v>2024</v>
      </c>
      <c r="G2095" t="s">
        <v>114</v>
      </c>
      <c r="J2095" t="s">
        <v>115</v>
      </c>
      <c r="K2095">
        <v>0</v>
      </c>
      <c r="L2095">
        <v>3</v>
      </c>
      <c r="M2095">
        <v>0</v>
      </c>
      <c r="N2095">
        <v>2</v>
      </c>
      <c r="O2095">
        <v>0</v>
      </c>
      <c r="P2095">
        <v>1</v>
      </c>
      <c r="Q2095">
        <v>0</v>
      </c>
      <c r="S2095" t="str">
        <f t="shared" si="627"/>
        <v>22:18:16.000</v>
      </c>
      <c r="T2095" t="str">
        <f t="shared" si="627"/>
        <v>22:18:16.000</v>
      </c>
      <c r="U2095" t="str">
        <f t="shared" si="614"/>
        <v>A9D71F</v>
      </c>
      <c r="V2095">
        <v>0</v>
      </c>
      <c r="W2095">
        <v>0</v>
      </c>
      <c r="X2095">
        <v>2</v>
      </c>
      <c r="Z2095">
        <v>1</v>
      </c>
      <c r="AA2095">
        <v>8</v>
      </c>
      <c r="AB2095">
        <v>3</v>
      </c>
      <c r="AC2095">
        <v>0</v>
      </c>
      <c r="AD2095">
        <v>9</v>
      </c>
      <c r="AE2095">
        <v>0</v>
      </c>
      <c r="AF2095">
        <v>3</v>
      </c>
      <c r="AG2095">
        <v>1</v>
      </c>
      <c r="AH2095">
        <v>0</v>
      </c>
      <c r="AI2095" t="s">
        <v>1098</v>
      </c>
      <c r="AJ2095">
        <v>33.023936999999997</v>
      </c>
      <c r="AK2095" t="s">
        <v>1099</v>
      </c>
      <c r="AL2095">
        <v>-97.654424000000006</v>
      </c>
      <c r="AM2095">
        <v>25</v>
      </c>
      <c r="AN2095">
        <v>3300</v>
      </c>
      <c r="AO2095" t="s">
        <v>118</v>
      </c>
      <c r="AP2095">
        <v>34</v>
      </c>
      <c r="AQ2095">
        <v>-75</v>
      </c>
      <c r="AR2095">
        <v>-128</v>
      </c>
      <c r="AZ2095">
        <v>1200</v>
      </c>
      <c r="BA2095">
        <v>1</v>
      </c>
      <c r="BB2095" t="str">
        <f t="shared" si="621"/>
        <v xml:space="preserve">N733KP  </v>
      </c>
      <c r="BC2095">
        <v>1</v>
      </c>
      <c r="BE2095">
        <v>0</v>
      </c>
      <c r="BF2095">
        <v>0</v>
      </c>
      <c r="BG2095">
        <v>0</v>
      </c>
      <c r="BH2095">
        <v>3375</v>
      </c>
      <c r="BI2095">
        <v>1</v>
      </c>
      <c r="BJ2095">
        <v>1</v>
      </c>
      <c r="BK2095">
        <v>0</v>
      </c>
      <c r="BL2095">
        <v>0</v>
      </c>
      <c r="BO2095">
        <v>0</v>
      </c>
      <c r="BP2095">
        <v>0</v>
      </c>
      <c r="BW2095" t="str">
        <f>"22:18:16.318"</f>
        <v>22:18:16.318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6</v>
      </c>
      <c r="CP2095" t="s">
        <v>119</v>
      </c>
      <c r="CQ2095">
        <v>364</v>
      </c>
      <c r="CR2095">
        <v>0</v>
      </c>
      <c r="CW2095">
        <v>1445505</v>
      </c>
      <c r="CY2095">
        <v>1</v>
      </c>
      <c r="CZ2095">
        <v>0</v>
      </c>
      <c r="DA2095">
        <v>1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>"03/24/2022 22:18:16.492"</f>
        <v>03/24/2022 22:18:16.492</v>
      </c>
      <c r="C2096" t="str">
        <f t="shared" si="620"/>
        <v>FFDFD3C0</v>
      </c>
      <c r="D2096" t="s">
        <v>123</v>
      </c>
      <c r="E2096">
        <v>8</v>
      </c>
      <c r="H2096">
        <v>31</v>
      </c>
      <c r="I2096" t="s">
        <v>124</v>
      </c>
      <c r="J2096" t="s">
        <v>125</v>
      </c>
      <c r="K2096">
        <v>0</v>
      </c>
      <c r="L2096">
        <v>3</v>
      </c>
      <c r="M2096">
        <v>0</v>
      </c>
      <c r="N2096">
        <v>2</v>
      </c>
      <c r="O2096">
        <v>0</v>
      </c>
      <c r="P2096">
        <v>1</v>
      </c>
      <c r="Q2096">
        <v>0</v>
      </c>
      <c r="S2096" t="str">
        <f t="shared" si="627"/>
        <v>22:18:16.000</v>
      </c>
      <c r="T2096" t="str">
        <f t="shared" si="627"/>
        <v>22:18:16.000</v>
      </c>
      <c r="U2096" t="str">
        <f t="shared" si="614"/>
        <v>A9D71F</v>
      </c>
      <c r="V2096">
        <v>0</v>
      </c>
      <c r="W2096">
        <v>0</v>
      </c>
      <c r="X2096">
        <v>2</v>
      </c>
      <c r="Z2096">
        <v>1</v>
      </c>
      <c r="AA2096">
        <v>8</v>
      </c>
      <c r="AB2096">
        <v>3</v>
      </c>
      <c r="AC2096">
        <v>0</v>
      </c>
      <c r="AD2096">
        <v>9</v>
      </c>
      <c r="AE2096">
        <v>0</v>
      </c>
      <c r="AF2096">
        <v>3</v>
      </c>
      <c r="AG2096">
        <v>1</v>
      </c>
      <c r="AH2096">
        <v>0</v>
      </c>
      <c r="AI2096" t="s">
        <v>1098</v>
      </c>
      <c r="AJ2096">
        <v>33.023936999999997</v>
      </c>
      <c r="AK2096" t="s">
        <v>1099</v>
      </c>
      <c r="AL2096">
        <v>-97.654424000000006</v>
      </c>
      <c r="AM2096">
        <v>25</v>
      </c>
      <c r="AN2096">
        <v>3300</v>
      </c>
      <c r="AO2096" t="s">
        <v>118</v>
      </c>
      <c r="AP2096">
        <v>34</v>
      </c>
      <c r="AQ2096">
        <v>-75</v>
      </c>
      <c r="AR2096">
        <v>-128</v>
      </c>
      <c r="AZ2096">
        <v>1200</v>
      </c>
      <c r="BA2096">
        <v>1</v>
      </c>
      <c r="BB2096" t="str">
        <f t="shared" si="621"/>
        <v xml:space="preserve">N733KP  </v>
      </c>
      <c r="BC2096">
        <v>1</v>
      </c>
      <c r="BE2096">
        <v>0</v>
      </c>
      <c r="BF2096">
        <v>0</v>
      </c>
      <c r="BG2096">
        <v>0</v>
      </c>
      <c r="BH2096">
        <v>3375</v>
      </c>
      <c r="BI2096">
        <v>1</v>
      </c>
      <c r="BJ2096">
        <v>1</v>
      </c>
      <c r="BK2096">
        <v>0</v>
      </c>
      <c r="BL2096">
        <v>0</v>
      </c>
      <c r="BO2096">
        <v>0</v>
      </c>
      <c r="BP2096">
        <v>0</v>
      </c>
      <c r="BW2096" t="str">
        <f>"22:18:16.318"</f>
        <v>22:18:16.318</v>
      </c>
      <c r="CJ2096">
        <v>0</v>
      </c>
      <c r="CK2096">
        <v>2</v>
      </c>
      <c r="CL2096">
        <v>0</v>
      </c>
      <c r="CM2096">
        <v>2</v>
      </c>
      <c r="CN2096">
        <v>0</v>
      </c>
      <c r="CO2096">
        <v>6</v>
      </c>
      <c r="CP2096" t="s">
        <v>119</v>
      </c>
      <c r="CQ2096">
        <v>364</v>
      </c>
      <c r="CR2096">
        <v>0</v>
      </c>
      <c r="CW2096">
        <v>1445505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>"03/24/2022 22:18:18.072"</f>
        <v>03/24/2022 22:18:18.072</v>
      </c>
      <c r="C2097" t="str">
        <f t="shared" si="620"/>
        <v>FFDFD3C0</v>
      </c>
      <c r="D2097" t="s">
        <v>123</v>
      </c>
      <c r="E2097">
        <v>8</v>
      </c>
      <c r="H2097">
        <v>31</v>
      </c>
      <c r="I2097" t="s">
        <v>124</v>
      </c>
      <c r="J2097" t="s">
        <v>125</v>
      </c>
      <c r="K2097">
        <v>0</v>
      </c>
      <c r="L2097">
        <v>3</v>
      </c>
      <c r="M2097">
        <v>0</v>
      </c>
      <c r="N2097">
        <v>2</v>
      </c>
      <c r="O2097">
        <v>0</v>
      </c>
      <c r="P2097">
        <v>1</v>
      </c>
      <c r="Q2097">
        <v>0</v>
      </c>
      <c r="S2097" t="str">
        <f t="shared" ref="S2097:T2100" si="628">"22:18:17.000"</f>
        <v>22:18:17.000</v>
      </c>
      <c r="T2097" t="str">
        <f t="shared" si="628"/>
        <v>22:18:17.000</v>
      </c>
      <c r="U2097" t="str">
        <f t="shared" si="614"/>
        <v>A9D71F</v>
      </c>
      <c r="V2097">
        <v>0</v>
      </c>
      <c r="W2097">
        <v>0</v>
      </c>
      <c r="X2097">
        <v>2</v>
      </c>
      <c r="Z2097">
        <v>1</v>
      </c>
      <c r="AA2097">
        <v>8</v>
      </c>
      <c r="AB2097">
        <v>3</v>
      </c>
      <c r="AC2097">
        <v>0</v>
      </c>
      <c r="AD2097">
        <v>9</v>
      </c>
      <c r="AE2097">
        <v>0</v>
      </c>
      <c r="AF2097">
        <v>3</v>
      </c>
      <c r="AG2097">
        <v>1</v>
      </c>
      <c r="AH2097">
        <v>0</v>
      </c>
      <c r="AI2097" t="s">
        <v>1100</v>
      </c>
      <c r="AJ2097">
        <v>33.023572000000001</v>
      </c>
      <c r="AK2097" t="s">
        <v>1101</v>
      </c>
      <c r="AL2097">
        <v>-97.654208999999994</v>
      </c>
      <c r="AM2097">
        <v>25</v>
      </c>
      <c r="AN2097">
        <v>3300</v>
      </c>
      <c r="AO2097" t="s">
        <v>118</v>
      </c>
      <c r="AP2097">
        <v>36</v>
      </c>
      <c r="AQ2097">
        <v>-77</v>
      </c>
      <c r="AR2097">
        <v>-128</v>
      </c>
      <c r="AZ2097">
        <v>1200</v>
      </c>
      <c r="BA2097">
        <v>1</v>
      </c>
      <c r="BB2097" t="str">
        <f t="shared" si="621"/>
        <v xml:space="preserve">N733KP  </v>
      </c>
      <c r="BC2097">
        <v>1</v>
      </c>
      <c r="BE2097">
        <v>0</v>
      </c>
      <c r="BF2097">
        <v>0</v>
      </c>
      <c r="BG2097">
        <v>0</v>
      </c>
      <c r="BH2097">
        <v>3375</v>
      </c>
      <c r="BI2097">
        <v>1</v>
      </c>
      <c r="BJ2097">
        <v>1</v>
      </c>
      <c r="BK2097">
        <v>0</v>
      </c>
      <c r="BL2097">
        <v>0</v>
      </c>
      <c r="BO2097">
        <v>0</v>
      </c>
      <c r="BP2097">
        <v>0</v>
      </c>
      <c r="BW2097" t="str">
        <f>"22:18:17.852"</f>
        <v>22:18:17.852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7</v>
      </c>
      <c r="CP2097" t="s">
        <v>119</v>
      </c>
      <c r="CQ2097">
        <v>364</v>
      </c>
      <c r="CR2097">
        <v>0</v>
      </c>
      <c r="CW2097">
        <v>1445698</v>
      </c>
      <c r="CY2097">
        <v>1</v>
      </c>
      <c r="CZ2097">
        <v>0</v>
      </c>
      <c r="DA2097">
        <v>0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>"03/24/2022 22:18:18.072"</f>
        <v>03/24/2022 22:18:18.072</v>
      </c>
      <c r="C2098" t="str">
        <f t="shared" si="620"/>
        <v>FFDFD3C0</v>
      </c>
      <c r="D2098" t="s">
        <v>126</v>
      </c>
      <c r="E2098">
        <v>3</v>
      </c>
      <c r="H2098">
        <v>160</v>
      </c>
      <c r="I2098" t="s">
        <v>121</v>
      </c>
      <c r="J2098" t="s">
        <v>127</v>
      </c>
      <c r="K2098">
        <v>0</v>
      </c>
      <c r="L2098">
        <v>3</v>
      </c>
      <c r="M2098">
        <v>0</v>
      </c>
      <c r="N2098">
        <v>2</v>
      </c>
      <c r="O2098">
        <v>0</v>
      </c>
      <c r="P2098">
        <v>1</v>
      </c>
      <c r="Q2098">
        <v>0</v>
      </c>
      <c r="S2098" t="str">
        <f t="shared" si="628"/>
        <v>22:18:17.000</v>
      </c>
      <c r="T2098" t="str">
        <f t="shared" si="628"/>
        <v>22:18:17.000</v>
      </c>
      <c r="U2098" t="str">
        <f t="shared" si="614"/>
        <v>A9D71F</v>
      </c>
      <c r="V2098">
        <v>0</v>
      </c>
      <c r="W2098">
        <v>0</v>
      </c>
      <c r="X2098">
        <v>2</v>
      </c>
      <c r="Z2098">
        <v>1</v>
      </c>
      <c r="AA2098">
        <v>8</v>
      </c>
      <c r="AB2098">
        <v>3</v>
      </c>
      <c r="AC2098">
        <v>0</v>
      </c>
      <c r="AD2098">
        <v>9</v>
      </c>
      <c r="AE2098">
        <v>0</v>
      </c>
      <c r="AF2098">
        <v>3</v>
      </c>
      <c r="AG2098">
        <v>1</v>
      </c>
      <c r="AH2098">
        <v>0</v>
      </c>
      <c r="AI2098" t="s">
        <v>1100</v>
      </c>
      <c r="AJ2098">
        <v>33.023572000000001</v>
      </c>
      <c r="AK2098" t="s">
        <v>1101</v>
      </c>
      <c r="AL2098">
        <v>-97.654208999999994</v>
      </c>
      <c r="AM2098">
        <v>25</v>
      </c>
      <c r="AN2098">
        <v>3300</v>
      </c>
      <c r="AO2098" t="s">
        <v>118</v>
      </c>
      <c r="AP2098">
        <v>36</v>
      </c>
      <c r="AQ2098">
        <v>-77</v>
      </c>
      <c r="AR2098">
        <v>-128</v>
      </c>
      <c r="AZ2098">
        <v>1200</v>
      </c>
      <c r="BA2098">
        <v>1</v>
      </c>
      <c r="BB2098" t="str">
        <f t="shared" si="621"/>
        <v xml:space="preserve">N733KP  </v>
      </c>
      <c r="BC2098">
        <v>1</v>
      </c>
      <c r="BE2098">
        <v>0</v>
      </c>
      <c r="BF2098">
        <v>0</v>
      </c>
      <c r="BG2098">
        <v>0</v>
      </c>
      <c r="BH2098">
        <v>3375</v>
      </c>
      <c r="BI2098">
        <v>1</v>
      </c>
      <c r="BJ2098">
        <v>1</v>
      </c>
      <c r="BK2098">
        <v>0</v>
      </c>
      <c r="BL2098">
        <v>0</v>
      </c>
      <c r="BO2098">
        <v>0</v>
      </c>
      <c r="BP2098">
        <v>0</v>
      </c>
      <c r="BW2098" t="str">
        <f>"22:18:17.852"</f>
        <v>22:18:17.852</v>
      </c>
      <c r="CJ2098">
        <v>0</v>
      </c>
      <c r="CK2098">
        <v>2</v>
      </c>
      <c r="CL2098">
        <v>0</v>
      </c>
      <c r="CM2098">
        <v>2</v>
      </c>
      <c r="CN2098">
        <v>0</v>
      </c>
      <c r="CO2098">
        <v>7</v>
      </c>
      <c r="CP2098" t="s">
        <v>119</v>
      </c>
      <c r="CQ2098">
        <v>364</v>
      </c>
      <c r="CR2098">
        <v>0</v>
      </c>
      <c r="CW2098">
        <v>1445698</v>
      </c>
      <c r="CY2098">
        <v>1</v>
      </c>
      <c r="CZ2098">
        <v>0</v>
      </c>
      <c r="DA2098">
        <v>1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>"03/24/2022 22:18:18.072"</f>
        <v>03/24/2022 22:18:18.072</v>
      </c>
      <c r="C2099" t="str">
        <f t="shared" si="620"/>
        <v>FFDFD3C0</v>
      </c>
      <c r="D2099" t="s">
        <v>120</v>
      </c>
      <c r="E2099">
        <v>14</v>
      </c>
      <c r="F2099">
        <v>1014</v>
      </c>
      <c r="G2099" t="s">
        <v>121</v>
      </c>
      <c r="J2099" t="s">
        <v>122</v>
      </c>
      <c r="K2099">
        <v>0</v>
      </c>
      <c r="L2099">
        <v>3</v>
      </c>
      <c r="M2099">
        <v>0</v>
      </c>
      <c r="N2099">
        <v>2</v>
      </c>
      <c r="O2099">
        <v>0</v>
      </c>
      <c r="P2099">
        <v>1</v>
      </c>
      <c r="Q2099">
        <v>0</v>
      </c>
      <c r="S2099" t="str">
        <f t="shared" si="628"/>
        <v>22:18:17.000</v>
      </c>
      <c r="T2099" t="str">
        <f t="shared" si="628"/>
        <v>22:18:17.000</v>
      </c>
      <c r="U2099" t="str">
        <f t="shared" si="614"/>
        <v>A9D71F</v>
      </c>
      <c r="V2099">
        <v>0</v>
      </c>
      <c r="W2099">
        <v>0</v>
      </c>
      <c r="X2099">
        <v>2</v>
      </c>
      <c r="Z2099">
        <v>1</v>
      </c>
      <c r="AA2099">
        <v>8</v>
      </c>
      <c r="AB2099">
        <v>3</v>
      </c>
      <c r="AC2099">
        <v>0</v>
      </c>
      <c r="AD2099">
        <v>9</v>
      </c>
      <c r="AE2099">
        <v>0</v>
      </c>
      <c r="AF2099">
        <v>3</v>
      </c>
      <c r="AG2099">
        <v>1</v>
      </c>
      <c r="AH2099">
        <v>0</v>
      </c>
      <c r="AI2099" t="s">
        <v>1100</v>
      </c>
      <c r="AJ2099">
        <v>33.023572000000001</v>
      </c>
      <c r="AK2099" t="s">
        <v>1101</v>
      </c>
      <c r="AL2099">
        <v>-97.654208999999994</v>
      </c>
      <c r="AM2099">
        <v>25</v>
      </c>
      <c r="AN2099">
        <v>3300</v>
      </c>
      <c r="AO2099" t="s">
        <v>118</v>
      </c>
      <c r="AP2099">
        <v>36</v>
      </c>
      <c r="AQ2099">
        <v>-77</v>
      </c>
      <c r="AR2099">
        <v>-128</v>
      </c>
      <c r="AZ2099">
        <v>1200</v>
      </c>
      <c r="BA2099">
        <v>1</v>
      </c>
      <c r="BB2099" t="str">
        <f t="shared" si="621"/>
        <v xml:space="preserve">N733KP  </v>
      </c>
      <c r="BC2099">
        <v>1</v>
      </c>
      <c r="BE2099">
        <v>0</v>
      </c>
      <c r="BF2099">
        <v>0</v>
      </c>
      <c r="BG2099">
        <v>0</v>
      </c>
      <c r="BH2099">
        <v>3375</v>
      </c>
      <c r="BI2099">
        <v>1</v>
      </c>
      <c r="BJ2099">
        <v>1</v>
      </c>
      <c r="BK2099">
        <v>0</v>
      </c>
      <c r="BL2099">
        <v>0</v>
      </c>
      <c r="BO2099">
        <v>0</v>
      </c>
      <c r="BP2099">
        <v>0</v>
      </c>
      <c r="BW2099" t="str">
        <f>"22:18:17.852"</f>
        <v>22:18:17.852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7</v>
      </c>
      <c r="CP2099" t="s">
        <v>119</v>
      </c>
      <c r="CQ2099">
        <v>364</v>
      </c>
      <c r="CR2099">
        <v>0</v>
      </c>
      <c r="CW2099">
        <v>1445698</v>
      </c>
      <c r="CY2099">
        <v>1</v>
      </c>
      <c r="CZ2099">
        <v>0</v>
      </c>
      <c r="DA2099">
        <v>1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>"03/24/2022 22:18:18.072"</f>
        <v>03/24/2022 22:18:18.072</v>
      </c>
      <c r="C2100" t="str">
        <f t="shared" si="620"/>
        <v>FFDFD3C0</v>
      </c>
      <c r="D2100" t="s">
        <v>113</v>
      </c>
      <c r="E2100">
        <v>24</v>
      </c>
      <c r="F2100">
        <v>2024</v>
      </c>
      <c r="G2100" t="s">
        <v>114</v>
      </c>
      <c r="J2100" t="s">
        <v>115</v>
      </c>
      <c r="K2100">
        <v>0</v>
      </c>
      <c r="L2100">
        <v>3</v>
      </c>
      <c r="M2100">
        <v>0</v>
      </c>
      <c r="N2100">
        <v>2</v>
      </c>
      <c r="O2100">
        <v>0</v>
      </c>
      <c r="P2100">
        <v>1</v>
      </c>
      <c r="Q2100">
        <v>0</v>
      </c>
      <c r="S2100" t="str">
        <f t="shared" si="628"/>
        <v>22:18:17.000</v>
      </c>
      <c r="T2100" t="str">
        <f t="shared" si="628"/>
        <v>22:18:17.000</v>
      </c>
      <c r="U2100" t="str">
        <f t="shared" si="614"/>
        <v>A9D71F</v>
      </c>
      <c r="V2100">
        <v>0</v>
      </c>
      <c r="W2100">
        <v>0</v>
      </c>
      <c r="X2100">
        <v>2</v>
      </c>
      <c r="Z2100">
        <v>1</v>
      </c>
      <c r="AA2100">
        <v>8</v>
      </c>
      <c r="AB2100">
        <v>3</v>
      </c>
      <c r="AC2100">
        <v>0</v>
      </c>
      <c r="AD2100">
        <v>9</v>
      </c>
      <c r="AE2100">
        <v>0</v>
      </c>
      <c r="AF2100">
        <v>3</v>
      </c>
      <c r="AG2100">
        <v>1</v>
      </c>
      <c r="AH2100">
        <v>0</v>
      </c>
      <c r="AI2100" t="s">
        <v>1100</v>
      </c>
      <c r="AJ2100">
        <v>33.023572000000001</v>
      </c>
      <c r="AK2100" t="s">
        <v>1101</v>
      </c>
      <c r="AL2100">
        <v>-97.654208999999994</v>
      </c>
      <c r="AM2100">
        <v>25</v>
      </c>
      <c r="AN2100">
        <v>3300</v>
      </c>
      <c r="AO2100" t="s">
        <v>118</v>
      </c>
      <c r="AP2100">
        <v>36</v>
      </c>
      <c r="AQ2100">
        <v>-77</v>
      </c>
      <c r="AR2100">
        <v>-128</v>
      </c>
      <c r="AZ2100">
        <v>1200</v>
      </c>
      <c r="BA2100">
        <v>1</v>
      </c>
      <c r="BB2100" t="str">
        <f t="shared" si="621"/>
        <v xml:space="preserve">N733KP  </v>
      </c>
      <c r="BC2100">
        <v>1</v>
      </c>
      <c r="BE2100">
        <v>0</v>
      </c>
      <c r="BF2100">
        <v>0</v>
      </c>
      <c r="BG2100">
        <v>0</v>
      </c>
      <c r="BH2100">
        <v>3375</v>
      </c>
      <c r="BI2100">
        <v>1</v>
      </c>
      <c r="BJ2100">
        <v>1</v>
      </c>
      <c r="BK2100">
        <v>0</v>
      </c>
      <c r="BL2100">
        <v>0</v>
      </c>
      <c r="BO2100">
        <v>0</v>
      </c>
      <c r="BP2100">
        <v>0</v>
      </c>
      <c r="BW2100" t="str">
        <f>"22:18:17.852"</f>
        <v>22:18:17.852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7</v>
      </c>
      <c r="CP2100" t="s">
        <v>119</v>
      </c>
      <c r="CQ2100">
        <v>364</v>
      </c>
      <c r="CR2100">
        <v>0</v>
      </c>
      <c r="CW2100">
        <v>1445698</v>
      </c>
      <c r="CY2100">
        <v>1</v>
      </c>
      <c r="CZ2100">
        <v>0</v>
      </c>
      <c r="DA2100">
        <v>1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>"03/24/2022 22:18:18.653"</f>
        <v>03/24/2022 22:18:18.653</v>
      </c>
      <c r="C2101" t="str">
        <f t="shared" si="620"/>
        <v>FFDFD3C0</v>
      </c>
      <c r="D2101" t="s">
        <v>123</v>
      </c>
      <c r="E2101">
        <v>8</v>
      </c>
      <c r="H2101">
        <v>31</v>
      </c>
      <c r="I2101" t="s">
        <v>124</v>
      </c>
      <c r="J2101" t="s">
        <v>125</v>
      </c>
      <c r="K2101">
        <v>0</v>
      </c>
      <c r="L2101">
        <v>3</v>
      </c>
      <c r="M2101">
        <v>0</v>
      </c>
      <c r="N2101">
        <v>2</v>
      </c>
      <c r="O2101">
        <v>0</v>
      </c>
      <c r="P2101">
        <v>1</v>
      </c>
      <c r="Q2101">
        <v>0</v>
      </c>
      <c r="S2101" t="str">
        <f t="shared" ref="S2101:T2104" si="629">"22:18:18.000"</f>
        <v>22:18:18.000</v>
      </c>
      <c r="T2101" t="str">
        <f t="shared" si="629"/>
        <v>22:18:18.000</v>
      </c>
      <c r="U2101" t="str">
        <f t="shared" si="614"/>
        <v>A9D71F</v>
      </c>
      <c r="V2101">
        <v>0</v>
      </c>
      <c r="W2101">
        <v>0</v>
      </c>
      <c r="X2101">
        <v>2</v>
      </c>
      <c r="Z2101">
        <v>1</v>
      </c>
      <c r="AA2101">
        <v>8</v>
      </c>
      <c r="AB2101">
        <v>3</v>
      </c>
      <c r="AC2101">
        <v>0</v>
      </c>
      <c r="AD2101">
        <v>9</v>
      </c>
      <c r="AE2101">
        <v>0</v>
      </c>
      <c r="AF2101">
        <v>3</v>
      </c>
      <c r="AG2101">
        <v>1</v>
      </c>
      <c r="AH2101">
        <v>0</v>
      </c>
      <c r="AI2101" t="s">
        <v>1102</v>
      </c>
      <c r="AJ2101">
        <v>33.023229000000001</v>
      </c>
      <c r="AK2101" t="s">
        <v>1103</v>
      </c>
      <c r="AL2101">
        <v>-97.653994999999995</v>
      </c>
      <c r="AM2101">
        <v>25</v>
      </c>
      <c r="AN2101">
        <v>3300</v>
      </c>
      <c r="AO2101" t="s">
        <v>118</v>
      </c>
      <c r="AP2101">
        <v>36</v>
      </c>
      <c r="AQ2101">
        <v>-77</v>
      </c>
      <c r="AR2101">
        <v>-128</v>
      </c>
      <c r="AZ2101">
        <v>1200</v>
      </c>
      <c r="BA2101">
        <v>1</v>
      </c>
      <c r="BB2101" t="str">
        <f t="shared" si="621"/>
        <v xml:space="preserve">N733KP  </v>
      </c>
      <c r="BC2101">
        <v>1</v>
      </c>
      <c r="BE2101">
        <v>0</v>
      </c>
      <c r="BF2101">
        <v>0</v>
      </c>
      <c r="BG2101">
        <v>0</v>
      </c>
      <c r="BH2101">
        <v>3375</v>
      </c>
      <c r="BI2101">
        <v>1</v>
      </c>
      <c r="BJ2101">
        <v>1</v>
      </c>
      <c r="BK2101">
        <v>0</v>
      </c>
      <c r="BL2101">
        <v>0</v>
      </c>
      <c r="BO2101">
        <v>0</v>
      </c>
      <c r="BP2101">
        <v>0</v>
      </c>
      <c r="BW2101" t="str">
        <f>"22:18:18.400"</f>
        <v>22:18:18.400</v>
      </c>
      <c r="CJ2101">
        <v>0</v>
      </c>
      <c r="CK2101">
        <v>2</v>
      </c>
      <c r="CL2101">
        <v>0</v>
      </c>
      <c r="CM2101">
        <v>2</v>
      </c>
      <c r="CN2101">
        <v>0</v>
      </c>
      <c r="CO2101">
        <v>7</v>
      </c>
      <c r="CP2101" t="s">
        <v>119</v>
      </c>
      <c r="CQ2101">
        <v>364</v>
      </c>
      <c r="CR2101">
        <v>0</v>
      </c>
      <c r="CW2101">
        <v>1445774</v>
      </c>
      <c r="CY2101">
        <v>1</v>
      </c>
      <c r="CZ2101">
        <v>0</v>
      </c>
      <c r="DA2101">
        <v>0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>"03/24/2022 22:18:18.653"</f>
        <v>03/24/2022 22:18:18.653</v>
      </c>
      <c r="C2102" t="str">
        <f t="shared" si="620"/>
        <v>FFDFD3C0</v>
      </c>
      <c r="D2102" t="s">
        <v>126</v>
      </c>
      <c r="E2102">
        <v>3</v>
      </c>
      <c r="H2102">
        <v>160</v>
      </c>
      <c r="I2102" t="s">
        <v>121</v>
      </c>
      <c r="J2102" t="s">
        <v>127</v>
      </c>
      <c r="K2102">
        <v>0</v>
      </c>
      <c r="L2102">
        <v>3</v>
      </c>
      <c r="M2102">
        <v>0</v>
      </c>
      <c r="N2102">
        <v>2</v>
      </c>
      <c r="O2102">
        <v>0</v>
      </c>
      <c r="P2102">
        <v>1</v>
      </c>
      <c r="Q2102">
        <v>0</v>
      </c>
      <c r="S2102" t="str">
        <f t="shared" si="629"/>
        <v>22:18:18.000</v>
      </c>
      <c r="T2102" t="str">
        <f t="shared" si="629"/>
        <v>22:18:18.000</v>
      </c>
      <c r="U2102" t="str">
        <f t="shared" si="614"/>
        <v>A9D71F</v>
      </c>
      <c r="V2102">
        <v>0</v>
      </c>
      <c r="W2102">
        <v>0</v>
      </c>
      <c r="X2102">
        <v>2</v>
      </c>
      <c r="Z2102">
        <v>1</v>
      </c>
      <c r="AA2102">
        <v>8</v>
      </c>
      <c r="AB2102">
        <v>3</v>
      </c>
      <c r="AC2102">
        <v>0</v>
      </c>
      <c r="AD2102">
        <v>9</v>
      </c>
      <c r="AE2102">
        <v>0</v>
      </c>
      <c r="AF2102">
        <v>3</v>
      </c>
      <c r="AG2102">
        <v>1</v>
      </c>
      <c r="AH2102">
        <v>0</v>
      </c>
      <c r="AI2102" t="s">
        <v>1102</v>
      </c>
      <c r="AJ2102">
        <v>33.023229000000001</v>
      </c>
      <c r="AK2102" t="s">
        <v>1103</v>
      </c>
      <c r="AL2102">
        <v>-97.653994999999995</v>
      </c>
      <c r="AM2102">
        <v>25</v>
      </c>
      <c r="AN2102">
        <v>3300</v>
      </c>
      <c r="AO2102" t="s">
        <v>118</v>
      </c>
      <c r="AP2102">
        <v>36</v>
      </c>
      <c r="AQ2102">
        <v>-77</v>
      </c>
      <c r="AR2102">
        <v>-128</v>
      </c>
      <c r="AZ2102">
        <v>1200</v>
      </c>
      <c r="BA2102">
        <v>1</v>
      </c>
      <c r="BB2102" t="str">
        <f t="shared" si="621"/>
        <v xml:space="preserve">N733KP  </v>
      </c>
      <c r="BC2102">
        <v>1</v>
      </c>
      <c r="BE2102">
        <v>0</v>
      </c>
      <c r="BF2102">
        <v>0</v>
      </c>
      <c r="BG2102">
        <v>0</v>
      </c>
      <c r="BH2102">
        <v>3375</v>
      </c>
      <c r="BI2102">
        <v>1</v>
      </c>
      <c r="BJ2102">
        <v>1</v>
      </c>
      <c r="BK2102">
        <v>0</v>
      </c>
      <c r="BL2102">
        <v>0</v>
      </c>
      <c r="BO2102">
        <v>0</v>
      </c>
      <c r="BP2102">
        <v>0</v>
      </c>
      <c r="BW2102" t="str">
        <f>"22:18:18.400"</f>
        <v>22:18:18.400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7</v>
      </c>
      <c r="CP2102" t="s">
        <v>119</v>
      </c>
      <c r="CQ2102">
        <v>364</v>
      </c>
      <c r="CR2102">
        <v>0</v>
      </c>
      <c r="CW2102">
        <v>1445774</v>
      </c>
      <c r="CY2102">
        <v>1</v>
      </c>
      <c r="CZ2102">
        <v>0</v>
      </c>
      <c r="DA2102">
        <v>1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>"03/24/2022 22:18:18.653"</f>
        <v>03/24/2022 22:18:18.653</v>
      </c>
      <c r="C2103" t="str">
        <f t="shared" si="620"/>
        <v>FFDFD3C0</v>
      </c>
      <c r="D2103" t="s">
        <v>113</v>
      </c>
      <c r="E2103">
        <v>24</v>
      </c>
      <c r="F2103">
        <v>2024</v>
      </c>
      <c r="G2103" t="s">
        <v>114</v>
      </c>
      <c r="J2103" t="s">
        <v>115</v>
      </c>
      <c r="K2103">
        <v>0</v>
      </c>
      <c r="L2103">
        <v>3</v>
      </c>
      <c r="M2103">
        <v>0</v>
      </c>
      <c r="N2103">
        <v>2</v>
      </c>
      <c r="O2103">
        <v>0</v>
      </c>
      <c r="P2103">
        <v>1</v>
      </c>
      <c r="Q2103">
        <v>0</v>
      </c>
      <c r="S2103" t="str">
        <f t="shared" si="629"/>
        <v>22:18:18.000</v>
      </c>
      <c r="T2103" t="str">
        <f t="shared" si="629"/>
        <v>22:18:18.000</v>
      </c>
      <c r="U2103" t="str">
        <f t="shared" si="614"/>
        <v>A9D71F</v>
      </c>
      <c r="V2103">
        <v>0</v>
      </c>
      <c r="W2103">
        <v>0</v>
      </c>
      <c r="X2103">
        <v>2</v>
      </c>
      <c r="Z2103">
        <v>1</v>
      </c>
      <c r="AA2103">
        <v>8</v>
      </c>
      <c r="AB2103">
        <v>3</v>
      </c>
      <c r="AC2103">
        <v>0</v>
      </c>
      <c r="AD2103">
        <v>9</v>
      </c>
      <c r="AE2103">
        <v>0</v>
      </c>
      <c r="AF2103">
        <v>3</v>
      </c>
      <c r="AG2103">
        <v>1</v>
      </c>
      <c r="AH2103">
        <v>0</v>
      </c>
      <c r="AI2103" t="s">
        <v>1102</v>
      </c>
      <c r="AJ2103">
        <v>33.023229000000001</v>
      </c>
      <c r="AK2103" t="s">
        <v>1103</v>
      </c>
      <c r="AL2103">
        <v>-97.653994999999995</v>
      </c>
      <c r="AM2103">
        <v>25</v>
      </c>
      <c r="AN2103">
        <v>3300</v>
      </c>
      <c r="AO2103" t="s">
        <v>118</v>
      </c>
      <c r="AP2103">
        <v>36</v>
      </c>
      <c r="AQ2103">
        <v>-77</v>
      </c>
      <c r="AR2103">
        <v>-128</v>
      </c>
      <c r="AZ2103">
        <v>1200</v>
      </c>
      <c r="BA2103">
        <v>1</v>
      </c>
      <c r="BB2103" t="str">
        <f t="shared" si="621"/>
        <v xml:space="preserve">N733KP  </v>
      </c>
      <c r="BC2103">
        <v>1</v>
      </c>
      <c r="BE2103">
        <v>0</v>
      </c>
      <c r="BF2103">
        <v>0</v>
      </c>
      <c r="BG2103">
        <v>0</v>
      </c>
      <c r="BH2103">
        <v>3375</v>
      </c>
      <c r="BI2103">
        <v>1</v>
      </c>
      <c r="BJ2103">
        <v>1</v>
      </c>
      <c r="BK2103">
        <v>0</v>
      </c>
      <c r="BL2103">
        <v>0</v>
      </c>
      <c r="BO2103">
        <v>0</v>
      </c>
      <c r="BP2103">
        <v>0</v>
      </c>
      <c r="BW2103" t="str">
        <f>"22:18:18.400"</f>
        <v>22:18:18.400</v>
      </c>
      <c r="CJ2103">
        <v>0</v>
      </c>
      <c r="CK2103">
        <v>2</v>
      </c>
      <c r="CL2103">
        <v>0</v>
      </c>
      <c r="CM2103">
        <v>2</v>
      </c>
      <c r="CN2103">
        <v>0</v>
      </c>
      <c r="CO2103">
        <v>7</v>
      </c>
      <c r="CP2103" t="s">
        <v>119</v>
      </c>
      <c r="CQ2103">
        <v>364</v>
      </c>
      <c r="CR2103">
        <v>0</v>
      </c>
      <c r="CW2103">
        <v>1445774</v>
      </c>
      <c r="CY2103">
        <v>1</v>
      </c>
      <c r="CZ2103">
        <v>0</v>
      </c>
      <c r="DA2103">
        <v>1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>"03/24/2022 22:18:18.653"</f>
        <v>03/24/2022 22:18:18.653</v>
      </c>
      <c r="C2104" t="str">
        <f t="shared" si="620"/>
        <v>FFDFD3C0</v>
      </c>
      <c r="D2104" t="s">
        <v>120</v>
      </c>
      <c r="E2104">
        <v>14</v>
      </c>
      <c r="F2104">
        <v>1014</v>
      </c>
      <c r="G2104" t="s">
        <v>121</v>
      </c>
      <c r="J2104" t="s">
        <v>122</v>
      </c>
      <c r="K2104">
        <v>0</v>
      </c>
      <c r="L2104">
        <v>3</v>
      </c>
      <c r="M2104">
        <v>0</v>
      </c>
      <c r="N2104">
        <v>2</v>
      </c>
      <c r="O2104">
        <v>0</v>
      </c>
      <c r="P2104">
        <v>1</v>
      </c>
      <c r="Q2104">
        <v>0</v>
      </c>
      <c r="S2104" t="str">
        <f t="shared" si="629"/>
        <v>22:18:18.000</v>
      </c>
      <c r="T2104" t="str">
        <f t="shared" si="629"/>
        <v>22:18:18.000</v>
      </c>
      <c r="U2104" t="str">
        <f t="shared" si="614"/>
        <v>A9D71F</v>
      </c>
      <c r="V2104">
        <v>0</v>
      </c>
      <c r="W2104">
        <v>0</v>
      </c>
      <c r="X2104">
        <v>2</v>
      </c>
      <c r="Z2104">
        <v>1</v>
      </c>
      <c r="AA2104">
        <v>8</v>
      </c>
      <c r="AB2104">
        <v>3</v>
      </c>
      <c r="AC2104">
        <v>0</v>
      </c>
      <c r="AD2104">
        <v>9</v>
      </c>
      <c r="AE2104">
        <v>0</v>
      </c>
      <c r="AF2104">
        <v>3</v>
      </c>
      <c r="AG2104">
        <v>1</v>
      </c>
      <c r="AH2104">
        <v>0</v>
      </c>
      <c r="AI2104" t="s">
        <v>1102</v>
      </c>
      <c r="AJ2104">
        <v>33.023229000000001</v>
      </c>
      <c r="AK2104" t="s">
        <v>1103</v>
      </c>
      <c r="AL2104">
        <v>-97.653994999999995</v>
      </c>
      <c r="AM2104">
        <v>25</v>
      </c>
      <c r="AN2104">
        <v>3300</v>
      </c>
      <c r="AO2104" t="s">
        <v>118</v>
      </c>
      <c r="AP2104">
        <v>36</v>
      </c>
      <c r="AQ2104">
        <v>-77</v>
      </c>
      <c r="AR2104">
        <v>-128</v>
      </c>
      <c r="AZ2104">
        <v>1200</v>
      </c>
      <c r="BA2104">
        <v>1</v>
      </c>
      <c r="BB2104" t="str">
        <f t="shared" si="621"/>
        <v xml:space="preserve">N733KP  </v>
      </c>
      <c r="BC2104">
        <v>1</v>
      </c>
      <c r="BE2104">
        <v>0</v>
      </c>
      <c r="BF2104">
        <v>0</v>
      </c>
      <c r="BG2104">
        <v>0</v>
      </c>
      <c r="BH2104">
        <v>3375</v>
      </c>
      <c r="BI2104">
        <v>1</v>
      </c>
      <c r="BJ2104">
        <v>1</v>
      </c>
      <c r="BK2104">
        <v>0</v>
      </c>
      <c r="BL2104">
        <v>0</v>
      </c>
      <c r="BO2104">
        <v>0</v>
      </c>
      <c r="BP2104">
        <v>0</v>
      </c>
      <c r="BW2104" t="str">
        <f>"22:18:18.400"</f>
        <v>22:18:18.400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119</v>
      </c>
      <c r="CQ2104">
        <v>364</v>
      </c>
      <c r="CR2104">
        <v>0</v>
      </c>
      <c r="CW2104">
        <v>1445774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>"03/24/2022 22:18:19.762"</f>
        <v>03/24/2022 22:18:19.762</v>
      </c>
      <c r="C2105" t="str">
        <f t="shared" si="620"/>
        <v>FFDFD3C0</v>
      </c>
      <c r="D2105" t="s">
        <v>113</v>
      </c>
      <c r="E2105">
        <v>24</v>
      </c>
      <c r="F2105">
        <v>2024</v>
      </c>
      <c r="G2105" t="s">
        <v>114</v>
      </c>
      <c r="J2105" t="s">
        <v>115</v>
      </c>
      <c r="K2105">
        <v>0</v>
      </c>
      <c r="L2105">
        <v>3</v>
      </c>
      <c r="M2105">
        <v>0</v>
      </c>
      <c r="N2105">
        <v>2</v>
      </c>
      <c r="O2105">
        <v>0</v>
      </c>
      <c r="P2105">
        <v>1</v>
      </c>
      <c r="Q2105">
        <v>0</v>
      </c>
      <c r="S2105" t="str">
        <f t="shared" ref="S2105:T2108" si="630">"22:18:19.000"</f>
        <v>22:18:19.000</v>
      </c>
      <c r="T2105" t="str">
        <f t="shared" si="630"/>
        <v>22:18:19.000</v>
      </c>
      <c r="U2105" t="str">
        <f t="shared" si="614"/>
        <v>A9D71F</v>
      </c>
      <c r="V2105">
        <v>0</v>
      </c>
      <c r="W2105">
        <v>0</v>
      </c>
      <c r="X2105">
        <v>2</v>
      </c>
      <c r="Z2105">
        <v>1</v>
      </c>
      <c r="AA2105">
        <v>8</v>
      </c>
      <c r="AB2105">
        <v>3</v>
      </c>
      <c r="AC2105">
        <v>0</v>
      </c>
      <c r="AD2105">
        <v>9</v>
      </c>
      <c r="AE2105">
        <v>0</v>
      </c>
      <c r="AF2105">
        <v>3</v>
      </c>
      <c r="AG2105">
        <v>1</v>
      </c>
      <c r="AH2105">
        <v>0</v>
      </c>
      <c r="AI2105" t="s">
        <v>1104</v>
      </c>
      <c r="AJ2105">
        <v>33.022885000000002</v>
      </c>
      <c r="AK2105" t="s">
        <v>1105</v>
      </c>
      <c r="AL2105">
        <v>-97.653801000000001</v>
      </c>
      <c r="AM2105">
        <v>25</v>
      </c>
      <c r="AN2105">
        <v>3300</v>
      </c>
      <c r="AO2105" t="s">
        <v>118</v>
      </c>
      <c r="AP2105">
        <v>35</v>
      </c>
      <c r="AQ2105">
        <v>-78</v>
      </c>
      <c r="AR2105">
        <v>-128</v>
      </c>
      <c r="AZ2105">
        <v>1200</v>
      </c>
      <c r="BA2105">
        <v>1</v>
      </c>
      <c r="BB2105" t="str">
        <f t="shared" si="621"/>
        <v xml:space="preserve">N733KP  </v>
      </c>
      <c r="BC2105">
        <v>1</v>
      </c>
      <c r="BE2105">
        <v>0</v>
      </c>
      <c r="BF2105">
        <v>0</v>
      </c>
      <c r="BG2105">
        <v>0</v>
      </c>
      <c r="BH2105">
        <v>3375</v>
      </c>
      <c r="BI2105">
        <v>1</v>
      </c>
      <c r="BJ2105">
        <v>1</v>
      </c>
      <c r="BK2105">
        <v>0</v>
      </c>
      <c r="BL2105">
        <v>0</v>
      </c>
      <c r="BO2105">
        <v>0</v>
      </c>
      <c r="BP2105">
        <v>0</v>
      </c>
      <c r="BW2105" t="str">
        <f>"22:18:19.539"</f>
        <v>22:18:19.539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6</v>
      </c>
      <c r="CP2105" t="s">
        <v>119</v>
      </c>
      <c r="CQ2105">
        <v>364</v>
      </c>
      <c r="CR2105">
        <v>0</v>
      </c>
      <c r="CW2105">
        <v>1445922</v>
      </c>
      <c r="CY2105">
        <v>1</v>
      </c>
      <c r="CZ2105">
        <v>0</v>
      </c>
      <c r="DA2105">
        <v>0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>"03/24/2022 22:18:19.762"</f>
        <v>03/24/2022 22:18:19.762</v>
      </c>
      <c r="C2106" t="str">
        <f t="shared" si="620"/>
        <v>FFDFD3C0</v>
      </c>
      <c r="D2106" t="s">
        <v>120</v>
      </c>
      <c r="E2106">
        <v>14</v>
      </c>
      <c r="F2106">
        <v>1014</v>
      </c>
      <c r="G2106" t="s">
        <v>121</v>
      </c>
      <c r="J2106" t="s">
        <v>122</v>
      </c>
      <c r="K2106">
        <v>0</v>
      </c>
      <c r="L2106">
        <v>3</v>
      </c>
      <c r="M2106">
        <v>0</v>
      </c>
      <c r="N2106">
        <v>2</v>
      </c>
      <c r="O2106">
        <v>0</v>
      </c>
      <c r="P2106">
        <v>1</v>
      </c>
      <c r="Q2106">
        <v>0</v>
      </c>
      <c r="S2106" t="str">
        <f t="shared" si="630"/>
        <v>22:18:19.000</v>
      </c>
      <c r="T2106" t="str">
        <f t="shared" si="630"/>
        <v>22:18:19.000</v>
      </c>
      <c r="U2106" t="str">
        <f t="shared" si="614"/>
        <v>A9D71F</v>
      </c>
      <c r="V2106">
        <v>0</v>
      </c>
      <c r="W2106">
        <v>0</v>
      </c>
      <c r="X2106">
        <v>2</v>
      </c>
      <c r="Z2106">
        <v>1</v>
      </c>
      <c r="AA2106">
        <v>8</v>
      </c>
      <c r="AB2106">
        <v>3</v>
      </c>
      <c r="AC2106">
        <v>0</v>
      </c>
      <c r="AD2106">
        <v>9</v>
      </c>
      <c r="AE2106">
        <v>0</v>
      </c>
      <c r="AF2106">
        <v>3</v>
      </c>
      <c r="AG2106">
        <v>1</v>
      </c>
      <c r="AH2106">
        <v>0</v>
      </c>
      <c r="AI2106" t="s">
        <v>1104</v>
      </c>
      <c r="AJ2106">
        <v>33.022885000000002</v>
      </c>
      <c r="AK2106" t="s">
        <v>1105</v>
      </c>
      <c r="AL2106">
        <v>-97.653801000000001</v>
      </c>
      <c r="AM2106">
        <v>25</v>
      </c>
      <c r="AN2106">
        <v>3300</v>
      </c>
      <c r="AO2106" t="s">
        <v>118</v>
      </c>
      <c r="AP2106">
        <v>35</v>
      </c>
      <c r="AQ2106">
        <v>-78</v>
      </c>
      <c r="AR2106">
        <v>-128</v>
      </c>
      <c r="AZ2106">
        <v>1200</v>
      </c>
      <c r="BA2106">
        <v>1</v>
      </c>
      <c r="BB2106" t="str">
        <f t="shared" si="621"/>
        <v xml:space="preserve">N733KP  </v>
      </c>
      <c r="BC2106">
        <v>1</v>
      </c>
      <c r="BE2106">
        <v>0</v>
      </c>
      <c r="BF2106">
        <v>0</v>
      </c>
      <c r="BG2106">
        <v>0</v>
      </c>
      <c r="BH2106">
        <v>3375</v>
      </c>
      <c r="BI2106">
        <v>1</v>
      </c>
      <c r="BJ2106">
        <v>1</v>
      </c>
      <c r="BK2106">
        <v>0</v>
      </c>
      <c r="BL2106">
        <v>0</v>
      </c>
      <c r="BO2106">
        <v>0</v>
      </c>
      <c r="BP2106">
        <v>0</v>
      </c>
      <c r="BW2106" t="str">
        <f>"22:18:19.539"</f>
        <v>22:18:19.539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6</v>
      </c>
      <c r="CP2106" t="s">
        <v>119</v>
      </c>
      <c r="CQ2106">
        <v>364</v>
      </c>
      <c r="CR2106">
        <v>0</v>
      </c>
      <c r="CW2106">
        <v>1445922</v>
      </c>
      <c r="CY2106">
        <v>1</v>
      </c>
      <c r="CZ2106">
        <v>0</v>
      </c>
      <c r="DA2106">
        <v>1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>"03/24/2022 22:18:19.762"</f>
        <v>03/24/2022 22:18:19.762</v>
      </c>
      <c r="C2107" t="str">
        <f t="shared" si="620"/>
        <v>FFDFD3C0</v>
      </c>
      <c r="D2107" t="s">
        <v>126</v>
      </c>
      <c r="E2107">
        <v>3</v>
      </c>
      <c r="H2107">
        <v>160</v>
      </c>
      <c r="I2107" t="s">
        <v>121</v>
      </c>
      <c r="J2107" t="s">
        <v>127</v>
      </c>
      <c r="K2107">
        <v>0</v>
      </c>
      <c r="L2107">
        <v>3</v>
      </c>
      <c r="M2107">
        <v>0</v>
      </c>
      <c r="N2107">
        <v>2</v>
      </c>
      <c r="O2107">
        <v>0</v>
      </c>
      <c r="P2107">
        <v>1</v>
      </c>
      <c r="Q2107">
        <v>0</v>
      </c>
      <c r="S2107" t="str">
        <f t="shared" si="630"/>
        <v>22:18:19.000</v>
      </c>
      <c r="T2107" t="str">
        <f t="shared" si="630"/>
        <v>22:18:19.000</v>
      </c>
      <c r="U2107" t="str">
        <f t="shared" si="614"/>
        <v>A9D71F</v>
      </c>
      <c r="V2107">
        <v>0</v>
      </c>
      <c r="W2107">
        <v>0</v>
      </c>
      <c r="X2107">
        <v>2</v>
      </c>
      <c r="Z2107">
        <v>1</v>
      </c>
      <c r="AA2107">
        <v>8</v>
      </c>
      <c r="AB2107">
        <v>3</v>
      </c>
      <c r="AC2107">
        <v>0</v>
      </c>
      <c r="AD2107">
        <v>9</v>
      </c>
      <c r="AE2107">
        <v>0</v>
      </c>
      <c r="AF2107">
        <v>3</v>
      </c>
      <c r="AG2107">
        <v>1</v>
      </c>
      <c r="AH2107">
        <v>0</v>
      </c>
      <c r="AI2107" t="s">
        <v>1104</v>
      </c>
      <c r="AJ2107">
        <v>33.022885000000002</v>
      </c>
      <c r="AK2107" t="s">
        <v>1105</v>
      </c>
      <c r="AL2107">
        <v>-97.653801000000001</v>
      </c>
      <c r="AM2107">
        <v>25</v>
      </c>
      <c r="AN2107">
        <v>3300</v>
      </c>
      <c r="AO2107" t="s">
        <v>118</v>
      </c>
      <c r="AP2107">
        <v>35</v>
      </c>
      <c r="AQ2107">
        <v>-78</v>
      </c>
      <c r="AR2107">
        <v>-128</v>
      </c>
      <c r="AZ2107">
        <v>1200</v>
      </c>
      <c r="BA2107">
        <v>1</v>
      </c>
      <c r="BB2107" t="str">
        <f t="shared" si="621"/>
        <v xml:space="preserve">N733KP  </v>
      </c>
      <c r="BC2107">
        <v>1</v>
      </c>
      <c r="BE2107">
        <v>0</v>
      </c>
      <c r="BF2107">
        <v>0</v>
      </c>
      <c r="BG2107">
        <v>0</v>
      </c>
      <c r="BH2107">
        <v>3375</v>
      </c>
      <c r="BI2107">
        <v>1</v>
      </c>
      <c r="BJ2107">
        <v>1</v>
      </c>
      <c r="BK2107">
        <v>0</v>
      </c>
      <c r="BL2107">
        <v>0</v>
      </c>
      <c r="BO2107">
        <v>0</v>
      </c>
      <c r="BP2107">
        <v>0</v>
      </c>
      <c r="BW2107" t="str">
        <f>"22:18:19.539"</f>
        <v>22:18:19.539</v>
      </c>
      <c r="CJ2107">
        <v>0</v>
      </c>
      <c r="CK2107">
        <v>2</v>
      </c>
      <c r="CL2107">
        <v>0</v>
      </c>
      <c r="CM2107">
        <v>2</v>
      </c>
      <c r="CN2107">
        <v>0</v>
      </c>
      <c r="CO2107">
        <v>6</v>
      </c>
      <c r="CP2107" t="s">
        <v>119</v>
      </c>
      <c r="CQ2107">
        <v>364</v>
      </c>
      <c r="CR2107">
        <v>0</v>
      </c>
      <c r="CW2107">
        <v>1445922</v>
      </c>
      <c r="CY2107">
        <v>1</v>
      </c>
      <c r="CZ2107">
        <v>0</v>
      </c>
      <c r="DA2107">
        <v>1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>"03/24/2022 22:18:19.762"</f>
        <v>03/24/2022 22:18:19.762</v>
      </c>
      <c r="C2108" t="str">
        <f t="shared" si="620"/>
        <v>FFDFD3C0</v>
      </c>
      <c r="D2108" t="s">
        <v>123</v>
      </c>
      <c r="E2108">
        <v>8</v>
      </c>
      <c r="H2108">
        <v>31</v>
      </c>
      <c r="I2108" t="s">
        <v>124</v>
      </c>
      <c r="J2108" t="s">
        <v>125</v>
      </c>
      <c r="K2108">
        <v>0</v>
      </c>
      <c r="L2108">
        <v>3</v>
      </c>
      <c r="M2108">
        <v>0</v>
      </c>
      <c r="N2108">
        <v>2</v>
      </c>
      <c r="O2108">
        <v>0</v>
      </c>
      <c r="P2108">
        <v>1</v>
      </c>
      <c r="Q2108">
        <v>0</v>
      </c>
      <c r="S2108" t="str">
        <f t="shared" si="630"/>
        <v>22:18:19.000</v>
      </c>
      <c r="T2108" t="str">
        <f t="shared" si="630"/>
        <v>22:18:19.000</v>
      </c>
      <c r="U2108" t="str">
        <f t="shared" si="614"/>
        <v>A9D71F</v>
      </c>
      <c r="V2108">
        <v>0</v>
      </c>
      <c r="W2108">
        <v>0</v>
      </c>
      <c r="X2108">
        <v>2</v>
      </c>
      <c r="Z2108">
        <v>1</v>
      </c>
      <c r="AA2108">
        <v>8</v>
      </c>
      <c r="AB2108">
        <v>3</v>
      </c>
      <c r="AC2108">
        <v>0</v>
      </c>
      <c r="AD2108">
        <v>9</v>
      </c>
      <c r="AE2108">
        <v>0</v>
      </c>
      <c r="AF2108">
        <v>3</v>
      </c>
      <c r="AG2108">
        <v>1</v>
      </c>
      <c r="AH2108">
        <v>0</v>
      </c>
      <c r="AI2108" t="s">
        <v>1104</v>
      </c>
      <c r="AJ2108">
        <v>33.022885000000002</v>
      </c>
      <c r="AK2108" t="s">
        <v>1105</v>
      </c>
      <c r="AL2108">
        <v>-97.653801000000001</v>
      </c>
      <c r="AM2108">
        <v>25</v>
      </c>
      <c r="AN2108">
        <v>3300</v>
      </c>
      <c r="AO2108" t="s">
        <v>118</v>
      </c>
      <c r="AP2108">
        <v>35</v>
      </c>
      <c r="AQ2108">
        <v>-78</v>
      </c>
      <c r="AR2108">
        <v>-128</v>
      </c>
      <c r="AZ2108">
        <v>1200</v>
      </c>
      <c r="BA2108">
        <v>1</v>
      </c>
      <c r="BB2108" t="str">
        <f t="shared" si="621"/>
        <v xml:space="preserve">N733KP  </v>
      </c>
      <c r="BC2108">
        <v>1</v>
      </c>
      <c r="BE2108">
        <v>0</v>
      </c>
      <c r="BF2108">
        <v>0</v>
      </c>
      <c r="BG2108">
        <v>0</v>
      </c>
      <c r="BH2108">
        <v>3375</v>
      </c>
      <c r="BI2108">
        <v>1</v>
      </c>
      <c r="BJ2108">
        <v>1</v>
      </c>
      <c r="BK2108">
        <v>0</v>
      </c>
      <c r="BL2108">
        <v>0</v>
      </c>
      <c r="BO2108">
        <v>0</v>
      </c>
      <c r="BP2108">
        <v>0</v>
      </c>
      <c r="BW2108" t="str">
        <f>"22:18:19.539"</f>
        <v>22:18:19.539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6</v>
      </c>
      <c r="CP2108" t="s">
        <v>119</v>
      </c>
      <c r="CQ2108">
        <v>364</v>
      </c>
      <c r="CR2108">
        <v>0</v>
      </c>
      <c r="CW2108">
        <v>1445922</v>
      </c>
      <c r="CY2108">
        <v>1</v>
      </c>
      <c r="CZ2108">
        <v>0</v>
      </c>
      <c r="DA2108">
        <v>1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>"03/24/2022 22:18:20.434"</f>
        <v>03/24/2022 22:18:20.434</v>
      </c>
      <c r="C2109" t="str">
        <f t="shared" si="620"/>
        <v>FFDFD3C0</v>
      </c>
      <c r="D2109" t="s">
        <v>123</v>
      </c>
      <c r="E2109">
        <v>8</v>
      </c>
      <c r="H2109">
        <v>31</v>
      </c>
      <c r="I2109" t="s">
        <v>124</v>
      </c>
      <c r="J2109" t="s">
        <v>125</v>
      </c>
      <c r="K2109">
        <v>0</v>
      </c>
      <c r="L2109">
        <v>3</v>
      </c>
      <c r="M2109">
        <v>0</v>
      </c>
      <c r="N2109">
        <v>2</v>
      </c>
      <c r="O2109">
        <v>0</v>
      </c>
      <c r="P2109">
        <v>1</v>
      </c>
      <c r="Q2109">
        <v>0</v>
      </c>
      <c r="S2109" t="str">
        <f t="shared" ref="S2109:T2112" si="631">"22:18:20.000"</f>
        <v>22:18:20.000</v>
      </c>
      <c r="T2109" t="str">
        <f t="shared" si="631"/>
        <v>22:18:20.000</v>
      </c>
      <c r="U2109" t="str">
        <f t="shared" si="614"/>
        <v>A9D71F</v>
      </c>
      <c r="V2109">
        <v>0</v>
      </c>
      <c r="W2109">
        <v>0</v>
      </c>
      <c r="X2109">
        <v>2</v>
      </c>
      <c r="Z2109">
        <v>1</v>
      </c>
      <c r="AA2109">
        <v>8</v>
      </c>
      <c r="AB2109">
        <v>3</v>
      </c>
      <c r="AC2109">
        <v>0</v>
      </c>
      <c r="AD2109">
        <v>9</v>
      </c>
      <c r="AE2109">
        <v>0</v>
      </c>
      <c r="AF2109">
        <v>3</v>
      </c>
      <c r="AG2109">
        <v>1</v>
      </c>
      <c r="AH2109">
        <v>0</v>
      </c>
      <c r="AI2109" t="s">
        <v>1106</v>
      </c>
      <c r="AJ2109">
        <v>33.022499000000003</v>
      </c>
      <c r="AK2109" t="s">
        <v>1107</v>
      </c>
      <c r="AL2109">
        <v>-97.653565</v>
      </c>
      <c r="AM2109">
        <v>25</v>
      </c>
      <c r="AN2109">
        <v>3300</v>
      </c>
      <c r="AO2109" t="s">
        <v>118</v>
      </c>
      <c r="AP2109">
        <v>34</v>
      </c>
      <c r="AQ2109">
        <v>-80</v>
      </c>
      <c r="AR2109">
        <v>0</v>
      </c>
      <c r="AZ2109">
        <v>1200</v>
      </c>
      <c r="BA2109">
        <v>1</v>
      </c>
      <c r="BB2109" t="str">
        <f t="shared" si="621"/>
        <v xml:space="preserve">N733KP  </v>
      </c>
      <c r="BC2109">
        <v>1</v>
      </c>
      <c r="BE2109">
        <v>0</v>
      </c>
      <c r="BF2109">
        <v>0</v>
      </c>
      <c r="BG2109">
        <v>0</v>
      </c>
      <c r="BH2109">
        <v>3375</v>
      </c>
      <c r="BI2109">
        <v>1</v>
      </c>
      <c r="BJ2109">
        <v>1</v>
      </c>
      <c r="BK2109">
        <v>0</v>
      </c>
      <c r="BL2109">
        <v>0</v>
      </c>
      <c r="BO2109">
        <v>0</v>
      </c>
      <c r="BP2109">
        <v>0</v>
      </c>
      <c r="BW2109" t="str">
        <f>"22:18:20.279"</f>
        <v>22:18:20.279</v>
      </c>
      <c r="CJ2109">
        <v>0</v>
      </c>
      <c r="CK2109">
        <v>2</v>
      </c>
      <c r="CL2109">
        <v>0</v>
      </c>
      <c r="CM2109">
        <v>2</v>
      </c>
      <c r="CN2109">
        <v>0</v>
      </c>
      <c r="CO2109">
        <v>7</v>
      </c>
      <c r="CP2109" t="s">
        <v>119</v>
      </c>
      <c r="CQ2109">
        <v>364</v>
      </c>
      <c r="CR2109">
        <v>0</v>
      </c>
      <c r="CW2109">
        <v>1446023</v>
      </c>
      <c r="CY2109">
        <v>1</v>
      </c>
      <c r="CZ2109">
        <v>0</v>
      </c>
      <c r="DA2109">
        <v>0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>"03/24/2022 22:18:20.434"</f>
        <v>03/24/2022 22:18:20.434</v>
      </c>
      <c r="C2110" t="str">
        <f t="shared" si="620"/>
        <v>FFDFD3C0</v>
      </c>
      <c r="D2110" t="s">
        <v>126</v>
      </c>
      <c r="E2110">
        <v>3</v>
      </c>
      <c r="H2110">
        <v>160</v>
      </c>
      <c r="I2110" t="s">
        <v>121</v>
      </c>
      <c r="J2110" t="s">
        <v>127</v>
      </c>
      <c r="K2110">
        <v>0</v>
      </c>
      <c r="L2110">
        <v>3</v>
      </c>
      <c r="M2110">
        <v>0</v>
      </c>
      <c r="N2110">
        <v>2</v>
      </c>
      <c r="O2110">
        <v>0</v>
      </c>
      <c r="P2110">
        <v>1</v>
      </c>
      <c r="Q2110">
        <v>0</v>
      </c>
      <c r="S2110" t="str">
        <f t="shared" si="631"/>
        <v>22:18:20.000</v>
      </c>
      <c r="T2110" t="str">
        <f t="shared" si="631"/>
        <v>22:18:20.000</v>
      </c>
      <c r="U2110" t="str">
        <f t="shared" si="614"/>
        <v>A9D71F</v>
      </c>
      <c r="V2110">
        <v>0</v>
      </c>
      <c r="W2110">
        <v>0</v>
      </c>
      <c r="X2110">
        <v>2</v>
      </c>
      <c r="Z2110">
        <v>1</v>
      </c>
      <c r="AA2110">
        <v>8</v>
      </c>
      <c r="AB2110">
        <v>3</v>
      </c>
      <c r="AC2110">
        <v>0</v>
      </c>
      <c r="AD2110">
        <v>9</v>
      </c>
      <c r="AE2110">
        <v>0</v>
      </c>
      <c r="AF2110">
        <v>3</v>
      </c>
      <c r="AG2110">
        <v>1</v>
      </c>
      <c r="AH2110">
        <v>0</v>
      </c>
      <c r="AI2110" t="s">
        <v>1106</v>
      </c>
      <c r="AJ2110">
        <v>33.022499000000003</v>
      </c>
      <c r="AK2110" t="s">
        <v>1107</v>
      </c>
      <c r="AL2110">
        <v>-97.653565</v>
      </c>
      <c r="AM2110">
        <v>25</v>
      </c>
      <c r="AN2110">
        <v>3300</v>
      </c>
      <c r="AO2110" t="s">
        <v>118</v>
      </c>
      <c r="AP2110">
        <v>34</v>
      </c>
      <c r="AQ2110">
        <v>-80</v>
      </c>
      <c r="AR2110">
        <v>0</v>
      </c>
      <c r="AZ2110">
        <v>1200</v>
      </c>
      <c r="BA2110">
        <v>1</v>
      </c>
      <c r="BB2110" t="str">
        <f t="shared" si="621"/>
        <v xml:space="preserve">N733KP  </v>
      </c>
      <c r="BC2110">
        <v>1</v>
      </c>
      <c r="BE2110">
        <v>0</v>
      </c>
      <c r="BF2110">
        <v>0</v>
      </c>
      <c r="BG2110">
        <v>0</v>
      </c>
      <c r="BH2110">
        <v>3375</v>
      </c>
      <c r="BI2110">
        <v>1</v>
      </c>
      <c r="BJ2110">
        <v>1</v>
      </c>
      <c r="BK2110">
        <v>0</v>
      </c>
      <c r="BL2110">
        <v>0</v>
      </c>
      <c r="BO2110">
        <v>0</v>
      </c>
      <c r="BP2110">
        <v>0</v>
      </c>
      <c r="BW2110" t="str">
        <f>"22:18:20.279"</f>
        <v>22:18:20.279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7</v>
      </c>
      <c r="CP2110" t="s">
        <v>119</v>
      </c>
      <c r="CQ2110">
        <v>364</v>
      </c>
      <c r="CR2110">
        <v>0</v>
      </c>
      <c r="CW2110">
        <v>1446023</v>
      </c>
      <c r="CY2110">
        <v>1</v>
      </c>
      <c r="CZ2110">
        <v>0</v>
      </c>
      <c r="DA2110">
        <v>1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>"03/24/2022 22:18:20.465"</f>
        <v>03/24/2022 22:18:20.465</v>
      </c>
      <c r="C2111" t="str">
        <f t="shared" si="620"/>
        <v>FFDFD3C0</v>
      </c>
      <c r="D2111" t="s">
        <v>113</v>
      </c>
      <c r="E2111">
        <v>24</v>
      </c>
      <c r="F2111">
        <v>2024</v>
      </c>
      <c r="G2111" t="s">
        <v>114</v>
      </c>
      <c r="J2111" t="s">
        <v>115</v>
      </c>
      <c r="K2111">
        <v>0</v>
      </c>
      <c r="L2111">
        <v>3</v>
      </c>
      <c r="M2111">
        <v>0</v>
      </c>
      <c r="N2111">
        <v>2</v>
      </c>
      <c r="O2111">
        <v>0</v>
      </c>
      <c r="P2111">
        <v>1</v>
      </c>
      <c r="Q2111">
        <v>0</v>
      </c>
      <c r="S2111" t="str">
        <f t="shared" si="631"/>
        <v>22:18:20.000</v>
      </c>
      <c r="T2111" t="str">
        <f t="shared" si="631"/>
        <v>22:18:20.000</v>
      </c>
      <c r="U2111" t="str">
        <f t="shared" si="614"/>
        <v>A9D71F</v>
      </c>
      <c r="V2111">
        <v>0</v>
      </c>
      <c r="W2111">
        <v>0</v>
      </c>
      <c r="X2111">
        <v>2</v>
      </c>
      <c r="Z2111">
        <v>1</v>
      </c>
      <c r="AA2111">
        <v>8</v>
      </c>
      <c r="AB2111">
        <v>3</v>
      </c>
      <c r="AC2111">
        <v>0</v>
      </c>
      <c r="AD2111">
        <v>9</v>
      </c>
      <c r="AE2111">
        <v>0</v>
      </c>
      <c r="AF2111">
        <v>3</v>
      </c>
      <c r="AG2111">
        <v>1</v>
      </c>
      <c r="AH2111">
        <v>0</v>
      </c>
      <c r="AI2111" t="s">
        <v>1106</v>
      </c>
      <c r="AJ2111">
        <v>33.022499000000003</v>
      </c>
      <c r="AK2111" t="s">
        <v>1107</v>
      </c>
      <c r="AL2111">
        <v>-97.653565</v>
      </c>
      <c r="AM2111">
        <v>25</v>
      </c>
      <c r="AN2111">
        <v>3300</v>
      </c>
      <c r="AO2111" t="s">
        <v>118</v>
      </c>
      <c r="AP2111">
        <v>34</v>
      </c>
      <c r="AQ2111">
        <v>-80</v>
      </c>
      <c r="AR2111">
        <v>0</v>
      </c>
      <c r="AZ2111">
        <v>1200</v>
      </c>
      <c r="BA2111">
        <v>1</v>
      </c>
      <c r="BB2111" t="str">
        <f t="shared" si="621"/>
        <v xml:space="preserve">N733KP  </v>
      </c>
      <c r="BC2111">
        <v>1</v>
      </c>
      <c r="BE2111">
        <v>0</v>
      </c>
      <c r="BF2111">
        <v>0</v>
      </c>
      <c r="BG2111">
        <v>0</v>
      </c>
      <c r="BH2111">
        <v>3375</v>
      </c>
      <c r="BI2111">
        <v>1</v>
      </c>
      <c r="BJ2111">
        <v>1</v>
      </c>
      <c r="BK2111">
        <v>0</v>
      </c>
      <c r="BL2111">
        <v>0</v>
      </c>
      <c r="BO2111">
        <v>0</v>
      </c>
      <c r="BP2111">
        <v>0</v>
      </c>
      <c r="BW2111" t="str">
        <f>"22:18:20.279"</f>
        <v>22:18:20.279</v>
      </c>
      <c r="CJ2111">
        <v>0</v>
      </c>
      <c r="CK2111">
        <v>2</v>
      </c>
      <c r="CL2111">
        <v>0</v>
      </c>
      <c r="CM2111">
        <v>2</v>
      </c>
      <c r="CN2111">
        <v>0</v>
      </c>
      <c r="CO2111">
        <v>7</v>
      </c>
      <c r="CP2111" t="s">
        <v>119</v>
      </c>
      <c r="CQ2111">
        <v>364</v>
      </c>
      <c r="CR2111">
        <v>0</v>
      </c>
      <c r="CW2111">
        <v>1446023</v>
      </c>
      <c r="CY2111">
        <v>1</v>
      </c>
      <c r="CZ2111">
        <v>0</v>
      </c>
      <c r="DA2111">
        <v>1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>"03/24/2022 22:18:20.465"</f>
        <v>03/24/2022 22:18:20.465</v>
      </c>
      <c r="C2112" t="str">
        <f t="shared" si="620"/>
        <v>FFDFD3C0</v>
      </c>
      <c r="D2112" t="s">
        <v>120</v>
      </c>
      <c r="E2112">
        <v>14</v>
      </c>
      <c r="F2112">
        <v>1014</v>
      </c>
      <c r="G2112" t="s">
        <v>121</v>
      </c>
      <c r="J2112" t="s">
        <v>122</v>
      </c>
      <c r="K2112">
        <v>0</v>
      </c>
      <c r="L2112">
        <v>3</v>
      </c>
      <c r="M2112">
        <v>0</v>
      </c>
      <c r="N2112">
        <v>2</v>
      </c>
      <c r="O2112">
        <v>0</v>
      </c>
      <c r="P2112">
        <v>1</v>
      </c>
      <c r="Q2112">
        <v>0</v>
      </c>
      <c r="S2112" t="str">
        <f t="shared" si="631"/>
        <v>22:18:20.000</v>
      </c>
      <c r="T2112" t="str">
        <f t="shared" si="631"/>
        <v>22:18:20.000</v>
      </c>
      <c r="U2112" t="str">
        <f t="shared" si="614"/>
        <v>A9D71F</v>
      </c>
      <c r="V2112">
        <v>0</v>
      </c>
      <c r="W2112">
        <v>0</v>
      </c>
      <c r="X2112">
        <v>2</v>
      </c>
      <c r="Z2112">
        <v>1</v>
      </c>
      <c r="AA2112">
        <v>8</v>
      </c>
      <c r="AB2112">
        <v>3</v>
      </c>
      <c r="AC2112">
        <v>0</v>
      </c>
      <c r="AD2112">
        <v>9</v>
      </c>
      <c r="AE2112">
        <v>0</v>
      </c>
      <c r="AF2112">
        <v>3</v>
      </c>
      <c r="AG2112">
        <v>1</v>
      </c>
      <c r="AH2112">
        <v>0</v>
      </c>
      <c r="AI2112" t="s">
        <v>1106</v>
      </c>
      <c r="AJ2112">
        <v>33.022499000000003</v>
      </c>
      <c r="AK2112" t="s">
        <v>1107</v>
      </c>
      <c r="AL2112">
        <v>-97.653565</v>
      </c>
      <c r="AM2112">
        <v>25</v>
      </c>
      <c r="AN2112">
        <v>3300</v>
      </c>
      <c r="AO2112" t="s">
        <v>118</v>
      </c>
      <c r="AP2112">
        <v>34</v>
      </c>
      <c r="AQ2112">
        <v>-80</v>
      </c>
      <c r="AR2112">
        <v>0</v>
      </c>
      <c r="AZ2112">
        <v>1200</v>
      </c>
      <c r="BA2112">
        <v>1</v>
      </c>
      <c r="BB2112" t="str">
        <f t="shared" si="621"/>
        <v xml:space="preserve">N733KP  </v>
      </c>
      <c r="BC2112">
        <v>1</v>
      </c>
      <c r="BE2112">
        <v>0</v>
      </c>
      <c r="BF2112">
        <v>0</v>
      </c>
      <c r="BG2112">
        <v>0</v>
      </c>
      <c r="BH2112">
        <v>3375</v>
      </c>
      <c r="BI2112">
        <v>1</v>
      </c>
      <c r="BJ2112">
        <v>1</v>
      </c>
      <c r="BK2112">
        <v>0</v>
      </c>
      <c r="BL2112">
        <v>0</v>
      </c>
      <c r="BO2112">
        <v>0</v>
      </c>
      <c r="BP2112">
        <v>0</v>
      </c>
      <c r="BW2112" t="str">
        <f>"22:18:20.279"</f>
        <v>22:18:20.279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7</v>
      </c>
      <c r="CP2112" t="s">
        <v>119</v>
      </c>
      <c r="CQ2112">
        <v>364</v>
      </c>
      <c r="CR2112">
        <v>0</v>
      </c>
      <c r="CW2112">
        <v>1446023</v>
      </c>
      <c r="CY2112">
        <v>1</v>
      </c>
      <c r="CZ2112">
        <v>0</v>
      </c>
      <c r="DA2112">
        <v>1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>"03/24/2022 22:18:22.045"</f>
        <v>03/24/2022 22:18:22.045</v>
      </c>
      <c r="C2113" t="str">
        <f t="shared" si="620"/>
        <v>FFDFD3C0</v>
      </c>
      <c r="D2113" t="s">
        <v>120</v>
      </c>
      <c r="E2113">
        <v>14</v>
      </c>
      <c r="F2113">
        <v>1014</v>
      </c>
      <c r="G2113" t="s">
        <v>121</v>
      </c>
      <c r="J2113" t="s">
        <v>122</v>
      </c>
      <c r="K2113">
        <v>0</v>
      </c>
      <c r="L2113">
        <v>3</v>
      </c>
      <c r="M2113">
        <v>0</v>
      </c>
      <c r="N2113">
        <v>2</v>
      </c>
      <c r="O2113">
        <v>0</v>
      </c>
      <c r="P2113">
        <v>1</v>
      </c>
      <c r="Q2113">
        <v>0</v>
      </c>
      <c r="S2113" t="str">
        <f t="shared" ref="S2113:T2116" si="632">"22:18:21.000"</f>
        <v>22:18:21.000</v>
      </c>
      <c r="T2113" t="str">
        <f t="shared" si="632"/>
        <v>22:18:21.000</v>
      </c>
      <c r="U2113" t="str">
        <f t="shared" si="614"/>
        <v>A9D71F</v>
      </c>
      <c r="V2113">
        <v>0</v>
      </c>
      <c r="W2113">
        <v>0</v>
      </c>
      <c r="X2113">
        <v>2</v>
      </c>
      <c r="Z2113">
        <v>1</v>
      </c>
      <c r="AA2113">
        <v>8</v>
      </c>
      <c r="AB2113">
        <v>3</v>
      </c>
      <c r="AC2113">
        <v>0</v>
      </c>
      <c r="AD2113">
        <v>9</v>
      </c>
      <c r="AE2113">
        <v>0</v>
      </c>
      <c r="AF2113">
        <v>3</v>
      </c>
      <c r="AG2113">
        <v>1</v>
      </c>
      <c r="AH2113">
        <v>0</v>
      </c>
      <c r="AI2113" t="s">
        <v>1108</v>
      </c>
      <c r="AJ2113">
        <v>33.022091000000003</v>
      </c>
      <c r="AK2113" t="s">
        <v>1109</v>
      </c>
      <c r="AL2113">
        <v>-97.653372000000005</v>
      </c>
      <c r="AM2113">
        <v>25</v>
      </c>
      <c r="AN2113">
        <v>3300</v>
      </c>
      <c r="AO2113" t="s">
        <v>118</v>
      </c>
      <c r="AP2113">
        <v>32</v>
      </c>
      <c r="AQ2113">
        <v>-79</v>
      </c>
      <c r="AR2113">
        <v>128</v>
      </c>
      <c r="AZ2113">
        <v>1200</v>
      </c>
      <c r="BA2113">
        <v>1</v>
      </c>
      <c r="BB2113" t="str">
        <f t="shared" si="621"/>
        <v xml:space="preserve">N733KP  </v>
      </c>
      <c r="BC2113">
        <v>1</v>
      </c>
      <c r="BE2113">
        <v>0</v>
      </c>
      <c r="BF2113">
        <v>0</v>
      </c>
      <c r="BG2113">
        <v>0</v>
      </c>
      <c r="BH2113">
        <v>3375</v>
      </c>
      <c r="BI2113">
        <v>1</v>
      </c>
      <c r="BJ2113">
        <v>1</v>
      </c>
      <c r="BK2113">
        <v>0</v>
      </c>
      <c r="BL2113">
        <v>0</v>
      </c>
      <c r="BO2113">
        <v>0</v>
      </c>
      <c r="BP2113">
        <v>0</v>
      </c>
      <c r="BW2113" t="str">
        <f>"22:18:21.822"</f>
        <v>22:18:21.822</v>
      </c>
      <c r="CJ2113">
        <v>0</v>
      </c>
      <c r="CK2113">
        <v>2</v>
      </c>
      <c r="CL2113">
        <v>0</v>
      </c>
      <c r="CM2113">
        <v>2</v>
      </c>
      <c r="CN2113">
        <v>0</v>
      </c>
      <c r="CO2113">
        <v>7</v>
      </c>
      <c r="CP2113" t="s">
        <v>119</v>
      </c>
      <c r="CQ2113">
        <v>364</v>
      </c>
      <c r="CR2113">
        <v>0</v>
      </c>
      <c r="CW2113">
        <v>1446225</v>
      </c>
      <c r="CY2113">
        <v>1</v>
      </c>
      <c r="CZ2113">
        <v>0</v>
      </c>
      <c r="DA2113">
        <v>0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>"03/24/2022 22:18:22.076"</f>
        <v>03/24/2022 22:18:22.076</v>
      </c>
      <c r="C2114" t="str">
        <f t="shared" si="620"/>
        <v>FFDFD3C0</v>
      </c>
      <c r="D2114" t="s">
        <v>126</v>
      </c>
      <c r="E2114">
        <v>3</v>
      </c>
      <c r="H2114">
        <v>160</v>
      </c>
      <c r="I2114" t="s">
        <v>121</v>
      </c>
      <c r="J2114" t="s">
        <v>127</v>
      </c>
      <c r="K2114">
        <v>0</v>
      </c>
      <c r="L2114">
        <v>3</v>
      </c>
      <c r="M2114">
        <v>0</v>
      </c>
      <c r="N2114">
        <v>2</v>
      </c>
      <c r="O2114">
        <v>0</v>
      </c>
      <c r="P2114">
        <v>1</v>
      </c>
      <c r="Q2114">
        <v>0</v>
      </c>
      <c r="S2114" t="str">
        <f t="shared" si="632"/>
        <v>22:18:21.000</v>
      </c>
      <c r="T2114" t="str">
        <f t="shared" si="632"/>
        <v>22:18:21.000</v>
      </c>
      <c r="U2114" t="str">
        <f t="shared" ref="U2114:U2177" si="633">"A9D71F"</f>
        <v>A9D71F</v>
      </c>
      <c r="V2114">
        <v>0</v>
      </c>
      <c r="W2114">
        <v>0</v>
      </c>
      <c r="X2114">
        <v>2</v>
      </c>
      <c r="Z2114">
        <v>1</v>
      </c>
      <c r="AA2114">
        <v>8</v>
      </c>
      <c r="AB2114">
        <v>3</v>
      </c>
      <c r="AC2114">
        <v>0</v>
      </c>
      <c r="AD2114">
        <v>9</v>
      </c>
      <c r="AE2114">
        <v>0</v>
      </c>
      <c r="AF2114">
        <v>3</v>
      </c>
      <c r="AG2114">
        <v>1</v>
      </c>
      <c r="AH2114">
        <v>0</v>
      </c>
      <c r="AI2114" t="s">
        <v>1108</v>
      </c>
      <c r="AJ2114">
        <v>33.022091000000003</v>
      </c>
      <c r="AK2114" t="s">
        <v>1109</v>
      </c>
      <c r="AL2114">
        <v>-97.653372000000005</v>
      </c>
      <c r="AM2114">
        <v>25</v>
      </c>
      <c r="AN2114">
        <v>3300</v>
      </c>
      <c r="AO2114" t="s">
        <v>118</v>
      </c>
      <c r="AP2114">
        <v>32</v>
      </c>
      <c r="AQ2114">
        <v>-79</v>
      </c>
      <c r="AR2114">
        <v>128</v>
      </c>
      <c r="AZ2114">
        <v>1200</v>
      </c>
      <c r="BA2114">
        <v>1</v>
      </c>
      <c r="BB2114" t="str">
        <f t="shared" si="621"/>
        <v xml:space="preserve">N733KP  </v>
      </c>
      <c r="BC2114">
        <v>1</v>
      </c>
      <c r="BE2114">
        <v>0</v>
      </c>
      <c r="BF2114">
        <v>0</v>
      </c>
      <c r="BG2114">
        <v>0</v>
      </c>
      <c r="BH2114">
        <v>3375</v>
      </c>
      <c r="BI2114">
        <v>1</v>
      </c>
      <c r="BJ2114">
        <v>1</v>
      </c>
      <c r="BK2114">
        <v>0</v>
      </c>
      <c r="BL2114">
        <v>0</v>
      </c>
      <c r="BO2114">
        <v>0</v>
      </c>
      <c r="BP2114">
        <v>0</v>
      </c>
      <c r="BW2114" t="str">
        <f>"22:18:21.822"</f>
        <v>22:18:21.822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7</v>
      </c>
      <c r="CP2114" t="s">
        <v>119</v>
      </c>
      <c r="CQ2114">
        <v>364</v>
      </c>
      <c r="CR2114">
        <v>0</v>
      </c>
      <c r="CW2114">
        <v>1446225</v>
      </c>
      <c r="CY2114">
        <v>1</v>
      </c>
      <c r="CZ2114">
        <v>0</v>
      </c>
      <c r="DA2114">
        <v>1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>"03/24/2022 22:18:22.076"</f>
        <v>03/24/2022 22:18:22.076</v>
      </c>
      <c r="C2115" t="str">
        <f t="shared" si="620"/>
        <v>FFDFD3C0</v>
      </c>
      <c r="D2115" t="s">
        <v>123</v>
      </c>
      <c r="E2115">
        <v>8</v>
      </c>
      <c r="H2115">
        <v>31</v>
      </c>
      <c r="I2115" t="s">
        <v>124</v>
      </c>
      <c r="J2115" t="s">
        <v>125</v>
      </c>
      <c r="K2115">
        <v>0</v>
      </c>
      <c r="L2115">
        <v>3</v>
      </c>
      <c r="M2115">
        <v>0</v>
      </c>
      <c r="N2115">
        <v>2</v>
      </c>
      <c r="O2115">
        <v>0</v>
      </c>
      <c r="P2115">
        <v>1</v>
      </c>
      <c r="Q2115">
        <v>0</v>
      </c>
      <c r="S2115" t="str">
        <f t="shared" si="632"/>
        <v>22:18:21.000</v>
      </c>
      <c r="T2115" t="str">
        <f t="shared" si="632"/>
        <v>22:18:21.000</v>
      </c>
      <c r="U2115" t="str">
        <f t="shared" si="633"/>
        <v>A9D71F</v>
      </c>
      <c r="V2115">
        <v>0</v>
      </c>
      <c r="W2115">
        <v>0</v>
      </c>
      <c r="X2115">
        <v>2</v>
      </c>
      <c r="Z2115">
        <v>1</v>
      </c>
      <c r="AA2115">
        <v>8</v>
      </c>
      <c r="AB2115">
        <v>3</v>
      </c>
      <c r="AC2115">
        <v>0</v>
      </c>
      <c r="AD2115">
        <v>9</v>
      </c>
      <c r="AE2115">
        <v>0</v>
      </c>
      <c r="AF2115">
        <v>3</v>
      </c>
      <c r="AG2115">
        <v>1</v>
      </c>
      <c r="AH2115">
        <v>0</v>
      </c>
      <c r="AI2115" t="s">
        <v>1108</v>
      </c>
      <c r="AJ2115">
        <v>33.022091000000003</v>
      </c>
      <c r="AK2115" t="s">
        <v>1109</v>
      </c>
      <c r="AL2115">
        <v>-97.653372000000005</v>
      </c>
      <c r="AM2115">
        <v>25</v>
      </c>
      <c r="AN2115">
        <v>3300</v>
      </c>
      <c r="AO2115" t="s">
        <v>118</v>
      </c>
      <c r="AP2115">
        <v>32</v>
      </c>
      <c r="AQ2115">
        <v>-79</v>
      </c>
      <c r="AR2115">
        <v>128</v>
      </c>
      <c r="AZ2115">
        <v>1200</v>
      </c>
      <c r="BA2115">
        <v>1</v>
      </c>
      <c r="BB2115" t="str">
        <f t="shared" si="621"/>
        <v xml:space="preserve">N733KP  </v>
      </c>
      <c r="BC2115">
        <v>1</v>
      </c>
      <c r="BE2115">
        <v>0</v>
      </c>
      <c r="BF2115">
        <v>0</v>
      </c>
      <c r="BG2115">
        <v>0</v>
      </c>
      <c r="BH2115">
        <v>3375</v>
      </c>
      <c r="BI2115">
        <v>1</v>
      </c>
      <c r="BJ2115">
        <v>1</v>
      </c>
      <c r="BK2115">
        <v>0</v>
      </c>
      <c r="BL2115">
        <v>0</v>
      </c>
      <c r="BO2115">
        <v>0</v>
      </c>
      <c r="BP2115">
        <v>0</v>
      </c>
      <c r="BW2115" t="str">
        <f>"22:18:21.822"</f>
        <v>22:18:21.822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7</v>
      </c>
      <c r="CP2115" t="s">
        <v>119</v>
      </c>
      <c r="CQ2115">
        <v>364</v>
      </c>
      <c r="CR2115">
        <v>0</v>
      </c>
      <c r="CW2115">
        <v>1446225</v>
      </c>
      <c r="CY2115">
        <v>1</v>
      </c>
      <c r="CZ2115">
        <v>0</v>
      </c>
      <c r="DA2115">
        <v>1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>"03/24/2022 22:18:22.076"</f>
        <v>03/24/2022 22:18:22.076</v>
      </c>
      <c r="C2116" t="str">
        <f t="shared" si="620"/>
        <v>FFDFD3C0</v>
      </c>
      <c r="D2116" t="s">
        <v>113</v>
      </c>
      <c r="E2116">
        <v>24</v>
      </c>
      <c r="F2116">
        <v>2024</v>
      </c>
      <c r="G2116" t="s">
        <v>114</v>
      </c>
      <c r="J2116" t="s">
        <v>115</v>
      </c>
      <c r="K2116">
        <v>0</v>
      </c>
      <c r="L2116">
        <v>3</v>
      </c>
      <c r="M2116">
        <v>0</v>
      </c>
      <c r="N2116">
        <v>2</v>
      </c>
      <c r="O2116">
        <v>0</v>
      </c>
      <c r="P2116">
        <v>1</v>
      </c>
      <c r="Q2116">
        <v>0</v>
      </c>
      <c r="S2116" t="str">
        <f t="shared" si="632"/>
        <v>22:18:21.000</v>
      </c>
      <c r="T2116" t="str">
        <f t="shared" si="632"/>
        <v>22:18:21.000</v>
      </c>
      <c r="U2116" t="str">
        <f t="shared" si="633"/>
        <v>A9D71F</v>
      </c>
      <c r="V2116">
        <v>0</v>
      </c>
      <c r="W2116">
        <v>0</v>
      </c>
      <c r="X2116">
        <v>2</v>
      </c>
      <c r="Z2116">
        <v>1</v>
      </c>
      <c r="AA2116">
        <v>8</v>
      </c>
      <c r="AB2116">
        <v>3</v>
      </c>
      <c r="AC2116">
        <v>0</v>
      </c>
      <c r="AD2116">
        <v>9</v>
      </c>
      <c r="AE2116">
        <v>0</v>
      </c>
      <c r="AF2116">
        <v>3</v>
      </c>
      <c r="AG2116">
        <v>1</v>
      </c>
      <c r="AH2116">
        <v>0</v>
      </c>
      <c r="AI2116" t="s">
        <v>1108</v>
      </c>
      <c r="AJ2116">
        <v>33.022091000000003</v>
      </c>
      <c r="AK2116" t="s">
        <v>1109</v>
      </c>
      <c r="AL2116">
        <v>-97.653372000000005</v>
      </c>
      <c r="AM2116">
        <v>25</v>
      </c>
      <c r="AN2116">
        <v>3300</v>
      </c>
      <c r="AO2116" t="s">
        <v>118</v>
      </c>
      <c r="AP2116">
        <v>32</v>
      </c>
      <c r="AQ2116">
        <v>-79</v>
      </c>
      <c r="AR2116">
        <v>128</v>
      </c>
      <c r="AZ2116">
        <v>1200</v>
      </c>
      <c r="BA2116">
        <v>1</v>
      </c>
      <c r="BB2116" t="str">
        <f t="shared" si="621"/>
        <v xml:space="preserve">N733KP  </v>
      </c>
      <c r="BC2116">
        <v>1</v>
      </c>
      <c r="BE2116">
        <v>0</v>
      </c>
      <c r="BF2116">
        <v>0</v>
      </c>
      <c r="BG2116">
        <v>0</v>
      </c>
      <c r="BH2116">
        <v>3375</v>
      </c>
      <c r="BI2116">
        <v>1</v>
      </c>
      <c r="BJ2116">
        <v>1</v>
      </c>
      <c r="BK2116">
        <v>0</v>
      </c>
      <c r="BL2116">
        <v>0</v>
      </c>
      <c r="BO2116">
        <v>0</v>
      </c>
      <c r="BP2116">
        <v>0</v>
      </c>
      <c r="BW2116" t="str">
        <f>"22:18:21.822"</f>
        <v>22:18:21.822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7</v>
      </c>
      <c r="CP2116" t="s">
        <v>119</v>
      </c>
      <c r="CQ2116">
        <v>364</v>
      </c>
      <c r="CR2116">
        <v>0</v>
      </c>
      <c r="CW2116">
        <v>1446225</v>
      </c>
      <c r="CY2116">
        <v>1</v>
      </c>
      <c r="CZ2116">
        <v>0</v>
      </c>
      <c r="DA2116">
        <v>1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>"03/24/2022 22:18:23.138"</f>
        <v>03/24/2022 22:18:23.138</v>
      </c>
      <c r="C2117" t="str">
        <f t="shared" si="620"/>
        <v>FFDFD3C0</v>
      </c>
      <c r="D2117" t="s">
        <v>126</v>
      </c>
      <c r="E2117">
        <v>3</v>
      </c>
      <c r="H2117">
        <v>160</v>
      </c>
      <c r="I2117" t="s">
        <v>121</v>
      </c>
      <c r="J2117" t="s">
        <v>127</v>
      </c>
      <c r="K2117">
        <v>0</v>
      </c>
      <c r="L2117">
        <v>3</v>
      </c>
      <c r="M2117">
        <v>0</v>
      </c>
      <c r="N2117">
        <v>2</v>
      </c>
      <c r="O2117">
        <v>0</v>
      </c>
      <c r="P2117">
        <v>1</v>
      </c>
      <c r="Q2117">
        <v>0</v>
      </c>
      <c r="S2117" t="str">
        <f t="shared" ref="S2117:T2120" si="634">"22:18:22.000"</f>
        <v>22:18:22.000</v>
      </c>
      <c r="T2117" t="str">
        <f t="shared" si="634"/>
        <v>22:18:22.000</v>
      </c>
      <c r="U2117" t="str">
        <f t="shared" si="633"/>
        <v>A9D71F</v>
      </c>
      <c r="V2117">
        <v>0</v>
      </c>
      <c r="W2117">
        <v>0</v>
      </c>
      <c r="X2117">
        <v>2</v>
      </c>
      <c r="Z2117">
        <v>1</v>
      </c>
      <c r="AA2117">
        <v>8</v>
      </c>
      <c r="AB2117">
        <v>3</v>
      </c>
      <c r="AC2117">
        <v>0</v>
      </c>
      <c r="AD2117">
        <v>9</v>
      </c>
      <c r="AE2117">
        <v>0</v>
      </c>
      <c r="AF2117">
        <v>3</v>
      </c>
      <c r="AG2117">
        <v>1</v>
      </c>
      <c r="AH2117">
        <v>0</v>
      </c>
      <c r="AI2117" t="s">
        <v>1110</v>
      </c>
      <c r="AJ2117">
        <v>33.021769999999997</v>
      </c>
      <c r="AK2117" t="s">
        <v>1111</v>
      </c>
      <c r="AL2117">
        <v>-97.653222</v>
      </c>
      <c r="AM2117">
        <v>25</v>
      </c>
      <c r="AN2117">
        <v>3300</v>
      </c>
      <c r="AO2117" t="s">
        <v>118</v>
      </c>
      <c r="AP2117">
        <v>30</v>
      </c>
      <c r="AQ2117">
        <v>-77</v>
      </c>
      <c r="AR2117">
        <v>256</v>
      </c>
      <c r="AZ2117">
        <v>1200</v>
      </c>
      <c r="BA2117">
        <v>1</v>
      </c>
      <c r="BB2117" t="str">
        <f t="shared" si="621"/>
        <v xml:space="preserve">N733KP  </v>
      </c>
      <c r="BC2117">
        <v>1</v>
      </c>
      <c r="BE2117">
        <v>0</v>
      </c>
      <c r="BF2117">
        <v>0</v>
      </c>
      <c r="BG2117">
        <v>0</v>
      </c>
      <c r="BH2117">
        <v>3375</v>
      </c>
      <c r="BI2117">
        <v>1</v>
      </c>
      <c r="BJ2117">
        <v>1</v>
      </c>
      <c r="BK2117">
        <v>0</v>
      </c>
      <c r="BL2117">
        <v>0</v>
      </c>
      <c r="BO2117">
        <v>0</v>
      </c>
      <c r="BP2117">
        <v>0</v>
      </c>
      <c r="BW2117" t="str">
        <f>"22:18:22.954"</f>
        <v>22:18:22.954</v>
      </c>
      <c r="CJ2117">
        <v>0</v>
      </c>
      <c r="CK2117">
        <v>2</v>
      </c>
      <c r="CL2117">
        <v>0</v>
      </c>
      <c r="CM2117">
        <v>2</v>
      </c>
      <c r="CN2117">
        <v>0</v>
      </c>
      <c r="CO2117">
        <v>7</v>
      </c>
      <c r="CP2117" t="s">
        <v>119</v>
      </c>
      <c r="CQ2117">
        <v>364</v>
      </c>
      <c r="CR2117">
        <v>0</v>
      </c>
      <c r="CW2117">
        <v>1446382</v>
      </c>
      <c r="CY2117">
        <v>1</v>
      </c>
      <c r="CZ2117">
        <v>0</v>
      </c>
      <c r="DA2117">
        <v>0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>"03/24/2022 22:18:23.138"</f>
        <v>03/24/2022 22:18:23.138</v>
      </c>
      <c r="C2118" t="str">
        <f t="shared" si="620"/>
        <v>FFDFD3C0</v>
      </c>
      <c r="D2118" t="s">
        <v>123</v>
      </c>
      <c r="E2118">
        <v>8</v>
      </c>
      <c r="H2118">
        <v>31</v>
      </c>
      <c r="I2118" t="s">
        <v>124</v>
      </c>
      <c r="J2118" t="s">
        <v>125</v>
      </c>
      <c r="K2118">
        <v>0</v>
      </c>
      <c r="L2118">
        <v>3</v>
      </c>
      <c r="M2118">
        <v>0</v>
      </c>
      <c r="N2118">
        <v>2</v>
      </c>
      <c r="O2118">
        <v>0</v>
      </c>
      <c r="P2118">
        <v>1</v>
      </c>
      <c r="Q2118">
        <v>0</v>
      </c>
      <c r="S2118" t="str">
        <f t="shared" si="634"/>
        <v>22:18:22.000</v>
      </c>
      <c r="T2118" t="str">
        <f t="shared" si="634"/>
        <v>22:18:22.000</v>
      </c>
      <c r="U2118" t="str">
        <f t="shared" si="633"/>
        <v>A9D71F</v>
      </c>
      <c r="V2118">
        <v>0</v>
      </c>
      <c r="W2118">
        <v>0</v>
      </c>
      <c r="X2118">
        <v>2</v>
      </c>
      <c r="Z2118">
        <v>1</v>
      </c>
      <c r="AA2118">
        <v>8</v>
      </c>
      <c r="AB2118">
        <v>3</v>
      </c>
      <c r="AC2118">
        <v>0</v>
      </c>
      <c r="AD2118">
        <v>9</v>
      </c>
      <c r="AE2118">
        <v>0</v>
      </c>
      <c r="AF2118">
        <v>3</v>
      </c>
      <c r="AG2118">
        <v>1</v>
      </c>
      <c r="AH2118">
        <v>0</v>
      </c>
      <c r="AI2118" t="s">
        <v>1110</v>
      </c>
      <c r="AJ2118">
        <v>33.021769999999997</v>
      </c>
      <c r="AK2118" t="s">
        <v>1111</v>
      </c>
      <c r="AL2118">
        <v>-97.653222</v>
      </c>
      <c r="AM2118">
        <v>25</v>
      </c>
      <c r="AN2118">
        <v>3300</v>
      </c>
      <c r="AO2118" t="s">
        <v>118</v>
      </c>
      <c r="AP2118">
        <v>30</v>
      </c>
      <c r="AQ2118">
        <v>-77</v>
      </c>
      <c r="AR2118">
        <v>256</v>
      </c>
      <c r="AZ2118">
        <v>1200</v>
      </c>
      <c r="BA2118">
        <v>1</v>
      </c>
      <c r="BB2118" t="str">
        <f t="shared" si="621"/>
        <v xml:space="preserve">N733KP  </v>
      </c>
      <c r="BC2118">
        <v>1</v>
      </c>
      <c r="BE2118">
        <v>0</v>
      </c>
      <c r="BF2118">
        <v>0</v>
      </c>
      <c r="BG2118">
        <v>0</v>
      </c>
      <c r="BH2118">
        <v>3375</v>
      </c>
      <c r="BI2118">
        <v>1</v>
      </c>
      <c r="BJ2118">
        <v>1</v>
      </c>
      <c r="BK2118">
        <v>0</v>
      </c>
      <c r="BL2118">
        <v>0</v>
      </c>
      <c r="BO2118">
        <v>0</v>
      </c>
      <c r="BP2118">
        <v>0</v>
      </c>
      <c r="BW2118" t="str">
        <f>"22:18:22.954"</f>
        <v>22:18:22.954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119</v>
      </c>
      <c r="CQ2118">
        <v>364</v>
      </c>
      <c r="CR2118">
        <v>0</v>
      </c>
      <c r="CW2118">
        <v>1446382</v>
      </c>
      <c r="CY2118">
        <v>1</v>
      </c>
      <c r="CZ2118">
        <v>0</v>
      </c>
      <c r="DA2118">
        <v>1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>"03/24/2022 22:18:23.138"</f>
        <v>03/24/2022 22:18:23.138</v>
      </c>
      <c r="C2119" t="str">
        <f t="shared" si="620"/>
        <v>FFDFD3C0</v>
      </c>
      <c r="D2119" t="s">
        <v>113</v>
      </c>
      <c r="E2119">
        <v>24</v>
      </c>
      <c r="F2119">
        <v>2024</v>
      </c>
      <c r="G2119" t="s">
        <v>114</v>
      </c>
      <c r="J2119" t="s">
        <v>115</v>
      </c>
      <c r="K2119">
        <v>0</v>
      </c>
      <c r="L2119">
        <v>3</v>
      </c>
      <c r="M2119">
        <v>0</v>
      </c>
      <c r="N2119">
        <v>2</v>
      </c>
      <c r="O2119">
        <v>0</v>
      </c>
      <c r="P2119">
        <v>1</v>
      </c>
      <c r="Q2119">
        <v>0</v>
      </c>
      <c r="S2119" t="str">
        <f t="shared" si="634"/>
        <v>22:18:22.000</v>
      </c>
      <c r="T2119" t="str">
        <f t="shared" si="634"/>
        <v>22:18:22.000</v>
      </c>
      <c r="U2119" t="str">
        <f t="shared" si="633"/>
        <v>A9D71F</v>
      </c>
      <c r="V2119">
        <v>0</v>
      </c>
      <c r="W2119">
        <v>0</v>
      </c>
      <c r="X2119">
        <v>2</v>
      </c>
      <c r="Z2119">
        <v>1</v>
      </c>
      <c r="AA2119">
        <v>8</v>
      </c>
      <c r="AB2119">
        <v>3</v>
      </c>
      <c r="AC2119">
        <v>0</v>
      </c>
      <c r="AD2119">
        <v>9</v>
      </c>
      <c r="AE2119">
        <v>0</v>
      </c>
      <c r="AF2119">
        <v>3</v>
      </c>
      <c r="AG2119">
        <v>1</v>
      </c>
      <c r="AH2119">
        <v>0</v>
      </c>
      <c r="AI2119" t="s">
        <v>1110</v>
      </c>
      <c r="AJ2119">
        <v>33.021769999999997</v>
      </c>
      <c r="AK2119" t="s">
        <v>1111</v>
      </c>
      <c r="AL2119">
        <v>-97.653222</v>
      </c>
      <c r="AM2119">
        <v>25</v>
      </c>
      <c r="AN2119">
        <v>3300</v>
      </c>
      <c r="AO2119" t="s">
        <v>118</v>
      </c>
      <c r="AP2119">
        <v>30</v>
      </c>
      <c r="AQ2119">
        <v>-77</v>
      </c>
      <c r="AR2119">
        <v>256</v>
      </c>
      <c r="AZ2119">
        <v>1200</v>
      </c>
      <c r="BA2119">
        <v>1</v>
      </c>
      <c r="BB2119" t="str">
        <f t="shared" si="621"/>
        <v xml:space="preserve">N733KP  </v>
      </c>
      <c r="BC2119">
        <v>1</v>
      </c>
      <c r="BE2119">
        <v>0</v>
      </c>
      <c r="BF2119">
        <v>0</v>
      </c>
      <c r="BG2119">
        <v>0</v>
      </c>
      <c r="BH2119">
        <v>3375</v>
      </c>
      <c r="BI2119">
        <v>1</v>
      </c>
      <c r="BJ2119">
        <v>1</v>
      </c>
      <c r="BK2119">
        <v>0</v>
      </c>
      <c r="BL2119">
        <v>0</v>
      </c>
      <c r="BO2119">
        <v>0</v>
      </c>
      <c r="BP2119">
        <v>0</v>
      </c>
      <c r="BW2119" t="str">
        <f>"22:18:22.954"</f>
        <v>22:18:22.954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7</v>
      </c>
      <c r="CP2119" t="s">
        <v>119</v>
      </c>
      <c r="CQ2119">
        <v>364</v>
      </c>
      <c r="CR2119">
        <v>0</v>
      </c>
      <c r="CW2119">
        <v>1446382</v>
      </c>
      <c r="CY2119">
        <v>1</v>
      </c>
      <c r="CZ2119">
        <v>0</v>
      </c>
      <c r="DA2119">
        <v>1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>"03/24/2022 22:18:23.138"</f>
        <v>03/24/2022 22:18:23.138</v>
      </c>
      <c r="C2120" t="str">
        <f t="shared" si="620"/>
        <v>FFDFD3C0</v>
      </c>
      <c r="D2120" t="s">
        <v>120</v>
      </c>
      <c r="E2120">
        <v>14</v>
      </c>
      <c r="F2120">
        <v>1014</v>
      </c>
      <c r="G2120" t="s">
        <v>121</v>
      </c>
      <c r="J2120" t="s">
        <v>122</v>
      </c>
      <c r="K2120">
        <v>0</v>
      </c>
      <c r="L2120">
        <v>3</v>
      </c>
      <c r="M2120">
        <v>0</v>
      </c>
      <c r="N2120">
        <v>2</v>
      </c>
      <c r="O2120">
        <v>0</v>
      </c>
      <c r="P2120">
        <v>1</v>
      </c>
      <c r="Q2120">
        <v>0</v>
      </c>
      <c r="S2120" t="str">
        <f t="shared" si="634"/>
        <v>22:18:22.000</v>
      </c>
      <c r="T2120" t="str">
        <f t="shared" si="634"/>
        <v>22:18:22.000</v>
      </c>
      <c r="U2120" t="str">
        <f t="shared" si="633"/>
        <v>A9D71F</v>
      </c>
      <c r="V2120">
        <v>0</v>
      </c>
      <c r="W2120">
        <v>0</v>
      </c>
      <c r="X2120">
        <v>2</v>
      </c>
      <c r="Z2120">
        <v>1</v>
      </c>
      <c r="AA2120">
        <v>8</v>
      </c>
      <c r="AB2120">
        <v>3</v>
      </c>
      <c r="AC2120">
        <v>0</v>
      </c>
      <c r="AD2120">
        <v>9</v>
      </c>
      <c r="AE2120">
        <v>0</v>
      </c>
      <c r="AF2120">
        <v>3</v>
      </c>
      <c r="AG2120">
        <v>1</v>
      </c>
      <c r="AH2120">
        <v>0</v>
      </c>
      <c r="AI2120" t="s">
        <v>1110</v>
      </c>
      <c r="AJ2120">
        <v>33.021769999999997</v>
      </c>
      <c r="AK2120" t="s">
        <v>1111</v>
      </c>
      <c r="AL2120">
        <v>-97.653222</v>
      </c>
      <c r="AM2120">
        <v>25</v>
      </c>
      <c r="AN2120">
        <v>3300</v>
      </c>
      <c r="AO2120" t="s">
        <v>118</v>
      </c>
      <c r="AP2120">
        <v>30</v>
      </c>
      <c r="AQ2120">
        <v>-77</v>
      </c>
      <c r="AR2120">
        <v>256</v>
      </c>
      <c r="AZ2120">
        <v>1200</v>
      </c>
      <c r="BA2120">
        <v>1</v>
      </c>
      <c r="BB2120" t="str">
        <f t="shared" si="621"/>
        <v xml:space="preserve">N733KP  </v>
      </c>
      <c r="BC2120">
        <v>1</v>
      </c>
      <c r="BE2120">
        <v>0</v>
      </c>
      <c r="BF2120">
        <v>0</v>
      </c>
      <c r="BG2120">
        <v>0</v>
      </c>
      <c r="BH2120">
        <v>3375</v>
      </c>
      <c r="BI2120">
        <v>1</v>
      </c>
      <c r="BJ2120">
        <v>1</v>
      </c>
      <c r="BK2120">
        <v>0</v>
      </c>
      <c r="BL2120">
        <v>0</v>
      </c>
      <c r="BO2120">
        <v>0</v>
      </c>
      <c r="BP2120">
        <v>0</v>
      </c>
      <c r="BW2120" t="str">
        <f>"22:18:22.954"</f>
        <v>22:18:22.954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7</v>
      </c>
      <c r="CP2120" t="s">
        <v>119</v>
      </c>
      <c r="CQ2120">
        <v>364</v>
      </c>
      <c r="CR2120">
        <v>0</v>
      </c>
      <c r="CW2120">
        <v>1446382</v>
      </c>
      <c r="CY2120">
        <v>1</v>
      </c>
      <c r="CZ2120">
        <v>0</v>
      </c>
      <c r="DA2120">
        <v>1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>"03/24/2022 22:18:24.375"</f>
        <v>03/24/2022 22:18:24.375</v>
      </c>
      <c r="C2121" t="str">
        <f t="shared" si="620"/>
        <v>FFDFD3C0</v>
      </c>
      <c r="D2121" t="s">
        <v>123</v>
      </c>
      <c r="E2121">
        <v>8</v>
      </c>
      <c r="H2121">
        <v>31</v>
      </c>
      <c r="I2121" t="s">
        <v>124</v>
      </c>
      <c r="J2121" t="s">
        <v>125</v>
      </c>
      <c r="K2121">
        <v>0</v>
      </c>
      <c r="L2121">
        <v>3</v>
      </c>
      <c r="M2121">
        <v>0</v>
      </c>
      <c r="N2121">
        <v>2</v>
      </c>
      <c r="O2121">
        <v>0</v>
      </c>
      <c r="P2121">
        <v>1</v>
      </c>
      <c r="Q2121">
        <v>0</v>
      </c>
      <c r="S2121" t="str">
        <f>"22:18:24.000"</f>
        <v>22:18:24.000</v>
      </c>
      <c r="T2121" t="str">
        <f>"22:18:24.000"</f>
        <v>22:18:24.000</v>
      </c>
      <c r="U2121" t="str">
        <f t="shared" si="633"/>
        <v>A9D71F</v>
      </c>
      <c r="V2121">
        <v>0</v>
      </c>
      <c r="W2121">
        <v>0</v>
      </c>
      <c r="X2121">
        <v>2</v>
      </c>
      <c r="Z2121">
        <v>1</v>
      </c>
      <c r="AA2121">
        <v>8</v>
      </c>
      <c r="AB2121">
        <v>3</v>
      </c>
      <c r="AC2121">
        <v>0</v>
      </c>
      <c r="AD2121">
        <v>9</v>
      </c>
      <c r="AE2121">
        <v>0</v>
      </c>
      <c r="AF2121">
        <v>3</v>
      </c>
      <c r="AG2121">
        <v>1</v>
      </c>
      <c r="AH2121">
        <v>0</v>
      </c>
      <c r="AI2121" t="s">
        <v>1112</v>
      </c>
      <c r="AJ2121">
        <v>33.021039999999999</v>
      </c>
      <c r="AK2121" t="s">
        <v>1113</v>
      </c>
      <c r="AL2121">
        <v>-97.652900000000002</v>
      </c>
      <c r="AM2121">
        <v>25</v>
      </c>
      <c r="AN2121">
        <v>3300</v>
      </c>
      <c r="AO2121" t="s">
        <v>118</v>
      </c>
      <c r="AP2121">
        <v>28</v>
      </c>
      <c r="AQ2121">
        <v>-76</v>
      </c>
      <c r="AR2121">
        <v>320</v>
      </c>
      <c r="AZ2121">
        <v>1200</v>
      </c>
      <c r="BA2121">
        <v>1</v>
      </c>
      <c r="BB2121" t="str">
        <f t="shared" si="621"/>
        <v xml:space="preserve">N733KP  </v>
      </c>
      <c r="BC2121">
        <v>1</v>
      </c>
      <c r="BE2121">
        <v>0</v>
      </c>
      <c r="BF2121">
        <v>0</v>
      </c>
      <c r="BG2121">
        <v>0</v>
      </c>
      <c r="BH2121">
        <v>3375</v>
      </c>
      <c r="BI2121">
        <v>1</v>
      </c>
      <c r="BJ2121">
        <v>1</v>
      </c>
      <c r="BK2121">
        <v>0</v>
      </c>
      <c r="BL2121">
        <v>0</v>
      </c>
      <c r="BO2121">
        <v>0</v>
      </c>
      <c r="BP2121">
        <v>0</v>
      </c>
      <c r="BW2121" t="str">
        <f>"22:18:24.224"</f>
        <v>22:18:24.224</v>
      </c>
      <c r="CJ2121">
        <v>0</v>
      </c>
      <c r="CK2121">
        <v>2</v>
      </c>
      <c r="CL2121">
        <v>0</v>
      </c>
      <c r="CM2121">
        <v>2</v>
      </c>
      <c r="CN2121">
        <v>0</v>
      </c>
      <c r="CO2121">
        <v>7</v>
      </c>
      <c r="CP2121" t="s">
        <v>119</v>
      </c>
      <c r="CQ2121">
        <v>364</v>
      </c>
      <c r="CR2121">
        <v>0</v>
      </c>
      <c r="CW2121">
        <v>1446535</v>
      </c>
      <c r="CY2121">
        <v>1</v>
      </c>
      <c r="CZ2121">
        <v>0</v>
      </c>
      <c r="DA2121">
        <v>0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>"03/24/2022 22:18:24.062"</f>
        <v>03/24/2022 22:18:24.062</v>
      </c>
      <c r="C2122" t="str">
        <f t="shared" si="620"/>
        <v>FFDFD3C0</v>
      </c>
      <c r="D2122" t="s">
        <v>120</v>
      </c>
      <c r="E2122">
        <v>14</v>
      </c>
      <c r="F2122">
        <v>1014</v>
      </c>
      <c r="G2122" t="s">
        <v>121</v>
      </c>
      <c r="J2122" t="s">
        <v>122</v>
      </c>
      <c r="K2122">
        <v>0</v>
      </c>
      <c r="L2122">
        <v>3</v>
      </c>
      <c r="M2122">
        <v>0</v>
      </c>
      <c r="N2122">
        <v>2</v>
      </c>
      <c r="O2122">
        <v>0</v>
      </c>
      <c r="P2122">
        <v>1</v>
      </c>
      <c r="Q2122">
        <v>0</v>
      </c>
      <c r="S2122" t="str">
        <f t="shared" ref="S2122:T2125" si="635">"22:18:23.000"</f>
        <v>22:18:23.000</v>
      </c>
      <c r="T2122" t="str">
        <f t="shared" si="635"/>
        <v>22:18:23.000</v>
      </c>
      <c r="U2122" t="str">
        <f t="shared" si="633"/>
        <v>A9D71F</v>
      </c>
      <c r="V2122">
        <v>0</v>
      </c>
      <c r="W2122">
        <v>0</v>
      </c>
      <c r="X2122">
        <v>2</v>
      </c>
      <c r="Z2122">
        <v>1</v>
      </c>
      <c r="AA2122">
        <v>8</v>
      </c>
      <c r="AB2122">
        <v>3</v>
      </c>
      <c r="AC2122">
        <v>0</v>
      </c>
      <c r="AD2122">
        <v>9</v>
      </c>
      <c r="AE2122">
        <v>0</v>
      </c>
      <c r="AF2122">
        <v>3</v>
      </c>
      <c r="AG2122">
        <v>1</v>
      </c>
      <c r="AH2122">
        <v>0</v>
      </c>
      <c r="AI2122" t="s">
        <v>1114</v>
      </c>
      <c r="AJ2122">
        <v>33.021405000000001</v>
      </c>
      <c r="AK2122" t="s">
        <v>1115</v>
      </c>
      <c r="AL2122">
        <v>-97.653049999999993</v>
      </c>
      <c r="AM2122">
        <v>25</v>
      </c>
      <c r="AN2122">
        <v>3300</v>
      </c>
      <c r="AO2122" t="s">
        <v>118</v>
      </c>
      <c r="AP2122">
        <v>28</v>
      </c>
      <c r="AQ2122">
        <v>-76</v>
      </c>
      <c r="AR2122">
        <v>320</v>
      </c>
      <c r="AZ2122">
        <v>1200</v>
      </c>
      <c r="BA2122">
        <v>1</v>
      </c>
      <c r="BB2122" t="str">
        <f t="shared" si="621"/>
        <v xml:space="preserve">N733KP  </v>
      </c>
      <c r="BC2122">
        <v>1</v>
      </c>
      <c r="BE2122">
        <v>0</v>
      </c>
      <c r="BF2122">
        <v>0</v>
      </c>
      <c r="BG2122">
        <v>0</v>
      </c>
      <c r="BH2122">
        <v>3375</v>
      </c>
      <c r="BI2122">
        <v>1</v>
      </c>
      <c r="BJ2122">
        <v>1</v>
      </c>
      <c r="BK2122">
        <v>0</v>
      </c>
      <c r="BL2122">
        <v>0</v>
      </c>
      <c r="BO2122">
        <v>0</v>
      </c>
      <c r="BP2122">
        <v>0</v>
      </c>
      <c r="BW2122" t="str">
        <f>"22:18:23.901"</f>
        <v>22:18:23.901</v>
      </c>
      <c r="CJ2122">
        <v>0</v>
      </c>
      <c r="CK2122">
        <v>2</v>
      </c>
      <c r="CL2122">
        <v>0</v>
      </c>
      <c r="CM2122">
        <v>2</v>
      </c>
      <c r="CN2122">
        <v>0</v>
      </c>
      <c r="CO2122">
        <v>6</v>
      </c>
      <c r="CP2122" t="s">
        <v>119</v>
      </c>
      <c r="CQ2122">
        <v>364</v>
      </c>
      <c r="CR2122">
        <v>0</v>
      </c>
      <c r="CW2122">
        <v>1446503</v>
      </c>
      <c r="CY2122">
        <v>1</v>
      </c>
      <c r="CZ2122">
        <v>0</v>
      </c>
      <c r="DA2122">
        <v>1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>"03/24/2022 22:18:24.062"</f>
        <v>03/24/2022 22:18:24.062</v>
      </c>
      <c r="C2123" t="str">
        <f t="shared" si="620"/>
        <v>FFDFD3C0</v>
      </c>
      <c r="D2123" t="s">
        <v>126</v>
      </c>
      <c r="E2123">
        <v>3</v>
      </c>
      <c r="H2123">
        <v>160</v>
      </c>
      <c r="I2123" t="s">
        <v>121</v>
      </c>
      <c r="J2123" t="s">
        <v>127</v>
      </c>
      <c r="K2123">
        <v>0</v>
      </c>
      <c r="L2123">
        <v>3</v>
      </c>
      <c r="M2123">
        <v>0</v>
      </c>
      <c r="N2123">
        <v>2</v>
      </c>
      <c r="O2123">
        <v>0</v>
      </c>
      <c r="P2123">
        <v>1</v>
      </c>
      <c r="Q2123">
        <v>0</v>
      </c>
      <c r="S2123" t="str">
        <f t="shared" si="635"/>
        <v>22:18:23.000</v>
      </c>
      <c r="T2123" t="str">
        <f t="shared" si="635"/>
        <v>22:18:23.000</v>
      </c>
      <c r="U2123" t="str">
        <f t="shared" si="633"/>
        <v>A9D71F</v>
      </c>
      <c r="V2123">
        <v>0</v>
      </c>
      <c r="W2123">
        <v>0</v>
      </c>
      <c r="X2123">
        <v>2</v>
      </c>
      <c r="Z2123">
        <v>1</v>
      </c>
      <c r="AA2123">
        <v>8</v>
      </c>
      <c r="AB2123">
        <v>3</v>
      </c>
      <c r="AC2123">
        <v>0</v>
      </c>
      <c r="AD2123">
        <v>9</v>
      </c>
      <c r="AE2123">
        <v>0</v>
      </c>
      <c r="AF2123">
        <v>3</v>
      </c>
      <c r="AG2123">
        <v>1</v>
      </c>
      <c r="AH2123">
        <v>0</v>
      </c>
      <c r="AI2123" t="s">
        <v>1114</v>
      </c>
      <c r="AJ2123">
        <v>33.021405000000001</v>
      </c>
      <c r="AK2123" t="s">
        <v>1115</v>
      </c>
      <c r="AL2123">
        <v>-97.653049999999993</v>
      </c>
      <c r="AM2123">
        <v>25</v>
      </c>
      <c r="AN2123">
        <v>3300</v>
      </c>
      <c r="AO2123" t="s">
        <v>118</v>
      </c>
      <c r="AP2123">
        <v>28</v>
      </c>
      <c r="AQ2123">
        <v>-76</v>
      </c>
      <c r="AR2123">
        <v>320</v>
      </c>
      <c r="AZ2123">
        <v>1200</v>
      </c>
      <c r="BA2123">
        <v>1</v>
      </c>
      <c r="BB2123" t="str">
        <f t="shared" si="621"/>
        <v xml:space="preserve">N733KP  </v>
      </c>
      <c r="BC2123">
        <v>1</v>
      </c>
      <c r="BE2123">
        <v>0</v>
      </c>
      <c r="BF2123">
        <v>0</v>
      </c>
      <c r="BG2123">
        <v>0</v>
      </c>
      <c r="BH2123">
        <v>3375</v>
      </c>
      <c r="BI2123">
        <v>1</v>
      </c>
      <c r="BJ2123">
        <v>1</v>
      </c>
      <c r="BK2123">
        <v>0</v>
      </c>
      <c r="BL2123">
        <v>0</v>
      </c>
      <c r="BO2123">
        <v>0</v>
      </c>
      <c r="BP2123">
        <v>0</v>
      </c>
      <c r="BW2123" t="str">
        <f>"22:18:23.901"</f>
        <v>22:18:23.901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6</v>
      </c>
      <c r="CP2123" t="s">
        <v>119</v>
      </c>
      <c r="CQ2123">
        <v>364</v>
      </c>
      <c r="CR2123">
        <v>0</v>
      </c>
      <c r="CW2123">
        <v>1446503</v>
      </c>
      <c r="CY2123">
        <v>1</v>
      </c>
      <c r="CZ2123">
        <v>0</v>
      </c>
      <c r="DA2123">
        <v>1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>"03/24/2022 22:18:24.062"</f>
        <v>03/24/2022 22:18:24.062</v>
      </c>
      <c r="C2124" t="str">
        <f t="shared" si="620"/>
        <v>FFDFD3C0</v>
      </c>
      <c r="D2124" t="s">
        <v>123</v>
      </c>
      <c r="E2124">
        <v>8</v>
      </c>
      <c r="H2124">
        <v>31</v>
      </c>
      <c r="I2124" t="s">
        <v>124</v>
      </c>
      <c r="J2124" t="s">
        <v>125</v>
      </c>
      <c r="K2124">
        <v>0</v>
      </c>
      <c r="L2124">
        <v>3</v>
      </c>
      <c r="M2124">
        <v>0</v>
      </c>
      <c r="N2124">
        <v>2</v>
      </c>
      <c r="O2124">
        <v>0</v>
      </c>
      <c r="P2124">
        <v>1</v>
      </c>
      <c r="Q2124">
        <v>0</v>
      </c>
      <c r="S2124" t="str">
        <f t="shared" si="635"/>
        <v>22:18:23.000</v>
      </c>
      <c r="T2124" t="str">
        <f t="shared" si="635"/>
        <v>22:18:23.000</v>
      </c>
      <c r="U2124" t="str">
        <f t="shared" si="633"/>
        <v>A9D71F</v>
      </c>
      <c r="V2124">
        <v>0</v>
      </c>
      <c r="W2124">
        <v>0</v>
      </c>
      <c r="X2124">
        <v>2</v>
      </c>
      <c r="Z2124">
        <v>1</v>
      </c>
      <c r="AA2124">
        <v>8</v>
      </c>
      <c r="AB2124">
        <v>3</v>
      </c>
      <c r="AC2124">
        <v>0</v>
      </c>
      <c r="AD2124">
        <v>9</v>
      </c>
      <c r="AE2124">
        <v>0</v>
      </c>
      <c r="AF2124">
        <v>3</v>
      </c>
      <c r="AG2124">
        <v>1</v>
      </c>
      <c r="AH2124">
        <v>0</v>
      </c>
      <c r="AI2124" t="s">
        <v>1114</v>
      </c>
      <c r="AJ2124">
        <v>33.021405000000001</v>
      </c>
      <c r="AK2124" t="s">
        <v>1115</v>
      </c>
      <c r="AL2124">
        <v>-97.653049999999993</v>
      </c>
      <c r="AM2124">
        <v>25</v>
      </c>
      <c r="AN2124">
        <v>3300</v>
      </c>
      <c r="AO2124" t="s">
        <v>118</v>
      </c>
      <c r="AP2124">
        <v>28</v>
      </c>
      <c r="AQ2124">
        <v>-76</v>
      </c>
      <c r="AR2124">
        <v>320</v>
      </c>
      <c r="AZ2124">
        <v>1200</v>
      </c>
      <c r="BA2124">
        <v>1</v>
      </c>
      <c r="BB2124" t="str">
        <f t="shared" si="621"/>
        <v xml:space="preserve">N733KP  </v>
      </c>
      <c r="BC2124">
        <v>1</v>
      </c>
      <c r="BE2124">
        <v>0</v>
      </c>
      <c r="BF2124">
        <v>0</v>
      </c>
      <c r="BG2124">
        <v>0</v>
      </c>
      <c r="BH2124">
        <v>3375</v>
      </c>
      <c r="BI2124">
        <v>1</v>
      </c>
      <c r="BJ2124">
        <v>1</v>
      </c>
      <c r="BK2124">
        <v>0</v>
      </c>
      <c r="BL2124">
        <v>0</v>
      </c>
      <c r="BO2124">
        <v>0</v>
      </c>
      <c r="BP2124">
        <v>0</v>
      </c>
      <c r="BW2124" t="str">
        <f>"22:18:23.901"</f>
        <v>22:18:23.901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6</v>
      </c>
      <c r="CP2124" t="s">
        <v>119</v>
      </c>
      <c r="CQ2124">
        <v>364</v>
      </c>
      <c r="CR2124">
        <v>0</v>
      </c>
      <c r="CW2124">
        <v>1446503</v>
      </c>
      <c r="CY2124">
        <v>1</v>
      </c>
      <c r="CZ2124">
        <v>0</v>
      </c>
      <c r="DA2124">
        <v>1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>"03/24/2022 22:18:24.062"</f>
        <v>03/24/2022 22:18:24.062</v>
      </c>
      <c r="C2125" t="str">
        <f t="shared" si="620"/>
        <v>FFDFD3C0</v>
      </c>
      <c r="D2125" t="s">
        <v>113</v>
      </c>
      <c r="E2125">
        <v>24</v>
      </c>
      <c r="F2125">
        <v>2024</v>
      </c>
      <c r="G2125" t="s">
        <v>114</v>
      </c>
      <c r="J2125" t="s">
        <v>115</v>
      </c>
      <c r="K2125">
        <v>0</v>
      </c>
      <c r="L2125">
        <v>3</v>
      </c>
      <c r="M2125">
        <v>0</v>
      </c>
      <c r="N2125">
        <v>2</v>
      </c>
      <c r="O2125">
        <v>0</v>
      </c>
      <c r="P2125">
        <v>1</v>
      </c>
      <c r="Q2125">
        <v>0</v>
      </c>
      <c r="S2125" t="str">
        <f t="shared" si="635"/>
        <v>22:18:23.000</v>
      </c>
      <c r="T2125" t="str">
        <f t="shared" si="635"/>
        <v>22:18:23.000</v>
      </c>
      <c r="U2125" t="str">
        <f t="shared" si="633"/>
        <v>A9D71F</v>
      </c>
      <c r="V2125">
        <v>0</v>
      </c>
      <c r="W2125">
        <v>0</v>
      </c>
      <c r="X2125">
        <v>2</v>
      </c>
      <c r="Z2125">
        <v>1</v>
      </c>
      <c r="AA2125">
        <v>8</v>
      </c>
      <c r="AB2125">
        <v>3</v>
      </c>
      <c r="AC2125">
        <v>0</v>
      </c>
      <c r="AD2125">
        <v>9</v>
      </c>
      <c r="AE2125">
        <v>0</v>
      </c>
      <c r="AF2125">
        <v>3</v>
      </c>
      <c r="AG2125">
        <v>1</v>
      </c>
      <c r="AH2125">
        <v>0</v>
      </c>
      <c r="AI2125" t="s">
        <v>1114</v>
      </c>
      <c r="AJ2125">
        <v>33.021405000000001</v>
      </c>
      <c r="AK2125" t="s">
        <v>1115</v>
      </c>
      <c r="AL2125">
        <v>-97.653049999999993</v>
      </c>
      <c r="AM2125">
        <v>25</v>
      </c>
      <c r="AN2125">
        <v>3300</v>
      </c>
      <c r="AO2125" t="s">
        <v>118</v>
      </c>
      <c r="AP2125">
        <v>28</v>
      </c>
      <c r="AQ2125">
        <v>-76</v>
      </c>
      <c r="AR2125">
        <v>320</v>
      </c>
      <c r="AZ2125">
        <v>1200</v>
      </c>
      <c r="BA2125">
        <v>1</v>
      </c>
      <c r="BB2125" t="str">
        <f t="shared" si="621"/>
        <v xml:space="preserve">N733KP  </v>
      </c>
      <c r="BC2125">
        <v>1</v>
      </c>
      <c r="BE2125">
        <v>0</v>
      </c>
      <c r="BF2125">
        <v>0</v>
      </c>
      <c r="BG2125">
        <v>0</v>
      </c>
      <c r="BH2125">
        <v>3375</v>
      </c>
      <c r="BI2125">
        <v>1</v>
      </c>
      <c r="BJ2125">
        <v>1</v>
      </c>
      <c r="BK2125">
        <v>0</v>
      </c>
      <c r="BL2125">
        <v>0</v>
      </c>
      <c r="BO2125">
        <v>0</v>
      </c>
      <c r="BP2125">
        <v>0</v>
      </c>
      <c r="BW2125" t="str">
        <f>"22:18:23.901"</f>
        <v>22:18:23.901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6</v>
      </c>
      <c r="CP2125" t="s">
        <v>119</v>
      </c>
      <c r="CQ2125">
        <v>364</v>
      </c>
      <c r="CR2125">
        <v>0</v>
      </c>
      <c r="CW2125">
        <v>1446503</v>
      </c>
      <c r="CY2125">
        <v>1</v>
      </c>
      <c r="CZ2125">
        <v>0</v>
      </c>
      <c r="DA2125">
        <v>1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>"03/24/2022 22:18:24.375"</f>
        <v>03/24/2022 22:18:24.375</v>
      </c>
      <c r="C2126" t="str">
        <f t="shared" si="620"/>
        <v>FFDFD3C0</v>
      </c>
      <c r="D2126" t="s">
        <v>126</v>
      </c>
      <c r="E2126">
        <v>3</v>
      </c>
      <c r="H2126">
        <v>160</v>
      </c>
      <c r="I2126" t="s">
        <v>121</v>
      </c>
      <c r="J2126" t="s">
        <v>127</v>
      </c>
      <c r="K2126">
        <v>0</v>
      </c>
      <c r="L2126">
        <v>3</v>
      </c>
      <c r="M2126">
        <v>0</v>
      </c>
      <c r="N2126">
        <v>2</v>
      </c>
      <c r="O2126">
        <v>0</v>
      </c>
      <c r="P2126">
        <v>1</v>
      </c>
      <c r="Q2126">
        <v>0</v>
      </c>
      <c r="S2126" t="str">
        <f t="shared" ref="S2126:T2128" si="636">"22:18:24.000"</f>
        <v>22:18:24.000</v>
      </c>
      <c r="T2126" t="str">
        <f t="shared" si="636"/>
        <v>22:18:24.000</v>
      </c>
      <c r="U2126" t="str">
        <f t="shared" si="633"/>
        <v>A9D71F</v>
      </c>
      <c r="V2126">
        <v>0</v>
      </c>
      <c r="W2126">
        <v>0</v>
      </c>
      <c r="X2126">
        <v>2</v>
      </c>
      <c r="Z2126">
        <v>1</v>
      </c>
      <c r="AA2126">
        <v>8</v>
      </c>
      <c r="AB2126">
        <v>3</v>
      </c>
      <c r="AC2126">
        <v>0</v>
      </c>
      <c r="AD2126">
        <v>9</v>
      </c>
      <c r="AE2126">
        <v>0</v>
      </c>
      <c r="AF2126">
        <v>3</v>
      </c>
      <c r="AG2126">
        <v>1</v>
      </c>
      <c r="AH2126">
        <v>0</v>
      </c>
      <c r="AI2126" t="s">
        <v>1112</v>
      </c>
      <c r="AJ2126">
        <v>33.021039999999999</v>
      </c>
      <c r="AK2126" t="s">
        <v>1113</v>
      </c>
      <c r="AL2126">
        <v>-97.652900000000002</v>
      </c>
      <c r="AM2126">
        <v>25</v>
      </c>
      <c r="AN2126">
        <v>3300</v>
      </c>
      <c r="AO2126" t="s">
        <v>118</v>
      </c>
      <c r="AP2126">
        <v>28</v>
      </c>
      <c r="AQ2126">
        <v>-76</v>
      </c>
      <c r="AR2126">
        <v>320</v>
      </c>
      <c r="AZ2126">
        <v>1200</v>
      </c>
      <c r="BA2126">
        <v>1</v>
      </c>
      <c r="BB2126" t="str">
        <f t="shared" si="621"/>
        <v xml:space="preserve">N733KP  </v>
      </c>
      <c r="BC2126">
        <v>1</v>
      </c>
      <c r="BE2126">
        <v>0</v>
      </c>
      <c r="BF2126">
        <v>0</v>
      </c>
      <c r="BG2126">
        <v>0</v>
      </c>
      <c r="BH2126">
        <v>3375</v>
      </c>
      <c r="BI2126">
        <v>1</v>
      </c>
      <c r="BJ2126">
        <v>1</v>
      </c>
      <c r="BK2126">
        <v>0</v>
      </c>
      <c r="BL2126">
        <v>0</v>
      </c>
      <c r="BO2126">
        <v>0</v>
      </c>
      <c r="BP2126">
        <v>0</v>
      </c>
      <c r="BW2126" t="str">
        <f>"22:18:24.224"</f>
        <v>22:18:24.224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7</v>
      </c>
      <c r="CP2126" t="s">
        <v>119</v>
      </c>
      <c r="CQ2126">
        <v>364</v>
      </c>
      <c r="CR2126">
        <v>0</v>
      </c>
      <c r="CW2126">
        <v>1446535</v>
      </c>
      <c r="CY2126">
        <v>1</v>
      </c>
      <c r="CZ2126">
        <v>0</v>
      </c>
      <c r="DA2126">
        <v>1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>"03/24/2022 22:18:24.406"</f>
        <v>03/24/2022 22:18:24.406</v>
      </c>
      <c r="C2127" t="str">
        <f t="shared" si="620"/>
        <v>FFDFD3C0</v>
      </c>
      <c r="D2127" t="s">
        <v>113</v>
      </c>
      <c r="E2127">
        <v>24</v>
      </c>
      <c r="F2127">
        <v>2024</v>
      </c>
      <c r="G2127" t="s">
        <v>114</v>
      </c>
      <c r="J2127" t="s">
        <v>115</v>
      </c>
      <c r="K2127">
        <v>0</v>
      </c>
      <c r="L2127">
        <v>3</v>
      </c>
      <c r="M2127">
        <v>0</v>
      </c>
      <c r="N2127">
        <v>2</v>
      </c>
      <c r="O2127">
        <v>0</v>
      </c>
      <c r="P2127">
        <v>1</v>
      </c>
      <c r="Q2127">
        <v>0</v>
      </c>
      <c r="S2127" t="str">
        <f t="shared" si="636"/>
        <v>22:18:24.000</v>
      </c>
      <c r="T2127" t="str">
        <f t="shared" si="636"/>
        <v>22:18:24.000</v>
      </c>
      <c r="U2127" t="str">
        <f t="shared" si="633"/>
        <v>A9D71F</v>
      </c>
      <c r="V2127">
        <v>0</v>
      </c>
      <c r="W2127">
        <v>0</v>
      </c>
      <c r="X2127">
        <v>2</v>
      </c>
      <c r="Z2127">
        <v>1</v>
      </c>
      <c r="AA2127">
        <v>8</v>
      </c>
      <c r="AB2127">
        <v>3</v>
      </c>
      <c r="AC2127">
        <v>0</v>
      </c>
      <c r="AD2127">
        <v>9</v>
      </c>
      <c r="AE2127">
        <v>0</v>
      </c>
      <c r="AF2127">
        <v>3</v>
      </c>
      <c r="AG2127">
        <v>1</v>
      </c>
      <c r="AH2127">
        <v>0</v>
      </c>
      <c r="AI2127" t="s">
        <v>1112</v>
      </c>
      <c r="AJ2127">
        <v>33.021039999999999</v>
      </c>
      <c r="AK2127" t="s">
        <v>1113</v>
      </c>
      <c r="AL2127">
        <v>-97.652900000000002</v>
      </c>
      <c r="AM2127">
        <v>25</v>
      </c>
      <c r="AN2127">
        <v>3300</v>
      </c>
      <c r="AO2127" t="s">
        <v>118</v>
      </c>
      <c r="AP2127">
        <v>28</v>
      </c>
      <c r="AQ2127">
        <v>-76</v>
      </c>
      <c r="AR2127">
        <v>320</v>
      </c>
      <c r="AZ2127">
        <v>1200</v>
      </c>
      <c r="BA2127">
        <v>1</v>
      </c>
      <c r="BB2127" t="str">
        <f t="shared" si="621"/>
        <v xml:space="preserve">N733KP  </v>
      </c>
      <c r="BC2127">
        <v>1</v>
      </c>
      <c r="BE2127">
        <v>0</v>
      </c>
      <c r="BF2127">
        <v>0</v>
      </c>
      <c r="BG2127">
        <v>0</v>
      </c>
      <c r="BH2127">
        <v>3375</v>
      </c>
      <c r="BI2127">
        <v>1</v>
      </c>
      <c r="BJ2127">
        <v>1</v>
      </c>
      <c r="BK2127">
        <v>0</v>
      </c>
      <c r="BL2127">
        <v>0</v>
      </c>
      <c r="BO2127">
        <v>0</v>
      </c>
      <c r="BP2127">
        <v>0</v>
      </c>
      <c r="BW2127" t="str">
        <f>"22:18:24.224"</f>
        <v>22:18:24.224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7</v>
      </c>
      <c r="CP2127" t="s">
        <v>119</v>
      </c>
      <c r="CQ2127">
        <v>364</v>
      </c>
      <c r="CR2127">
        <v>0</v>
      </c>
      <c r="CW2127">
        <v>1446535</v>
      </c>
      <c r="CY2127">
        <v>1</v>
      </c>
      <c r="CZ2127">
        <v>0</v>
      </c>
      <c r="DA2127">
        <v>1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>"03/24/2022 22:18:24.406"</f>
        <v>03/24/2022 22:18:24.406</v>
      </c>
      <c r="C2128" t="str">
        <f t="shared" si="620"/>
        <v>FFDFD3C0</v>
      </c>
      <c r="D2128" t="s">
        <v>120</v>
      </c>
      <c r="E2128">
        <v>14</v>
      </c>
      <c r="F2128">
        <v>1014</v>
      </c>
      <c r="G2128" t="s">
        <v>121</v>
      </c>
      <c r="J2128" t="s">
        <v>122</v>
      </c>
      <c r="K2128">
        <v>0</v>
      </c>
      <c r="L2128">
        <v>3</v>
      </c>
      <c r="M2128">
        <v>0</v>
      </c>
      <c r="N2128">
        <v>2</v>
      </c>
      <c r="O2128">
        <v>0</v>
      </c>
      <c r="P2128">
        <v>1</v>
      </c>
      <c r="Q2128">
        <v>0</v>
      </c>
      <c r="S2128" t="str">
        <f t="shared" si="636"/>
        <v>22:18:24.000</v>
      </c>
      <c r="T2128" t="str">
        <f t="shared" si="636"/>
        <v>22:18:24.000</v>
      </c>
      <c r="U2128" t="str">
        <f t="shared" si="633"/>
        <v>A9D71F</v>
      </c>
      <c r="V2128">
        <v>0</v>
      </c>
      <c r="W2128">
        <v>0</v>
      </c>
      <c r="X2128">
        <v>2</v>
      </c>
      <c r="Z2128">
        <v>1</v>
      </c>
      <c r="AA2128">
        <v>8</v>
      </c>
      <c r="AB2128">
        <v>3</v>
      </c>
      <c r="AC2128">
        <v>0</v>
      </c>
      <c r="AD2128">
        <v>9</v>
      </c>
      <c r="AE2128">
        <v>0</v>
      </c>
      <c r="AF2128">
        <v>3</v>
      </c>
      <c r="AG2128">
        <v>1</v>
      </c>
      <c r="AH2128">
        <v>0</v>
      </c>
      <c r="AI2128" t="s">
        <v>1112</v>
      </c>
      <c r="AJ2128">
        <v>33.021039999999999</v>
      </c>
      <c r="AK2128" t="s">
        <v>1113</v>
      </c>
      <c r="AL2128">
        <v>-97.652900000000002</v>
      </c>
      <c r="AM2128">
        <v>25</v>
      </c>
      <c r="AN2128">
        <v>3300</v>
      </c>
      <c r="AO2128" t="s">
        <v>118</v>
      </c>
      <c r="AP2128">
        <v>28</v>
      </c>
      <c r="AQ2128">
        <v>-76</v>
      </c>
      <c r="AR2128">
        <v>320</v>
      </c>
      <c r="AZ2128">
        <v>1200</v>
      </c>
      <c r="BA2128">
        <v>1</v>
      </c>
      <c r="BB2128" t="str">
        <f t="shared" si="621"/>
        <v xml:space="preserve">N733KP  </v>
      </c>
      <c r="BC2128">
        <v>1</v>
      </c>
      <c r="BE2128">
        <v>0</v>
      </c>
      <c r="BF2128">
        <v>0</v>
      </c>
      <c r="BG2128">
        <v>0</v>
      </c>
      <c r="BH2128">
        <v>3375</v>
      </c>
      <c r="BI2128">
        <v>1</v>
      </c>
      <c r="BJ2128">
        <v>1</v>
      </c>
      <c r="BK2128">
        <v>0</v>
      </c>
      <c r="BL2128">
        <v>0</v>
      </c>
      <c r="BO2128">
        <v>0</v>
      </c>
      <c r="BP2128">
        <v>0</v>
      </c>
      <c r="BW2128" t="str">
        <f>"22:18:24.224"</f>
        <v>22:18:24.224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7</v>
      </c>
      <c r="CP2128" t="s">
        <v>119</v>
      </c>
      <c r="CQ2128">
        <v>364</v>
      </c>
      <c r="CR2128">
        <v>0</v>
      </c>
      <c r="CW2128">
        <v>1446535</v>
      </c>
      <c r="CY2128">
        <v>1</v>
      </c>
      <c r="CZ2128">
        <v>0</v>
      </c>
      <c r="DA2128">
        <v>1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>"03/24/2022 22:18:25.750"</f>
        <v>03/24/2022 22:18:25.750</v>
      </c>
      <c r="C2129" t="str">
        <f t="shared" si="620"/>
        <v>FFDFD3C0</v>
      </c>
      <c r="D2129" t="s">
        <v>120</v>
      </c>
      <c r="E2129">
        <v>14</v>
      </c>
      <c r="F2129">
        <v>1014</v>
      </c>
      <c r="G2129" t="s">
        <v>121</v>
      </c>
      <c r="J2129" t="s">
        <v>122</v>
      </c>
      <c r="K2129">
        <v>0</v>
      </c>
      <c r="L2129">
        <v>3</v>
      </c>
      <c r="M2129">
        <v>0</v>
      </c>
      <c r="N2129">
        <v>2</v>
      </c>
      <c r="O2129">
        <v>0</v>
      </c>
      <c r="P2129">
        <v>1</v>
      </c>
      <c r="Q2129">
        <v>0</v>
      </c>
      <c r="S2129" t="str">
        <f t="shared" ref="S2129:T2132" si="637">"22:18:25.000"</f>
        <v>22:18:25.000</v>
      </c>
      <c r="T2129" t="str">
        <f t="shared" si="637"/>
        <v>22:18:25.000</v>
      </c>
      <c r="U2129" t="str">
        <f t="shared" si="633"/>
        <v>A9D71F</v>
      </c>
      <c r="V2129">
        <v>0</v>
      </c>
      <c r="W2129">
        <v>0</v>
      </c>
      <c r="X2129">
        <v>2</v>
      </c>
      <c r="Z2129">
        <v>1</v>
      </c>
      <c r="AA2129">
        <v>8</v>
      </c>
      <c r="AB2129">
        <v>3</v>
      </c>
      <c r="AC2129">
        <v>0</v>
      </c>
      <c r="AD2129">
        <v>9</v>
      </c>
      <c r="AE2129">
        <v>0</v>
      </c>
      <c r="AF2129">
        <v>3</v>
      </c>
      <c r="AG2129">
        <v>1</v>
      </c>
      <c r="AH2129">
        <v>0</v>
      </c>
      <c r="AI2129" t="s">
        <v>1116</v>
      </c>
      <c r="AJ2129">
        <v>33.020674999999997</v>
      </c>
      <c r="AK2129" t="s">
        <v>1117</v>
      </c>
      <c r="AL2129">
        <v>-97.652728999999994</v>
      </c>
      <c r="AM2129">
        <v>25</v>
      </c>
      <c r="AN2129">
        <v>3400</v>
      </c>
      <c r="AO2129" t="s">
        <v>118</v>
      </c>
      <c r="AP2129">
        <v>27</v>
      </c>
      <c r="AQ2129">
        <v>-76</v>
      </c>
      <c r="AR2129">
        <v>256</v>
      </c>
      <c r="AZ2129">
        <v>1200</v>
      </c>
      <c r="BA2129">
        <v>1</v>
      </c>
      <c r="BB2129" t="str">
        <f t="shared" si="621"/>
        <v xml:space="preserve">N733KP  </v>
      </c>
      <c r="BC2129">
        <v>1</v>
      </c>
      <c r="BE2129">
        <v>0</v>
      </c>
      <c r="BF2129">
        <v>0</v>
      </c>
      <c r="BG2129">
        <v>0</v>
      </c>
      <c r="BH2129">
        <v>3400</v>
      </c>
      <c r="BI2129">
        <v>1</v>
      </c>
      <c r="BJ2129">
        <v>1</v>
      </c>
      <c r="BK2129">
        <v>0</v>
      </c>
      <c r="BL2129">
        <v>0</v>
      </c>
      <c r="BO2129">
        <v>0</v>
      </c>
      <c r="BP2129">
        <v>0</v>
      </c>
      <c r="BW2129" t="str">
        <f>"22:18:25.575"</f>
        <v>22:18:25.575</v>
      </c>
      <c r="CJ2129">
        <v>0</v>
      </c>
      <c r="CK2129">
        <v>2</v>
      </c>
      <c r="CL2129">
        <v>0</v>
      </c>
      <c r="CM2129">
        <v>2</v>
      </c>
      <c r="CN2129">
        <v>0</v>
      </c>
      <c r="CO2129">
        <v>6</v>
      </c>
      <c r="CP2129" t="s">
        <v>119</v>
      </c>
      <c r="CQ2129">
        <v>364</v>
      </c>
      <c r="CR2129">
        <v>0</v>
      </c>
      <c r="CW2129">
        <v>1446705</v>
      </c>
      <c r="CY2129">
        <v>1</v>
      </c>
      <c r="CZ2129">
        <v>0</v>
      </c>
      <c r="DA2129">
        <v>0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>"03/24/2022 22:18:25.860"</f>
        <v>03/24/2022 22:18:25.860</v>
      </c>
      <c r="C2130" t="str">
        <f t="shared" si="620"/>
        <v>FFDFD3C0</v>
      </c>
      <c r="D2130" t="s">
        <v>123</v>
      </c>
      <c r="E2130">
        <v>8</v>
      </c>
      <c r="H2130">
        <v>31</v>
      </c>
      <c r="I2130" t="s">
        <v>124</v>
      </c>
      <c r="J2130" t="s">
        <v>125</v>
      </c>
      <c r="K2130">
        <v>0</v>
      </c>
      <c r="L2130">
        <v>3</v>
      </c>
      <c r="M2130">
        <v>0</v>
      </c>
      <c r="N2130">
        <v>2</v>
      </c>
      <c r="O2130">
        <v>0</v>
      </c>
      <c r="P2130">
        <v>1</v>
      </c>
      <c r="Q2130">
        <v>0</v>
      </c>
      <c r="S2130" t="str">
        <f t="shared" si="637"/>
        <v>22:18:25.000</v>
      </c>
      <c r="T2130" t="str">
        <f t="shared" si="637"/>
        <v>22:18:25.000</v>
      </c>
      <c r="U2130" t="str">
        <f t="shared" si="633"/>
        <v>A9D71F</v>
      </c>
      <c r="V2130">
        <v>0</v>
      </c>
      <c r="W2130">
        <v>0</v>
      </c>
      <c r="X2130">
        <v>2</v>
      </c>
      <c r="Z2130">
        <v>1</v>
      </c>
      <c r="AA2130">
        <v>8</v>
      </c>
      <c r="AB2130">
        <v>3</v>
      </c>
      <c r="AC2130">
        <v>0</v>
      </c>
      <c r="AD2130">
        <v>9</v>
      </c>
      <c r="AE2130">
        <v>0</v>
      </c>
      <c r="AF2130">
        <v>3</v>
      </c>
      <c r="AG2130">
        <v>1</v>
      </c>
      <c r="AH2130">
        <v>0</v>
      </c>
      <c r="AI2130" t="s">
        <v>1116</v>
      </c>
      <c r="AJ2130">
        <v>33.020674999999997</v>
      </c>
      <c r="AK2130" t="s">
        <v>1117</v>
      </c>
      <c r="AL2130">
        <v>-97.652728999999994</v>
      </c>
      <c r="AM2130">
        <v>25</v>
      </c>
      <c r="AN2130">
        <v>3400</v>
      </c>
      <c r="AO2130" t="s">
        <v>118</v>
      </c>
      <c r="AP2130">
        <v>27</v>
      </c>
      <c r="AQ2130">
        <v>-76</v>
      </c>
      <c r="AR2130">
        <v>256</v>
      </c>
      <c r="AZ2130">
        <v>1200</v>
      </c>
      <c r="BA2130">
        <v>1</v>
      </c>
      <c r="BB2130" t="str">
        <f t="shared" si="621"/>
        <v xml:space="preserve">N733KP  </v>
      </c>
      <c r="BC2130">
        <v>1</v>
      </c>
      <c r="BE2130">
        <v>0</v>
      </c>
      <c r="BF2130">
        <v>0</v>
      </c>
      <c r="BG2130">
        <v>0</v>
      </c>
      <c r="BH2130">
        <v>3400</v>
      </c>
      <c r="BI2130">
        <v>1</v>
      </c>
      <c r="BJ2130">
        <v>1</v>
      </c>
      <c r="BK2130">
        <v>0</v>
      </c>
      <c r="BL2130">
        <v>0</v>
      </c>
      <c r="BO2130">
        <v>0</v>
      </c>
      <c r="BP2130">
        <v>0</v>
      </c>
      <c r="BW2130" t="str">
        <f>"22:18:25.575"</f>
        <v>22:18:25.575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6</v>
      </c>
      <c r="CP2130" t="s">
        <v>119</v>
      </c>
      <c r="CQ2130">
        <v>364</v>
      </c>
      <c r="CR2130">
        <v>0</v>
      </c>
      <c r="CW2130">
        <v>1446705</v>
      </c>
      <c r="CY2130">
        <v>1</v>
      </c>
      <c r="CZ2130">
        <v>0</v>
      </c>
      <c r="DA2130">
        <v>1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>"03/24/2022 22:18:25.860"</f>
        <v>03/24/2022 22:18:25.860</v>
      </c>
      <c r="C2131" t="str">
        <f t="shared" si="620"/>
        <v>FFDFD3C0</v>
      </c>
      <c r="D2131" t="s">
        <v>126</v>
      </c>
      <c r="E2131">
        <v>3</v>
      </c>
      <c r="H2131">
        <v>160</v>
      </c>
      <c r="I2131" t="s">
        <v>121</v>
      </c>
      <c r="J2131" t="s">
        <v>127</v>
      </c>
      <c r="K2131">
        <v>0</v>
      </c>
      <c r="L2131">
        <v>3</v>
      </c>
      <c r="M2131">
        <v>0</v>
      </c>
      <c r="N2131">
        <v>2</v>
      </c>
      <c r="O2131">
        <v>0</v>
      </c>
      <c r="P2131">
        <v>1</v>
      </c>
      <c r="Q2131">
        <v>0</v>
      </c>
      <c r="S2131" t="str">
        <f t="shared" si="637"/>
        <v>22:18:25.000</v>
      </c>
      <c r="T2131" t="str">
        <f t="shared" si="637"/>
        <v>22:18:25.000</v>
      </c>
      <c r="U2131" t="str">
        <f t="shared" si="633"/>
        <v>A9D71F</v>
      </c>
      <c r="V2131">
        <v>0</v>
      </c>
      <c r="W2131">
        <v>0</v>
      </c>
      <c r="X2131">
        <v>2</v>
      </c>
      <c r="Z2131">
        <v>1</v>
      </c>
      <c r="AA2131">
        <v>8</v>
      </c>
      <c r="AB2131">
        <v>3</v>
      </c>
      <c r="AC2131">
        <v>0</v>
      </c>
      <c r="AD2131">
        <v>9</v>
      </c>
      <c r="AE2131">
        <v>0</v>
      </c>
      <c r="AF2131">
        <v>3</v>
      </c>
      <c r="AG2131">
        <v>1</v>
      </c>
      <c r="AH2131">
        <v>0</v>
      </c>
      <c r="AI2131" t="s">
        <v>1116</v>
      </c>
      <c r="AJ2131">
        <v>33.020674999999997</v>
      </c>
      <c r="AK2131" t="s">
        <v>1117</v>
      </c>
      <c r="AL2131">
        <v>-97.652728999999994</v>
      </c>
      <c r="AM2131">
        <v>25</v>
      </c>
      <c r="AN2131">
        <v>3400</v>
      </c>
      <c r="AO2131" t="s">
        <v>118</v>
      </c>
      <c r="AP2131">
        <v>27</v>
      </c>
      <c r="AQ2131">
        <v>-76</v>
      </c>
      <c r="AR2131">
        <v>256</v>
      </c>
      <c r="AZ2131">
        <v>1200</v>
      </c>
      <c r="BA2131">
        <v>1</v>
      </c>
      <c r="BB2131" t="str">
        <f t="shared" si="621"/>
        <v xml:space="preserve">N733KP  </v>
      </c>
      <c r="BC2131">
        <v>1</v>
      </c>
      <c r="BE2131">
        <v>0</v>
      </c>
      <c r="BF2131">
        <v>0</v>
      </c>
      <c r="BG2131">
        <v>0</v>
      </c>
      <c r="BH2131">
        <v>3400</v>
      </c>
      <c r="BI2131">
        <v>1</v>
      </c>
      <c r="BJ2131">
        <v>1</v>
      </c>
      <c r="BK2131">
        <v>0</v>
      </c>
      <c r="BL2131">
        <v>0</v>
      </c>
      <c r="BO2131">
        <v>0</v>
      </c>
      <c r="BP2131">
        <v>0</v>
      </c>
      <c r="BW2131" t="str">
        <f>"22:18:25.575"</f>
        <v>22:18:25.575</v>
      </c>
      <c r="CJ2131">
        <v>0</v>
      </c>
      <c r="CK2131">
        <v>2</v>
      </c>
      <c r="CL2131">
        <v>0</v>
      </c>
      <c r="CM2131">
        <v>2</v>
      </c>
      <c r="CN2131">
        <v>0</v>
      </c>
      <c r="CO2131">
        <v>6</v>
      </c>
      <c r="CP2131" t="s">
        <v>119</v>
      </c>
      <c r="CQ2131">
        <v>364</v>
      </c>
      <c r="CR2131">
        <v>0</v>
      </c>
      <c r="CW2131">
        <v>1446705</v>
      </c>
      <c r="CY2131">
        <v>1</v>
      </c>
      <c r="CZ2131">
        <v>0</v>
      </c>
      <c r="DA2131">
        <v>1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>"03/24/2022 22:18:25.891"</f>
        <v>03/24/2022 22:18:25.891</v>
      </c>
      <c r="C2132" t="str">
        <f t="shared" si="620"/>
        <v>FFDFD3C0</v>
      </c>
      <c r="D2132" t="s">
        <v>113</v>
      </c>
      <c r="E2132">
        <v>24</v>
      </c>
      <c r="F2132">
        <v>2024</v>
      </c>
      <c r="G2132" t="s">
        <v>114</v>
      </c>
      <c r="J2132" t="s">
        <v>115</v>
      </c>
      <c r="K2132">
        <v>0</v>
      </c>
      <c r="L2132">
        <v>3</v>
      </c>
      <c r="M2132">
        <v>0</v>
      </c>
      <c r="N2132">
        <v>2</v>
      </c>
      <c r="O2132">
        <v>0</v>
      </c>
      <c r="P2132">
        <v>1</v>
      </c>
      <c r="Q2132">
        <v>0</v>
      </c>
      <c r="S2132" t="str">
        <f t="shared" si="637"/>
        <v>22:18:25.000</v>
      </c>
      <c r="T2132" t="str">
        <f t="shared" si="637"/>
        <v>22:18:25.000</v>
      </c>
      <c r="U2132" t="str">
        <f t="shared" si="633"/>
        <v>A9D71F</v>
      </c>
      <c r="V2132">
        <v>0</v>
      </c>
      <c r="W2132">
        <v>0</v>
      </c>
      <c r="X2132">
        <v>2</v>
      </c>
      <c r="Z2132">
        <v>1</v>
      </c>
      <c r="AA2132">
        <v>8</v>
      </c>
      <c r="AB2132">
        <v>3</v>
      </c>
      <c r="AC2132">
        <v>0</v>
      </c>
      <c r="AD2132">
        <v>9</v>
      </c>
      <c r="AE2132">
        <v>0</v>
      </c>
      <c r="AF2132">
        <v>3</v>
      </c>
      <c r="AG2132">
        <v>1</v>
      </c>
      <c r="AH2132">
        <v>0</v>
      </c>
      <c r="AI2132" t="s">
        <v>1116</v>
      </c>
      <c r="AJ2132">
        <v>33.020674999999997</v>
      </c>
      <c r="AK2132" t="s">
        <v>1117</v>
      </c>
      <c r="AL2132">
        <v>-97.652728999999994</v>
      </c>
      <c r="AM2132">
        <v>25</v>
      </c>
      <c r="AN2132">
        <v>3400</v>
      </c>
      <c r="AO2132" t="s">
        <v>118</v>
      </c>
      <c r="AP2132">
        <v>27</v>
      </c>
      <c r="AQ2132">
        <v>-76</v>
      </c>
      <c r="AR2132">
        <v>256</v>
      </c>
      <c r="AZ2132">
        <v>1200</v>
      </c>
      <c r="BA2132">
        <v>1</v>
      </c>
      <c r="BB2132" t="str">
        <f t="shared" si="621"/>
        <v xml:space="preserve">N733KP  </v>
      </c>
      <c r="BC2132">
        <v>1</v>
      </c>
      <c r="BE2132">
        <v>0</v>
      </c>
      <c r="BF2132">
        <v>0</v>
      </c>
      <c r="BG2132">
        <v>0</v>
      </c>
      <c r="BH2132">
        <v>3400</v>
      </c>
      <c r="BI2132">
        <v>1</v>
      </c>
      <c r="BJ2132">
        <v>1</v>
      </c>
      <c r="BK2132">
        <v>0</v>
      </c>
      <c r="BL2132">
        <v>0</v>
      </c>
      <c r="BO2132">
        <v>0</v>
      </c>
      <c r="BP2132">
        <v>0</v>
      </c>
      <c r="BW2132" t="str">
        <f>"22:18:25.575"</f>
        <v>22:18:25.575</v>
      </c>
      <c r="CJ2132">
        <v>0</v>
      </c>
      <c r="CK2132">
        <v>2</v>
      </c>
      <c r="CL2132">
        <v>0</v>
      </c>
      <c r="CM2132">
        <v>2</v>
      </c>
      <c r="CN2132">
        <v>0</v>
      </c>
      <c r="CO2132">
        <v>6</v>
      </c>
      <c r="CP2132" t="s">
        <v>119</v>
      </c>
      <c r="CQ2132">
        <v>364</v>
      </c>
      <c r="CR2132">
        <v>0</v>
      </c>
      <c r="CW2132">
        <v>1446705</v>
      </c>
      <c r="CY2132">
        <v>1</v>
      </c>
      <c r="CZ2132">
        <v>0</v>
      </c>
      <c r="DA2132">
        <v>1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>"03/24/2022 22:18:26.938"</f>
        <v>03/24/2022 22:18:26.938</v>
      </c>
      <c r="C2133" t="str">
        <f t="shared" si="620"/>
        <v>FFDFD3C0</v>
      </c>
      <c r="D2133" t="s">
        <v>126</v>
      </c>
      <c r="E2133">
        <v>3</v>
      </c>
      <c r="H2133">
        <v>160</v>
      </c>
      <c r="I2133" t="s">
        <v>121</v>
      </c>
      <c r="J2133" t="s">
        <v>127</v>
      </c>
      <c r="K2133">
        <v>0</v>
      </c>
      <c r="L2133">
        <v>3</v>
      </c>
      <c r="M2133">
        <v>0</v>
      </c>
      <c r="N2133">
        <v>2</v>
      </c>
      <c r="O2133">
        <v>0</v>
      </c>
      <c r="P2133">
        <v>1</v>
      </c>
      <c r="Q2133">
        <v>0</v>
      </c>
      <c r="S2133" t="str">
        <f t="shared" ref="S2133:T2136" si="638">"22:18:26.000"</f>
        <v>22:18:26.000</v>
      </c>
      <c r="T2133" t="str">
        <f t="shared" si="638"/>
        <v>22:18:26.000</v>
      </c>
      <c r="U2133" t="str">
        <f t="shared" si="633"/>
        <v>A9D71F</v>
      </c>
      <c r="V2133">
        <v>0</v>
      </c>
      <c r="W2133">
        <v>0</v>
      </c>
      <c r="X2133">
        <v>2</v>
      </c>
      <c r="Z2133">
        <v>1</v>
      </c>
      <c r="AA2133">
        <v>8</v>
      </c>
      <c r="AB2133">
        <v>3</v>
      </c>
      <c r="AC2133">
        <v>0</v>
      </c>
      <c r="AD2133">
        <v>9</v>
      </c>
      <c r="AE2133">
        <v>0</v>
      </c>
      <c r="AF2133">
        <v>3</v>
      </c>
      <c r="AG2133">
        <v>1</v>
      </c>
      <c r="AH2133">
        <v>0</v>
      </c>
      <c r="AI2133" t="s">
        <v>1118</v>
      </c>
      <c r="AJ2133">
        <v>33.020332000000003</v>
      </c>
      <c r="AK2133" t="s">
        <v>1119</v>
      </c>
      <c r="AL2133">
        <v>-97.652578000000005</v>
      </c>
      <c r="AM2133">
        <v>25</v>
      </c>
      <c r="AN2133">
        <v>3400</v>
      </c>
      <c r="AO2133" t="s">
        <v>118</v>
      </c>
      <c r="AP2133">
        <v>26</v>
      </c>
      <c r="AQ2133">
        <v>-75</v>
      </c>
      <c r="AR2133">
        <v>128</v>
      </c>
      <c r="AZ2133">
        <v>1200</v>
      </c>
      <c r="BA2133">
        <v>1</v>
      </c>
      <c r="BB2133" t="str">
        <f t="shared" si="621"/>
        <v xml:space="preserve">N733KP  </v>
      </c>
      <c r="BC2133">
        <v>1</v>
      </c>
      <c r="BE2133">
        <v>0</v>
      </c>
      <c r="BF2133">
        <v>0</v>
      </c>
      <c r="BG2133">
        <v>0</v>
      </c>
      <c r="BH2133">
        <v>3400</v>
      </c>
      <c r="BI2133">
        <v>1</v>
      </c>
      <c r="BJ2133">
        <v>1</v>
      </c>
      <c r="BK2133">
        <v>0</v>
      </c>
      <c r="BL2133">
        <v>0</v>
      </c>
      <c r="BO2133">
        <v>0</v>
      </c>
      <c r="BP2133">
        <v>0</v>
      </c>
      <c r="BW2133" t="str">
        <f>"22:18:26.690"</f>
        <v>22:18:26.690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7</v>
      </c>
      <c r="CP2133" t="s">
        <v>119</v>
      </c>
      <c r="CQ2133">
        <v>364</v>
      </c>
      <c r="CR2133">
        <v>0</v>
      </c>
      <c r="CW2133">
        <v>1446862</v>
      </c>
      <c r="CY2133">
        <v>1</v>
      </c>
      <c r="CZ2133">
        <v>0</v>
      </c>
      <c r="DA2133">
        <v>0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>"03/24/2022 22:18:26.938"</f>
        <v>03/24/2022 22:18:26.938</v>
      </c>
      <c r="C2134" t="str">
        <f t="shared" ref="C2134:C2197" si="639">"FFDFD3C0"</f>
        <v>FFDFD3C0</v>
      </c>
      <c r="D2134" t="s">
        <v>113</v>
      </c>
      <c r="E2134">
        <v>24</v>
      </c>
      <c r="F2134">
        <v>2024</v>
      </c>
      <c r="G2134" t="s">
        <v>114</v>
      </c>
      <c r="J2134" t="s">
        <v>115</v>
      </c>
      <c r="K2134">
        <v>0</v>
      </c>
      <c r="L2134">
        <v>3</v>
      </c>
      <c r="M2134">
        <v>0</v>
      </c>
      <c r="N2134">
        <v>2</v>
      </c>
      <c r="O2134">
        <v>0</v>
      </c>
      <c r="P2134">
        <v>1</v>
      </c>
      <c r="Q2134">
        <v>0</v>
      </c>
      <c r="S2134" t="str">
        <f t="shared" si="638"/>
        <v>22:18:26.000</v>
      </c>
      <c r="T2134" t="str">
        <f t="shared" si="638"/>
        <v>22:18:26.000</v>
      </c>
      <c r="U2134" t="str">
        <f t="shared" si="633"/>
        <v>A9D71F</v>
      </c>
      <c r="V2134">
        <v>0</v>
      </c>
      <c r="W2134">
        <v>0</v>
      </c>
      <c r="X2134">
        <v>2</v>
      </c>
      <c r="Z2134">
        <v>1</v>
      </c>
      <c r="AA2134">
        <v>8</v>
      </c>
      <c r="AB2134">
        <v>3</v>
      </c>
      <c r="AC2134">
        <v>0</v>
      </c>
      <c r="AD2134">
        <v>9</v>
      </c>
      <c r="AE2134">
        <v>0</v>
      </c>
      <c r="AF2134">
        <v>3</v>
      </c>
      <c r="AG2134">
        <v>1</v>
      </c>
      <c r="AH2134">
        <v>0</v>
      </c>
      <c r="AI2134" t="s">
        <v>1118</v>
      </c>
      <c r="AJ2134">
        <v>33.020332000000003</v>
      </c>
      <c r="AK2134" t="s">
        <v>1119</v>
      </c>
      <c r="AL2134">
        <v>-97.652578000000005</v>
      </c>
      <c r="AM2134">
        <v>25</v>
      </c>
      <c r="AN2134">
        <v>3400</v>
      </c>
      <c r="AO2134" t="s">
        <v>118</v>
      </c>
      <c r="AP2134">
        <v>26</v>
      </c>
      <c r="AQ2134">
        <v>-75</v>
      </c>
      <c r="AR2134">
        <v>128</v>
      </c>
      <c r="AZ2134">
        <v>1200</v>
      </c>
      <c r="BA2134">
        <v>1</v>
      </c>
      <c r="BB2134" t="str">
        <f t="shared" ref="BB2134:BB2197" si="640">"N733KP  "</f>
        <v xml:space="preserve">N733KP  </v>
      </c>
      <c r="BC2134">
        <v>1</v>
      </c>
      <c r="BE2134">
        <v>0</v>
      </c>
      <c r="BF2134">
        <v>0</v>
      </c>
      <c r="BG2134">
        <v>0</v>
      </c>
      <c r="BH2134">
        <v>3400</v>
      </c>
      <c r="BI2134">
        <v>1</v>
      </c>
      <c r="BJ2134">
        <v>1</v>
      </c>
      <c r="BK2134">
        <v>0</v>
      </c>
      <c r="BL2134">
        <v>0</v>
      </c>
      <c r="BO2134">
        <v>0</v>
      </c>
      <c r="BP2134">
        <v>0</v>
      </c>
      <c r="BW2134" t="str">
        <f>"22:18:26.690"</f>
        <v>22:18:26.690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7</v>
      </c>
      <c r="CP2134" t="s">
        <v>119</v>
      </c>
      <c r="CQ2134">
        <v>364</v>
      </c>
      <c r="CR2134">
        <v>0</v>
      </c>
      <c r="CW2134">
        <v>1446862</v>
      </c>
      <c r="CY2134">
        <v>1</v>
      </c>
      <c r="CZ2134">
        <v>0</v>
      </c>
      <c r="DA2134">
        <v>1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>"03/24/2022 22:18:26.906"</f>
        <v>03/24/2022 22:18:26.906</v>
      </c>
      <c r="C2135" t="str">
        <f t="shared" si="639"/>
        <v>FFDFD3C0</v>
      </c>
      <c r="D2135" t="s">
        <v>123</v>
      </c>
      <c r="E2135">
        <v>8</v>
      </c>
      <c r="H2135">
        <v>31</v>
      </c>
      <c r="I2135" t="s">
        <v>124</v>
      </c>
      <c r="J2135" t="s">
        <v>125</v>
      </c>
      <c r="K2135">
        <v>0</v>
      </c>
      <c r="L2135">
        <v>3</v>
      </c>
      <c r="M2135">
        <v>0</v>
      </c>
      <c r="N2135">
        <v>2</v>
      </c>
      <c r="O2135">
        <v>0</v>
      </c>
      <c r="P2135">
        <v>1</v>
      </c>
      <c r="Q2135">
        <v>0</v>
      </c>
      <c r="S2135" t="str">
        <f t="shared" si="638"/>
        <v>22:18:26.000</v>
      </c>
      <c r="T2135" t="str">
        <f t="shared" si="638"/>
        <v>22:18:26.000</v>
      </c>
      <c r="U2135" t="str">
        <f t="shared" si="633"/>
        <v>A9D71F</v>
      </c>
      <c r="V2135">
        <v>0</v>
      </c>
      <c r="W2135">
        <v>0</v>
      </c>
      <c r="X2135">
        <v>2</v>
      </c>
      <c r="Z2135">
        <v>1</v>
      </c>
      <c r="AA2135">
        <v>8</v>
      </c>
      <c r="AB2135">
        <v>3</v>
      </c>
      <c r="AC2135">
        <v>0</v>
      </c>
      <c r="AD2135">
        <v>9</v>
      </c>
      <c r="AE2135">
        <v>0</v>
      </c>
      <c r="AF2135">
        <v>3</v>
      </c>
      <c r="AG2135">
        <v>1</v>
      </c>
      <c r="AH2135">
        <v>0</v>
      </c>
      <c r="AI2135" t="s">
        <v>1118</v>
      </c>
      <c r="AJ2135">
        <v>33.020332000000003</v>
      </c>
      <c r="AK2135" t="s">
        <v>1119</v>
      </c>
      <c r="AL2135">
        <v>-97.652578000000005</v>
      </c>
      <c r="AM2135">
        <v>25</v>
      </c>
      <c r="AN2135">
        <v>3400</v>
      </c>
      <c r="AO2135" t="s">
        <v>118</v>
      </c>
      <c r="AP2135">
        <v>26</v>
      </c>
      <c r="AQ2135">
        <v>-75</v>
      </c>
      <c r="AR2135">
        <v>128</v>
      </c>
      <c r="AZ2135">
        <v>1200</v>
      </c>
      <c r="BA2135">
        <v>1</v>
      </c>
      <c r="BB2135" t="str">
        <f t="shared" si="640"/>
        <v xml:space="preserve">N733KP  </v>
      </c>
      <c r="BC2135">
        <v>1</v>
      </c>
      <c r="BE2135">
        <v>0</v>
      </c>
      <c r="BF2135">
        <v>0</v>
      </c>
      <c r="BG2135">
        <v>0</v>
      </c>
      <c r="BH2135">
        <v>3400</v>
      </c>
      <c r="BI2135">
        <v>1</v>
      </c>
      <c r="BJ2135">
        <v>1</v>
      </c>
      <c r="BK2135">
        <v>0</v>
      </c>
      <c r="BL2135">
        <v>0</v>
      </c>
      <c r="BO2135">
        <v>0</v>
      </c>
      <c r="BP2135">
        <v>0</v>
      </c>
      <c r="BW2135" t="str">
        <f>"22:18:26.690"</f>
        <v>22:18:26.690</v>
      </c>
      <c r="CJ2135">
        <v>0</v>
      </c>
      <c r="CK2135">
        <v>2</v>
      </c>
      <c r="CL2135">
        <v>0</v>
      </c>
      <c r="CM2135">
        <v>2</v>
      </c>
      <c r="CN2135">
        <v>0</v>
      </c>
      <c r="CO2135">
        <v>7</v>
      </c>
      <c r="CP2135" t="s">
        <v>119</v>
      </c>
      <c r="CQ2135">
        <v>364</v>
      </c>
      <c r="CR2135">
        <v>0</v>
      </c>
      <c r="CW2135">
        <v>1446862</v>
      </c>
      <c r="CY2135">
        <v>1</v>
      </c>
      <c r="CZ2135">
        <v>0</v>
      </c>
      <c r="DA2135">
        <v>1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>"03/24/2022 22:18:26.938"</f>
        <v>03/24/2022 22:18:26.938</v>
      </c>
      <c r="C2136" t="str">
        <f t="shared" si="639"/>
        <v>FFDFD3C0</v>
      </c>
      <c r="D2136" t="s">
        <v>120</v>
      </c>
      <c r="E2136">
        <v>14</v>
      </c>
      <c r="F2136">
        <v>1014</v>
      </c>
      <c r="G2136" t="s">
        <v>121</v>
      </c>
      <c r="J2136" t="s">
        <v>122</v>
      </c>
      <c r="K2136">
        <v>0</v>
      </c>
      <c r="L2136">
        <v>3</v>
      </c>
      <c r="M2136">
        <v>0</v>
      </c>
      <c r="N2136">
        <v>2</v>
      </c>
      <c r="O2136">
        <v>0</v>
      </c>
      <c r="P2136">
        <v>1</v>
      </c>
      <c r="Q2136">
        <v>0</v>
      </c>
      <c r="S2136" t="str">
        <f t="shared" si="638"/>
        <v>22:18:26.000</v>
      </c>
      <c r="T2136" t="str">
        <f t="shared" si="638"/>
        <v>22:18:26.000</v>
      </c>
      <c r="U2136" t="str">
        <f t="shared" si="633"/>
        <v>A9D71F</v>
      </c>
      <c r="V2136">
        <v>0</v>
      </c>
      <c r="W2136">
        <v>0</v>
      </c>
      <c r="X2136">
        <v>2</v>
      </c>
      <c r="Z2136">
        <v>1</v>
      </c>
      <c r="AA2136">
        <v>8</v>
      </c>
      <c r="AB2136">
        <v>3</v>
      </c>
      <c r="AC2136">
        <v>0</v>
      </c>
      <c r="AD2136">
        <v>9</v>
      </c>
      <c r="AE2136">
        <v>0</v>
      </c>
      <c r="AF2136">
        <v>3</v>
      </c>
      <c r="AG2136">
        <v>1</v>
      </c>
      <c r="AH2136">
        <v>0</v>
      </c>
      <c r="AI2136" t="s">
        <v>1118</v>
      </c>
      <c r="AJ2136">
        <v>33.020332000000003</v>
      </c>
      <c r="AK2136" t="s">
        <v>1119</v>
      </c>
      <c r="AL2136">
        <v>-97.652578000000005</v>
      </c>
      <c r="AM2136">
        <v>25</v>
      </c>
      <c r="AN2136">
        <v>3400</v>
      </c>
      <c r="AO2136" t="s">
        <v>118</v>
      </c>
      <c r="AP2136">
        <v>26</v>
      </c>
      <c r="AQ2136">
        <v>-75</v>
      </c>
      <c r="AR2136">
        <v>128</v>
      </c>
      <c r="AZ2136">
        <v>1200</v>
      </c>
      <c r="BA2136">
        <v>1</v>
      </c>
      <c r="BB2136" t="str">
        <f t="shared" si="640"/>
        <v xml:space="preserve">N733KP  </v>
      </c>
      <c r="BC2136">
        <v>1</v>
      </c>
      <c r="BE2136">
        <v>0</v>
      </c>
      <c r="BF2136">
        <v>0</v>
      </c>
      <c r="BG2136">
        <v>0</v>
      </c>
      <c r="BH2136">
        <v>3400</v>
      </c>
      <c r="BI2136">
        <v>1</v>
      </c>
      <c r="BJ2136">
        <v>1</v>
      </c>
      <c r="BK2136">
        <v>0</v>
      </c>
      <c r="BL2136">
        <v>0</v>
      </c>
      <c r="BO2136">
        <v>0</v>
      </c>
      <c r="BP2136">
        <v>0</v>
      </c>
      <c r="BW2136" t="str">
        <f>"22:18:26.690"</f>
        <v>22:18:26.690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7</v>
      </c>
      <c r="CP2136" t="s">
        <v>119</v>
      </c>
      <c r="CQ2136">
        <v>364</v>
      </c>
      <c r="CR2136">
        <v>0</v>
      </c>
      <c r="CW2136">
        <v>1446862</v>
      </c>
      <c r="CY2136">
        <v>1</v>
      </c>
      <c r="CZ2136">
        <v>0</v>
      </c>
      <c r="DA2136">
        <v>1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>"03/24/2022 22:18:28.001"</f>
        <v>03/24/2022 22:18:28.001</v>
      </c>
      <c r="C2137" t="str">
        <f t="shared" si="639"/>
        <v>FFDFD3C0</v>
      </c>
      <c r="D2137" t="s">
        <v>113</v>
      </c>
      <c r="E2137">
        <v>24</v>
      </c>
      <c r="F2137">
        <v>2024</v>
      </c>
      <c r="G2137" t="s">
        <v>114</v>
      </c>
      <c r="J2137" t="s">
        <v>115</v>
      </c>
      <c r="K2137">
        <v>0</v>
      </c>
      <c r="L2137">
        <v>3</v>
      </c>
      <c r="M2137">
        <v>0</v>
      </c>
      <c r="N2137">
        <v>2</v>
      </c>
      <c r="O2137">
        <v>0</v>
      </c>
      <c r="P2137">
        <v>1</v>
      </c>
      <c r="Q2137">
        <v>0</v>
      </c>
      <c r="S2137" t="str">
        <f t="shared" ref="S2137:T2140" si="641">"22:18:27.000"</f>
        <v>22:18:27.000</v>
      </c>
      <c r="T2137" t="str">
        <f t="shared" si="641"/>
        <v>22:18:27.000</v>
      </c>
      <c r="U2137" t="str">
        <f t="shared" si="633"/>
        <v>A9D71F</v>
      </c>
      <c r="V2137">
        <v>0</v>
      </c>
      <c r="W2137">
        <v>0</v>
      </c>
      <c r="X2137">
        <v>2</v>
      </c>
      <c r="Z2137">
        <v>1</v>
      </c>
      <c r="AA2137">
        <v>8</v>
      </c>
      <c r="AB2137">
        <v>3</v>
      </c>
      <c r="AC2137">
        <v>0</v>
      </c>
      <c r="AD2137">
        <v>9</v>
      </c>
      <c r="AE2137">
        <v>0</v>
      </c>
      <c r="AF2137">
        <v>3</v>
      </c>
      <c r="AG2137">
        <v>1</v>
      </c>
      <c r="AH2137">
        <v>0</v>
      </c>
      <c r="AI2137" t="s">
        <v>1120</v>
      </c>
      <c r="AJ2137">
        <v>33.019989000000002</v>
      </c>
      <c r="AK2137" t="s">
        <v>1121</v>
      </c>
      <c r="AL2137">
        <v>-97.652428</v>
      </c>
      <c r="AM2137">
        <v>25</v>
      </c>
      <c r="AN2137">
        <v>3300</v>
      </c>
      <c r="AO2137" t="s">
        <v>118</v>
      </c>
      <c r="AP2137">
        <v>26</v>
      </c>
      <c r="AQ2137">
        <v>-75</v>
      </c>
      <c r="AR2137">
        <v>0</v>
      </c>
      <c r="AZ2137">
        <v>1200</v>
      </c>
      <c r="BA2137">
        <v>1</v>
      </c>
      <c r="BB2137" t="str">
        <f t="shared" si="640"/>
        <v xml:space="preserve">N733KP  </v>
      </c>
      <c r="BC2137">
        <v>1</v>
      </c>
      <c r="BE2137">
        <v>0</v>
      </c>
      <c r="BF2137">
        <v>0</v>
      </c>
      <c r="BG2137">
        <v>0</v>
      </c>
      <c r="BH2137">
        <v>3400</v>
      </c>
      <c r="BI2137">
        <v>1</v>
      </c>
      <c r="BJ2137">
        <v>1</v>
      </c>
      <c r="BK2137">
        <v>0</v>
      </c>
      <c r="BL2137">
        <v>0</v>
      </c>
      <c r="BO2137">
        <v>0</v>
      </c>
      <c r="BP2137">
        <v>0</v>
      </c>
      <c r="BW2137" t="str">
        <f>"22:18:27.845"</f>
        <v>22:18:27.845</v>
      </c>
      <c r="CJ2137">
        <v>0</v>
      </c>
      <c r="CK2137">
        <v>2</v>
      </c>
      <c r="CL2137">
        <v>0</v>
      </c>
      <c r="CM2137">
        <v>2</v>
      </c>
      <c r="CN2137">
        <v>0</v>
      </c>
      <c r="CO2137">
        <v>4</v>
      </c>
      <c r="CP2137" t="s">
        <v>119</v>
      </c>
      <c r="CQ2137">
        <v>439</v>
      </c>
      <c r="CR2137">
        <v>0</v>
      </c>
      <c r="CW2137">
        <v>11506957</v>
      </c>
      <c r="CY2137">
        <v>1</v>
      </c>
      <c r="CZ2137">
        <v>0</v>
      </c>
      <c r="DA2137">
        <v>0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>"03/24/2022 22:18:28.001"</f>
        <v>03/24/2022 22:18:28.001</v>
      </c>
      <c r="C2138" t="str">
        <f t="shared" si="639"/>
        <v>FFDFD3C0</v>
      </c>
      <c r="D2138" t="s">
        <v>120</v>
      </c>
      <c r="E2138">
        <v>14</v>
      </c>
      <c r="F2138">
        <v>1014</v>
      </c>
      <c r="G2138" t="s">
        <v>121</v>
      </c>
      <c r="J2138" t="s">
        <v>122</v>
      </c>
      <c r="K2138">
        <v>0</v>
      </c>
      <c r="L2138">
        <v>3</v>
      </c>
      <c r="M2138">
        <v>0</v>
      </c>
      <c r="N2138">
        <v>2</v>
      </c>
      <c r="O2138">
        <v>0</v>
      </c>
      <c r="P2138">
        <v>1</v>
      </c>
      <c r="Q2138">
        <v>0</v>
      </c>
      <c r="S2138" t="str">
        <f t="shared" si="641"/>
        <v>22:18:27.000</v>
      </c>
      <c r="T2138" t="str">
        <f t="shared" si="641"/>
        <v>22:18:27.000</v>
      </c>
      <c r="U2138" t="str">
        <f t="shared" si="633"/>
        <v>A9D71F</v>
      </c>
      <c r="V2138">
        <v>0</v>
      </c>
      <c r="W2138">
        <v>0</v>
      </c>
      <c r="X2138">
        <v>2</v>
      </c>
      <c r="Z2138">
        <v>1</v>
      </c>
      <c r="AA2138">
        <v>8</v>
      </c>
      <c r="AB2138">
        <v>3</v>
      </c>
      <c r="AC2138">
        <v>0</v>
      </c>
      <c r="AD2138">
        <v>9</v>
      </c>
      <c r="AE2138">
        <v>0</v>
      </c>
      <c r="AF2138">
        <v>3</v>
      </c>
      <c r="AG2138">
        <v>1</v>
      </c>
      <c r="AH2138">
        <v>0</v>
      </c>
      <c r="AI2138" t="s">
        <v>1120</v>
      </c>
      <c r="AJ2138">
        <v>33.019989000000002</v>
      </c>
      <c r="AK2138" t="s">
        <v>1121</v>
      </c>
      <c r="AL2138">
        <v>-97.652428</v>
      </c>
      <c r="AM2138">
        <v>25</v>
      </c>
      <c r="AN2138">
        <v>3300</v>
      </c>
      <c r="AO2138" t="s">
        <v>118</v>
      </c>
      <c r="AP2138">
        <v>26</v>
      </c>
      <c r="AQ2138">
        <v>-75</v>
      </c>
      <c r="AR2138">
        <v>0</v>
      </c>
      <c r="AZ2138">
        <v>1200</v>
      </c>
      <c r="BA2138">
        <v>1</v>
      </c>
      <c r="BB2138" t="str">
        <f t="shared" si="640"/>
        <v xml:space="preserve">N733KP  </v>
      </c>
      <c r="BC2138">
        <v>1</v>
      </c>
      <c r="BE2138">
        <v>0</v>
      </c>
      <c r="BF2138">
        <v>0</v>
      </c>
      <c r="BG2138">
        <v>0</v>
      </c>
      <c r="BH2138">
        <v>3400</v>
      </c>
      <c r="BI2138">
        <v>1</v>
      </c>
      <c r="BJ2138">
        <v>1</v>
      </c>
      <c r="BK2138">
        <v>0</v>
      </c>
      <c r="BL2138">
        <v>0</v>
      </c>
      <c r="BO2138">
        <v>0</v>
      </c>
      <c r="BP2138">
        <v>0</v>
      </c>
      <c r="BW2138" t="str">
        <f>"22:18:27.845"</f>
        <v>22:18:27.845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4</v>
      </c>
      <c r="CP2138" t="s">
        <v>119</v>
      </c>
      <c r="CQ2138">
        <v>439</v>
      </c>
      <c r="CR2138">
        <v>0</v>
      </c>
      <c r="CW2138">
        <v>11506957</v>
      </c>
      <c r="CY2138">
        <v>1</v>
      </c>
      <c r="CZ2138">
        <v>0</v>
      </c>
      <c r="DA2138">
        <v>1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>"03/24/2022 22:18:28.064"</f>
        <v>03/24/2022 22:18:28.064</v>
      </c>
      <c r="C2139" t="str">
        <f t="shared" si="639"/>
        <v>FFDFD3C0</v>
      </c>
      <c r="D2139" t="s">
        <v>123</v>
      </c>
      <c r="E2139">
        <v>8</v>
      </c>
      <c r="H2139">
        <v>31</v>
      </c>
      <c r="I2139" t="s">
        <v>124</v>
      </c>
      <c r="J2139" t="s">
        <v>125</v>
      </c>
      <c r="K2139">
        <v>0</v>
      </c>
      <c r="L2139">
        <v>3</v>
      </c>
      <c r="M2139">
        <v>0</v>
      </c>
      <c r="N2139">
        <v>2</v>
      </c>
      <c r="O2139">
        <v>0</v>
      </c>
      <c r="P2139">
        <v>1</v>
      </c>
      <c r="Q2139">
        <v>0</v>
      </c>
      <c r="S2139" t="str">
        <f t="shared" si="641"/>
        <v>22:18:27.000</v>
      </c>
      <c r="T2139" t="str">
        <f t="shared" si="641"/>
        <v>22:18:27.000</v>
      </c>
      <c r="U2139" t="str">
        <f t="shared" si="633"/>
        <v>A9D71F</v>
      </c>
      <c r="V2139">
        <v>0</v>
      </c>
      <c r="W2139">
        <v>0</v>
      </c>
      <c r="X2139">
        <v>2</v>
      </c>
      <c r="Z2139">
        <v>1</v>
      </c>
      <c r="AA2139">
        <v>8</v>
      </c>
      <c r="AB2139">
        <v>3</v>
      </c>
      <c r="AC2139">
        <v>0</v>
      </c>
      <c r="AD2139">
        <v>9</v>
      </c>
      <c r="AE2139">
        <v>0</v>
      </c>
      <c r="AF2139">
        <v>3</v>
      </c>
      <c r="AG2139">
        <v>1</v>
      </c>
      <c r="AH2139">
        <v>0</v>
      </c>
      <c r="AI2139" t="s">
        <v>1120</v>
      </c>
      <c r="AJ2139">
        <v>33.019989000000002</v>
      </c>
      <c r="AK2139" t="s">
        <v>1121</v>
      </c>
      <c r="AL2139">
        <v>-97.652428</v>
      </c>
      <c r="AM2139">
        <v>25</v>
      </c>
      <c r="AN2139">
        <v>3300</v>
      </c>
      <c r="AO2139" t="s">
        <v>118</v>
      </c>
      <c r="AP2139">
        <v>26</v>
      </c>
      <c r="AQ2139">
        <v>-75</v>
      </c>
      <c r="AR2139">
        <v>0</v>
      </c>
      <c r="AZ2139">
        <v>1200</v>
      </c>
      <c r="BA2139">
        <v>1</v>
      </c>
      <c r="BB2139" t="str">
        <f t="shared" si="640"/>
        <v xml:space="preserve">N733KP  </v>
      </c>
      <c r="BC2139">
        <v>1</v>
      </c>
      <c r="BE2139">
        <v>0</v>
      </c>
      <c r="BF2139">
        <v>0</v>
      </c>
      <c r="BG2139">
        <v>0</v>
      </c>
      <c r="BH2139">
        <v>3400</v>
      </c>
      <c r="BI2139">
        <v>1</v>
      </c>
      <c r="BJ2139">
        <v>1</v>
      </c>
      <c r="BK2139">
        <v>0</v>
      </c>
      <c r="BL2139">
        <v>0</v>
      </c>
      <c r="BO2139">
        <v>0</v>
      </c>
      <c r="BP2139">
        <v>0</v>
      </c>
      <c r="BW2139" t="str">
        <f>"22:18:27.845"</f>
        <v>22:18:27.845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1</v>
      </c>
      <c r="CP2139" t="s">
        <v>119</v>
      </c>
      <c r="CQ2139">
        <v>352</v>
      </c>
      <c r="CR2139">
        <v>0</v>
      </c>
      <c r="CW2139">
        <v>11260601</v>
      </c>
      <c r="CY2139">
        <v>1</v>
      </c>
      <c r="CZ2139">
        <v>0</v>
      </c>
      <c r="DA2139">
        <v>1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>"03/24/2022 22:18:28.064"</f>
        <v>03/24/2022 22:18:28.064</v>
      </c>
      <c r="C2140" t="str">
        <f t="shared" si="639"/>
        <v>FFDFD3C0</v>
      </c>
      <c r="D2140" t="s">
        <v>126</v>
      </c>
      <c r="E2140">
        <v>3</v>
      </c>
      <c r="H2140">
        <v>160</v>
      </c>
      <c r="I2140" t="s">
        <v>121</v>
      </c>
      <c r="J2140" t="s">
        <v>127</v>
      </c>
      <c r="K2140">
        <v>0</v>
      </c>
      <c r="L2140">
        <v>3</v>
      </c>
      <c r="M2140">
        <v>0</v>
      </c>
      <c r="N2140">
        <v>2</v>
      </c>
      <c r="O2140">
        <v>0</v>
      </c>
      <c r="P2140">
        <v>1</v>
      </c>
      <c r="Q2140">
        <v>0</v>
      </c>
      <c r="S2140" t="str">
        <f t="shared" si="641"/>
        <v>22:18:27.000</v>
      </c>
      <c r="T2140" t="str">
        <f t="shared" si="641"/>
        <v>22:18:27.000</v>
      </c>
      <c r="U2140" t="str">
        <f t="shared" si="633"/>
        <v>A9D71F</v>
      </c>
      <c r="V2140">
        <v>0</v>
      </c>
      <c r="W2140">
        <v>0</v>
      </c>
      <c r="X2140">
        <v>2</v>
      </c>
      <c r="Z2140">
        <v>1</v>
      </c>
      <c r="AA2140">
        <v>8</v>
      </c>
      <c r="AB2140">
        <v>3</v>
      </c>
      <c r="AC2140">
        <v>0</v>
      </c>
      <c r="AD2140">
        <v>9</v>
      </c>
      <c r="AE2140">
        <v>0</v>
      </c>
      <c r="AF2140">
        <v>3</v>
      </c>
      <c r="AG2140">
        <v>1</v>
      </c>
      <c r="AH2140">
        <v>0</v>
      </c>
      <c r="AI2140" t="s">
        <v>1120</v>
      </c>
      <c r="AJ2140">
        <v>33.019989000000002</v>
      </c>
      <c r="AK2140" t="s">
        <v>1121</v>
      </c>
      <c r="AL2140">
        <v>-97.652428</v>
      </c>
      <c r="AM2140">
        <v>25</v>
      </c>
      <c r="AN2140">
        <v>3300</v>
      </c>
      <c r="AO2140" t="s">
        <v>118</v>
      </c>
      <c r="AP2140">
        <v>26</v>
      </c>
      <c r="AQ2140">
        <v>-75</v>
      </c>
      <c r="AR2140">
        <v>0</v>
      </c>
      <c r="AZ2140">
        <v>1200</v>
      </c>
      <c r="BA2140">
        <v>1</v>
      </c>
      <c r="BB2140" t="str">
        <f t="shared" si="640"/>
        <v xml:space="preserve">N733KP  </v>
      </c>
      <c r="BC2140">
        <v>1</v>
      </c>
      <c r="BE2140">
        <v>0</v>
      </c>
      <c r="BF2140">
        <v>0</v>
      </c>
      <c r="BG2140">
        <v>0</v>
      </c>
      <c r="BH2140">
        <v>3400</v>
      </c>
      <c r="BI2140">
        <v>1</v>
      </c>
      <c r="BJ2140">
        <v>1</v>
      </c>
      <c r="BK2140">
        <v>0</v>
      </c>
      <c r="BL2140">
        <v>0</v>
      </c>
      <c r="BO2140">
        <v>0</v>
      </c>
      <c r="BP2140">
        <v>0</v>
      </c>
      <c r="BW2140" t="str">
        <f>"22:18:27.845"</f>
        <v>22:18:27.845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4</v>
      </c>
      <c r="CP2140" t="s">
        <v>119</v>
      </c>
      <c r="CQ2140">
        <v>439</v>
      </c>
      <c r="CR2140">
        <v>0</v>
      </c>
      <c r="CW2140">
        <v>11506957</v>
      </c>
      <c r="CY2140">
        <v>1</v>
      </c>
      <c r="CZ2140">
        <v>0</v>
      </c>
      <c r="DA2140">
        <v>1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>"03/24/2022 22:18:28.722"</f>
        <v>03/24/2022 22:18:28.722</v>
      </c>
      <c r="C2141" t="str">
        <f t="shared" si="639"/>
        <v>FFDFD3C0</v>
      </c>
      <c r="D2141" t="s">
        <v>120</v>
      </c>
      <c r="E2141">
        <v>14</v>
      </c>
      <c r="F2141">
        <v>1014</v>
      </c>
      <c r="G2141" t="s">
        <v>121</v>
      </c>
      <c r="J2141" t="s">
        <v>122</v>
      </c>
      <c r="K2141">
        <v>0</v>
      </c>
      <c r="L2141">
        <v>3</v>
      </c>
      <c r="M2141">
        <v>0</v>
      </c>
      <c r="N2141">
        <v>2</v>
      </c>
      <c r="O2141">
        <v>0</v>
      </c>
      <c r="P2141">
        <v>1</v>
      </c>
      <c r="Q2141">
        <v>0</v>
      </c>
      <c r="S2141" t="str">
        <f t="shared" ref="S2141:T2144" si="642">"22:18:28.000"</f>
        <v>22:18:28.000</v>
      </c>
      <c r="T2141" t="str">
        <f t="shared" si="642"/>
        <v>22:18:28.000</v>
      </c>
      <c r="U2141" t="str">
        <f t="shared" si="633"/>
        <v>A9D71F</v>
      </c>
      <c r="V2141">
        <v>0</v>
      </c>
      <c r="W2141">
        <v>0</v>
      </c>
      <c r="X2141">
        <v>2</v>
      </c>
      <c r="Z2141">
        <v>1</v>
      </c>
      <c r="AA2141">
        <v>8</v>
      </c>
      <c r="AB2141">
        <v>3</v>
      </c>
      <c r="AC2141">
        <v>0</v>
      </c>
      <c r="AD2141">
        <v>9</v>
      </c>
      <c r="AE2141">
        <v>0</v>
      </c>
      <c r="AF2141">
        <v>3</v>
      </c>
      <c r="AG2141">
        <v>1</v>
      </c>
      <c r="AH2141">
        <v>0</v>
      </c>
      <c r="AI2141" t="s">
        <v>1122</v>
      </c>
      <c r="AJ2141">
        <v>33.019601999999999</v>
      </c>
      <c r="AK2141" t="s">
        <v>1123</v>
      </c>
      <c r="AL2141">
        <v>-97.652255999999994</v>
      </c>
      <c r="AM2141">
        <v>25</v>
      </c>
      <c r="AN2141">
        <v>3300</v>
      </c>
      <c r="AO2141" t="s">
        <v>118</v>
      </c>
      <c r="AP2141">
        <v>26</v>
      </c>
      <c r="AQ2141">
        <v>-74</v>
      </c>
      <c r="AR2141">
        <v>-64</v>
      </c>
      <c r="AZ2141">
        <v>1200</v>
      </c>
      <c r="BA2141">
        <v>1</v>
      </c>
      <c r="BB2141" t="str">
        <f t="shared" si="640"/>
        <v xml:space="preserve">N733KP  </v>
      </c>
      <c r="BC2141">
        <v>1</v>
      </c>
      <c r="BE2141">
        <v>0</v>
      </c>
      <c r="BF2141">
        <v>0</v>
      </c>
      <c r="BG2141">
        <v>0</v>
      </c>
      <c r="BH2141">
        <v>3400</v>
      </c>
      <c r="BI2141">
        <v>1</v>
      </c>
      <c r="BJ2141">
        <v>1</v>
      </c>
      <c r="BK2141">
        <v>0</v>
      </c>
      <c r="BL2141">
        <v>0</v>
      </c>
      <c r="BO2141">
        <v>0</v>
      </c>
      <c r="BP2141">
        <v>0</v>
      </c>
      <c r="BW2141" t="str">
        <f>"22:18:28.551"</f>
        <v>22:18:28.551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7</v>
      </c>
      <c r="CP2141" t="s">
        <v>119</v>
      </c>
      <c r="CQ2141">
        <v>364</v>
      </c>
      <c r="CR2141">
        <v>0</v>
      </c>
      <c r="CW2141">
        <v>1447101</v>
      </c>
      <c r="CY2141">
        <v>1</v>
      </c>
      <c r="CZ2141">
        <v>0</v>
      </c>
      <c r="DA2141">
        <v>0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>"03/24/2022 22:18:28.722"</f>
        <v>03/24/2022 22:18:28.722</v>
      </c>
      <c r="C2142" t="str">
        <f t="shared" si="639"/>
        <v>FFDFD3C0</v>
      </c>
      <c r="D2142" t="s">
        <v>123</v>
      </c>
      <c r="E2142">
        <v>8</v>
      </c>
      <c r="H2142">
        <v>31</v>
      </c>
      <c r="I2142" t="s">
        <v>124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0</v>
      </c>
      <c r="P2142">
        <v>1</v>
      </c>
      <c r="Q2142">
        <v>0</v>
      </c>
      <c r="S2142" t="str">
        <f t="shared" si="642"/>
        <v>22:18:28.000</v>
      </c>
      <c r="T2142" t="str">
        <f t="shared" si="642"/>
        <v>22:18:28.000</v>
      </c>
      <c r="U2142" t="str">
        <f t="shared" si="633"/>
        <v>A9D71F</v>
      </c>
      <c r="V2142">
        <v>0</v>
      </c>
      <c r="W2142">
        <v>0</v>
      </c>
      <c r="X2142">
        <v>2</v>
      </c>
      <c r="Z2142">
        <v>1</v>
      </c>
      <c r="AA2142">
        <v>8</v>
      </c>
      <c r="AB2142">
        <v>3</v>
      </c>
      <c r="AC2142">
        <v>0</v>
      </c>
      <c r="AD2142">
        <v>9</v>
      </c>
      <c r="AE2142">
        <v>0</v>
      </c>
      <c r="AF2142">
        <v>3</v>
      </c>
      <c r="AG2142">
        <v>1</v>
      </c>
      <c r="AH2142">
        <v>0</v>
      </c>
      <c r="AI2142" t="s">
        <v>1122</v>
      </c>
      <c r="AJ2142">
        <v>33.019601999999999</v>
      </c>
      <c r="AK2142" t="s">
        <v>1123</v>
      </c>
      <c r="AL2142">
        <v>-97.652255999999994</v>
      </c>
      <c r="AM2142">
        <v>25</v>
      </c>
      <c r="AN2142">
        <v>3300</v>
      </c>
      <c r="AO2142" t="s">
        <v>118</v>
      </c>
      <c r="AP2142">
        <v>26</v>
      </c>
      <c r="AQ2142">
        <v>-74</v>
      </c>
      <c r="AR2142">
        <v>-64</v>
      </c>
      <c r="AZ2142">
        <v>1200</v>
      </c>
      <c r="BA2142">
        <v>1</v>
      </c>
      <c r="BB2142" t="str">
        <f t="shared" si="640"/>
        <v xml:space="preserve">N733KP  </v>
      </c>
      <c r="BC2142">
        <v>1</v>
      </c>
      <c r="BE2142">
        <v>0</v>
      </c>
      <c r="BF2142">
        <v>0</v>
      </c>
      <c r="BG2142">
        <v>0</v>
      </c>
      <c r="BH2142">
        <v>3400</v>
      </c>
      <c r="BI2142">
        <v>1</v>
      </c>
      <c r="BJ2142">
        <v>1</v>
      </c>
      <c r="BK2142">
        <v>0</v>
      </c>
      <c r="BL2142">
        <v>0</v>
      </c>
      <c r="BO2142">
        <v>0</v>
      </c>
      <c r="BP2142">
        <v>0</v>
      </c>
      <c r="BW2142" t="str">
        <f>"22:18:28.551"</f>
        <v>22:18:28.551</v>
      </c>
      <c r="CJ2142">
        <v>0</v>
      </c>
      <c r="CK2142">
        <v>2</v>
      </c>
      <c r="CL2142">
        <v>0</v>
      </c>
      <c r="CM2142">
        <v>2</v>
      </c>
      <c r="CN2142">
        <v>0</v>
      </c>
      <c r="CO2142">
        <v>7</v>
      </c>
      <c r="CP2142" t="s">
        <v>119</v>
      </c>
      <c r="CQ2142">
        <v>364</v>
      </c>
      <c r="CR2142">
        <v>0</v>
      </c>
      <c r="CW2142">
        <v>1447101</v>
      </c>
      <c r="CY2142">
        <v>1</v>
      </c>
      <c r="CZ2142">
        <v>0</v>
      </c>
      <c r="DA2142">
        <v>1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>"03/24/2022 22:18:28.722"</f>
        <v>03/24/2022 22:18:28.722</v>
      </c>
      <c r="C2143" t="str">
        <f t="shared" si="639"/>
        <v>FFDFD3C0</v>
      </c>
      <c r="D2143" t="s">
        <v>126</v>
      </c>
      <c r="E2143">
        <v>3</v>
      </c>
      <c r="H2143">
        <v>160</v>
      </c>
      <c r="I2143" t="s">
        <v>121</v>
      </c>
      <c r="J2143" t="s">
        <v>127</v>
      </c>
      <c r="K2143">
        <v>0</v>
      </c>
      <c r="L2143">
        <v>3</v>
      </c>
      <c r="M2143">
        <v>0</v>
      </c>
      <c r="N2143">
        <v>2</v>
      </c>
      <c r="O2143">
        <v>0</v>
      </c>
      <c r="P2143">
        <v>1</v>
      </c>
      <c r="Q2143">
        <v>0</v>
      </c>
      <c r="S2143" t="str">
        <f t="shared" si="642"/>
        <v>22:18:28.000</v>
      </c>
      <c r="T2143" t="str">
        <f t="shared" si="642"/>
        <v>22:18:28.000</v>
      </c>
      <c r="U2143" t="str">
        <f t="shared" si="633"/>
        <v>A9D71F</v>
      </c>
      <c r="V2143">
        <v>0</v>
      </c>
      <c r="W2143">
        <v>0</v>
      </c>
      <c r="X2143">
        <v>2</v>
      </c>
      <c r="Z2143">
        <v>1</v>
      </c>
      <c r="AA2143">
        <v>8</v>
      </c>
      <c r="AB2143">
        <v>3</v>
      </c>
      <c r="AC2143">
        <v>0</v>
      </c>
      <c r="AD2143">
        <v>9</v>
      </c>
      <c r="AE2143">
        <v>0</v>
      </c>
      <c r="AF2143">
        <v>3</v>
      </c>
      <c r="AG2143">
        <v>1</v>
      </c>
      <c r="AH2143">
        <v>0</v>
      </c>
      <c r="AI2143" t="s">
        <v>1122</v>
      </c>
      <c r="AJ2143">
        <v>33.019601999999999</v>
      </c>
      <c r="AK2143" t="s">
        <v>1123</v>
      </c>
      <c r="AL2143">
        <v>-97.652255999999994</v>
      </c>
      <c r="AM2143">
        <v>25</v>
      </c>
      <c r="AN2143">
        <v>3300</v>
      </c>
      <c r="AO2143" t="s">
        <v>118</v>
      </c>
      <c r="AP2143">
        <v>26</v>
      </c>
      <c r="AQ2143">
        <v>-74</v>
      </c>
      <c r="AR2143">
        <v>-64</v>
      </c>
      <c r="AZ2143">
        <v>1200</v>
      </c>
      <c r="BA2143">
        <v>1</v>
      </c>
      <c r="BB2143" t="str">
        <f t="shared" si="640"/>
        <v xml:space="preserve">N733KP  </v>
      </c>
      <c r="BC2143">
        <v>1</v>
      </c>
      <c r="BE2143">
        <v>0</v>
      </c>
      <c r="BF2143">
        <v>0</v>
      </c>
      <c r="BG2143">
        <v>0</v>
      </c>
      <c r="BH2143">
        <v>3400</v>
      </c>
      <c r="BI2143">
        <v>1</v>
      </c>
      <c r="BJ2143">
        <v>1</v>
      </c>
      <c r="BK2143">
        <v>0</v>
      </c>
      <c r="BL2143">
        <v>0</v>
      </c>
      <c r="BO2143">
        <v>0</v>
      </c>
      <c r="BP2143">
        <v>0</v>
      </c>
      <c r="BW2143" t="str">
        <f>"22:18:28.551"</f>
        <v>22:18:28.551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7</v>
      </c>
      <c r="CP2143" t="s">
        <v>119</v>
      </c>
      <c r="CQ2143">
        <v>364</v>
      </c>
      <c r="CR2143">
        <v>0</v>
      </c>
      <c r="CW2143">
        <v>1447101</v>
      </c>
      <c r="CY2143">
        <v>1</v>
      </c>
      <c r="CZ2143">
        <v>0</v>
      </c>
      <c r="DA2143">
        <v>1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>"03/24/2022 22:18:28.754"</f>
        <v>03/24/2022 22:18:28.754</v>
      </c>
      <c r="C2144" t="str">
        <f t="shared" si="639"/>
        <v>FFDFD3C0</v>
      </c>
      <c r="D2144" t="s">
        <v>113</v>
      </c>
      <c r="E2144">
        <v>24</v>
      </c>
      <c r="F2144">
        <v>2024</v>
      </c>
      <c r="G2144" t="s">
        <v>114</v>
      </c>
      <c r="J2144" t="s">
        <v>115</v>
      </c>
      <c r="K2144">
        <v>0</v>
      </c>
      <c r="L2144">
        <v>3</v>
      </c>
      <c r="M2144">
        <v>0</v>
      </c>
      <c r="N2144">
        <v>2</v>
      </c>
      <c r="O2144">
        <v>0</v>
      </c>
      <c r="P2144">
        <v>1</v>
      </c>
      <c r="Q2144">
        <v>0</v>
      </c>
      <c r="S2144" t="str">
        <f t="shared" si="642"/>
        <v>22:18:28.000</v>
      </c>
      <c r="T2144" t="str">
        <f t="shared" si="642"/>
        <v>22:18:28.000</v>
      </c>
      <c r="U2144" t="str">
        <f t="shared" si="633"/>
        <v>A9D71F</v>
      </c>
      <c r="V2144">
        <v>0</v>
      </c>
      <c r="W2144">
        <v>0</v>
      </c>
      <c r="X2144">
        <v>2</v>
      </c>
      <c r="Z2144">
        <v>1</v>
      </c>
      <c r="AA2144">
        <v>8</v>
      </c>
      <c r="AB2144">
        <v>3</v>
      </c>
      <c r="AC2144">
        <v>0</v>
      </c>
      <c r="AD2144">
        <v>9</v>
      </c>
      <c r="AE2144">
        <v>0</v>
      </c>
      <c r="AF2144">
        <v>3</v>
      </c>
      <c r="AG2144">
        <v>1</v>
      </c>
      <c r="AH2144">
        <v>0</v>
      </c>
      <c r="AI2144" t="s">
        <v>1122</v>
      </c>
      <c r="AJ2144">
        <v>33.019601999999999</v>
      </c>
      <c r="AK2144" t="s">
        <v>1123</v>
      </c>
      <c r="AL2144">
        <v>-97.652255999999994</v>
      </c>
      <c r="AM2144">
        <v>25</v>
      </c>
      <c r="AN2144">
        <v>3300</v>
      </c>
      <c r="AO2144" t="s">
        <v>118</v>
      </c>
      <c r="AP2144">
        <v>26</v>
      </c>
      <c r="AQ2144">
        <v>-74</v>
      </c>
      <c r="AR2144">
        <v>-64</v>
      </c>
      <c r="AZ2144">
        <v>1200</v>
      </c>
      <c r="BA2144">
        <v>1</v>
      </c>
      <c r="BB2144" t="str">
        <f t="shared" si="640"/>
        <v xml:space="preserve">N733KP  </v>
      </c>
      <c r="BC2144">
        <v>1</v>
      </c>
      <c r="BE2144">
        <v>0</v>
      </c>
      <c r="BF2144">
        <v>0</v>
      </c>
      <c r="BG2144">
        <v>0</v>
      </c>
      <c r="BH2144">
        <v>3400</v>
      </c>
      <c r="BI2144">
        <v>1</v>
      </c>
      <c r="BJ2144">
        <v>1</v>
      </c>
      <c r="BK2144">
        <v>0</v>
      </c>
      <c r="BL2144">
        <v>0</v>
      </c>
      <c r="BO2144">
        <v>0</v>
      </c>
      <c r="BP2144">
        <v>0</v>
      </c>
      <c r="BW2144" t="str">
        <f>"22:18:28.551"</f>
        <v>22:18:28.551</v>
      </c>
      <c r="CJ2144">
        <v>0</v>
      </c>
      <c r="CK2144">
        <v>2</v>
      </c>
      <c r="CL2144">
        <v>0</v>
      </c>
      <c r="CM2144">
        <v>2</v>
      </c>
      <c r="CN2144">
        <v>0</v>
      </c>
      <c r="CO2144">
        <v>7</v>
      </c>
      <c r="CP2144" t="s">
        <v>119</v>
      </c>
      <c r="CQ2144">
        <v>364</v>
      </c>
      <c r="CR2144">
        <v>0</v>
      </c>
      <c r="CW2144">
        <v>1447101</v>
      </c>
      <c r="CY2144">
        <v>1</v>
      </c>
      <c r="CZ2144">
        <v>0</v>
      </c>
      <c r="DA2144">
        <v>1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>"03/24/2022 22:18:29.863"</f>
        <v>03/24/2022 22:18:29.863</v>
      </c>
      <c r="C2145" t="str">
        <f t="shared" si="639"/>
        <v>FFDFD3C0</v>
      </c>
      <c r="D2145" t="s">
        <v>113</v>
      </c>
      <c r="E2145">
        <v>24</v>
      </c>
      <c r="F2145">
        <v>2024</v>
      </c>
      <c r="G2145" t="s">
        <v>114</v>
      </c>
      <c r="J2145" t="s">
        <v>115</v>
      </c>
      <c r="K2145">
        <v>0</v>
      </c>
      <c r="L2145">
        <v>3</v>
      </c>
      <c r="M2145">
        <v>0</v>
      </c>
      <c r="N2145">
        <v>2</v>
      </c>
      <c r="O2145">
        <v>0</v>
      </c>
      <c r="P2145">
        <v>1</v>
      </c>
      <c r="Q2145">
        <v>0</v>
      </c>
      <c r="S2145" t="str">
        <f t="shared" ref="S2145:T2148" si="643">"22:18:29.000"</f>
        <v>22:18:29.000</v>
      </c>
      <c r="T2145" t="str">
        <f t="shared" si="643"/>
        <v>22:18:29.000</v>
      </c>
      <c r="U2145" t="str">
        <f t="shared" si="633"/>
        <v>A9D71F</v>
      </c>
      <c r="V2145">
        <v>0</v>
      </c>
      <c r="W2145">
        <v>0</v>
      </c>
      <c r="X2145">
        <v>2</v>
      </c>
      <c r="Z2145">
        <v>1</v>
      </c>
      <c r="AA2145">
        <v>8</v>
      </c>
      <c r="AB2145">
        <v>3</v>
      </c>
      <c r="AC2145">
        <v>0</v>
      </c>
      <c r="AD2145">
        <v>9</v>
      </c>
      <c r="AE2145">
        <v>0</v>
      </c>
      <c r="AF2145">
        <v>3</v>
      </c>
      <c r="AG2145">
        <v>1</v>
      </c>
      <c r="AH2145">
        <v>0</v>
      </c>
      <c r="AI2145" t="s">
        <v>1124</v>
      </c>
      <c r="AJ2145">
        <v>33.019280000000002</v>
      </c>
      <c r="AK2145" t="s">
        <v>1125</v>
      </c>
      <c r="AL2145">
        <v>-97.652128000000005</v>
      </c>
      <c r="AM2145">
        <v>25</v>
      </c>
      <c r="AN2145">
        <v>3300</v>
      </c>
      <c r="AO2145" t="s">
        <v>118</v>
      </c>
      <c r="AP2145">
        <v>27</v>
      </c>
      <c r="AQ2145">
        <v>-75</v>
      </c>
      <c r="AR2145">
        <v>-128</v>
      </c>
      <c r="AZ2145">
        <v>1200</v>
      </c>
      <c r="BA2145">
        <v>1</v>
      </c>
      <c r="BB2145" t="str">
        <f t="shared" si="640"/>
        <v xml:space="preserve">N733KP  </v>
      </c>
      <c r="BC2145">
        <v>1</v>
      </c>
      <c r="BE2145">
        <v>0</v>
      </c>
      <c r="BF2145">
        <v>0</v>
      </c>
      <c r="BG2145">
        <v>0</v>
      </c>
      <c r="BH2145">
        <v>3400</v>
      </c>
      <c r="BI2145">
        <v>1</v>
      </c>
      <c r="BJ2145">
        <v>1</v>
      </c>
      <c r="BK2145">
        <v>0</v>
      </c>
      <c r="BL2145">
        <v>0</v>
      </c>
      <c r="BO2145">
        <v>0</v>
      </c>
      <c r="BP2145">
        <v>0</v>
      </c>
      <c r="BW2145" t="str">
        <f>"22:18:29.709"</f>
        <v>22:18:29.709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7</v>
      </c>
      <c r="CP2145" t="s">
        <v>119</v>
      </c>
      <c r="CQ2145">
        <v>364</v>
      </c>
      <c r="CR2145">
        <v>0</v>
      </c>
      <c r="CW2145">
        <v>1447242</v>
      </c>
      <c r="CY2145">
        <v>1</v>
      </c>
      <c r="CZ2145">
        <v>0</v>
      </c>
      <c r="DA2145">
        <v>0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>"03/24/2022 22:18:29.957"</f>
        <v>03/24/2022 22:18:29.957</v>
      </c>
      <c r="C2146" t="str">
        <f t="shared" si="639"/>
        <v>FFDFD3C0</v>
      </c>
      <c r="D2146" t="s">
        <v>120</v>
      </c>
      <c r="E2146">
        <v>14</v>
      </c>
      <c r="F2146">
        <v>1014</v>
      </c>
      <c r="G2146" t="s">
        <v>121</v>
      </c>
      <c r="J2146" t="s">
        <v>122</v>
      </c>
      <c r="K2146">
        <v>0</v>
      </c>
      <c r="L2146">
        <v>3</v>
      </c>
      <c r="M2146">
        <v>0</v>
      </c>
      <c r="N2146">
        <v>2</v>
      </c>
      <c r="O2146">
        <v>0</v>
      </c>
      <c r="P2146">
        <v>1</v>
      </c>
      <c r="Q2146">
        <v>0</v>
      </c>
      <c r="S2146" t="str">
        <f t="shared" si="643"/>
        <v>22:18:29.000</v>
      </c>
      <c r="T2146" t="str">
        <f t="shared" si="643"/>
        <v>22:18:29.000</v>
      </c>
      <c r="U2146" t="str">
        <f t="shared" si="633"/>
        <v>A9D71F</v>
      </c>
      <c r="V2146">
        <v>0</v>
      </c>
      <c r="W2146">
        <v>0</v>
      </c>
      <c r="X2146">
        <v>2</v>
      </c>
      <c r="Z2146">
        <v>1</v>
      </c>
      <c r="AA2146">
        <v>8</v>
      </c>
      <c r="AB2146">
        <v>3</v>
      </c>
      <c r="AC2146">
        <v>0</v>
      </c>
      <c r="AD2146">
        <v>9</v>
      </c>
      <c r="AE2146">
        <v>0</v>
      </c>
      <c r="AF2146">
        <v>3</v>
      </c>
      <c r="AG2146">
        <v>1</v>
      </c>
      <c r="AH2146">
        <v>0</v>
      </c>
      <c r="AI2146" t="s">
        <v>1124</v>
      </c>
      <c r="AJ2146">
        <v>33.019280000000002</v>
      </c>
      <c r="AK2146" t="s">
        <v>1125</v>
      </c>
      <c r="AL2146">
        <v>-97.652128000000005</v>
      </c>
      <c r="AM2146">
        <v>25</v>
      </c>
      <c r="AN2146">
        <v>3300</v>
      </c>
      <c r="AO2146" t="s">
        <v>118</v>
      </c>
      <c r="AP2146">
        <v>27</v>
      </c>
      <c r="AQ2146">
        <v>-75</v>
      </c>
      <c r="AR2146">
        <v>-128</v>
      </c>
      <c r="AZ2146">
        <v>1200</v>
      </c>
      <c r="BA2146">
        <v>1</v>
      </c>
      <c r="BB2146" t="str">
        <f t="shared" si="640"/>
        <v xml:space="preserve">N733KP  </v>
      </c>
      <c r="BC2146">
        <v>1</v>
      </c>
      <c r="BE2146">
        <v>0</v>
      </c>
      <c r="BF2146">
        <v>0</v>
      </c>
      <c r="BG2146">
        <v>0</v>
      </c>
      <c r="BH2146">
        <v>3400</v>
      </c>
      <c r="BI2146">
        <v>1</v>
      </c>
      <c r="BJ2146">
        <v>1</v>
      </c>
      <c r="BK2146">
        <v>0</v>
      </c>
      <c r="BL2146">
        <v>0</v>
      </c>
      <c r="BO2146">
        <v>0</v>
      </c>
      <c r="BP2146">
        <v>0</v>
      </c>
      <c r="BW2146" t="str">
        <f>"22:18:29.709"</f>
        <v>22:18:29.709</v>
      </c>
      <c r="CJ2146">
        <v>0</v>
      </c>
      <c r="CK2146">
        <v>2</v>
      </c>
      <c r="CL2146">
        <v>0</v>
      </c>
      <c r="CM2146">
        <v>2</v>
      </c>
      <c r="CN2146">
        <v>0</v>
      </c>
      <c r="CO2146">
        <v>7</v>
      </c>
      <c r="CP2146" t="s">
        <v>119</v>
      </c>
      <c r="CQ2146">
        <v>364</v>
      </c>
      <c r="CR2146">
        <v>0</v>
      </c>
      <c r="CW2146">
        <v>1447242</v>
      </c>
      <c r="CY2146">
        <v>1</v>
      </c>
      <c r="CZ2146">
        <v>0</v>
      </c>
      <c r="DA2146">
        <v>1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>"03/24/2022 22:18:29.957"</f>
        <v>03/24/2022 22:18:29.957</v>
      </c>
      <c r="C2147" t="str">
        <f t="shared" si="639"/>
        <v>FFDFD3C0</v>
      </c>
      <c r="D2147" t="s">
        <v>123</v>
      </c>
      <c r="E2147">
        <v>8</v>
      </c>
      <c r="H2147">
        <v>31</v>
      </c>
      <c r="I2147" t="s">
        <v>124</v>
      </c>
      <c r="J2147" t="s">
        <v>125</v>
      </c>
      <c r="K2147">
        <v>0</v>
      </c>
      <c r="L2147">
        <v>3</v>
      </c>
      <c r="M2147">
        <v>0</v>
      </c>
      <c r="N2147">
        <v>2</v>
      </c>
      <c r="O2147">
        <v>0</v>
      </c>
      <c r="P2147">
        <v>1</v>
      </c>
      <c r="Q2147">
        <v>0</v>
      </c>
      <c r="S2147" t="str">
        <f t="shared" si="643"/>
        <v>22:18:29.000</v>
      </c>
      <c r="T2147" t="str">
        <f t="shared" si="643"/>
        <v>22:18:29.000</v>
      </c>
      <c r="U2147" t="str">
        <f t="shared" si="633"/>
        <v>A9D71F</v>
      </c>
      <c r="V2147">
        <v>0</v>
      </c>
      <c r="W2147">
        <v>0</v>
      </c>
      <c r="X2147">
        <v>2</v>
      </c>
      <c r="Z2147">
        <v>1</v>
      </c>
      <c r="AA2147">
        <v>8</v>
      </c>
      <c r="AB2147">
        <v>3</v>
      </c>
      <c r="AC2147">
        <v>0</v>
      </c>
      <c r="AD2147">
        <v>9</v>
      </c>
      <c r="AE2147">
        <v>0</v>
      </c>
      <c r="AF2147">
        <v>3</v>
      </c>
      <c r="AG2147">
        <v>1</v>
      </c>
      <c r="AH2147">
        <v>0</v>
      </c>
      <c r="AI2147" t="s">
        <v>1124</v>
      </c>
      <c r="AJ2147">
        <v>33.019280000000002</v>
      </c>
      <c r="AK2147" t="s">
        <v>1125</v>
      </c>
      <c r="AL2147">
        <v>-97.652128000000005</v>
      </c>
      <c r="AM2147">
        <v>25</v>
      </c>
      <c r="AN2147">
        <v>3300</v>
      </c>
      <c r="AO2147" t="s">
        <v>118</v>
      </c>
      <c r="AP2147">
        <v>27</v>
      </c>
      <c r="AQ2147">
        <v>-75</v>
      </c>
      <c r="AR2147">
        <v>-128</v>
      </c>
      <c r="AZ2147">
        <v>1200</v>
      </c>
      <c r="BA2147">
        <v>1</v>
      </c>
      <c r="BB2147" t="str">
        <f t="shared" si="640"/>
        <v xml:space="preserve">N733KP  </v>
      </c>
      <c r="BC2147">
        <v>1</v>
      </c>
      <c r="BE2147">
        <v>0</v>
      </c>
      <c r="BF2147">
        <v>0</v>
      </c>
      <c r="BG2147">
        <v>0</v>
      </c>
      <c r="BH2147">
        <v>3400</v>
      </c>
      <c r="BI2147">
        <v>1</v>
      </c>
      <c r="BJ2147">
        <v>1</v>
      </c>
      <c r="BK2147">
        <v>0</v>
      </c>
      <c r="BL2147">
        <v>0</v>
      </c>
      <c r="BO2147">
        <v>0</v>
      </c>
      <c r="BP2147">
        <v>0</v>
      </c>
      <c r="BW2147" t="str">
        <f>"22:18:29.709"</f>
        <v>22:18:29.709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7</v>
      </c>
      <c r="CP2147" t="s">
        <v>119</v>
      </c>
      <c r="CQ2147">
        <v>364</v>
      </c>
      <c r="CR2147">
        <v>0</v>
      </c>
      <c r="CW2147">
        <v>1447242</v>
      </c>
      <c r="CY2147">
        <v>1</v>
      </c>
      <c r="CZ2147">
        <v>0</v>
      </c>
      <c r="DA2147">
        <v>1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>"03/24/2022 22:18:29.957"</f>
        <v>03/24/2022 22:18:29.957</v>
      </c>
      <c r="C2148" t="str">
        <f t="shared" si="639"/>
        <v>FFDFD3C0</v>
      </c>
      <c r="D2148" t="s">
        <v>126</v>
      </c>
      <c r="E2148">
        <v>3</v>
      </c>
      <c r="H2148">
        <v>160</v>
      </c>
      <c r="I2148" t="s">
        <v>121</v>
      </c>
      <c r="J2148" t="s">
        <v>127</v>
      </c>
      <c r="K2148">
        <v>0</v>
      </c>
      <c r="L2148">
        <v>3</v>
      </c>
      <c r="M2148">
        <v>0</v>
      </c>
      <c r="N2148">
        <v>2</v>
      </c>
      <c r="O2148">
        <v>0</v>
      </c>
      <c r="P2148">
        <v>1</v>
      </c>
      <c r="Q2148">
        <v>0</v>
      </c>
      <c r="S2148" t="str">
        <f t="shared" si="643"/>
        <v>22:18:29.000</v>
      </c>
      <c r="T2148" t="str">
        <f t="shared" si="643"/>
        <v>22:18:29.000</v>
      </c>
      <c r="U2148" t="str">
        <f t="shared" si="633"/>
        <v>A9D71F</v>
      </c>
      <c r="V2148">
        <v>0</v>
      </c>
      <c r="W2148">
        <v>0</v>
      </c>
      <c r="X2148">
        <v>2</v>
      </c>
      <c r="Z2148">
        <v>1</v>
      </c>
      <c r="AA2148">
        <v>8</v>
      </c>
      <c r="AB2148">
        <v>3</v>
      </c>
      <c r="AC2148">
        <v>0</v>
      </c>
      <c r="AD2148">
        <v>9</v>
      </c>
      <c r="AE2148">
        <v>0</v>
      </c>
      <c r="AF2148">
        <v>3</v>
      </c>
      <c r="AG2148">
        <v>1</v>
      </c>
      <c r="AH2148">
        <v>0</v>
      </c>
      <c r="AI2148" t="s">
        <v>1124</v>
      </c>
      <c r="AJ2148">
        <v>33.019280000000002</v>
      </c>
      <c r="AK2148" t="s">
        <v>1125</v>
      </c>
      <c r="AL2148">
        <v>-97.652128000000005</v>
      </c>
      <c r="AM2148">
        <v>25</v>
      </c>
      <c r="AN2148">
        <v>3300</v>
      </c>
      <c r="AO2148" t="s">
        <v>118</v>
      </c>
      <c r="AP2148">
        <v>27</v>
      </c>
      <c r="AQ2148">
        <v>-75</v>
      </c>
      <c r="AR2148">
        <v>-128</v>
      </c>
      <c r="AZ2148">
        <v>1200</v>
      </c>
      <c r="BA2148">
        <v>1</v>
      </c>
      <c r="BB2148" t="str">
        <f t="shared" si="640"/>
        <v xml:space="preserve">N733KP  </v>
      </c>
      <c r="BC2148">
        <v>1</v>
      </c>
      <c r="BE2148">
        <v>0</v>
      </c>
      <c r="BF2148">
        <v>0</v>
      </c>
      <c r="BG2148">
        <v>0</v>
      </c>
      <c r="BH2148">
        <v>3400</v>
      </c>
      <c r="BI2148">
        <v>1</v>
      </c>
      <c r="BJ2148">
        <v>1</v>
      </c>
      <c r="BK2148">
        <v>0</v>
      </c>
      <c r="BL2148">
        <v>0</v>
      </c>
      <c r="BO2148">
        <v>0</v>
      </c>
      <c r="BP2148">
        <v>0</v>
      </c>
      <c r="BW2148" t="str">
        <f>"22:18:29.709"</f>
        <v>22:18:29.709</v>
      </c>
      <c r="CJ2148">
        <v>0</v>
      </c>
      <c r="CK2148">
        <v>2</v>
      </c>
      <c r="CL2148">
        <v>0</v>
      </c>
      <c r="CM2148">
        <v>2</v>
      </c>
      <c r="CN2148">
        <v>0</v>
      </c>
      <c r="CO2148">
        <v>7</v>
      </c>
      <c r="CP2148" t="s">
        <v>119</v>
      </c>
      <c r="CQ2148">
        <v>364</v>
      </c>
      <c r="CR2148">
        <v>0</v>
      </c>
      <c r="CW2148">
        <v>1447242</v>
      </c>
      <c r="CY2148">
        <v>1</v>
      </c>
      <c r="CZ2148">
        <v>0</v>
      </c>
      <c r="DA2148">
        <v>1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>"03/24/2022 22:18:31.004"</f>
        <v>03/24/2022 22:18:31.004</v>
      </c>
      <c r="C2149" t="str">
        <f t="shared" si="639"/>
        <v>FFDFD3C0</v>
      </c>
      <c r="D2149" t="s">
        <v>113</v>
      </c>
      <c r="E2149">
        <v>24</v>
      </c>
      <c r="F2149">
        <v>2024</v>
      </c>
      <c r="G2149" t="s">
        <v>114</v>
      </c>
      <c r="J2149" t="s">
        <v>115</v>
      </c>
      <c r="K2149">
        <v>0</v>
      </c>
      <c r="L2149">
        <v>3</v>
      </c>
      <c r="M2149">
        <v>0</v>
      </c>
      <c r="N2149">
        <v>2</v>
      </c>
      <c r="O2149">
        <v>0</v>
      </c>
      <c r="P2149">
        <v>1</v>
      </c>
      <c r="Q2149">
        <v>0</v>
      </c>
      <c r="S2149" t="str">
        <f t="shared" ref="S2149:T2152" si="644">"22:18:30.000"</f>
        <v>22:18:30.000</v>
      </c>
      <c r="T2149" t="str">
        <f t="shared" si="644"/>
        <v>22:18:30.000</v>
      </c>
      <c r="U2149" t="str">
        <f t="shared" si="633"/>
        <v>A9D71F</v>
      </c>
      <c r="V2149">
        <v>0</v>
      </c>
      <c r="W2149">
        <v>0</v>
      </c>
      <c r="X2149">
        <v>2</v>
      </c>
      <c r="Z2149">
        <v>1</v>
      </c>
      <c r="AA2149">
        <v>8</v>
      </c>
      <c r="AB2149">
        <v>3</v>
      </c>
      <c r="AC2149">
        <v>0</v>
      </c>
      <c r="AD2149">
        <v>9</v>
      </c>
      <c r="AE2149">
        <v>0</v>
      </c>
      <c r="AF2149">
        <v>3</v>
      </c>
      <c r="AG2149">
        <v>1</v>
      </c>
      <c r="AH2149">
        <v>0</v>
      </c>
      <c r="AI2149" t="s">
        <v>1126</v>
      </c>
      <c r="AJ2149">
        <v>33.018937000000001</v>
      </c>
      <c r="AK2149" t="s">
        <v>1127</v>
      </c>
      <c r="AL2149">
        <v>-97.651978</v>
      </c>
      <c r="AM2149">
        <v>25</v>
      </c>
      <c r="AN2149">
        <v>3300</v>
      </c>
      <c r="AO2149" t="s">
        <v>118</v>
      </c>
      <c r="AP2149">
        <v>27</v>
      </c>
      <c r="AQ2149">
        <v>-75</v>
      </c>
      <c r="AR2149">
        <v>-192</v>
      </c>
      <c r="AZ2149">
        <v>1200</v>
      </c>
      <c r="BA2149">
        <v>1</v>
      </c>
      <c r="BB2149" t="str">
        <f t="shared" si="640"/>
        <v xml:space="preserve">N733KP  </v>
      </c>
      <c r="BC2149">
        <v>1</v>
      </c>
      <c r="BE2149">
        <v>0</v>
      </c>
      <c r="BF2149">
        <v>0</v>
      </c>
      <c r="BG2149">
        <v>0</v>
      </c>
      <c r="BH2149">
        <v>3375</v>
      </c>
      <c r="BI2149">
        <v>1</v>
      </c>
      <c r="BJ2149">
        <v>1</v>
      </c>
      <c r="BK2149">
        <v>0</v>
      </c>
      <c r="BL2149">
        <v>0</v>
      </c>
      <c r="BO2149">
        <v>0</v>
      </c>
      <c r="BP2149">
        <v>0</v>
      </c>
      <c r="BW2149" t="str">
        <f>"22:18:30.808"</f>
        <v>22:18:30.808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7</v>
      </c>
      <c r="CP2149" t="s">
        <v>119</v>
      </c>
      <c r="CQ2149">
        <v>364</v>
      </c>
      <c r="CR2149">
        <v>0</v>
      </c>
      <c r="CW2149">
        <v>1447380</v>
      </c>
      <c r="CY2149">
        <v>1</v>
      </c>
      <c r="CZ2149">
        <v>0</v>
      </c>
      <c r="DA2149">
        <v>0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>"03/24/2022 22:18:31.004"</f>
        <v>03/24/2022 22:18:31.004</v>
      </c>
      <c r="C2150" t="str">
        <f t="shared" si="639"/>
        <v>FFDFD3C0</v>
      </c>
      <c r="D2150" t="s">
        <v>123</v>
      </c>
      <c r="E2150">
        <v>8</v>
      </c>
      <c r="H2150">
        <v>31</v>
      </c>
      <c r="I2150" t="s">
        <v>124</v>
      </c>
      <c r="J2150" t="s">
        <v>125</v>
      </c>
      <c r="K2150">
        <v>0</v>
      </c>
      <c r="L2150">
        <v>3</v>
      </c>
      <c r="M2150">
        <v>0</v>
      </c>
      <c r="N2150">
        <v>2</v>
      </c>
      <c r="O2150">
        <v>0</v>
      </c>
      <c r="P2150">
        <v>1</v>
      </c>
      <c r="Q2150">
        <v>0</v>
      </c>
      <c r="S2150" t="str">
        <f t="shared" si="644"/>
        <v>22:18:30.000</v>
      </c>
      <c r="T2150" t="str">
        <f t="shared" si="644"/>
        <v>22:18:30.000</v>
      </c>
      <c r="U2150" t="str">
        <f t="shared" si="633"/>
        <v>A9D71F</v>
      </c>
      <c r="V2150">
        <v>0</v>
      </c>
      <c r="W2150">
        <v>0</v>
      </c>
      <c r="X2150">
        <v>2</v>
      </c>
      <c r="Z2150">
        <v>1</v>
      </c>
      <c r="AA2150">
        <v>8</v>
      </c>
      <c r="AB2150">
        <v>3</v>
      </c>
      <c r="AC2150">
        <v>0</v>
      </c>
      <c r="AD2150">
        <v>9</v>
      </c>
      <c r="AE2150">
        <v>0</v>
      </c>
      <c r="AF2150">
        <v>3</v>
      </c>
      <c r="AG2150">
        <v>1</v>
      </c>
      <c r="AH2150">
        <v>0</v>
      </c>
      <c r="AI2150" t="s">
        <v>1126</v>
      </c>
      <c r="AJ2150">
        <v>33.018937000000001</v>
      </c>
      <c r="AK2150" t="s">
        <v>1127</v>
      </c>
      <c r="AL2150">
        <v>-97.651978</v>
      </c>
      <c r="AM2150">
        <v>25</v>
      </c>
      <c r="AN2150">
        <v>3300</v>
      </c>
      <c r="AO2150" t="s">
        <v>118</v>
      </c>
      <c r="AP2150">
        <v>27</v>
      </c>
      <c r="AQ2150">
        <v>-75</v>
      </c>
      <c r="AR2150">
        <v>-192</v>
      </c>
      <c r="AZ2150">
        <v>1200</v>
      </c>
      <c r="BA2150">
        <v>1</v>
      </c>
      <c r="BB2150" t="str">
        <f t="shared" si="640"/>
        <v xml:space="preserve">N733KP  </v>
      </c>
      <c r="BC2150">
        <v>1</v>
      </c>
      <c r="BE2150">
        <v>0</v>
      </c>
      <c r="BF2150">
        <v>0</v>
      </c>
      <c r="BG2150">
        <v>0</v>
      </c>
      <c r="BH2150">
        <v>3375</v>
      </c>
      <c r="BI2150">
        <v>1</v>
      </c>
      <c r="BJ2150">
        <v>1</v>
      </c>
      <c r="BK2150">
        <v>0</v>
      </c>
      <c r="BL2150">
        <v>0</v>
      </c>
      <c r="BO2150">
        <v>0</v>
      </c>
      <c r="BP2150">
        <v>0</v>
      </c>
      <c r="BW2150" t="str">
        <f>"22:18:30.808"</f>
        <v>22:18:30.808</v>
      </c>
      <c r="CJ2150">
        <v>0</v>
      </c>
      <c r="CK2150">
        <v>2</v>
      </c>
      <c r="CL2150">
        <v>0</v>
      </c>
      <c r="CM2150">
        <v>2</v>
      </c>
      <c r="CN2150">
        <v>0</v>
      </c>
      <c r="CO2150">
        <v>7</v>
      </c>
      <c r="CP2150" t="s">
        <v>119</v>
      </c>
      <c r="CQ2150">
        <v>364</v>
      </c>
      <c r="CR2150">
        <v>0</v>
      </c>
      <c r="CW2150">
        <v>1447380</v>
      </c>
      <c r="CY2150">
        <v>1</v>
      </c>
      <c r="CZ2150">
        <v>0</v>
      </c>
      <c r="DA2150">
        <v>1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>"03/24/2022 22:18:31.004"</f>
        <v>03/24/2022 22:18:31.004</v>
      </c>
      <c r="C2151" t="str">
        <f t="shared" si="639"/>
        <v>FFDFD3C0</v>
      </c>
      <c r="D2151" t="s">
        <v>120</v>
      </c>
      <c r="E2151">
        <v>14</v>
      </c>
      <c r="F2151">
        <v>1014</v>
      </c>
      <c r="G2151" t="s">
        <v>121</v>
      </c>
      <c r="J2151" t="s">
        <v>122</v>
      </c>
      <c r="K2151">
        <v>0</v>
      </c>
      <c r="L2151">
        <v>3</v>
      </c>
      <c r="M2151">
        <v>0</v>
      </c>
      <c r="N2151">
        <v>2</v>
      </c>
      <c r="O2151">
        <v>0</v>
      </c>
      <c r="P2151">
        <v>1</v>
      </c>
      <c r="Q2151">
        <v>0</v>
      </c>
      <c r="S2151" t="str">
        <f t="shared" si="644"/>
        <v>22:18:30.000</v>
      </c>
      <c r="T2151" t="str">
        <f t="shared" si="644"/>
        <v>22:18:30.000</v>
      </c>
      <c r="U2151" t="str">
        <f t="shared" si="633"/>
        <v>A9D71F</v>
      </c>
      <c r="V2151">
        <v>0</v>
      </c>
      <c r="W2151">
        <v>0</v>
      </c>
      <c r="X2151">
        <v>2</v>
      </c>
      <c r="Z2151">
        <v>1</v>
      </c>
      <c r="AA2151">
        <v>8</v>
      </c>
      <c r="AB2151">
        <v>3</v>
      </c>
      <c r="AC2151">
        <v>0</v>
      </c>
      <c r="AD2151">
        <v>9</v>
      </c>
      <c r="AE2151">
        <v>0</v>
      </c>
      <c r="AF2151">
        <v>3</v>
      </c>
      <c r="AG2151">
        <v>1</v>
      </c>
      <c r="AH2151">
        <v>0</v>
      </c>
      <c r="AI2151" t="s">
        <v>1126</v>
      </c>
      <c r="AJ2151">
        <v>33.018937000000001</v>
      </c>
      <c r="AK2151" t="s">
        <v>1127</v>
      </c>
      <c r="AL2151">
        <v>-97.651978</v>
      </c>
      <c r="AM2151">
        <v>25</v>
      </c>
      <c r="AN2151">
        <v>3300</v>
      </c>
      <c r="AO2151" t="s">
        <v>118</v>
      </c>
      <c r="AP2151">
        <v>27</v>
      </c>
      <c r="AQ2151">
        <v>-75</v>
      </c>
      <c r="AR2151">
        <v>-192</v>
      </c>
      <c r="AZ2151">
        <v>1200</v>
      </c>
      <c r="BA2151">
        <v>1</v>
      </c>
      <c r="BB2151" t="str">
        <f t="shared" si="640"/>
        <v xml:space="preserve">N733KP  </v>
      </c>
      <c r="BC2151">
        <v>1</v>
      </c>
      <c r="BE2151">
        <v>0</v>
      </c>
      <c r="BF2151">
        <v>0</v>
      </c>
      <c r="BG2151">
        <v>0</v>
      </c>
      <c r="BH2151">
        <v>3375</v>
      </c>
      <c r="BI2151">
        <v>1</v>
      </c>
      <c r="BJ2151">
        <v>1</v>
      </c>
      <c r="BK2151">
        <v>0</v>
      </c>
      <c r="BL2151">
        <v>0</v>
      </c>
      <c r="BO2151">
        <v>0</v>
      </c>
      <c r="BP2151">
        <v>0</v>
      </c>
      <c r="BW2151" t="str">
        <f>"22:18:30.808"</f>
        <v>22:18:30.808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7</v>
      </c>
      <c r="CP2151" t="s">
        <v>119</v>
      </c>
      <c r="CQ2151">
        <v>364</v>
      </c>
      <c r="CR2151">
        <v>0</v>
      </c>
      <c r="CW2151">
        <v>1447380</v>
      </c>
      <c r="CY2151">
        <v>1</v>
      </c>
      <c r="CZ2151">
        <v>0</v>
      </c>
      <c r="DA2151">
        <v>1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>"03/24/2022 22:18:31.004"</f>
        <v>03/24/2022 22:18:31.004</v>
      </c>
      <c r="C2152" t="str">
        <f t="shared" si="639"/>
        <v>FFDFD3C0</v>
      </c>
      <c r="D2152" t="s">
        <v>126</v>
      </c>
      <c r="E2152">
        <v>3</v>
      </c>
      <c r="H2152">
        <v>160</v>
      </c>
      <c r="I2152" t="s">
        <v>121</v>
      </c>
      <c r="J2152" t="s">
        <v>127</v>
      </c>
      <c r="K2152">
        <v>0</v>
      </c>
      <c r="L2152">
        <v>3</v>
      </c>
      <c r="M2152">
        <v>0</v>
      </c>
      <c r="N2152">
        <v>2</v>
      </c>
      <c r="O2152">
        <v>0</v>
      </c>
      <c r="P2152">
        <v>1</v>
      </c>
      <c r="Q2152">
        <v>0</v>
      </c>
      <c r="S2152" t="str">
        <f t="shared" si="644"/>
        <v>22:18:30.000</v>
      </c>
      <c r="T2152" t="str">
        <f t="shared" si="644"/>
        <v>22:18:30.000</v>
      </c>
      <c r="U2152" t="str">
        <f t="shared" si="633"/>
        <v>A9D71F</v>
      </c>
      <c r="V2152">
        <v>0</v>
      </c>
      <c r="W2152">
        <v>0</v>
      </c>
      <c r="X2152">
        <v>2</v>
      </c>
      <c r="Z2152">
        <v>1</v>
      </c>
      <c r="AA2152">
        <v>8</v>
      </c>
      <c r="AB2152">
        <v>3</v>
      </c>
      <c r="AC2152">
        <v>0</v>
      </c>
      <c r="AD2152">
        <v>9</v>
      </c>
      <c r="AE2152">
        <v>0</v>
      </c>
      <c r="AF2152">
        <v>3</v>
      </c>
      <c r="AG2152">
        <v>1</v>
      </c>
      <c r="AH2152">
        <v>0</v>
      </c>
      <c r="AI2152" t="s">
        <v>1126</v>
      </c>
      <c r="AJ2152">
        <v>33.018937000000001</v>
      </c>
      <c r="AK2152" t="s">
        <v>1127</v>
      </c>
      <c r="AL2152">
        <v>-97.651978</v>
      </c>
      <c r="AM2152">
        <v>25</v>
      </c>
      <c r="AN2152">
        <v>3300</v>
      </c>
      <c r="AO2152" t="s">
        <v>118</v>
      </c>
      <c r="AP2152">
        <v>27</v>
      </c>
      <c r="AQ2152">
        <v>-75</v>
      </c>
      <c r="AR2152">
        <v>-192</v>
      </c>
      <c r="AZ2152">
        <v>1200</v>
      </c>
      <c r="BA2152">
        <v>1</v>
      </c>
      <c r="BB2152" t="str">
        <f t="shared" si="640"/>
        <v xml:space="preserve">N733KP  </v>
      </c>
      <c r="BC2152">
        <v>1</v>
      </c>
      <c r="BE2152">
        <v>0</v>
      </c>
      <c r="BF2152">
        <v>0</v>
      </c>
      <c r="BG2152">
        <v>0</v>
      </c>
      <c r="BH2152">
        <v>3375</v>
      </c>
      <c r="BI2152">
        <v>1</v>
      </c>
      <c r="BJ2152">
        <v>1</v>
      </c>
      <c r="BK2152">
        <v>0</v>
      </c>
      <c r="BL2152">
        <v>0</v>
      </c>
      <c r="BO2152">
        <v>0</v>
      </c>
      <c r="BP2152">
        <v>0</v>
      </c>
      <c r="BW2152" t="str">
        <f>"22:18:30.808"</f>
        <v>22:18:30.808</v>
      </c>
      <c r="CJ2152">
        <v>0</v>
      </c>
      <c r="CK2152">
        <v>2</v>
      </c>
      <c r="CL2152">
        <v>0</v>
      </c>
      <c r="CM2152">
        <v>2</v>
      </c>
      <c r="CN2152">
        <v>0</v>
      </c>
      <c r="CO2152">
        <v>7</v>
      </c>
      <c r="CP2152" t="s">
        <v>119</v>
      </c>
      <c r="CQ2152">
        <v>364</v>
      </c>
      <c r="CR2152">
        <v>0</v>
      </c>
      <c r="CW2152">
        <v>1447380</v>
      </c>
      <c r="CY2152">
        <v>1</v>
      </c>
      <c r="CZ2152">
        <v>0</v>
      </c>
      <c r="DA2152">
        <v>1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>"03/24/2022 22:18:31.957"</f>
        <v>03/24/2022 22:18:31.957</v>
      </c>
      <c r="C2153" t="str">
        <f t="shared" si="639"/>
        <v>FFDFD3C0</v>
      </c>
      <c r="D2153" t="s">
        <v>113</v>
      </c>
      <c r="E2153">
        <v>24</v>
      </c>
      <c r="F2153">
        <v>2024</v>
      </c>
      <c r="G2153" t="s">
        <v>114</v>
      </c>
      <c r="J2153" t="s">
        <v>115</v>
      </c>
      <c r="K2153">
        <v>0</v>
      </c>
      <c r="L2153">
        <v>3</v>
      </c>
      <c r="M2153">
        <v>0</v>
      </c>
      <c r="N2153">
        <v>2</v>
      </c>
      <c r="O2153">
        <v>0</v>
      </c>
      <c r="P2153">
        <v>1</v>
      </c>
      <c r="Q2153">
        <v>0</v>
      </c>
      <c r="S2153" t="str">
        <f t="shared" ref="S2153:T2156" si="645">"22:18:31.000"</f>
        <v>22:18:31.000</v>
      </c>
      <c r="T2153" t="str">
        <f t="shared" si="645"/>
        <v>22:18:31.000</v>
      </c>
      <c r="U2153" t="str">
        <f t="shared" si="633"/>
        <v>A9D71F</v>
      </c>
      <c r="V2153">
        <v>0</v>
      </c>
      <c r="W2153">
        <v>0</v>
      </c>
      <c r="X2153">
        <v>2</v>
      </c>
      <c r="Z2153">
        <v>1</v>
      </c>
      <c r="AA2153">
        <v>8</v>
      </c>
      <c r="AB2153">
        <v>3</v>
      </c>
      <c r="AC2153">
        <v>0</v>
      </c>
      <c r="AD2153">
        <v>9</v>
      </c>
      <c r="AE2153">
        <v>0</v>
      </c>
      <c r="AF2153">
        <v>3</v>
      </c>
      <c r="AG2153">
        <v>1</v>
      </c>
      <c r="AH2153">
        <v>0</v>
      </c>
      <c r="AI2153" t="s">
        <v>1128</v>
      </c>
      <c r="AJ2153">
        <v>33.018571999999999</v>
      </c>
      <c r="AK2153" t="s">
        <v>1129</v>
      </c>
      <c r="AL2153">
        <v>-97.651826999999997</v>
      </c>
      <c r="AM2153">
        <v>25</v>
      </c>
      <c r="AN2153">
        <v>3300</v>
      </c>
      <c r="AO2153" t="s">
        <v>118</v>
      </c>
      <c r="AP2153">
        <v>27</v>
      </c>
      <c r="AQ2153">
        <v>-76</v>
      </c>
      <c r="AR2153">
        <v>-192</v>
      </c>
      <c r="AZ2153">
        <v>1200</v>
      </c>
      <c r="BA2153">
        <v>1</v>
      </c>
      <c r="BB2153" t="str">
        <f t="shared" si="640"/>
        <v xml:space="preserve">N733KP  </v>
      </c>
      <c r="BC2153">
        <v>1</v>
      </c>
      <c r="BE2153">
        <v>0</v>
      </c>
      <c r="BF2153">
        <v>0</v>
      </c>
      <c r="BG2153">
        <v>0</v>
      </c>
      <c r="BH2153">
        <v>3375</v>
      </c>
      <c r="BI2153">
        <v>1</v>
      </c>
      <c r="BJ2153">
        <v>1</v>
      </c>
      <c r="BK2153">
        <v>0</v>
      </c>
      <c r="BL2153">
        <v>0</v>
      </c>
      <c r="BO2153">
        <v>0</v>
      </c>
      <c r="BP2153">
        <v>0</v>
      </c>
      <c r="BW2153" t="str">
        <f>"22:18:31.770"</f>
        <v>22:18:31.770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7</v>
      </c>
      <c r="CP2153" t="s">
        <v>119</v>
      </c>
      <c r="CQ2153">
        <v>364</v>
      </c>
      <c r="CR2153">
        <v>0</v>
      </c>
      <c r="CW2153">
        <v>1447493</v>
      </c>
      <c r="CY2153">
        <v>1</v>
      </c>
      <c r="CZ2153">
        <v>0</v>
      </c>
      <c r="DA2153">
        <v>0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>"03/24/2022 22:18:32.004"</f>
        <v>03/24/2022 22:18:32.004</v>
      </c>
      <c r="C2154" t="str">
        <f t="shared" si="639"/>
        <v>FFDFD3C0</v>
      </c>
      <c r="D2154" t="s">
        <v>123</v>
      </c>
      <c r="E2154">
        <v>8</v>
      </c>
      <c r="H2154">
        <v>31</v>
      </c>
      <c r="I2154" t="s">
        <v>124</v>
      </c>
      <c r="J2154" t="s">
        <v>125</v>
      </c>
      <c r="K2154">
        <v>0</v>
      </c>
      <c r="L2154">
        <v>3</v>
      </c>
      <c r="M2154">
        <v>0</v>
      </c>
      <c r="N2154">
        <v>2</v>
      </c>
      <c r="O2154">
        <v>0</v>
      </c>
      <c r="P2154">
        <v>1</v>
      </c>
      <c r="Q2154">
        <v>0</v>
      </c>
      <c r="S2154" t="str">
        <f t="shared" si="645"/>
        <v>22:18:31.000</v>
      </c>
      <c r="T2154" t="str">
        <f t="shared" si="645"/>
        <v>22:18:31.000</v>
      </c>
      <c r="U2154" t="str">
        <f t="shared" si="633"/>
        <v>A9D71F</v>
      </c>
      <c r="V2154">
        <v>0</v>
      </c>
      <c r="W2154">
        <v>0</v>
      </c>
      <c r="X2154">
        <v>2</v>
      </c>
      <c r="Z2154">
        <v>1</v>
      </c>
      <c r="AA2154">
        <v>8</v>
      </c>
      <c r="AB2154">
        <v>3</v>
      </c>
      <c r="AC2154">
        <v>0</v>
      </c>
      <c r="AD2154">
        <v>9</v>
      </c>
      <c r="AE2154">
        <v>0</v>
      </c>
      <c r="AF2154">
        <v>3</v>
      </c>
      <c r="AG2154">
        <v>1</v>
      </c>
      <c r="AH2154">
        <v>0</v>
      </c>
      <c r="AI2154" t="s">
        <v>1128</v>
      </c>
      <c r="AJ2154">
        <v>33.018571999999999</v>
      </c>
      <c r="AK2154" t="s">
        <v>1129</v>
      </c>
      <c r="AL2154">
        <v>-97.651826999999997</v>
      </c>
      <c r="AM2154">
        <v>25</v>
      </c>
      <c r="AN2154">
        <v>3300</v>
      </c>
      <c r="AO2154" t="s">
        <v>118</v>
      </c>
      <c r="AP2154">
        <v>27</v>
      </c>
      <c r="AQ2154">
        <v>-76</v>
      </c>
      <c r="AR2154">
        <v>-192</v>
      </c>
      <c r="AZ2154">
        <v>1200</v>
      </c>
      <c r="BA2154">
        <v>1</v>
      </c>
      <c r="BB2154" t="str">
        <f t="shared" si="640"/>
        <v xml:space="preserve">N733KP  </v>
      </c>
      <c r="BC2154">
        <v>1</v>
      </c>
      <c r="BE2154">
        <v>0</v>
      </c>
      <c r="BF2154">
        <v>0</v>
      </c>
      <c r="BG2154">
        <v>0</v>
      </c>
      <c r="BH2154">
        <v>3375</v>
      </c>
      <c r="BI2154">
        <v>1</v>
      </c>
      <c r="BJ2154">
        <v>1</v>
      </c>
      <c r="BK2154">
        <v>0</v>
      </c>
      <c r="BL2154">
        <v>0</v>
      </c>
      <c r="BO2154">
        <v>0</v>
      </c>
      <c r="BP2154">
        <v>0</v>
      </c>
      <c r="BW2154" t="str">
        <f>"22:18:31.770"</f>
        <v>22:18:31.770</v>
      </c>
      <c r="CJ2154">
        <v>0</v>
      </c>
      <c r="CK2154">
        <v>2</v>
      </c>
      <c r="CL2154">
        <v>0</v>
      </c>
      <c r="CM2154">
        <v>2</v>
      </c>
      <c r="CN2154">
        <v>0</v>
      </c>
      <c r="CO2154">
        <v>7</v>
      </c>
      <c r="CP2154" t="s">
        <v>119</v>
      </c>
      <c r="CQ2154">
        <v>364</v>
      </c>
      <c r="CR2154">
        <v>0</v>
      </c>
      <c r="CW2154">
        <v>1447493</v>
      </c>
      <c r="CY2154">
        <v>1</v>
      </c>
      <c r="CZ2154">
        <v>0</v>
      </c>
      <c r="DA2154">
        <v>1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>"03/24/2022 22:18:32.004"</f>
        <v>03/24/2022 22:18:32.004</v>
      </c>
      <c r="C2155" t="str">
        <f t="shared" si="639"/>
        <v>FFDFD3C0</v>
      </c>
      <c r="D2155" t="s">
        <v>120</v>
      </c>
      <c r="E2155">
        <v>14</v>
      </c>
      <c r="F2155">
        <v>1014</v>
      </c>
      <c r="G2155" t="s">
        <v>121</v>
      </c>
      <c r="J2155" t="s">
        <v>122</v>
      </c>
      <c r="K2155">
        <v>0</v>
      </c>
      <c r="L2155">
        <v>3</v>
      </c>
      <c r="M2155">
        <v>0</v>
      </c>
      <c r="N2155">
        <v>2</v>
      </c>
      <c r="O2155">
        <v>0</v>
      </c>
      <c r="P2155">
        <v>1</v>
      </c>
      <c r="Q2155">
        <v>0</v>
      </c>
      <c r="S2155" t="str">
        <f t="shared" si="645"/>
        <v>22:18:31.000</v>
      </c>
      <c r="T2155" t="str">
        <f t="shared" si="645"/>
        <v>22:18:31.000</v>
      </c>
      <c r="U2155" t="str">
        <f t="shared" si="633"/>
        <v>A9D71F</v>
      </c>
      <c r="V2155">
        <v>0</v>
      </c>
      <c r="W2155">
        <v>0</v>
      </c>
      <c r="X2155">
        <v>2</v>
      </c>
      <c r="Z2155">
        <v>1</v>
      </c>
      <c r="AA2155">
        <v>8</v>
      </c>
      <c r="AB2155">
        <v>3</v>
      </c>
      <c r="AC2155">
        <v>0</v>
      </c>
      <c r="AD2155">
        <v>9</v>
      </c>
      <c r="AE2155">
        <v>0</v>
      </c>
      <c r="AF2155">
        <v>3</v>
      </c>
      <c r="AG2155">
        <v>1</v>
      </c>
      <c r="AH2155">
        <v>0</v>
      </c>
      <c r="AI2155" t="s">
        <v>1128</v>
      </c>
      <c r="AJ2155">
        <v>33.018571999999999</v>
      </c>
      <c r="AK2155" t="s">
        <v>1129</v>
      </c>
      <c r="AL2155">
        <v>-97.651826999999997</v>
      </c>
      <c r="AM2155">
        <v>25</v>
      </c>
      <c r="AN2155">
        <v>3300</v>
      </c>
      <c r="AO2155" t="s">
        <v>118</v>
      </c>
      <c r="AP2155">
        <v>27</v>
      </c>
      <c r="AQ2155">
        <v>-76</v>
      </c>
      <c r="AR2155">
        <v>-192</v>
      </c>
      <c r="AZ2155">
        <v>1200</v>
      </c>
      <c r="BA2155">
        <v>1</v>
      </c>
      <c r="BB2155" t="str">
        <f t="shared" si="640"/>
        <v xml:space="preserve">N733KP  </v>
      </c>
      <c r="BC2155">
        <v>1</v>
      </c>
      <c r="BE2155">
        <v>0</v>
      </c>
      <c r="BF2155">
        <v>0</v>
      </c>
      <c r="BG2155">
        <v>0</v>
      </c>
      <c r="BH2155">
        <v>3375</v>
      </c>
      <c r="BI2155">
        <v>1</v>
      </c>
      <c r="BJ2155">
        <v>1</v>
      </c>
      <c r="BK2155">
        <v>0</v>
      </c>
      <c r="BL2155">
        <v>0</v>
      </c>
      <c r="BO2155">
        <v>0</v>
      </c>
      <c r="BP2155">
        <v>0</v>
      </c>
      <c r="BW2155" t="str">
        <f>"22:18:31.770"</f>
        <v>22:18:31.770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7</v>
      </c>
      <c r="CP2155" t="s">
        <v>119</v>
      </c>
      <c r="CQ2155">
        <v>364</v>
      </c>
      <c r="CR2155">
        <v>0</v>
      </c>
      <c r="CW2155">
        <v>1447493</v>
      </c>
      <c r="CY2155">
        <v>1</v>
      </c>
      <c r="CZ2155">
        <v>0</v>
      </c>
      <c r="DA2155">
        <v>1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>"03/24/2022 22:18:32.035"</f>
        <v>03/24/2022 22:18:32.035</v>
      </c>
      <c r="C2156" t="str">
        <f t="shared" si="639"/>
        <v>FFDFD3C0</v>
      </c>
      <c r="D2156" t="s">
        <v>126</v>
      </c>
      <c r="E2156">
        <v>3</v>
      </c>
      <c r="H2156">
        <v>160</v>
      </c>
      <c r="I2156" t="s">
        <v>121</v>
      </c>
      <c r="J2156" t="s">
        <v>127</v>
      </c>
      <c r="K2156">
        <v>0</v>
      </c>
      <c r="L2156">
        <v>3</v>
      </c>
      <c r="M2156">
        <v>0</v>
      </c>
      <c r="N2156">
        <v>2</v>
      </c>
      <c r="O2156">
        <v>0</v>
      </c>
      <c r="P2156">
        <v>1</v>
      </c>
      <c r="Q2156">
        <v>0</v>
      </c>
      <c r="S2156" t="str">
        <f t="shared" si="645"/>
        <v>22:18:31.000</v>
      </c>
      <c r="T2156" t="str">
        <f t="shared" si="645"/>
        <v>22:18:31.000</v>
      </c>
      <c r="U2156" t="str">
        <f t="shared" si="633"/>
        <v>A9D71F</v>
      </c>
      <c r="V2156">
        <v>0</v>
      </c>
      <c r="W2156">
        <v>0</v>
      </c>
      <c r="X2156">
        <v>2</v>
      </c>
      <c r="Z2156">
        <v>1</v>
      </c>
      <c r="AA2156">
        <v>8</v>
      </c>
      <c r="AB2156">
        <v>3</v>
      </c>
      <c r="AC2156">
        <v>0</v>
      </c>
      <c r="AD2156">
        <v>9</v>
      </c>
      <c r="AE2156">
        <v>0</v>
      </c>
      <c r="AF2156">
        <v>3</v>
      </c>
      <c r="AG2156">
        <v>1</v>
      </c>
      <c r="AH2156">
        <v>0</v>
      </c>
      <c r="AI2156" t="s">
        <v>1128</v>
      </c>
      <c r="AJ2156">
        <v>33.018571999999999</v>
      </c>
      <c r="AK2156" t="s">
        <v>1129</v>
      </c>
      <c r="AL2156">
        <v>-97.651826999999997</v>
      </c>
      <c r="AM2156">
        <v>25</v>
      </c>
      <c r="AN2156">
        <v>3300</v>
      </c>
      <c r="AO2156" t="s">
        <v>118</v>
      </c>
      <c r="AP2156">
        <v>27</v>
      </c>
      <c r="AQ2156">
        <v>-76</v>
      </c>
      <c r="AR2156">
        <v>-192</v>
      </c>
      <c r="AZ2156">
        <v>1200</v>
      </c>
      <c r="BA2156">
        <v>1</v>
      </c>
      <c r="BB2156" t="str">
        <f t="shared" si="640"/>
        <v xml:space="preserve">N733KP  </v>
      </c>
      <c r="BC2156">
        <v>1</v>
      </c>
      <c r="BE2156">
        <v>0</v>
      </c>
      <c r="BF2156">
        <v>0</v>
      </c>
      <c r="BG2156">
        <v>0</v>
      </c>
      <c r="BH2156">
        <v>3375</v>
      </c>
      <c r="BI2156">
        <v>1</v>
      </c>
      <c r="BJ2156">
        <v>1</v>
      </c>
      <c r="BK2156">
        <v>0</v>
      </c>
      <c r="BL2156">
        <v>0</v>
      </c>
      <c r="BO2156">
        <v>0</v>
      </c>
      <c r="BP2156">
        <v>0</v>
      </c>
      <c r="BW2156" t="str">
        <f>"22:18:31.770"</f>
        <v>22:18:31.770</v>
      </c>
      <c r="CJ2156">
        <v>0</v>
      </c>
      <c r="CK2156">
        <v>2</v>
      </c>
      <c r="CL2156">
        <v>0</v>
      </c>
      <c r="CM2156">
        <v>2</v>
      </c>
      <c r="CN2156">
        <v>0</v>
      </c>
      <c r="CO2156">
        <v>7</v>
      </c>
      <c r="CP2156" t="s">
        <v>119</v>
      </c>
      <c r="CQ2156">
        <v>364</v>
      </c>
      <c r="CR2156">
        <v>0</v>
      </c>
      <c r="CW2156">
        <v>1447493</v>
      </c>
      <c r="CY2156">
        <v>1</v>
      </c>
      <c r="CZ2156">
        <v>0</v>
      </c>
      <c r="DA2156">
        <v>1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>"03/24/2022 22:18:32.411"</f>
        <v>03/24/2022 22:18:32.411</v>
      </c>
      <c r="C2157" t="str">
        <f t="shared" si="639"/>
        <v>FFDFD3C0</v>
      </c>
      <c r="D2157" t="s">
        <v>123</v>
      </c>
      <c r="E2157">
        <v>8</v>
      </c>
      <c r="H2157">
        <v>31</v>
      </c>
      <c r="I2157" t="s">
        <v>124</v>
      </c>
      <c r="J2157" t="s">
        <v>125</v>
      </c>
      <c r="K2157">
        <v>0</v>
      </c>
      <c r="L2157">
        <v>3</v>
      </c>
      <c r="M2157">
        <v>0</v>
      </c>
      <c r="N2157">
        <v>2</v>
      </c>
      <c r="O2157">
        <v>0</v>
      </c>
      <c r="P2157">
        <v>1</v>
      </c>
      <c r="Q2157">
        <v>0</v>
      </c>
      <c r="S2157" t="str">
        <f t="shared" ref="S2157:T2160" si="646">"22:18:32.000"</f>
        <v>22:18:32.000</v>
      </c>
      <c r="T2157" t="str">
        <f t="shared" si="646"/>
        <v>22:18:32.000</v>
      </c>
      <c r="U2157" t="str">
        <f t="shared" si="633"/>
        <v>A9D71F</v>
      </c>
      <c r="V2157">
        <v>0</v>
      </c>
      <c r="W2157">
        <v>0</v>
      </c>
      <c r="X2157">
        <v>2</v>
      </c>
      <c r="Z2157">
        <v>1</v>
      </c>
      <c r="AA2157">
        <v>8</v>
      </c>
      <c r="AB2157">
        <v>3</v>
      </c>
      <c r="AC2157">
        <v>0</v>
      </c>
      <c r="AD2157">
        <v>9</v>
      </c>
      <c r="AE2157">
        <v>0</v>
      </c>
      <c r="AF2157">
        <v>3</v>
      </c>
      <c r="AG2157">
        <v>1</v>
      </c>
      <c r="AH2157">
        <v>0</v>
      </c>
      <c r="AI2157" t="s">
        <v>1130</v>
      </c>
      <c r="AJ2157">
        <v>33.018228999999998</v>
      </c>
      <c r="AK2157" t="s">
        <v>1131</v>
      </c>
      <c r="AL2157">
        <v>-97.651677000000007</v>
      </c>
      <c r="AM2157">
        <v>25</v>
      </c>
      <c r="AN2157">
        <v>3300</v>
      </c>
      <c r="AO2157" t="s">
        <v>118</v>
      </c>
      <c r="AP2157">
        <v>27</v>
      </c>
      <c r="AQ2157">
        <v>-76</v>
      </c>
      <c r="AR2157">
        <v>-192</v>
      </c>
      <c r="AZ2157">
        <v>1200</v>
      </c>
      <c r="BA2157">
        <v>1</v>
      </c>
      <c r="BB2157" t="str">
        <f t="shared" si="640"/>
        <v xml:space="preserve">N733KP  </v>
      </c>
      <c r="BC2157">
        <v>1</v>
      </c>
      <c r="BE2157">
        <v>0</v>
      </c>
      <c r="BF2157">
        <v>0</v>
      </c>
      <c r="BG2157">
        <v>0</v>
      </c>
      <c r="BH2157">
        <v>3375</v>
      </c>
      <c r="BI2157">
        <v>1</v>
      </c>
      <c r="BJ2157">
        <v>1</v>
      </c>
      <c r="BK2157">
        <v>0</v>
      </c>
      <c r="BL2157">
        <v>0</v>
      </c>
      <c r="BO2157">
        <v>0</v>
      </c>
      <c r="BP2157">
        <v>0</v>
      </c>
      <c r="BW2157" t="str">
        <f>"22:18:32.260"</f>
        <v>22:18:32.260</v>
      </c>
      <c r="CJ2157">
        <v>0</v>
      </c>
      <c r="CK2157">
        <v>2</v>
      </c>
      <c r="CL2157">
        <v>0</v>
      </c>
      <c r="CM2157">
        <v>2</v>
      </c>
      <c r="CN2157">
        <v>0</v>
      </c>
      <c r="CO2157">
        <v>7</v>
      </c>
      <c r="CP2157" t="s">
        <v>119</v>
      </c>
      <c r="CQ2157">
        <v>364</v>
      </c>
      <c r="CR2157">
        <v>0</v>
      </c>
      <c r="CW2157">
        <v>1447551</v>
      </c>
      <c r="CY2157">
        <v>1</v>
      </c>
      <c r="CZ2157">
        <v>0</v>
      </c>
      <c r="DA2157">
        <v>0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>"03/24/2022 22:18:32.442"</f>
        <v>03/24/2022 22:18:32.442</v>
      </c>
      <c r="C2158" t="str">
        <f t="shared" si="639"/>
        <v>FFDFD3C0</v>
      </c>
      <c r="D2158" t="s">
        <v>126</v>
      </c>
      <c r="E2158">
        <v>3</v>
      </c>
      <c r="H2158">
        <v>160</v>
      </c>
      <c r="I2158" t="s">
        <v>121</v>
      </c>
      <c r="J2158" t="s">
        <v>127</v>
      </c>
      <c r="K2158">
        <v>0</v>
      </c>
      <c r="L2158">
        <v>3</v>
      </c>
      <c r="M2158">
        <v>0</v>
      </c>
      <c r="N2158">
        <v>2</v>
      </c>
      <c r="O2158">
        <v>0</v>
      </c>
      <c r="P2158">
        <v>1</v>
      </c>
      <c r="Q2158">
        <v>0</v>
      </c>
      <c r="S2158" t="str">
        <f t="shared" si="646"/>
        <v>22:18:32.000</v>
      </c>
      <c r="T2158" t="str">
        <f t="shared" si="646"/>
        <v>22:18:32.000</v>
      </c>
      <c r="U2158" t="str">
        <f t="shared" si="633"/>
        <v>A9D71F</v>
      </c>
      <c r="V2158">
        <v>0</v>
      </c>
      <c r="W2158">
        <v>0</v>
      </c>
      <c r="X2158">
        <v>2</v>
      </c>
      <c r="Z2158">
        <v>1</v>
      </c>
      <c r="AA2158">
        <v>8</v>
      </c>
      <c r="AB2158">
        <v>3</v>
      </c>
      <c r="AC2158">
        <v>0</v>
      </c>
      <c r="AD2158">
        <v>9</v>
      </c>
      <c r="AE2158">
        <v>0</v>
      </c>
      <c r="AF2158">
        <v>3</v>
      </c>
      <c r="AG2158">
        <v>1</v>
      </c>
      <c r="AH2158">
        <v>0</v>
      </c>
      <c r="AI2158" t="s">
        <v>1130</v>
      </c>
      <c r="AJ2158">
        <v>33.018228999999998</v>
      </c>
      <c r="AK2158" t="s">
        <v>1131</v>
      </c>
      <c r="AL2158">
        <v>-97.651677000000007</v>
      </c>
      <c r="AM2158">
        <v>25</v>
      </c>
      <c r="AN2158">
        <v>3300</v>
      </c>
      <c r="AO2158" t="s">
        <v>118</v>
      </c>
      <c r="AP2158">
        <v>27</v>
      </c>
      <c r="AQ2158">
        <v>-76</v>
      </c>
      <c r="AR2158">
        <v>-192</v>
      </c>
      <c r="AZ2158">
        <v>1200</v>
      </c>
      <c r="BA2158">
        <v>1</v>
      </c>
      <c r="BB2158" t="str">
        <f t="shared" si="640"/>
        <v xml:space="preserve">N733KP  </v>
      </c>
      <c r="BC2158">
        <v>1</v>
      </c>
      <c r="BE2158">
        <v>0</v>
      </c>
      <c r="BF2158">
        <v>0</v>
      </c>
      <c r="BG2158">
        <v>0</v>
      </c>
      <c r="BH2158">
        <v>3375</v>
      </c>
      <c r="BI2158">
        <v>1</v>
      </c>
      <c r="BJ2158">
        <v>1</v>
      </c>
      <c r="BK2158">
        <v>0</v>
      </c>
      <c r="BL2158">
        <v>0</v>
      </c>
      <c r="BO2158">
        <v>0</v>
      </c>
      <c r="BP2158">
        <v>0</v>
      </c>
      <c r="BW2158" t="str">
        <f>"22:18:32.260"</f>
        <v>22:18:32.260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7</v>
      </c>
      <c r="CP2158" t="s">
        <v>119</v>
      </c>
      <c r="CQ2158">
        <v>364</v>
      </c>
      <c r="CR2158">
        <v>0</v>
      </c>
      <c r="CW2158">
        <v>1447551</v>
      </c>
      <c r="CY2158">
        <v>1</v>
      </c>
      <c r="CZ2158">
        <v>0</v>
      </c>
      <c r="DA2158">
        <v>1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>"03/24/2022 22:18:32.442"</f>
        <v>03/24/2022 22:18:32.442</v>
      </c>
      <c r="C2159" t="str">
        <f t="shared" si="639"/>
        <v>FFDFD3C0</v>
      </c>
      <c r="D2159" t="s">
        <v>120</v>
      </c>
      <c r="E2159">
        <v>14</v>
      </c>
      <c r="F2159">
        <v>1014</v>
      </c>
      <c r="G2159" t="s">
        <v>121</v>
      </c>
      <c r="J2159" t="s">
        <v>122</v>
      </c>
      <c r="K2159">
        <v>0</v>
      </c>
      <c r="L2159">
        <v>3</v>
      </c>
      <c r="M2159">
        <v>0</v>
      </c>
      <c r="N2159">
        <v>2</v>
      </c>
      <c r="O2159">
        <v>0</v>
      </c>
      <c r="P2159">
        <v>1</v>
      </c>
      <c r="Q2159">
        <v>0</v>
      </c>
      <c r="S2159" t="str">
        <f t="shared" si="646"/>
        <v>22:18:32.000</v>
      </c>
      <c r="T2159" t="str">
        <f t="shared" si="646"/>
        <v>22:18:32.000</v>
      </c>
      <c r="U2159" t="str">
        <f t="shared" si="633"/>
        <v>A9D71F</v>
      </c>
      <c r="V2159">
        <v>0</v>
      </c>
      <c r="W2159">
        <v>0</v>
      </c>
      <c r="X2159">
        <v>2</v>
      </c>
      <c r="Z2159">
        <v>1</v>
      </c>
      <c r="AA2159">
        <v>8</v>
      </c>
      <c r="AB2159">
        <v>3</v>
      </c>
      <c r="AC2159">
        <v>0</v>
      </c>
      <c r="AD2159">
        <v>9</v>
      </c>
      <c r="AE2159">
        <v>0</v>
      </c>
      <c r="AF2159">
        <v>3</v>
      </c>
      <c r="AG2159">
        <v>1</v>
      </c>
      <c r="AH2159">
        <v>0</v>
      </c>
      <c r="AI2159" t="s">
        <v>1130</v>
      </c>
      <c r="AJ2159">
        <v>33.018228999999998</v>
      </c>
      <c r="AK2159" t="s">
        <v>1131</v>
      </c>
      <c r="AL2159">
        <v>-97.651677000000007</v>
      </c>
      <c r="AM2159">
        <v>25</v>
      </c>
      <c r="AN2159">
        <v>3300</v>
      </c>
      <c r="AO2159" t="s">
        <v>118</v>
      </c>
      <c r="AP2159">
        <v>27</v>
      </c>
      <c r="AQ2159">
        <v>-76</v>
      </c>
      <c r="AR2159">
        <v>-192</v>
      </c>
      <c r="AZ2159">
        <v>1200</v>
      </c>
      <c r="BA2159">
        <v>1</v>
      </c>
      <c r="BB2159" t="str">
        <f t="shared" si="640"/>
        <v xml:space="preserve">N733KP  </v>
      </c>
      <c r="BC2159">
        <v>1</v>
      </c>
      <c r="BE2159">
        <v>0</v>
      </c>
      <c r="BF2159">
        <v>0</v>
      </c>
      <c r="BG2159">
        <v>0</v>
      </c>
      <c r="BH2159">
        <v>3375</v>
      </c>
      <c r="BI2159">
        <v>1</v>
      </c>
      <c r="BJ2159">
        <v>1</v>
      </c>
      <c r="BK2159">
        <v>0</v>
      </c>
      <c r="BL2159">
        <v>0</v>
      </c>
      <c r="BO2159">
        <v>0</v>
      </c>
      <c r="BP2159">
        <v>0</v>
      </c>
      <c r="BW2159" t="str">
        <f>"22:18:32.260"</f>
        <v>22:18:32.260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7</v>
      </c>
      <c r="CP2159" t="s">
        <v>119</v>
      </c>
      <c r="CQ2159">
        <v>364</v>
      </c>
      <c r="CR2159">
        <v>0</v>
      </c>
      <c r="CW2159">
        <v>1447551</v>
      </c>
      <c r="CY2159">
        <v>1</v>
      </c>
      <c r="CZ2159">
        <v>0</v>
      </c>
      <c r="DA2159">
        <v>1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>"03/24/2022 22:18:32.458"</f>
        <v>03/24/2022 22:18:32.458</v>
      </c>
      <c r="C2160" t="str">
        <f t="shared" si="639"/>
        <v>FFDFD3C0</v>
      </c>
      <c r="D2160" t="s">
        <v>113</v>
      </c>
      <c r="E2160">
        <v>24</v>
      </c>
      <c r="F2160">
        <v>2024</v>
      </c>
      <c r="G2160" t="s">
        <v>114</v>
      </c>
      <c r="J2160" t="s">
        <v>115</v>
      </c>
      <c r="K2160">
        <v>0</v>
      </c>
      <c r="L2160">
        <v>3</v>
      </c>
      <c r="M2160">
        <v>0</v>
      </c>
      <c r="N2160">
        <v>2</v>
      </c>
      <c r="O2160">
        <v>0</v>
      </c>
      <c r="P2160">
        <v>1</v>
      </c>
      <c r="Q2160">
        <v>0</v>
      </c>
      <c r="S2160" t="str">
        <f t="shared" si="646"/>
        <v>22:18:32.000</v>
      </c>
      <c r="T2160" t="str">
        <f t="shared" si="646"/>
        <v>22:18:32.000</v>
      </c>
      <c r="U2160" t="str">
        <f t="shared" si="633"/>
        <v>A9D71F</v>
      </c>
      <c r="V2160">
        <v>0</v>
      </c>
      <c r="W2160">
        <v>0</v>
      </c>
      <c r="X2160">
        <v>2</v>
      </c>
      <c r="Z2160">
        <v>1</v>
      </c>
      <c r="AA2160">
        <v>8</v>
      </c>
      <c r="AB2160">
        <v>3</v>
      </c>
      <c r="AC2160">
        <v>0</v>
      </c>
      <c r="AD2160">
        <v>9</v>
      </c>
      <c r="AE2160">
        <v>0</v>
      </c>
      <c r="AF2160">
        <v>3</v>
      </c>
      <c r="AG2160">
        <v>1</v>
      </c>
      <c r="AH2160">
        <v>0</v>
      </c>
      <c r="AI2160" t="s">
        <v>1130</v>
      </c>
      <c r="AJ2160">
        <v>33.018228999999998</v>
      </c>
      <c r="AK2160" t="s">
        <v>1131</v>
      </c>
      <c r="AL2160">
        <v>-97.651677000000007</v>
      </c>
      <c r="AM2160">
        <v>25</v>
      </c>
      <c r="AN2160">
        <v>3300</v>
      </c>
      <c r="AO2160" t="s">
        <v>118</v>
      </c>
      <c r="AP2160">
        <v>27</v>
      </c>
      <c r="AQ2160">
        <v>-76</v>
      </c>
      <c r="AR2160">
        <v>-192</v>
      </c>
      <c r="AZ2160">
        <v>1200</v>
      </c>
      <c r="BA2160">
        <v>1</v>
      </c>
      <c r="BB2160" t="str">
        <f t="shared" si="640"/>
        <v xml:space="preserve">N733KP  </v>
      </c>
      <c r="BC2160">
        <v>1</v>
      </c>
      <c r="BE2160">
        <v>0</v>
      </c>
      <c r="BF2160">
        <v>0</v>
      </c>
      <c r="BG2160">
        <v>0</v>
      </c>
      <c r="BH2160">
        <v>3375</v>
      </c>
      <c r="BI2160">
        <v>1</v>
      </c>
      <c r="BJ2160">
        <v>1</v>
      </c>
      <c r="BK2160">
        <v>0</v>
      </c>
      <c r="BL2160">
        <v>0</v>
      </c>
      <c r="BO2160">
        <v>0</v>
      </c>
      <c r="BP2160">
        <v>0</v>
      </c>
      <c r="BW2160" t="str">
        <f>"22:18:32.260"</f>
        <v>22:18:32.260</v>
      </c>
      <c r="CJ2160">
        <v>0</v>
      </c>
      <c r="CK2160">
        <v>2</v>
      </c>
      <c r="CL2160">
        <v>0</v>
      </c>
      <c r="CM2160">
        <v>2</v>
      </c>
      <c r="CN2160">
        <v>0</v>
      </c>
      <c r="CO2160">
        <v>7</v>
      </c>
      <c r="CP2160" t="s">
        <v>119</v>
      </c>
      <c r="CQ2160">
        <v>364</v>
      </c>
      <c r="CR2160">
        <v>0</v>
      </c>
      <c r="CW2160">
        <v>1447551</v>
      </c>
      <c r="CY2160">
        <v>1</v>
      </c>
      <c r="CZ2160">
        <v>0</v>
      </c>
      <c r="DA2160">
        <v>1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>"03/24/2022 22:18:33.381"</f>
        <v>03/24/2022 22:18:33.381</v>
      </c>
      <c r="C2161" t="str">
        <f t="shared" si="639"/>
        <v>FFDFD3C0</v>
      </c>
      <c r="D2161" t="s">
        <v>126</v>
      </c>
      <c r="E2161">
        <v>3</v>
      </c>
      <c r="H2161">
        <v>160</v>
      </c>
      <c r="I2161" t="s">
        <v>121</v>
      </c>
      <c r="J2161" t="s">
        <v>127</v>
      </c>
      <c r="K2161">
        <v>0</v>
      </c>
      <c r="L2161">
        <v>3</v>
      </c>
      <c r="M2161">
        <v>0</v>
      </c>
      <c r="N2161">
        <v>2</v>
      </c>
      <c r="O2161">
        <v>0</v>
      </c>
      <c r="P2161">
        <v>1</v>
      </c>
      <c r="Q2161">
        <v>0</v>
      </c>
      <c r="S2161" t="str">
        <f t="shared" ref="S2161:T2164" si="647">"22:18:33.000"</f>
        <v>22:18:33.000</v>
      </c>
      <c r="T2161" t="str">
        <f t="shared" si="647"/>
        <v>22:18:33.000</v>
      </c>
      <c r="U2161" t="str">
        <f t="shared" si="633"/>
        <v>A9D71F</v>
      </c>
      <c r="V2161">
        <v>0</v>
      </c>
      <c r="W2161">
        <v>0</v>
      </c>
      <c r="X2161">
        <v>2</v>
      </c>
      <c r="Z2161">
        <v>1</v>
      </c>
      <c r="AA2161">
        <v>8</v>
      </c>
      <c r="AB2161">
        <v>3</v>
      </c>
      <c r="AC2161">
        <v>0</v>
      </c>
      <c r="AD2161">
        <v>9</v>
      </c>
      <c r="AE2161">
        <v>0</v>
      </c>
      <c r="AF2161">
        <v>3</v>
      </c>
      <c r="AG2161">
        <v>1</v>
      </c>
      <c r="AH2161">
        <v>0</v>
      </c>
      <c r="AI2161" t="s">
        <v>1132</v>
      </c>
      <c r="AJ2161">
        <v>33.017864000000003</v>
      </c>
      <c r="AK2161" t="s">
        <v>1133</v>
      </c>
      <c r="AL2161">
        <v>-97.651505</v>
      </c>
      <c r="AM2161">
        <v>25</v>
      </c>
      <c r="AN2161">
        <v>3300</v>
      </c>
      <c r="AO2161" t="s">
        <v>118</v>
      </c>
      <c r="AP2161">
        <v>27</v>
      </c>
      <c r="AQ2161">
        <v>-76</v>
      </c>
      <c r="AR2161">
        <v>-128</v>
      </c>
      <c r="AZ2161">
        <v>1200</v>
      </c>
      <c r="BA2161">
        <v>1</v>
      </c>
      <c r="BB2161" t="str">
        <f t="shared" si="640"/>
        <v xml:space="preserve">N733KP  </v>
      </c>
      <c r="BC2161">
        <v>1</v>
      </c>
      <c r="BE2161">
        <v>0</v>
      </c>
      <c r="BF2161">
        <v>0</v>
      </c>
      <c r="BG2161">
        <v>0</v>
      </c>
      <c r="BH2161">
        <v>3350</v>
      </c>
      <c r="BI2161">
        <v>1</v>
      </c>
      <c r="BJ2161">
        <v>1</v>
      </c>
      <c r="BK2161">
        <v>0</v>
      </c>
      <c r="BL2161">
        <v>0</v>
      </c>
      <c r="BO2161">
        <v>0</v>
      </c>
      <c r="BP2161">
        <v>0</v>
      </c>
      <c r="BW2161" t="str">
        <f>"22:18:33.225"</f>
        <v>22:18:33.225</v>
      </c>
      <c r="CJ2161">
        <v>0</v>
      </c>
      <c r="CK2161">
        <v>2</v>
      </c>
      <c r="CL2161">
        <v>0</v>
      </c>
      <c r="CM2161">
        <v>2</v>
      </c>
      <c r="CN2161">
        <v>0</v>
      </c>
      <c r="CO2161">
        <v>6</v>
      </c>
      <c r="CP2161" t="s">
        <v>119</v>
      </c>
      <c r="CQ2161">
        <v>364</v>
      </c>
      <c r="CR2161">
        <v>0</v>
      </c>
      <c r="CW2161">
        <v>1447671</v>
      </c>
      <c r="CY2161">
        <v>1</v>
      </c>
      <c r="CZ2161">
        <v>0</v>
      </c>
      <c r="DA2161">
        <v>0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>"03/24/2022 22:18:33.381"</f>
        <v>03/24/2022 22:18:33.381</v>
      </c>
      <c r="C2162" t="str">
        <f t="shared" si="639"/>
        <v>FFDFD3C0</v>
      </c>
      <c r="D2162" t="s">
        <v>120</v>
      </c>
      <c r="E2162">
        <v>14</v>
      </c>
      <c r="F2162">
        <v>1014</v>
      </c>
      <c r="G2162" t="s">
        <v>121</v>
      </c>
      <c r="J2162" t="s">
        <v>122</v>
      </c>
      <c r="K2162">
        <v>0</v>
      </c>
      <c r="L2162">
        <v>3</v>
      </c>
      <c r="M2162">
        <v>0</v>
      </c>
      <c r="N2162">
        <v>2</v>
      </c>
      <c r="O2162">
        <v>0</v>
      </c>
      <c r="P2162">
        <v>1</v>
      </c>
      <c r="Q2162">
        <v>0</v>
      </c>
      <c r="S2162" t="str">
        <f t="shared" si="647"/>
        <v>22:18:33.000</v>
      </c>
      <c r="T2162" t="str">
        <f t="shared" si="647"/>
        <v>22:18:33.000</v>
      </c>
      <c r="U2162" t="str">
        <f t="shared" si="633"/>
        <v>A9D71F</v>
      </c>
      <c r="V2162">
        <v>0</v>
      </c>
      <c r="W2162">
        <v>0</v>
      </c>
      <c r="X2162">
        <v>2</v>
      </c>
      <c r="Z2162">
        <v>1</v>
      </c>
      <c r="AA2162">
        <v>8</v>
      </c>
      <c r="AB2162">
        <v>3</v>
      </c>
      <c r="AC2162">
        <v>0</v>
      </c>
      <c r="AD2162">
        <v>9</v>
      </c>
      <c r="AE2162">
        <v>0</v>
      </c>
      <c r="AF2162">
        <v>3</v>
      </c>
      <c r="AG2162">
        <v>1</v>
      </c>
      <c r="AH2162">
        <v>0</v>
      </c>
      <c r="AI2162" t="s">
        <v>1132</v>
      </c>
      <c r="AJ2162">
        <v>33.017864000000003</v>
      </c>
      <c r="AK2162" t="s">
        <v>1133</v>
      </c>
      <c r="AL2162">
        <v>-97.651505</v>
      </c>
      <c r="AM2162">
        <v>25</v>
      </c>
      <c r="AN2162">
        <v>3300</v>
      </c>
      <c r="AO2162" t="s">
        <v>118</v>
      </c>
      <c r="AP2162">
        <v>27</v>
      </c>
      <c r="AQ2162">
        <v>-76</v>
      </c>
      <c r="AR2162">
        <v>-128</v>
      </c>
      <c r="AZ2162">
        <v>1200</v>
      </c>
      <c r="BA2162">
        <v>1</v>
      </c>
      <c r="BB2162" t="str">
        <f t="shared" si="640"/>
        <v xml:space="preserve">N733KP  </v>
      </c>
      <c r="BC2162">
        <v>1</v>
      </c>
      <c r="BE2162">
        <v>0</v>
      </c>
      <c r="BF2162">
        <v>0</v>
      </c>
      <c r="BG2162">
        <v>0</v>
      </c>
      <c r="BH2162">
        <v>3350</v>
      </c>
      <c r="BI2162">
        <v>1</v>
      </c>
      <c r="BJ2162">
        <v>1</v>
      </c>
      <c r="BK2162">
        <v>0</v>
      </c>
      <c r="BL2162">
        <v>0</v>
      </c>
      <c r="BO2162">
        <v>0</v>
      </c>
      <c r="BP2162">
        <v>0</v>
      </c>
      <c r="BW2162" t="str">
        <f>"22:18:33.225"</f>
        <v>22:18:33.225</v>
      </c>
      <c r="CJ2162">
        <v>0</v>
      </c>
      <c r="CK2162">
        <v>2</v>
      </c>
      <c r="CL2162">
        <v>0</v>
      </c>
      <c r="CM2162">
        <v>2</v>
      </c>
      <c r="CN2162">
        <v>0</v>
      </c>
      <c r="CO2162">
        <v>6</v>
      </c>
      <c r="CP2162" t="s">
        <v>119</v>
      </c>
      <c r="CQ2162">
        <v>364</v>
      </c>
      <c r="CR2162">
        <v>0</v>
      </c>
      <c r="CW2162">
        <v>1447671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>"03/24/2022 22:18:33.429"</f>
        <v>03/24/2022 22:18:33.429</v>
      </c>
      <c r="C2163" t="str">
        <f t="shared" si="639"/>
        <v>FFDFD3C0</v>
      </c>
      <c r="D2163" t="s">
        <v>113</v>
      </c>
      <c r="E2163">
        <v>24</v>
      </c>
      <c r="F2163">
        <v>2024</v>
      </c>
      <c r="G2163" t="s">
        <v>114</v>
      </c>
      <c r="J2163" t="s">
        <v>115</v>
      </c>
      <c r="K2163">
        <v>0</v>
      </c>
      <c r="L2163">
        <v>3</v>
      </c>
      <c r="M2163">
        <v>0</v>
      </c>
      <c r="N2163">
        <v>2</v>
      </c>
      <c r="O2163">
        <v>0</v>
      </c>
      <c r="P2163">
        <v>1</v>
      </c>
      <c r="Q2163">
        <v>0</v>
      </c>
      <c r="S2163" t="str">
        <f t="shared" si="647"/>
        <v>22:18:33.000</v>
      </c>
      <c r="T2163" t="str">
        <f t="shared" si="647"/>
        <v>22:18:33.000</v>
      </c>
      <c r="U2163" t="str">
        <f t="shared" si="633"/>
        <v>A9D71F</v>
      </c>
      <c r="V2163">
        <v>0</v>
      </c>
      <c r="W2163">
        <v>0</v>
      </c>
      <c r="X2163">
        <v>2</v>
      </c>
      <c r="Z2163">
        <v>1</v>
      </c>
      <c r="AA2163">
        <v>8</v>
      </c>
      <c r="AB2163">
        <v>3</v>
      </c>
      <c r="AC2163">
        <v>0</v>
      </c>
      <c r="AD2163">
        <v>9</v>
      </c>
      <c r="AE2163">
        <v>0</v>
      </c>
      <c r="AF2163">
        <v>3</v>
      </c>
      <c r="AG2163">
        <v>1</v>
      </c>
      <c r="AH2163">
        <v>0</v>
      </c>
      <c r="AI2163" t="s">
        <v>1132</v>
      </c>
      <c r="AJ2163">
        <v>33.017864000000003</v>
      </c>
      <c r="AK2163" t="s">
        <v>1133</v>
      </c>
      <c r="AL2163">
        <v>-97.651505</v>
      </c>
      <c r="AM2163">
        <v>25</v>
      </c>
      <c r="AN2163">
        <v>3300</v>
      </c>
      <c r="AO2163" t="s">
        <v>118</v>
      </c>
      <c r="AP2163">
        <v>27</v>
      </c>
      <c r="AQ2163">
        <v>-76</v>
      </c>
      <c r="AR2163">
        <v>-128</v>
      </c>
      <c r="AZ2163">
        <v>1200</v>
      </c>
      <c r="BA2163">
        <v>1</v>
      </c>
      <c r="BB2163" t="str">
        <f t="shared" si="640"/>
        <v xml:space="preserve">N733KP  </v>
      </c>
      <c r="BC2163">
        <v>1</v>
      </c>
      <c r="BE2163">
        <v>0</v>
      </c>
      <c r="BF2163">
        <v>0</v>
      </c>
      <c r="BG2163">
        <v>0</v>
      </c>
      <c r="BH2163">
        <v>3350</v>
      </c>
      <c r="BI2163">
        <v>1</v>
      </c>
      <c r="BJ2163">
        <v>1</v>
      </c>
      <c r="BK2163">
        <v>0</v>
      </c>
      <c r="BL2163">
        <v>0</v>
      </c>
      <c r="BO2163">
        <v>0</v>
      </c>
      <c r="BP2163">
        <v>0</v>
      </c>
      <c r="BW2163" t="str">
        <f>"22:18:33.225"</f>
        <v>22:18:33.225</v>
      </c>
      <c r="CJ2163">
        <v>0</v>
      </c>
      <c r="CK2163">
        <v>2</v>
      </c>
      <c r="CL2163">
        <v>0</v>
      </c>
      <c r="CM2163">
        <v>2</v>
      </c>
      <c r="CN2163">
        <v>0</v>
      </c>
      <c r="CO2163">
        <v>6</v>
      </c>
      <c r="CP2163" t="s">
        <v>119</v>
      </c>
      <c r="CQ2163">
        <v>364</v>
      </c>
      <c r="CR2163">
        <v>0</v>
      </c>
      <c r="CW2163">
        <v>1447671</v>
      </c>
      <c r="CY2163">
        <v>1</v>
      </c>
      <c r="CZ2163">
        <v>0</v>
      </c>
      <c r="DA2163">
        <v>1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>"03/24/2022 22:18:33.429"</f>
        <v>03/24/2022 22:18:33.429</v>
      </c>
      <c r="C2164" t="str">
        <f t="shared" si="639"/>
        <v>FFDFD3C0</v>
      </c>
      <c r="D2164" t="s">
        <v>123</v>
      </c>
      <c r="E2164">
        <v>8</v>
      </c>
      <c r="H2164">
        <v>31</v>
      </c>
      <c r="I2164" t="s">
        <v>124</v>
      </c>
      <c r="J2164" t="s">
        <v>125</v>
      </c>
      <c r="K2164">
        <v>0</v>
      </c>
      <c r="L2164">
        <v>3</v>
      </c>
      <c r="M2164">
        <v>0</v>
      </c>
      <c r="N2164">
        <v>2</v>
      </c>
      <c r="O2164">
        <v>0</v>
      </c>
      <c r="P2164">
        <v>1</v>
      </c>
      <c r="Q2164">
        <v>0</v>
      </c>
      <c r="S2164" t="str">
        <f t="shared" si="647"/>
        <v>22:18:33.000</v>
      </c>
      <c r="T2164" t="str">
        <f t="shared" si="647"/>
        <v>22:18:33.000</v>
      </c>
      <c r="U2164" t="str">
        <f t="shared" si="633"/>
        <v>A9D71F</v>
      </c>
      <c r="V2164">
        <v>0</v>
      </c>
      <c r="W2164">
        <v>0</v>
      </c>
      <c r="X2164">
        <v>2</v>
      </c>
      <c r="Z2164">
        <v>1</v>
      </c>
      <c r="AA2164">
        <v>8</v>
      </c>
      <c r="AB2164">
        <v>3</v>
      </c>
      <c r="AC2164">
        <v>0</v>
      </c>
      <c r="AD2164">
        <v>9</v>
      </c>
      <c r="AE2164">
        <v>0</v>
      </c>
      <c r="AF2164">
        <v>3</v>
      </c>
      <c r="AG2164">
        <v>1</v>
      </c>
      <c r="AH2164">
        <v>0</v>
      </c>
      <c r="AI2164" t="s">
        <v>1132</v>
      </c>
      <c r="AJ2164">
        <v>33.017864000000003</v>
      </c>
      <c r="AK2164" t="s">
        <v>1133</v>
      </c>
      <c r="AL2164">
        <v>-97.651505</v>
      </c>
      <c r="AM2164">
        <v>25</v>
      </c>
      <c r="AN2164">
        <v>3300</v>
      </c>
      <c r="AO2164" t="s">
        <v>118</v>
      </c>
      <c r="AP2164">
        <v>27</v>
      </c>
      <c r="AQ2164">
        <v>-76</v>
      </c>
      <c r="AR2164">
        <v>-128</v>
      </c>
      <c r="AZ2164">
        <v>1200</v>
      </c>
      <c r="BA2164">
        <v>1</v>
      </c>
      <c r="BB2164" t="str">
        <f t="shared" si="640"/>
        <v xml:space="preserve">N733KP  </v>
      </c>
      <c r="BC2164">
        <v>1</v>
      </c>
      <c r="BE2164">
        <v>0</v>
      </c>
      <c r="BF2164">
        <v>0</v>
      </c>
      <c r="BG2164">
        <v>0</v>
      </c>
      <c r="BH2164">
        <v>3350</v>
      </c>
      <c r="BI2164">
        <v>1</v>
      </c>
      <c r="BJ2164">
        <v>1</v>
      </c>
      <c r="BK2164">
        <v>0</v>
      </c>
      <c r="BL2164">
        <v>0</v>
      </c>
      <c r="BO2164">
        <v>0</v>
      </c>
      <c r="BP2164">
        <v>0</v>
      </c>
      <c r="BW2164" t="str">
        <f>"22:18:33.225"</f>
        <v>22:18:33.225</v>
      </c>
      <c r="CJ2164">
        <v>0</v>
      </c>
      <c r="CK2164">
        <v>2</v>
      </c>
      <c r="CL2164">
        <v>0</v>
      </c>
      <c r="CM2164">
        <v>2</v>
      </c>
      <c r="CN2164">
        <v>0</v>
      </c>
      <c r="CO2164">
        <v>6</v>
      </c>
      <c r="CP2164" t="s">
        <v>119</v>
      </c>
      <c r="CQ2164">
        <v>364</v>
      </c>
      <c r="CR2164">
        <v>0</v>
      </c>
      <c r="CW2164">
        <v>1447671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>"03/24/2022 22:18:34.476"</f>
        <v>03/24/2022 22:18:34.476</v>
      </c>
      <c r="C2165" t="str">
        <f t="shared" si="639"/>
        <v>FFDFD3C0</v>
      </c>
      <c r="D2165" t="s">
        <v>113</v>
      </c>
      <c r="E2165">
        <v>24</v>
      </c>
      <c r="F2165">
        <v>2024</v>
      </c>
      <c r="G2165" t="s">
        <v>114</v>
      </c>
      <c r="J2165" t="s">
        <v>115</v>
      </c>
      <c r="K2165">
        <v>0</v>
      </c>
      <c r="L2165">
        <v>3</v>
      </c>
      <c r="M2165">
        <v>0</v>
      </c>
      <c r="N2165">
        <v>2</v>
      </c>
      <c r="O2165">
        <v>0</v>
      </c>
      <c r="P2165">
        <v>1</v>
      </c>
      <c r="Q2165">
        <v>0</v>
      </c>
      <c r="S2165" t="str">
        <f t="shared" ref="S2165:T2168" si="648">"22:18:34.000"</f>
        <v>22:18:34.000</v>
      </c>
      <c r="T2165" t="str">
        <f t="shared" si="648"/>
        <v>22:18:34.000</v>
      </c>
      <c r="U2165" t="str">
        <f t="shared" si="633"/>
        <v>A9D71F</v>
      </c>
      <c r="V2165">
        <v>0</v>
      </c>
      <c r="W2165">
        <v>0</v>
      </c>
      <c r="X2165">
        <v>2</v>
      </c>
      <c r="Z2165">
        <v>1</v>
      </c>
      <c r="AA2165">
        <v>8</v>
      </c>
      <c r="AB2165">
        <v>3</v>
      </c>
      <c r="AC2165">
        <v>0</v>
      </c>
      <c r="AD2165">
        <v>9</v>
      </c>
      <c r="AE2165">
        <v>0</v>
      </c>
      <c r="AF2165">
        <v>3</v>
      </c>
      <c r="AG2165">
        <v>1</v>
      </c>
      <c r="AH2165">
        <v>0</v>
      </c>
      <c r="AI2165" t="s">
        <v>1134</v>
      </c>
      <c r="AJ2165">
        <v>33.017477999999997</v>
      </c>
      <c r="AK2165" t="s">
        <v>1135</v>
      </c>
      <c r="AL2165">
        <v>-97.651354999999995</v>
      </c>
      <c r="AM2165">
        <v>25</v>
      </c>
      <c r="AN2165">
        <v>3300</v>
      </c>
      <c r="AO2165" t="s">
        <v>118</v>
      </c>
      <c r="AP2165">
        <v>28</v>
      </c>
      <c r="AQ2165">
        <v>-76</v>
      </c>
      <c r="AR2165">
        <v>-64</v>
      </c>
      <c r="AZ2165">
        <v>1200</v>
      </c>
      <c r="BA2165">
        <v>1</v>
      </c>
      <c r="BB2165" t="str">
        <f t="shared" si="640"/>
        <v xml:space="preserve">N733KP  </v>
      </c>
      <c r="BC2165">
        <v>1</v>
      </c>
      <c r="BE2165">
        <v>0</v>
      </c>
      <c r="BF2165">
        <v>0</v>
      </c>
      <c r="BG2165">
        <v>0</v>
      </c>
      <c r="BH2165">
        <v>3350</v>
      </c>
      <c r="BI2165">
        <v>1</v>
      </c>
      <c r="BJ2165">
        <v>1</v>
      </c>
      <c r="BK2165">
        <v>0</v>
      </c>
      <c r="BL2165">
        <v>0</v>
      </c>
      <c r="BO2165">
        <v>0</v>
      </c>
      <c r="BP2165">
        <v>0</v>
      </c>
      <c r="BW2165" t="str">
        <f>"22:18:34.307"</f>
        <v>22:18:34.307</v>
      </c>
      <c r="CJ2165">
        <v>0</v>
      </c>
      <c r="CK2165">
        <v>2</v>
      </c>
      <c r="CL2165">
        <v>0</v>
      </c>
      <c r="CM2165">
        <v>2</v>
      </c>
      <c r="CN2165">
        <v>0</v>
      </c>
      <c r="CO2165">
        <v>6</v>
      </c>
      <c r="CP2165" t="s">
        <v>119</v>
      </c>
      <c r="CQ2165">
        <v>364</v>
      </c>
      <c r="CR2165">
        <v>0</v>
      </c>
      <c r="CW2165">
        <v>1447797</v>
      </c>
      <c r="CY2165">
        <v>1</v>
      </c>
      <c r="CZ2165">
        <v>0</v>
      </c>
      <c r="DA2165">
        <v>0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>"03/24/2022 22:18:34.507"</f>
        <v>03/24/2022 22:18:34.507</v>
      </c>
      <c r="C2166" t="str">
        <f t="shared" si="639"/>
        <v>FFDFD3C0</v>
      </c>
      <c r="D2166" t="s">
        <v>123</v>
      </c>
      <c r="E2166">
        <v>8</v>
      </c>
      <c r="H2166">
        <v>31</v>
      </c>
      <c r="I2166" t="s">
        <v>124</v>
      </c>
      <c r="J2166" t="s">
        <v>125</v>
      </c>
      <c r="K2166">
        <v>0</v>
      </c>
      <c r="L2166">
        <v>3</v>
      </c>
      <c r="M2166">
        <v>0</v>
      </c>
      <c r="N2166">
        <v>2</v>
      </c>
      <c r="O2166">
        <v>0</v>
      </c>
      <c r="P2166">
        <v>1</v>
      </c>
      <c r="Q2166">
        <v>0</v>
      </c>
      <c r="S2166" t="str">
        <f t="shared" si="648"/>
        <v>22:18:34.000</v>
      </c>
      <c r="T2166" t="str">
        <f t="shared" si="648"/>
        <v>22:18:34.000</v>
      </c>
      <c r="U2166" t="str">
        <f t="shared" si="633"/>
        <v>A9D71F</v>
      </c>
      <c r="V2166">
        <v>0</v>
      </c>
      <c r="W2166">
        <v>0</v>
      </c>
      <c r="X2166">
        <v>2</v>
      </c>
      <c r="Z2166">
        <v>1</v>
      </c>
      <c r="AA2166">
        <v>8</v>
      </c>
      <c r="AB2166">
        <v>3</v>
      </c>
      <c r="AC2166">
        <v>0</v>
      </c>
      <c r="AD2166">
        <v>9</v>
      </c>
      <c r="AE2166">
        <v>0</v>
      </c>
      <c r="AF2166">
        <v>3</v>
      </c>
      <c r="AG2166">
        <v>1</v>
      </c>
      <c r="AH2166">
        <v>0</v>
      </c>
      <c r="AI2166" t="s">
        <v>1134</v>
      </c>
      <c r="AJ2166">
        <v>33.017477999999997</v>
      </c>
      <c r="AK2166" t="s">
        <v>1135</v>
      </c>
      <c r="AL2166">
        <v>-97.651354999999995</v>
      </c>
      <c r="AM2166">
        <v>25</v>
      </c>
      <c r="AN2166">
        <v>3300</v>
      </c>
      <c r="AO2166" t="s">
        <v>118</v>
      </c>
      <c r="AP2166">
        <v>28</v>
      </c>
      <c r="AQ2166">
        <v>-76</v>
      </c>
      <c r="AR2166">
        <v>-64</v>
      </c>
      <c r="AZ2166">
        <v>1200</v>
      </c>
      <c r="BA2166">
        <v>1</v>
      </c>
      <c r="BB2166" t="str">
        <f t="shared" si="640"/>
        <v xml:space="preserve">N733KP  </v>
      </c>
      <c r="BC2166">
        <v>1</v>
      </c>
      <c r="BE2166">
        <v>0</v>
      </c>
      <c r="BF2166">
        <v>0</v>
      </c>
      <c r="BG2166">
        <v>0</v>
      </c>
      <c r="BH2166">
        <v>3350</v>
      </c>
      <c r="BI2166">
        <v>1</v>
      </c>
      <c r="BJ2166">
        <v>1</v>
      </c>
      <c r="BK2166">
        <v>0</v>
      </c>
      <c r="BL2166">
        <v>0</v>
      </c>
      <c r="BO2166">
        <v>0</v>
      </c>
      <c r="BP2166">
        <v>0</v>
      </c>
      <c r="BW2166" t="str">
        <f>"22:18:34.307"</f>
        <v>22:18:34.307</v>
      </c>
      <c r="CJ2166">
        <v>0</v>
      </c>
      <c r="CK2166">
        <v>2</v>
      </c>
      <c r="CL2166">
        <v>0</v>
      </c>
      <c r="CM2166">
        <v>2</v>
      </c>
      <c r="CN2166">
        <v>0</v>
      </c>
      <c r="CO2166">
        <v>6</v>
      </c>
      <c r="CP2166" t="s">
        <v>119</v>
      </c>
      <c r="CQ2166">
        <v>364</v>
      </c>
      <c r="CR2166">
        <v>0</v>
      </c>
      <c r="CW2166">
        <v>1447797</v>
      </c>
      <c r="CY2166">
        <v>1</v>
      </c>
      <c r="CZ2166">
        <v>0</v>
      </c>
      <c r="DA2166">
        <v>1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>"03/24/2022 22:18:34.507"</f>
        <v>03/24/2022 22:18:34.507</v>
      </c>
      <c r="C2167" t="str">
        <f t="shared" si="639"/>
        <v>FFDFD3C0</v>
      </c>
      <c r="D2167" t="s">
        <v>126</v>
      </c>
      <c r="E2167">
        <v>3</v>
      </c>
      <c r="H2167">
        <v>160</v>
      </c>
      <c r="I2167" t="s">
        <v>121</v>
      </c>
      <c r="J2167" t="s">
        <v>127</v>
      </c>
      <c r="K2167">
        <v>0</v>
      </c>
      <c r="L2167">
        <v>3</v>
      </c>
      <c r="M2167">
        <v>0</v>
      </c>
      <c r="N2167">
        <v>2</v>
      </c>
      <c r="O2167">
        <v>0</v>
      </c>
      <c r="P2167">
        <v>1</v>
      </c>
      <c r="Q2167">
        <v>0</v>
      </c>
      <c r="S2167" t="str">
        <f t="shared" si="648"/>
        <v>22:18:34.000</v>
      </c>
      <c r="T2167" t="str">
        <f t="shared" si="648"/>
        <v>22:18:34.000</v>
      </c>
      <c r="U2167" t="str">
        <f t="shared" si="633"/>
        <v>A9D71F</v>
      </c>
      <c r="V2167">
        <v>0</v>
      </c>
      <c r="W2167">
        <v>0</v>
      </c>
      <c r="X2167">
        <v>2</v>
      </c>
      <c r="Z2167">
        <v>1</v>
      </c>
      <c r="AA2167">
        <v>8</v>
      </c>
      <c r="AB2167">
        <v>3</v>
      </c>
      <c r="AC2167">
        <v>0</v>
      </c>
      <c r="AD2167">
        <v>9</v>
      </c>
      <c r="AE2167">
        <v>0</v>
      </c>
      <c r="AF2167">
        <v>3</v>
      </c>
      <c r="AG2167">
        <v>1</v>
      </c>
      <c r="AH2167">
        <v>0</v>
      </c>
      <c r="AI2167" t="s">
        <v>1134</v>
      </c>
      <c r="AJ2167">
        <v>33.017477999999997</v>
      </c>
      <c r="AK2167" t="s">
        <v>1135</v>
      </c>
      <c r="AL2167">
        <v>-97.651354999999995</v>
      </c>
      <c r="AM2167">
        <v>25</v>
      </c>
      <c r="AN2167">
        <v>3300</v>
      </c>
      <c r="AO2167" t="s">
        <v>118</v>
      </c>
      <c r="AP2167">
        <v>28</v>
      </c>
      <c r="AQ2167">
        <v>-76</v>
      </c>
      <c r="AR2167">
        <v>-64</v>
      </c>
      <c r="AZ2167">
        <v>1200</v>
      </c>
      <c r="BA2167">
        <v>1</v>
      </c>
      <c r="BB2167" t="str">
        <f t="shared" si="640"/>
        <v xml:space="preserve">N733KP  </v>
      </c>
      <c r="BC2167">
        <v>1</v>
      </c>
      <c r="BE2167">
        <v>0</v>
      </c>
      <c r="BF2167">
        <v>0</v>
      </c>
      <c r="BG2167">
        <v>0</v>
      </c>
      <c r="BH2167">
        <v>3350</v>
      </c>
      <c r="BI2167">
        <v>1</v>
      </c>
      <c r="BJ2167">
        <v>1</v>
      </c>
      <c r="BK2167">
        <v>0</v>
      </c>
      <c r="BL2167">
        <v>0</v>
      </c>
      <c r="BO2167">
        <v>0</v>
      </c>
      <c r="BP2167">
        <v>0</v>
      </c>
      <c r="BW2167" t="str">
        <f>"22:18:34.307"</f>
        <v>22:18:34.307</v>
      </c>
      <c r="CJ2167">
        <v>0</v>
      </c>
      <c r="CK2167">
        <v>2</v>
      </c>
      <c r="CL2167">
        <v>0</v>
      </c>
      <c r="CM2167">
        <v>2</v>
      </c>
      <c r="CN2167">
        <v>0</v>
      </c>
      <c r="CO2167">
        <v>6</v>
      </c>
      <c r="CP2167" t="s">
        <v>119</v>
      </c>
      <c r="CQ2167">
        <v>364</v>
      </c>
      <c r="CR2167">
        <v>0</v>
      </c>
      <c r="CW2167">
        <v>1447797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>"03/24/2022 22:18:34.507"</f>
        <v>03/24/2022 22:18:34.507</v>
      </c>
      <c r="C2168" t="str">
        <f t="shared" si="639"/>
        <v>FFDFD3C0</v>
      </c>
      <c r="D2168" t="s">
        <v>120</v>
      </c>
      <c r="E2168">
        <v>14</v>
      </c>
      <c r="F2168">
        <v>1014</v>
      </c>
      <c r="G2168" t="s">
        <v>121</v>
      </c>
      <c r="J2168" t="s">
        <v>122</v>
      </c>
      <c r="K2168">
        <v>0</v>
      </c>
      <c r="L2168">
        <v>3</v>
      </c>
      <c r="M2168">
        <v>0</v>
      </c>
      <c r="N2168">
        <v>2</v>
      </c>
      <c r="O2168">
        <v>0</v>
      </c>
      <c r="P2168">
        <v>1</v>
      </c>
      <c r="Q2168">
        <v>0</v>
      </c>
      <c r="S2168" t="str">
        <f t="shared" si="648"/>
        <v>22:18:34.000</v>
      </c>
      <c r="T2168" t="str">
        <f t="shared" si="648"/>
        <v>22:18:34.000</v>
      </c>
      <c r="U2168" t="str">
        <f t="shared" si="633"/>
        <v>A9D71F</v>
      </c>
      <c r="V2168">
        <v>0</v>
      </c>
      <c r="W2168">
        <v>0</v>
      </c>
      <c r="X2168">
        <v>2</v>
      </c>
      <c r="Z2168">
        <v>1</v>
      </c>
      <c r="AA2168">
        <v>8</v>
      </c>
      <c r="AB2168">
        <v>3</v>
      </c>
      <c r="AC2168">
        <v>0</v>
      </c>
      <c r="AD2168">
        <v>9</v>
      </c>
      <c r="AE2168">
        <v>0</v>
      </c>
      <c r="AF2168">
        <v>3</v>
      </c>
      <c r="AG2168">
        <v>1</v>
      </c>
      <c r="AH2168">
        <v>0</v>
      </c>
      <c r="AI2168" t="s">
        <v>1134</v>
      </c>
      <c r="AJ2168">
        <v>33.017477999999997</v>
      </c>
      <c r="AK2168" t="s">
        <v>1135</v>
      </c>
      <c r="AL2168">
        <v>-97.651354999999995</v>
      </c>
      <c r="AM2168">
        <v>25</v>
      </c>
      <c r="AN2168">
        <v>3300</v>
      </c>
      <c r="AO2168" t="s">
        <v>118</v>
      </c>
      <c r="AP2168">
        <v>28</v>
      </c>
      <c r="AQ2168">
        <v>-76</v>
      </c>
      <c r="AR2168">
        <v>-64</v>
      </c>
      <c r="AZ2168">
        <v>1200</v>
      </c>
      <c r="BA2168">
        <v>1</v>
      </c>
      <c r="BB2168" t="str">
        <f t="shared" si="640"/>
        <v xml:space="preserve">N733KP  </v>
      </c>
      <c r="BC2168">
        <v>1</v>
      </c>
      <c r="BE2168">
        <v>0</v>
      </c>
      <c r="BF2168">
        <v>0</v>
      </c>
      <c r="BG2168">
        <v>0</v>
      </c>
      <c r="BH2168">
        <v>3350</v>
      </c>
      <c r="BI2168">
        <v>1</v>
      </c>
      <c r="BJ2168">
        <v>1</v>
      </c>
      <c r="BK2168">
        <v>0</v>
      </c>
      <c r="BL2168">
        <v>0</v>
      </c>
      <c r="BO2168">
        <v>0</v>
      </c>
      <c r="BP2168">
        <v>0</v>
      </c>
      <c r="BW2168" t="str">
        <f>"22:18:34.307"</f>
        <v>22:18:34.307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6</v>
      </c>
      <c r="CP2168" t="s">
        <v>119</v>
      </c>
      <c r="CQ2168">
        <v>364</v>
      </c>
      <c r="CR2168">
        <v>0</v>
      </c>
      <c r="CW2168">
        <v>1447797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>"03/24/2022 22:18:35.445"</f>
        <v>03/24/2022 22:18:35.445</v>
      </c>
      <c r="C2169" t="str">
        <f t="shared" si="639"/>
        <v>FFDFD3C0</v>
      </c>
      <c r="D2169" t="s">
        <v>113</v>
      </c>
      <c r="E2169">
        <v>24</v>
      </c>
      <c r="F2169">
        <v>2024</v>
      </c>
      <c r="G2169" t="s">
        <v>114</v>
      </c>
      <c r="J2169" t="s">
        <v>115</v>
      </c>
      <c r="K2169">
        <v>0</v>
      </c>
      <c r="L2169">
        <v>3</v>
      </c>
      <c r="M2169">
        <v>0</v>
      </c>
      <c r="N2169">
        <v>2</v>
      </c>
      <c r="O2169">
        <v>0</v>
      </c>
      <c r="P2169">
        <v>1</v>
      </c>
      <c r="Q2169">
        <v>0</v>
      </c>
      <c r="S2169" t="str">
        <f t="shared" ref="S2169:T2172" si="649">"22:18:35.000"</f>
        <v>22:18:35.000</v>
      </c>
      <c r="T2169" t="str">
        <f t="shared" si="649"/>
        <v>22:18:35.000</v>
      </c>
      <c r="U2169" t="str">
        <f t="shared" si="633"/>
        <v>A9D71F</v>
      </c>
      <c r="V2169">
        <v>0</v>
      </c>
      <c r="W2169">
        <v>0</v>
      </c>
      <c r="X2169">
        <v>2</v>
      </c>
      <c r="Z2169">
        <v>1</v>
      </c>
      <c r="AA2169">
        <v>8</v>
      </c>
      <c r="AB2169">
        <v>3</v>
      </c>
      <c r="AC2169">
        <v>0</v>
      </c>
      <c r="AD2169">
        <v>9</v>
      </c>
      <c r="AE2169">
        <v>0</v>
      </c>
      <c r="AF2169">
        <v>3</v>
      </c>
      <c r="AG2169">
        <v>1</v>
      </c>
      <c r="AH2169">
        <v>0</v>
      </c>
      <c r="AI2169" t="s">
        <v>1136</v>
      </c>
      <c r="AJ2169">
        <v>33.017135000000003</v>
      </c>
      <c r="AK2169" t="s">
        <v>1137</v>
      </c>
      <c r="AL2169">
        <v>-97.651205000000004</v>
      </c>
      <c r="AM2169">
        <v>25</v>
      </c>
      <c r="AN2169">
        <v>3300</v>
      </c>
      <c r="AO2169" t="s">
        <v>118</v>
      </c>
      <c r="AP2169">
        <v>29</v>
      </c>
      <c r="AQ2169">
        <v>-76</v>
      </c>
      <c r="AR2169">
        <v>-64</v>
      </c>
      <c r="AZ2169">
        <v>1200</v>
      </c>
      <c r="BA2169">
        <v>1</v>
      </c>
      <c r="BB2169" t="str">
        <f t="shared" si="640"/>
        <v xml:space="preserve">N733KP  </v>
      </c>
      <c r="BC2169">
        <v>1</v>
      </c>
      <c r="BE2169">
        <v>0</v>
      </c>
      <c r="BF2169">
        <v>0</v>
      </c>
      <c r="BG2169">
        <v>0</v>
      </c>
      <c r="BH2169">
        <v>3350</v>
      </c>
      <c r="BI2169">
        <v>1</v>
      </c>
      <c r="BJ2169">
        <v>1</v>
      </c>
      <c r="BK2169">
        <v>0</v>
      </c>
      <c r="BL2169">
        <v>0</v>
      </c>
      <c r="BO2169">
        <v>0</v>
      </c>
      <c r="BP2169">
        <v>0</v>
      </c>
      <c r="BW2169" t="str">
        <f>"22:18:35.276"</f>
        <v>22:18:35.276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3</v>
      </c>
      <c r="CP2169" t="s">
        <v>119</v>
      </c>
      <c r="CQ2169">
        <v>438</v>
      </c>
      <c r="CR2169">
        <v>0</v>
      </c>
      <c r="CW2169">
        <v>11624041</v>
      </c>
      <c r="CY2169">
        <v>1</v>
      </c>
      <c r="CZ2169">
        <v>0</v>
      </c>
      <c r="DA2169">
        <v>0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>"03/24/2022 22:18:35.445"</f>
        <v>03/24/2022 22:18:35.445</v>
      </c>
      <c r="C2170" t="str">
        <f t="shared" si="639"/>
        <v>FFDFD3C0</v>
      </c>
      <c r="D2170" t="s">
        <v>123</v>
      </c>
      <c r="E2170">
        <v>8</v>
      </c>
      <c r="H2170">
        <v>31</v>
      </c>
      <c r="I2170" t="s">
        <v>124</v>
      </c>
      <c r="J2170" t="s">
        <v>125</v>
      </c>
      <c r="K2170">
        <v>0</v>
      </c>
      <c r="L2170">
        <v>3</v>
      </c>
      <c r="M2170">
        <v>0</v>
      </c>
      <c r="N2170">
        <v>2</v>
      </c>
      <c r="O2170">
        <v>0</v>
      </c>
      <c r="P2170">
        <v>1</v>
      </c>
      <c r="Q2170">
        <v>0</v>
      </c>
      <c r="S2170" t="str">
        <f t="shared" si="649"/>
        <v>22:18:35.000</v>
      </c>
      <c r="T2170" t="str">
        <f t="shared" si="649"/>
        <v>22:18:35.000</v>
      </c>
      <c r="U2170" t="str">
        <f t="shared" si="633"/>
        <v>A9D71F</v>
      </c>
      <c r="V2170">
        <v>0</v>
      </c>
      <c r="W2170">
        <v>0</v>
      </c>
      <c r="X2170">
        <v>2</v>
      </c>
      <c r="Z2170">
        <v>1</v>
      </c>
      <c r="AA2170">
        <v>8</v>
      </c>
      <c r="AB2170">
        <v>3</v>
      </c>
      <c r="AC2170">
        <v>0</v>
      </c>
      <c r="AD2170">
        <v>9</v>
      </c>
      <c r="AE2170">
        <v>0</v>
      </c>
      <c r="AF2170">
        <v>3</v>
      </c>
      <c r="AG2170">
        <v>1</v>
      </c>
      <c r="AH2170">
        <v>0</v>
      </c>
      <c r="AI2170" t="s">
        <v>1136</v>
      </c>
      <c r="AJ2170">
        <v>33.017135000000003</v>
      </c>
      <c r="AK2170" t="s">
        <v>1137</v>
      </c>
      <c r="AL2170">
        <v>-97.651205000000004</v>
      </c>
      <c r="AM2170">
        <v>25</v>
      </c>
      <c r="AN2170">
        <v>3300</v>
      </c>
      <c r="AO2170" t="s">
        <v>118</v>
      </c>
      <c r="AP2170">
        <v>29</v>
      </c>
      <c r="AQ2170">
        <v>-76</v>
      </c>
      <c r="AR2170">
        <v>-64</v>
      </c>
      <c r="AZ2170">
        <v>1200</v>
      </c>
      <c r="BA2170">
        <v>1</v>
      </c>
      <c r="BB2170" t="str">
        <f t="shared" si="640"/>
        <v xml:space="preserve">N733KP  </v>
      </c>
      <c r="BC2170">
        <v>1</v>
      </c>
      <c r="BE2170">
        <v>0</v>
      </c>
      <c r="BF2170">
        <v>0</v>
      </c>
      <c r="BG2170">
        <v>0</v>
      </c>
      <c r="BH2170">
        <v>3350</v>
      </c>
      <c r="BI2170">
        <v>1</v>
      </c>
      <c r="BJ2170">
        <v>1</v>
      </c>
      <c r="BK2170">
        <v>0</v>
      </c>
      <c r="BL2170">
        <v>0</v>
      </c>
      <c r="BO2170">
        <v>0</v>
      </c>
      <c r="BP2170">
        <v>0</v>
      </c>
      <c r="BW2170" t="str">
        <f>"22:18:35.276"</f>
        <v>22:18:35.276</v>
      </c>
      <c r="CJ2170">
        <v>0</v>
      </c>
      <c r="CK2170">
        <v>2</v>
      </c>
      <c r="CL2170">
        <v>0</v>
      </c>
      <c r="CM2170">
        <v>2</v>
      </c>
      <c r="CN2170">
        <v>0</v>
      </c>
      <c r="CO2170">
        <v>1</v>
      </c>
      <c r="CP2170" t="s">
        <v>119</v>
      </c>
      <c r="CQ2170">
        <v>366</v>
      </c>
      <c r="CR2170">
        <v>0</v>
      </c>
      <c r="CW2170">
        <v>10420189</v>
      </c>
      <c r="CY2170">
        <v>1</v>
      </c>
      <c r="CZ2170">
        <v>0</v>
      </c>
      <c r="DA2170">
        <v>1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>"03/24/2022 22:18:35.445"</f>
        <v>03/24/2022 22:18:35.445</v>
      </c>
      <c r="C2171" t="str">
        <f t="shared" si="639"/>
        <v>FFDFD3C0</v>
      </c>
      <c r="D2171" t="s">
        <v>126</v>
      </c>
      <c r="E2171">
        <v>3</v>
      </c>
      <c r="H2171">
        <v>160</v>
      </c>
      <c r="I2171" t="s">
        <v>121</v>
      </c>
      <c r="J2171" t="s">
        <v>127</v>
      </c>
      <c r="K2171">
        <v>0</v>
      </c>
      <c r="L2171">
        <v>3</v>
      </c>
      <c r="M2171">
        <v>0</v>
      </c>
      <c r="N2171">
        <v>2</v>
      </c>
      <c r="O2171">
        <v>0</v>
      </c>
      <c r="P2171">
        <v>1</v>
      </c>
      <c r="Q2171">
        <v>0</v>
      </c>
      <c r="S2171" t="str">
        <f t="shared" si="649"/>
        <v>22:18:35.000</v>
      </c>
      <c r="T2171" t="str">
        <f t="shared" si="649"/>
        <v>22:18:35.000</v>
      </c>
      <c r="U2171" t="str">
        <f t="shared" si="633"/>
        <v>A9D71F</v>
      </c>
      <c r="V2171">
        <v>0</v>
      </c>
      <c r="W2171">
        <v>0</v>
      </c>
      <c r="X2171">
        <v>2</v>
      </c>
      <c r="Z2171">
        <v>1</v>
      </c>
      <c r="AA2171">
        <v>8</v>
      </c>
      <c r="AB2171">
        <v>3</v>
      </c>
      <c r="AC2171">
        <v>0</v>
      </c>
      <c r="AD2171">
        <v>9</v>
      </c>
      <c r="AE2171">
        <v>0</v>
      </c>
      <c r="AF2171">
        <v>3</v>
      </c>
      <c r="AG2171">
        <v>1</v>
      </c>
      <c r="AH2171">
        <v>0</v>
      </c>
      <c r="AI2171" t="s">
        <v>1136</v>
      </c>
      <c r="AJ2171">
        <v>33.017135000000003</v>
      </c>
      <c r="AK2171" t="s">
        <v>1137</v>
      </c>
      <c r="AL2171">
        <v>-97.651205000000004</v>
      </c>
      <c r="AM2171">
        <v>25</v>
      </c>
      <c r="AN2171">
        <v>3300</v>
      </c>
      <c r="AO2171" t="s">
        <v>118</v>
      </c>
      <c r="AP2171">
        <v>29</v>
      </c>
      <c r="AQ2171">
        <v>-76</v>
      </c>
      <c r="AR2171">
        <v>-64</v>
      </c>
      <c r="AZ2171">
        <v>1200</v>
      </c>
      <c r="BA2171">
        <v>1</v>
      </c>
      <c r="BB2171" t="str">
        <f t="shared" si="640"/>
        <v xml:space="preserve">N733KP  </v>
      </c>
      <c r="BC2171">
        <v>1</v>
      </c>
      <c r="BE2171">
        <v>0</v>
      </c>
      <c r="BF2171">
        <v>0</v>
      </c>
      <c r="BG2171">
        <v>0</v>
      </c>
      <c r="BH2171">
        <v>3350</v>
      </c>
      <c r="BI2171">
        <v>1</v>
      </c>
      <c r="BJ2171">
        <v>1</v>
      </c>
      <c r="BK2171">
        <v>0</v>
      </c>
      <c r="BL2171">
        <v>0</v>
      </c>
      <c r="BO2171">
        <v>0</v>
      </c>
      <c r="BP2171">
        <v>0</v>
      </c>
      <c r="BW2171" t="str">
        <f>"22:18:35.276"</f>
        <v>22:18:35.276</v>
      </c>
      <c r="CJ2171">
        <v>0</v>
      </c>
      <c r="CK2171">
        <v>2</v>
      </c>
      <c r="CL2171">
        <v>0</v>
      </c>
      <c r="CM2171">
        <v>2</v>
      </c>
      <c r="CN2171">
        <v>0</v>
      </c>
      <c r="CO2171">
        <v>3</v>
      </c>
      <c r="CP2171" t="s">
        <v>119</v>
      </c>
      <c r="CQ2171">
        <v>438</v>
      </c>
      <c r="CR2171">
        <v>0</v>
      </c>
      <c r="CW2171">
        <v>11624041</v>
      </c>
      <c r="CY2171">
        <v>1</v>
      </c>
      <c r="CZ2171">
        <v>0</v>
      </c>
      <c r="DA2171">
        <v>1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>"03/24/2022 22:18:35.445"</f>
        <v>03/24/2022 22:18:35.445</v>
      </c>
      <c r="C2172" t="str">
        <f t="shared" si="639"/>
        <v>FFDFD3C0</v>
      </c>
      <c r="D2172" t="s">
        <v>120</v>
      </c>
      <c r="E2172">
        <v>14</v>
      </c>
      <c r="F2172">
        <v>1014</v>
      </c>
      <c r="G2172" t="s">
        <v>121</v>
      </c>
      <c r="J2172" t="s">
        <v>122</v>
      </c>
      <c r="K2172">
        <v>0</v>
      </c>
      <c r="L2172">
        <v>3</v>
      </c>
      <c r="M2172">
        <v>0</v>
      </c>
      <c r="N2172">
        <v>2</v>
      </c>
      <c r="O2172">
        <v>0</v>
      </c>
      <c r="P2172">
        <v>1</v>
      </c>
      <c r="Q2172">
        <v>0</v>
      </c>
      <c r="S2172" t="str">
        <f t="shared" si="649"/>
        <v>22:18:35.000</v>
      </c>
      <c r="T2172" t="str">
        <f t="shared" si="649"/>
        <v>22:18:35.000</v>
      </c>
      <c r="U2172" t="str">
        <f t="shared" si="633"/>
        <v>A9D71F</v>
      </c>
      <c r="V2172">
        <v>0</v>
      </c>
      <c r="W2172">
        <v>0</v>
      </c>
      <c r="X2172">
        <v>2</v>
      </c>
      <c r="Z2172">
        <v>1</v>
      </c>
      <c r="AA2172">
        <v>8</v>
      </c>
      <c r="AB2172">
        <v>3</v>
      </c>
      <c r="AC2172">
        <v>0</v>
      </c>
      <c r="AD2172">
        <v>9</v>
      </c>
      <c r="AE2172">
        <v>0</v>
      </c>
      <c r="AF2172">
        <v>3</v>
      </c>
      <c r="AG2172">
        <v>1</v>
      </c>
      <c r="AH2172">
        <v>0</v>
      </c>
      <c r="AI2172" t="s">
        <v>1136</v>
      </c>
      <c r="AJ2172">
        <v>33.017135000000003</v>
      </c>
      <c r="AK2172" t="s">
        <v>1137</v>
      </c>
      <c r="AL2172">
        <v>-97.651205000000004</v>
      </c>
      <c r="AM2172">
        <v>25</v>
      </c>
      <c r="AN2172">
        <v>3300</v>
      </c>
      <c r="AO2172" t="s">
        <v>118</v>
      </c>
      <c r="AP2172">
        <v>29</v>
      </c>
      <c r="AQ2172">
        <v>-76</v>
      </c>
      <c r="AR2172">
        <v>-64</v>
      </c>
      <c r="AZ2172">
        <v>1200</v>
      </c>
      <c r="BA2172">
        <v>1</v>
      </c>
      <c r="BB2172" t="str">
        <f t="shared" si="640"/>
        <v xml:space="preserve">N733KP  </v>
      </c>
      <c r="BC2172">
        <v>1</v>
      </c>
      <c r="BE2172">
        <v>0</v>
      </c>
      <c r="BF2172">
        <v>0</v>
      </c>
      <c r="BG2172">
        <v>0</v>
      </c>
      <c r="BH2172">
        <v>3350</v>
      </c>
      <c r="BI2172">
        <v>1</v>
      </c>
      <c r="BJ2172">
        <v>1</v>
      </c>
      <c r="BK2172">
        <v>0</v>
      </c>
      <c r="BL2172">
        <v>0</v>
      </c>
      <c r="BO2172">
        <v>0</v>
      </c>
      <c r="BP2172">
        <v>0</v>
      </c>
      <c r="BW2172" t="str">
        <f>"22:18:35.276"</f>
        <v>22:18:35.276</v>
      </c>
      <c r="CJ2172">
        <v>0</v>
      </c>
      <c r="CK2172">
        <v>2</v>
      </c>
      <c r="CL2172">
        <v>0</v>
      </c>
      <c r="CM2172">
        <v>2</v>
      </c>
      <c r="CN2172">
        <v>0</v>
      </c>
      <c r="CO2172">
        <v>3</v>
      </c>
      <c r="CP2172" t="s">
        <v>119</v>
      </c>
      <c r="CQ2172">
        <v>438</v>
      </c>
      <c r="CR2172">
        <v>0</v>
      </c>
      <c r="CW2172">
        <v>11624041</v>
      </c>
      <c r="CY2172">
        <v>1</v>
      </c>
      <c r="CZ2172">
        <v>0</v>
      </c>
      <c r="DA2172">
        <v>1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>"03/24/2022 22:18:37.087"</f>
        <v>03/24/2022 22:18:37.087</v>
      </c>
      <c r="C2173" t="str">
        <f t="shared" si="639"/>
        <v>FFDFD3C0</v>
      </c>
      <c r="D2173" t="s">
        <v>113</v>
      </c>
      <c r="E2173">
        <v>24</v>
      </c>
      <c r="F2173">
        <v>2024</v>
      </c>
      <c r="G2173" t="s">
        <v>114</v>
      </c>
      <c r="J2173" t="s">
        <v>115</v>
      </c>
      <c r="K2173">
        <v>0</v>
      </c>
      <c r="L2173">
        <v>3</v>
      </c>
      <c r="M2173">
        <v>0</v>
      </c>
      <c r="N2173">
        <v>2</v>
      </c>
      <c r="O2173">
        <v>0</v>
      </c>
      <c r="P2173">
        <v>1</v>
      </c>
      <c r="Q2173">
        <v>0</v>
      </c>
      <c r="S2173" t="str">
        <f t="shared" ref="S2173:T2176" si="650">"22:18:36.000"</f>
        <v>22:18:36.000</v>
      </c>
      <c r="T2173" t="str">
        <f t="shared" si="650"/>
        <v>22:18:36.000</v>
      </c>
      <c r="U2173" t="str">
        <f t="shared" si="633"/>
        <v>A9D71F</v>
      </c>
      <c r="V2173">
        <v>0</v>
      </c>
      <c r="W2173">
        <v>0</v>
      </c>
      <c r="X2173">
        <v>2</v>
      </c>
      <c r="Z2173">
        <v>1</v>
      </c>
      <c r="AA2173">
        <v>8</v>
      </c>
      <c r="AB2173">
        <v>3</v>
      </c>
      <c r="AC2173">
        <v>0</v>
      </c>
      <c r="AD2173">
        <v>9</v>
      </c>
      <c r="AE2173">
        <v>0</v>
      </c>
      <c r="AF2173">
        <v>3</v>
      </c>
      <c r="AG2173">
        <v>1</v>
      </c>
      <c r="AH2173">
        <v>0</v>
      </c>
      <c r="AI2173" t="s">
        <v>1138</v>
      </c>
      <c r="AJ2173">
        <v>33.016770000000001</v>
      </c>
      <c r="AK2173" t="s">
        <v>1139</v>
      </c>
      <c r="AL2173">
        <v>-97.651032999999998</v>
      </c>
      <c r="AM2173">
        <v>25</v>
      </c>
      <c r="AN2173">
        <v>3300</v>
      </c>
      <c r="AO2173" t="s">
        <v>118</v>
      </c>
      <c r="AP2173">
        <v>30</v>
      </c>
      <c r="AQ2173">
        <v>-78</v>
      </c>
      <c r="AR2173">
        <v>-64</v>
      </c>
      <c r="AZ2173">
        <v>1200</v>
      </c>
      <c r="BA2173">
        <v>1</v>
      </c>
      <c r="BB2173" t="str">
        <f t="shared" si="640"/>
        <v xml:space="preserve">N733KP  </v>
      </c>
      <c r="BC2173">
        <v>1</v>
      </c>
      <c r="BE2173">
        <v>0</v>
      </c>
      <c r="BF2173">
        <v>0</v>
      </c>
      <c r="BG2173">
        <v>0</v>
      </c>
      <c r="BH2173">
        <v>3350</v>
      </c>
      <c r="BI2173">
        <v>1</v>
      </c>
      <c r="BJ2173">
        <v>1</v>
      </c>
      <c r="BK2173">
        <v>0</v>
      </c>
      <c r="BL2173">
        <v>0</v>
      </c>
      <c r="BO2173">
        <v>0</v>
      </c>
      <c r="BP2173">
        <v>0</v>
      </c>
      <c r="BW2173" t="str">
        <f>"22:18:36.749"</f>
        <v>22:18:36.749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6</v>
      </c>
      <c r="CP2173" t="s">
        <v>119</v>
      </c>
      <c r="CQ2173">
        <v>364</v>
      </c>
      <c r="CR2173">
        <v>0</v>
      </c>
      <c r="CW2173">
        <v>1448100</v>
      </c>
      <c r="CY2173">
        <v>1</v>
      </c>
      <c r="CZ2173">
        <v>0</v>
      </c>
      <c r="DA2173">
        <v>0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>"03/24/2022 22:18:37.087"</f>
        <v>03/24/2022 22:18:37.087</v>
      </c>
      <c r="C2174" t="str">
        <f t="shared" si="639"/>
        <v>FFDFD3C0</v>
      </c>
      <c r="D2174" t="s">
        <v>123</v>
      </c>
      <c r="E2174">
        <v>8</v>
      </c>
      <c r="H2174">
        <v>31</v>
      </c>
      <c r="I2174" t="s">
        <v>124</v>
      </c>
      <c r="J2174" t="s">
        <v>125</v>
      </c>
      <c r="K2174">
        <v>0</v>
      </c>
      <c r="L2174">
        <v>3</v>
      </c>
      <c r="M2174">
        <v>0</v>
      </c>
      <c r="N2174">
        <v>2</v>
      </c>
      <c r="O2174">
        <v>0</v>
      </c>
      <c r="P2174">
        <v>1</v>
      </c>
      <c r="Q2174">
        <v>0</v>
      </c>
      <c r="S2174" t="str">
        <f t="shared" si="650"/>
        <v>22:18:36.000</v>
      </c>
      <c r="T2174" t="str">
        <f t="shared" si="650"/>
        <v>22:18:36.000</v>
      </c>
      <c r="U2174" t="str">
        <f t="shared" si="633"/>
        <v>A9D71F</v>
      </c>
      <c r="V2174">
        <v>0</v>
      </c>
      <c r="W2174">
        <v>0</v>
      </c>
      <c r="X2174">
        <v>2</v>
      </c>
      <c r="Z2174">
        <v>1</v>
      </c>
      <c r="AA2174">
        <v>8</v>
      </c>
      <c r="AB2174">
        <v>3</v>
      </c>
      <c r="AC2174">
        <v>0</v>
      </c>
      <c r="AD2174">
        <v>9</v>
      </c>
      <c r="AE2174">
        <v>0</v>
      </c>
      <c r="AF2174">
        <v>3</v>
      </c>
      <c r="AG2174">
        <v>1</v>
      </c>
      <c r="AH2174">
        <v>0</v>
      </c>
      <c r="AI2174" t="s">
        <v>1138</v>
      </c>
      <c r="AJ2174">
        <v>33.016770000000001</v>
      </c>
      <c r="AK2174" t="s">
        <v>1139</v>
      </c>
      <c r="AL2174">
        <v>-97.651032999999998</v>
      </c>
      <c r="AM2174">
        <v>25</v>
      </c>
      <c r="AN2174">
        <v>3300</v>
      </c>
      <c r="AO2174" t="s">
        <v>118</v>
      </c>
      <c r="AP2174">
        <v>30</v>
      </c>
      <c r="AQ2174">
        <v>-78</v>
      </c>
      <c r="AR2174">
        <v>-64</v>
      </c>
      <c r="AZ2174">
        <v>1200</v>
      </c>
      <c r="BA2174">
        <v>1</v>
      </c>
      <c r="BB2174" t="str">
        <f t="shared" si="640"/>
        <v xml:space="preserve">N733KP  </v>
      </c>
      <c r="BC2174">
        <v>1</v>
      </c>
      <c r="BE2174">
        <v>0</v>
      </c>
      <c r="BF2174">
        <v>0</v>
      </c>
      <c r="BG2174">
        <v>0</v>
      </c>
      <c r="BH2174">
        <v>3350</v>
      </c>
      <c r="BI2174">
        <v>1</v>
      </c>
      <c r="BJ2174">
        <v>1</v>
      </c>
      <c r="BK2174">
        <v>0</v>
      </c>
      <c r="BL2174">
        <v>0</v>
      </c>
      <c r="BO2174">
        <v>0</v>
      </c>
      <c r="BP2174">
        <v>0</v>
      </c>
      <c r="BW2174" t="str">
        <f>"22:18:36.749"</f>
        <v>22:18:36.749</v>
      </c>
      <c r="CJ2174">
        <v>0</v>
      </c>
      <c r="CK2174">
        <v>2</v>
      </c>
      <c r="CL2174">
        <v>0</v>
      </c>
      <c r="CM2174">
        <v>2</v>
      </c>
      <c r="CN2174">
        <v>0</v>
      </c>
      <c r="CO2174">
        <v>6</v>
      </c>
      <c r="CP2174" t="s">
        <v>119</v>
      </c>
      <c r="CQ2174">
        <v>364</v>
      </c>
      <c r="CR2174">
        <v>0</v>
      </c>
      <c r="CW2174">
        <v>1448100</v>
      </c>
      <c r="CY2174">
        <v>1</v>
      </c>
      <c r="CZ2174">
        <v>0</v>
      </c>
      <c r="DA2174">
        <v>1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>"03/24/2022 22:18:37.087"</f>
        <v>03/24/2022 22:18:37.087</v>
      </c>
      <c r="C2175" t="str">
        <f t="shared" si="639"/>
        <v>FFDFD3C0</v>
      </c>
      <c r="D2175" t="s">
        <v>126</v>
      </c>
      <c r="E2175">
        <v>3</v>
      </c>
      <c r="H2175">
        <v>160</v>
      </c>
      <c r="I2175" t="s">
        <v>121</v>
      </c>
      <c r="J2175" t="s">
        <v>127</v>
      </c>
      <c r="K2175">
        <v>0</v>
      </c>
      <c r="L2175">
        <v>3</v>
      </c>
      <c r="M2175">
        <v>0</v>
      </c>
      <c r="N2175">
        <v>2</v>
      </c>
      <c r="O2175">
        <v>0</v>
      </c>
      <c r="P2175">
        <v>1</v>
      </c>
      <c r="Q2175">
        <v>0</v>
      </c>
      <c r="S2175" t="str">
        <f t="shared" si="650"/>
        <v>22:18:36.000</v>
      </c>
      <c r="T2175" t="str">
        <f t="shared" si="650"/>
        <v>22:18:36.000</v>
      </c>
      <c r="U2175" t="str">
        <f t="shared" si="633"/>
        <v>A9D71F</v>
      </c>
      <c r="V2175">
        <v>0</v>
      </c>
      <c r="W2175">
        <v>0</v>
      </c>
      <c r="X2175">
        <v>2</v>
      </c>
      <c r="Z2175">
        <v>1</v>
      </c>
      <c r="AA2175">
        <v>8</v>
      </c>
      <c r="AB2175">
        <v>3</v>
      </c>
      <c r="AC2175">
        <v>0</v>
      </c>
      <c r="AD2175">
        <v>9</v>
      </c>
      <c r="AE2175">
        <v>0</v>
      </c>
      <c r="AF2175">
        <v>3</v>
      </c>
      <c r="AG2175">
        <v>1</v>
      </c>
      <c r="AH2175">
        <v>0</v>
      </c>
      <c r="AI2175" t="s">
        <v>1138</v>
      </c>
      <c r="AJ2175">
        <v>33.016770000000001</v>
      </c>
      <c r="AK2175" t="s">
        <v>1139</v>
      </c>
      <c r="AL2175">
        <v>-97.651032999999998</v>
      </c>
      <c r="AM2175">
        <v>25</v>
      </c>
      <c r="AN2175">
        <v>3300</v>
      </c>
      <c r="AO2175" t="s">
        <v>118</v>
      </c>
      <c r="AP2175">
        <v>30</v>
      </c>
      <c r="AQ2175">
        <v>-78</v>
      </c>
      <c r="AR2175">
        <v>-64</v>
      </c>
      <c r="AZ2175">
        <v>1200</v>
      </c>
      <c r="BA2175">
        <v>1</v>
      </c>
      <c r="BB2175" t="str">
        <f t="shared" si="640"/>
        <v xml:space="preserve">N733KP  </v>
      </c>
      <c r="BC2175">
        <v>1</v>
      </c>
      <c r="BE2175">
        <v>0</v>
      </c>
      <c r="BF2175">
        <v>0</v>
      </c>
      <c r="BG2175">
        <v>0</v>
      </c>
      <c r="BH2175">
        <v>3350</v>
      </c>
      <c r="BI2175">
        <v>1</v>
      </c>
      <c r="BJ2175">
        <v>1</v>
      </c>
      <c r="BK2175">
        <v>0</v>
      </c>
      <c r="BL2175">
        <v>0</v>
      </c>
      <c r="BO2175">
        <v>0</v>
      </c>
      <c r="BP2175">
        <v>0</v>
      </c>
      <c r="BW2175" t="str">
        <f>"22:18:36.749"</f>
        <v>22:18:36.749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6</v>
      </c>
      <c r="CP2175" t="s">
        <v>119</v>
      </c>
      <c r="CQ2175">
        <v>364</v>
      </c>
      <c r="CR2175">
        <v>0</v>
      </c>
      <c r="CW2175">
        <v>1448100</v>
      </c>
      <c r="CY2175">
        <v>1</v>
      </c>
      <c r="CZ2175">
        <v>0</v>
      </c>
      <c r="DA2175">
        <v>1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>"03/24/2022 22:18:37.087"</f>
        <v>03/24/2022 22:18:37.087</v>
      </c>
      <c r="C2176" t="str">
        <f t="shared" si="639"/>
        <v>FFDFD3C0</v>
      </c>
      <c r="D2176" t="s">
        <v>120</v>
      </c>
      <c r="E2176">
        <v>14</v>
      </c>
      <c r="F2176">
        <v>1014</v>
      </c>
      <c r="G2176" t="s">
        <v>121</v>
      </c>
      <c r="J2176" t="s">
        <v>122</v>
      </c>
      <c r="K2176">
        <v>0</v>
      </c>
      <c r="L2176">
        <v>3</v>
      </c>
      <c r="M2176">
        <v>0</v>
      </c>
      <c r="N2176">
        <v>2</v>
      </c>
      <c r="O2176">
        <v>0</v>
      </c>
      <c r="P2176">
        <v>1</v>
      </c>
      <c r="Q2176">
        <v>0</v>
      </c>
      <c r="S2176" t="str">
        <f t="shared" si="650"/>
        <v>22:18:36.000</v>
      </c>
      <c r="T2176" t="str">
        <f t="shared" si="650"/>
        <v>22:18:36.000</v>
      </c>
      <c r="U2176" t="str">
        <f t="shared" si="633"/>
        <v>A9D71F</v>
      </c>
      <c r="V2176">
        <v>0</v>
      </c>
      <c r="W2176">
        <v>0</v>
      </c>
      <c r="X2176">
        <v>2</v>
      </c>
      <c r="Z2176">
        <v>1</v>
      </c>
      <c r="AA2176">
        <v>8</v>
      </c>
      <c r="AB2176">
        <v>3</v>
      </c>
      <c r="AC2176">
        <v>0</v>
      </c>
      <c r="AD2176">
        <v>9</v>
      </c>
      <c r="AE2176">
        <v>0</v>
      </c>
      <c r="AF2176">
        <v>3</v>
      </c>
      <c r="AG2176">
        <v>1</v>
      </c>
      <c r="AH2176">
        <v>0</v>
      </c>
      <c r="AI2176" t="s">
        <v>1138</v>
      </c>
      <c r="AJ2176">
        <v>33.016770000000001</v>
      </c>
      <c r="AK2176" t="s">
        <v>1139</v>
      </c>
      <c r="AL2176">
        <v>-97.651032999999998</v>
      </c>
      <c r="AM2176">
        <v>25</v>
      </c>
      <c r="AN2176">
        <v>3300</v>
      </c>
      <c r="AO2176" t="s">
        <v>118</v>
      </c>
      <c r="AP2176">
        <v>30</v>
      </c>
      <c r="AQ2176">
        <v>-78</v>
      </c>
      <c r="AR2176">
        <v>-64</v>
      </c>
      <c r="AZ2176">
        <v>1200</v>
      </c>
      <c r="BA2176">
        <v>1</v>
      </c>
      <c r="BB2176" t="str">
        <f t="shared" si="640"/>
        <v xml:space="preserve">N733KP  </v>
      </c>
      <c r="BC2176">
        <v>1</v>
      </c>
      <c r="BE2176">
        <v>0</v>
      </c>
      <c r="BF2176">
        <v>0</v>
      </c>
      <c r="BG2176">
        <v>0</v>
      </c>
      <c r="BH2176">
        <v>3350</v>
      </c>
      <c r="BI2176">
        <v>1</v>
      </c>
      <c r="BJ2176">
        <v>1</v>
      </c>
      <c r="BK2176">
        <v>0</v>
      </c>
      <c r="BL2176">
        <v>0</v>
      </c>
      <c r="BO2176">
        <v>0</v>
      </c>
      <c r="BP2176">
        <v>0</v>
      </c>
      <c r="BW2176" t="str">
        <f>"22:18:36.749"</f>
        <v>22:18:36.749</v>
      </c>
      <c r="CJ2176">
        <v>0</v>
      </c>
      <c r="CK2176">
        <v>2</v>
      </c>
      <c r="CL2176">
        <v>0</v>
      </c>
      <c r="CM2176">
        <v>2</v>
      </c>
      <c r="CN2176">
        <v>0</v>
      </c>
      <c r="CO2176">
        <v>6</v>
      </c>
      <c r="CP2176" t="s">
        <v>119</v>
      </c>
      <c r="CQ2176">
        <v>364</v>
      </c>
      <c r="CR2176">
        <v>0</v>
      </c>
      <c r="CW2176">
        <v>1448100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>"03/24/2022 22:18:38.102"</f>
        <v>03/24/2022 22:18:38.102</v>
      </c>
      <c r="C2177" t="str">
        <f t="shared" si="639"/>
        <v>FFDFD3C0</v>
      </c>
      <c r="D2177" t="s">
        <v>120</v>
      </c>
      <c r="E2177">
        <v>14</v>
      </c>
      <c r="F2177">
        <v>1014</v>
      </c>
      <c r="G2177" t="s">
        <v>121</v>
      </c>
      <c r="J2177" t="s">
        <v>122</v>
      </c>
      <c r="K2177">
        <v>0</v>
      </c>
      <c r="L2177">
        <v>3</v>
      </c>
      <c r="M2177">
        <v>0</v>
      </c>
      <c r="N2177">
        <v>2</v>
      </c>
      <c r="O2177">
        <v>0</v>
      </c>
      <c r="P2177">
        <v>1</v>
      </c>
      <c r="Q2177">
        <v>0</v>
      </c>
      <c r="S2177" t="str">
        <f t="shared" ref="S2177:T2180" si="651">"22:18:37.000"</f>
        <v>22:18:37.000</v>
      </c>
      <c r="T2177" t="str">
        <f t="shared" si="651"/>
        <v>22:18:37.000</v>
      </c>
      <c r="U2177" t="str">
        <f t="shared" si="633"/>
        <v>A9D71F</v>
      </c>
      <c r="V2177">
        <v>0</v>
      </c>
      <c r="W2177">
        <v>0</v>
      </c>
      <c r="X2177">
        <v>2</v>
      </c>
      <c r="Z2177">
        <v>1</v>
      </c>
      <c r="AA2177">
        <v>8</v>
      </c>
      <c r="AB2177">
        <v>3</v>
      </c>
      <c r="AC2177">
        <v>0</v>
      </c>
      <c r="AD2177">
        <v>9</v>
      </c>
      <c r="AE2177">
        <v>0</v>
      </c>
      <c r="AF2177">
        <v>3</v>
      </c>
      <c r="AG2177">
        <v>1</v>
      </c>
      <c r="AH2177">
        <v>0</v>
      </c>
      <c r="AI2177" t="s">
        <v>1140</v>
      </c>
      <c r="AJ2177">
        <v>33.016427</v>
      </c>
      <c r="AK2177" t="s">
        <v>1141</v>
      </c>
      <c r="AL2177">
        <v>-97.650862000000004</v>
      </c>
      <c r="AM2177">
        <v>25</v>
      </c>
      <c r="AN2177">
        <v>3300</v>
      </c>
      <c r="AO2177" t="s">
        <v>118</v>
      </c>
      <c r="AP2177">
        <v>29</v>
      </c>
      <c r="AQ2177">
        <v>-79</v>
      </c>
      <c r="AR2177">
        <v>-64</v>
      </c>
      <c r="AZ2177">
        <v>1200</v>
      </c>
      <c r="BA2177">
        <v>1</v>
      </c>
      <c r="BB2177" t="str">
        <f t="shared" si="640"/>
        <v xml:space="preserve">N733KP  </v>
      </c>
      <c r="BC2177">
        <v>1</v>
      </c>
      <c r="BE2177">
        <v>0</v>
      </c>
      <c r="BF2177">
        <v>0</v>
      </c>
      <c r="BG2177">
        <v>0</v>
      </c>
      <c r="BH2177">
        <v>3350</v>
      </c>
      <c r="BI2177">
        <v>1</v>
      </c>
      <c r="BJ2177">
        <v>1</v>
      </c>
      <c r="BK2177">
        <v>0</v>
      </c>
      <c r="BL2177">
        <v>0</v>
      </c>
      <c r="BO2177">
        <v>0</v>
      </c>
      <c r="BP2177">
        <v>0</v>
      </c>
      <c r="BW2177" t="str">
        <f>"22:18:37.922"</f>
        <v>22:18:37.922</v>
      </c>
      <c r="CJ2177">
        <v>0</v>
      </c>
      <c r="CK2177">
        <v>2</v>
      </c>
      <c r="CL2177">
        <v>0</v>
      </c>
      <c r="CM2177">
        <v>2</v>
      </c>
      <c r="CN2177">
        <v>0</v>
      </c>
      <c r="CO2177">
        <v>7</v>
      </c>
      <c r="CP2177" t="s">
        <v>119</v>
      </c>
      <c r="CQ2177">
        <v>364</v>
      </c>
      <c r="CR2177">
        <v>0</v>
      </c>
      <c r="CW2177">
        <v>1448259</v>
      </c>
      <c r="CY2177">
        <v>1</v>
      </c>
      <c r="CZ2177">
        <v>0</v>
      </c>
      <c r="DA2177">
        <v>0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>"03/24/2022 22:18:38.118"</f>
        <v>03/24/2022 22:18:38.118</v>
      </c>
      <c r="C2178" t="str">
        <f t="shared" si="639"/>
        <v>FFDFD3C0</v>
      </c>
      <c r="D2178" t="s">
        <v>113</v>
      </c>
      <c r="E2178">
        <v>24</v>
      </c>
      <c r="F2178">
        <v>2024</v>
      </c>
      <c r="G2178" t="s">
        <v>114</v>
      </c>
      <c r="J2178" t="s">
        <v>115</v>
      </c>
      <c r="K2178">
        <v>0</v>
      </c>
      <c r="L2178">
        <v>3</v>
      </c>
      <c r="M2178">
        <v>0</v>
      </c>
      <c r="N2178">
        <v>2</v>
      </c>
      <c r="O2178">
        <v>0</v>
      </c>
      <c r="P2178">
        <v>1</v>
      </c>
      <c r="Q2178">
        <v>0</v>
      </c>
      <c r="S2178" t="str">
        <f t="shared" si="651"/>
        <v>22:18:37.000</v>
      </c>
      <c r="T2178" t="str">
        <f t="shared" si="651"/>
        <v>22:18:37.000</v>
      </c>
      <c r="U2178" t="str">
        <f t="shared" ref="U2178:U2241" si="652">"A9D71F"</f>
        <v>A9D71F</v>
      </c>
      <c r="V2178">
        <v>0</v>
      </c>
      <c r="W2178">
        <v>0</v>
      </c>
      <c r="X2178">
        <v>2</v>
      </c>
      <c r="Z2178">
        <v>1</v>
      </c>
      <c r="AA2178">
        <v>8</v>
      </c>
      <c r="AB2178">
        <v>3</v>
      </c>
      <c r="AC2178">
        <v>0</v>
      </c>
      <c r="AD2178">
        <v>9</v>
      </c>
      <c r="AE2178">
        <v>0</v>
      </c>
      <c r="AF2178">
        <v>3</v>
      </c>
      <c r="AG2178">
        <v>1</v>
      </c>
      <c r="AH2178">
        <v>0</v>
      </c>
      <c r="AI2178" t="s">
        <v>1140</v>
      </c>
      <c r="AJ2178">
        <v>33.016427</v>
      </c>
      <c r="AK2178" t="s">
        <v>1141</v>
      </c>
      <c r="AL2178">
        <v>-97.650862000000004</v>
      </c>
      <c r="AM2178">
        <v>25</v>
      </c>
      <c r="AN2178">
        <v>3300</v>
      </c>
      <c r="AO2178" t="s">
        <v>118</v>
      </c>
      <c r="AP2178">
        <v>29</v>
      </c>
      <c r="AQ2178">
        <v>-79</v>
      </c>
      <c r="AR2178">
        <v>-64</v>
      </c>
      <c r="AZ2178">
        <v>1200</v>
      </c>
      <c r="BA2178">
        <v>1</v>
      </c>
      <c r="BB2178" t="str">
        <f t="shared" si="640"/>
        <v xml:space="preserve">N733KP  </v>
      </c>
      <c r="BC2178">
        <v>1</v>
      </c>
      <c r="BE2178">
        <v>0</v>
      </c>
      <c r="BF2178">
        <v>0</v>
      </c>
      <c r="BG2178">
        <v>0</v>
      </c>
      <c r="BH2178">
        <v>3350</v>
      </c>
      <c r="BI2178">
        <v>1</v>
      </c>
      <c r="BJ2178">
        <v>1</v>
      </c>
      <c r="BK2178">
        <v>0</v>
      </c>
      <c r="BL2178">
        <v>0</v>
      </c>
      <c r="BO2178">
        <v>0</v>
      </c>
      <c r="BP2178">
        <v>0</v>
      </c>
      <c r="BW2178" t="str">
        <f>"22:18:37.922"</f>
        <v>22:18:37.922</v>
      </c>
      <c r="CJ2178">
        <v>0</v>
      </c>
      <c r="CK2178">
        <v>2</v>
      </c>
      <c r="CL2178">
        <v>0</v>
      </c>
      <c r="CM2178">
        <v>2</v>
      </c>
      <c r="CN2178">
        <v>0</v>
      </c>
      <c r="CO2178">
        <v>7</v>
      </c>
      <c r="CP2178" t="s">
        <v>119</v>
      </c>
      <c r="CQ2178">
        <v>364</v>
      </c>
      <c r="CR2178">
        <v>0</v>
      </c>
      <c r="CW2178">
        <v>1448259</v>
      </c>
      <c r="CY2178">
        <v>1</v>
      </c>
      <c r="CZ2178">
        <v>0</v>
      </c>
      <c r="DA2178">
        <v>1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>"03/24/2022 22:18:38.134"</f>
        <v>03/24/2022 22:18:38.134</v>
      </c>
      <c r="C2179" t="str">
        <f t="shared" si="639"/>
        <v>FFDFD3C0</v>
      </c>
      <c r="D2179" t="s">
        <v>123</v>
      </c>
      <c r="E2179">
        <v>8</v>
      </c>
      <c r="H2179">
        <v>31</v>
      </c>
      <c r="I2179" t="s">
        <v>124</v>
      </c>
      <c r="J2179" t="s">
        <v>125</v>
      </c>
      <c r="K2179">
        <v>0</v>
      </c>
      <c r="L2179">
        <v>3</v>
      </c>
      <c r="M2179">
        <v>0</v>
      </c>
      <c r="N2179">
        <v>2</v>
      </c>
      <c r="O2179">
        <v>0</v>
      </c>
      <c r="P2179">
        <v>1</v>
      </c>
      <c r="Q2179">
        <v>0</v>
      </c>
      <c r="S2179" t="str">
        <f t="shared" si="651"/>
        <v>22:18:37.000</v>
      </c>
      <c r="T2179" t="str">
        <f t="shared" si="651"/>
        <v>22:18:37.000</v>
      </c>
      <c r="U2179" t="str">
        <f t="shared" si="652"/>
        <v>A9D71F</v>
      </c>
      <c r="V2179">
        <v>0</v>
      </c>
      <c r="W2179">
        <v>0</v>
      </c>
      <c r="X2179">
        <v>2</v>
      </c>
      <c r="Z2179">
        <v>1</v>
      </c>
      <c r="AA2179">
        <v>8</v>
      </c>
      <c r="AB2179">
        <v>3</v>
      </c>
      <c r="AC2179">
        <v>0</v>
      </c>
      <c r="AD2179">
        <v>9</v>
      </c>
      <c r="AE2179">
        <v>0</v>
      </c>
      <c r="AF2179">
        <v>3</v>
      </c>
      <c r="AG2179">
        <v>1</v>
      </c>
      <c r="AH2179">
        <v>0</v>
      </c>
      <c r="AI2179" t="s">
        <v>1140</v>
      </c>
      <c r="AJ2179">
        <v>33.016427</v>
      </c>
      <c r="AK2179" t="s">
        <v>1141</v>
      </c>
      <c r="AL2179">
        <v>-97.650862000000004</v>
      </c>
      <c r="AM2179">
        <v>25</v>
      </c>
      <c r="AN2179">
        <v>3300</v>
      </c>
      <c r="AO2179" t="s">
        <v>118</v>
      </c>
      <c r="AP2179">
        <v>29</v>
      </c>
      <c r="AQ2179">
        <v>-79</v>
      </c>
      <c r="AR2179">
        <v>-64</v>
      </c>
      <c r="AZ2179">
        <v>1200</v>
      </c>
      <c r="BA2179">
        <v>1</v>
      </c>
      <c r="BB2179" t="str">
        <f t="shared" si="640"/>
        <v xml:space="preserve">N733KP  </v>
      </c>
      <c r="BC2179">
        <v>1</v>
      </c>
      <c r="BE2179">
        <v>0</v>
      </c>
      <c r="BF2179">
        <v>0</v>
      </c>
      <c r="BG2179">
        <v>0</v>
      </c>
      <c r="BH2179">
        <v>3350</v>
      </c>
      <c r="BI2179">
        <v>1</v>
      </c>
      <c r="BJ2179">
        <v>1</v>
      </c>
      <c r="BK2179">
        <v>0</v>
      </c>
      <c r="BL2179">
        <v>0</v>
      </c>
      <c r="BO2179">
        <v>0</v>
      </c>
      <c r="BP2179">
        <v>0</v>
      </c>
      <c r="BW2179" t="str">
        <f>"22:18:37.922"</f>
        <v>22:18:37.922</v>
      </c>
      <c r="CJ2179">
        <v>0</v>
      </c>
      <c r="CK2179">
        <v>2</v>
      </c>
      <c r="CL2179">
        <v>0</v>
      </c>
      <c r="CM2179">
        <v>2</v>
      </c>
      <c r="CN2179">
        <v>0</v>
      </c>
      <c r="CO2179">
        <v>7</v>
      </c>
      <c r="CP2179" t="s">
        <v>119</v>
      </c>
      <c r="CQ2179">
        <v>364</v>
      </c>
      <c r="CR2179">
        <v>0</v>
      </c>
      <c r="CW2179">
        <v>1448259</v>
      </c>
      <c r="CY2179">
        <v>1</v>
      </c>
      <c r="CZ2179">
        <v>0</v>
      </c>
      <c r="DA2179">
        <v>1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>"03/24/2022 22:18:38.134"</f>
        <v>03/24/2022 22:18:38.134</v>
      </c>
      <c r="C2180" t="str">
        <f t="shared" si="639"/>
        <v>FFDFD3C0</v>
      </c>
      <c r="D2180" t="s">
        <v>126</v>
      </c>
      <c r="E2180">
        <v>3</v>
      </c>
      <c r="H2180">
        <v>160</v>
      </c>
      <c r="I2180" t="s">
        <v>121</v>
      </c>
      <c r="J2180" t="s">
        <v>127</v>
      </c>
      <c r="K2180">
        <v>0</v>
      </c>
      <c r="L2180">
        <v>3</v>
      </c>
      <c r="M2180">
        <v>0</v>
      </c>
      <c r="N2180">
        <v>2</v>
      </c>
      <c r="O2180">
        <v>0</v>
      </c>
      <c r="P2180">
        <v>1</v>
      </c>
      <c r="Q2180">
        <v>0</v>
      </c>
      <c r="S2180" t="str">
        <f t="shared" si="651"/>
        <v>22:18:37.000</v>
      </c>
      <c r="T2180" t="str">
        <f t="shared" si="651"/>
        <v>22:18:37.000</v>
      </c>
      <c r="U2180" t="str">
        <f t="shared" si="652"/>
        <v>A9D71F</v>
      </c>
      <c r="V2180">
        <v>0</v>
      </c>
      <c r="W2180">
        <v>0</v>
      </c>
      <c r="X2180">
        <v>2</v>
      </c>
      <c r="Z2180">
        <v>1</v>
      </c>
      <c r="AA2180">
        <v>8</v>
      </c>
      <c r="AB2180">
        <v>3</v>
      </c>
      <c r="AC2180">
        <v>0</v>
      </c>
      <c r="AD2180">
        <v>9</v>
      </c>
      <c r="AE2180">
        <v>0</v>
      </c>
      <c r="AF2180">
        <v>3</v>
      </c>
      <c r="AG2180">
        <v>1</v>
      </c>
      <c r="AH2180">
        <v>0</v>
      </c>
      <c r="AI2180" t="s">
        <v>1140</v>
      </c>
      <c r="AJ2180">
        <v>33.016427</v>
      </c>
      <c r="AK2180" t="s">
        <v>1141</v>
      </c>
      <c r="AL2180">
        <v>-97.650862000000004</v>
      </c>
      <c r="AM2180">
        <v>25</v>
      </c>
      <c r="AN2180">
        <v>3300</v>
      </c>
      <c r="AO2180" t="s">
        <v>118</v>
      </c>
      <c r="AP2180">
        <v>29</v>
      </c>
      <c r="AQ2180">
        <v>-79</v>
      </c>
      <c r="AR2180">
        <v>-64</v>
      </c>
      <c r="AZ2180">
        <v>1200</v>
      </c>
      <c r="BA2180">
        <v>1</v>
      </c>
      <c r="BB2180" t="str">
        <f t="shared" si="640"/>
        <v xml:space="preserve">N733KP  </v>
      </c>
      <c r="BC2180">
        <v>1</v>
      </c>
      <c r="BE2180">
        <v>0</v>
      </c>
      <c r="BF2180">
        <v>0</v>
      </c>
      <c r="BG2180">
        <v>0</v>
      </c>
      <c r="BH2180">
        <v>3350</v>
      </c>
      <c r="BI2180">
        <v>1</v>
      </c>
      <c r="BJ2180">
        <v>1</v>
      </c>
      <c r="BK2180">
        <v>0</v>
      </c>
      <c r="BL2180">
        <v>0</v>
      </c>
      <c r="BO2180">
        <v>0</v>
      </c>
      <c r="BP2180">
        <v>0</v>
      </c>
      <c r="BW2180" t="str">
        <f>"22:18:37.922"</f>
        <v>22:18:37.922</v>
      </c>
      <c r="CJ2180">
        <v>0</v>
      </c>
      <c r="CK2180">
        <v>2</v>
      </c>
      <c r="CL2180">
        <v>0</v>
      </c>
      <c r="CM2180">
        <v>2</v>
      </c>
      <c r="CN2180">
        <v>0</v>
      </c>
      <c r="CO2180">
        <v>7</v>
      </c>
      <c r="CP2180" t="s">
        <v>119</v>
      </c>
      <c r="CQ2180">
        <v>364</v>
      </c>
      <c r="CR2180">
        <v>0</v>
      </c>
      <c r="CW2180">
        <v>1448259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>"03/24/2022 22:18:38.940"</f>
        <v>03/24/2022 22:18:38.940</v>
      </c>
      <c r="C2181" t="str">
        <f t="shared" si="639"/>
        <v>FFDFD3C0</v>
      </c>
      <c r="D2181" t="s">
        <v>113</v>
      </c>
      <c r="E2181">
        <v>24</v>
      </c>
      <c r="F2181">
        <v>2024</v>
      </c>
      <c r="G2181" t="s">
        <v>114</v>
      </c>
      <c r="J2181" t="s">
        <v>115</v>
      </c>
      <c r="K2181">
        <v>0</v>
      </c>
      <c r="L2181">
        <v>3</v>
      </c>
      <c r="M2181">
        <v>0</v>
      </c>
      <c r="N2181">
        <v>2</v>
      </c>
      <c r="O2181">
        <v>0</v>
      </c>
      <c r="P2181">
        <v>1</v>
      </c>
      <c r="Q2181">
        <v>0</v>
      </c>
      <c r="S2181" t="str">
        <f t="shared" ref="S2181:T2184" si="653">"22:18:38.000"</f>
        <v>22:18:38.000</v>
      </c>
      <c r="T2181" t="str">
        <f t="shared" si="653"/>
        <v>22:18:38.000</v>
      </c>
      <c r="U2181" t="str">
        <f t="shared" si="652"/>
        <v>A9D71F</v>
      </c>
      <c r="V2181">
        <v>0</v>
      </c>
      <c r="W2181">
        <v>0</v>
      </c>
      <c r="X2181">
        <v>2</v>
      </c>
      <c r="Z2181">
        <v>1</v>
      </c>
      <c r="AA2181">
        <v>8</v>
      </c>
      <c r="AB2181">
        <v>3</v>
      </c>
      <c r="AC2181">
        <v>0</v>
      </c>
      <c r="AD2181">
        <v>9</v>
      </c>
      <c r="AE2181">
        <v>0</v>
      </c>
      <c r="AF2181">
        <v>3</v>
      </c>
      <c r="AG2181">
        <v>1</v>
      </c>
      <c r="AH2181">
        <v>0</v>
      </c>
      <c r="AI2181" t="s">
        <v>1142</v>
      </c>
      <c r="AJ2181">
        <v>33.016061999999998</v>
      </c>
      <c r="AK2181" t="s">
        <v>1143</v>
      </c>
      <c r="AL2181">
        <v>-97.650689999999997</v>
      </c>
      <c r="AM2181">
        <v>25</v>
      </c>
      <c r="AN2181">
        <v>3300</v>
      </c>
      <c r="AO2181" t="s">
        <v>118</v>
      </c>
      <c r="AP2181">
        <v>28</v>
      </c>
      <c r="AQ2181">
        <v>-81</v>
      </c>
      <c r="AR2181">
        <v>-192</v>
      </c>
      <c r="AZ2181">
        <v>1200</v>
      </c>
      <c r="BA2181">
        <v>1</v>
      </c>
      <c r="BB2181" t="str">
        <f t="shared" si="640"/>
        <v xml:space="preserve">N733KP  </v>
      </c>
      <c r="BC2181">
        <v>1</v>
      </c>
      <c r="BE2181">
        <v>0</v>
      </c>
      <c r="BF2181">
        <v>0</v>
      </c>
      <c r="BG2181">
        <v>0</v>
      </c>
      <c r="BH2181">
        <v>3325</v>
      </c>
      <c r="BI2181">
        <v>1</v>
      </c>
      <c r="BJ2181">
        <v>1</v>
      </c>
      <c r="BK2181">
        <v>0</v>
      </c>
      <c r="BL2181">
        <v>0</v>
      </c>
      <c r="BO2181">
        <v>0</v>
      </c>
      <c r="BP2181">
        <v>0</v>
      </c>
      <c r="BW2181" t="str">
        <f>"22:18:38.787"</f>
        <v>22:18:38.787</v>
      </c>
      <c r="CJ2181">
        <v>0</v>
      </c>
      <c r="CK2181">
        <v>2</v>
      </c>
      <c r="CL2181">
        <v>0</v>
      </c>
      <c r="CM2181">
        <v>2</v>
      </c>
      <c r="CN2181">
        <v>0</v>
      </c>
      <c r="CO2181">
        <v>6</v>
      </c>
      <c r="CP2181" t="s">
        <v>119</v>
      </c>
      <c r="CQ2181">
        <v>364</v>
      </c>
      <c r="CR2181">
        <v>0</v>
      </c>
      <c r="CW2181">
        <v>1448366</v>
      </c>
      <c r="CY2181">
        <v>1</v>
      </c>
      <c r="CZ2181">
        <v>0</v>
      </c>
      <c r="DA2181">
        <v>0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>"03/24/2022 22:18:38.940"</f>
        <v>03/24/2022 22:18:38.940</v>
      </c>
      <c r="C2182" t="str">
        <f t="shared" si="639"/>
        <v>FFDFD3C0</v>
      </c>
      <c r="D2182" t="s">
        <v>123</v>
      </c>
      <c r="E2182">
        <v>8</v>
      </c>
      <c r="H2182">
        <v>31</v>
      </c>
      <c r="I2182" t="s">
        <v>124</v>
      </c>
      <c r="J2182" t="s">
        <v>125</v>
      </c>
      <c r="K2182">
        <v>0</v>
      </c>
      <c r="L2182">
        <v>3</v>
      </c>
      <c r="M2182">
        <v>0</v>
      </c>
      <c r="N2182">
        <v>2</v>
      </c>
      <c r="O2182">
        <v>0</v>
      </c>
      <c r="P2182">
        <v>1</v>
      </c>
      <c r="Q2182">
        <v>0</v>
      </c>
      <c r="S2182" t="str">
        <f t="shared" si="653"/>
        <v>22:18:38.000</v>
      </c>
      <c r="T2182" t="str">
        <f t="shared" si="653"/>
        <v>22:18:38.000</v>
      </c>
      <c r="U2182" t="str">
        <f t="shared" si="652"/>
        <v>A9D71F</v>
      </c>
      <c r="V2182">
        <v>0</v>
      </c>
      <c r="W2182">
        <v>0</v>
      </c>
      <c r="X2182">
        <v>2</v>
      </c>
      <c r="Z2182">
        <v>1</v>
      </c>
      <c r="AA2182">
        <v>8</v>
      </c>
      <c r="AB2182">
        <v>3</v>
      </c>
      <c r="AC2182">
        <v>0</v>
      </c>
      <c r="AD2182">
        <v>9</v>
      </c>
      <c r="AE2182">
        <v>0</v>
      </c>
      <c r="AF2182">
        <v>3</v>
      </c>
      <c r="AG2182">
        <v>1</v>
      </c>
      <c r="AH2182">
        <v>0</v>
      </c>
      <c r="AI2182" t="s">
        <v>1142</v>
      </c>
      <c r="AJ2182">
        <v>33.016061999999998</v>
      </c>
      <c r="AK2182" t="s">
        <v>1143</v>
      </c>
      <c r="AL2182">
        <v>-97.650689999999997</v>
      </c>
      <c r="AM2182">
        <v>25</v>
      </c>
      <c r="AN2182">
        <v>3300</v>
      </c>
      <c r="AO2182" t="s">
        <v>118</v>
      </c>
      <c r="AP2182">
        <v>28</v>
      </c>
      <c r="AQ2182">
        <v>-81</v>
      </c>
      <c r="AR2182">
        <v>-192</v>
      </c>
      <c r="AZ2182">
        <v>1200</v>
      </c>
      <c r="BA2182">
        <v>1</v>
      </c>
      <c r="BB2182" t="str">
        <f t="shared" si="640"/>
        <v xml:space="preserve">N733KP  </v>
      </c>
      <c r="BC2182">
        <v>1</v>
      </c>
      <c r="BE2182">
        <v>0</v>
      </c>
      <c r="BF2182">
        <v>0</v>
      </c>
      <c r="BG2182">
        <v>0</v>
      </c>
      <c r="BH2182">
        <v>3325</v>
      </c>
      <c r="BI2182">
        <v>1</v>
      </c>
      <c r="BJ2182">
        <v>1</v>
      </c>
      <c r="BK2182">
        <v>0</v>
      </c>
      <c r="BL2182">
        <v>0</v>
      </c>
      <c r="BO2182">
        <v>0</v>
      </c>
      <c r="BP2182">
        <v>0</v>
      </c>
      <c r="BW2182" t="str">
        <f>"22:18:38.787"</f>
        <v>22:18:38.787</v>
      </c>
      <c r="CJ2182">
        <v>0</v>
      </c>
      <c r="CK2182">
        <v>2</v>
      </c>
      <c r="CL2182">
        <v>0</v>
      </c>
      <c r="CM2182">
        <v>2</v>
      </c>
      <c r="CN2182">
        <v>0</v>
      </c>
      <c r="CO2182">
        <v>6</v>
      </c>
      <c r="CP2182" t="s">
        <v>119</v>
      </c>
      <c r="CQ2182">
        <v>364</v>
      </c>
      <c r="CR2182">
        <v>0</v>
      </c>
      <c r="CW2182">
        <v>1448366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>"03/24/2022 22:18:38.940"</f>
        <v>03/24/2022 22:18:38.940</v>
      </c>
      <c r="C2183" t="str">
        <f t="shared" si="639"/>
        <v>FFDFD3C0</v>
      </c>
      <c r="D2183" t="s">
        <v>126</v>
      </c>
      <c r="E2183">
        <v>3</v>
      </c>
      <c r="H2183">
        <v>160</v>
      </c>
      <c r="I2183" t="s">
        <v>121</v>
      </c>
      <c r="J2183" t="s">
        <v>127</v>
      </c>
      <c r="K2183">
        <v>0</v>
      </c>
      <c r="L2183">
        <v>3</v>
      </c>
      <c r="M2183">
        <v>0</v>
      </c>
      <c r="N2183">
        <v>2</v>
      </c>
      <c r="O2183">
        <v>0</v>
      </c>
      <c r="P2183">
        <v>1</v>
      </c>
      <c r="Q2183">
        <v>0</v>
      </c>
      <c r="S2183" t="str">
        <f t="shared" si="653"/>
        <v>22:18:38.000</v>
      </c>
      <c r="T2183" t="str">
        <f t="shared" si="653"/>
        <v>22:18:38.000</v>
      </c>
      <c r="U2183" t="str">
        <f t="shared" si="652"/>
        <v>A9D71F</v>
      </c>
      <c r="V2183">
        <v>0</v>
      </c>
      <c r="W2183">
        <v>0</v>
      </c>
      <c r="X2183">
        <v>2</v>
      </c>
      <c r="Z2183">
        <v>1</v>
      </c>
      <c r="AA2183">
        <v>8</v>
      </c>
      <c r="AB2183">
        <v>3</v>
      </c>
      <c r="AC2183">
        <v>0</v>
      </c>
      <c r="AD2183">
        <v>9</v>
      </c>
      <c r="AE2183">
        <v>0</v>
      </c>
      <c r="AF2183">
        <v>3</v>
      </c>
      <c r="AG2183">
        <v>1</v>
      </c>
      <c r="AH2183">
        <v>0</v>
      </c>
      <c r="AI2183" t="s">
        <v>1142</v>
      </c>
      <c r="AJ2183">
        <v>33.016061999999998</v>
      </c>
      <c r="AK2183" t="s">
        <v>1143</v>
      </c>
      <c r="AL2183">
        <v>-97.650689999999997</v>
      </c>
      <c r="AM2183">
        <v>25</v>
      </c>
      <c r="AN2183">
        <v>3300</v>
      </c>
      <c r="AO2183" t="s">
        <v>118</v>
      </c>
      <c r="AP2183">
        <v>28</v>
      </c>
      <c r="AQ2183">
        <v>-81</v>
      </c>
      <c r="AR2183">
        <v>-192</v>
      </c>
      <c r="AZ2183">
        <v>1200</v>
      </c>
      <c r="BA2183">
        <v>1</v>
      </c>
      <c r="BB2183" t="str">
        <f t="shared" si="640"/>
        <v xml:space="preserve">N733KP  </v>
      </c>
      <c r="BC2183">
        <v>1</v>
      </c>
      <c r="BE2183">
        <v>0</v>
      </c>
      <c r="BF2183">
        <v>0</v>
      </c>
      <c r="BG2183">
        <v>0</v>
      </c>
      <c r="BH2183">
        <v>3325</v>
      </c>
      <c r="BI2183">
        <v>1</v>
      </c>
      <c r="BJ2183">
        <v>1</v>
      </c>
      <c r="BK2183">
        <v>0</v>
      </c>
      <c r="BL2183">
        <v>0</v>
      </c>
      <c r="BO2183">
        <v>0</v>
      </c>
      <c r="BP2183">
        <v>0</v>
      </c>
      <c r="BW2183" t="str">
        <f>"22:18:38.787"</f>
        <v>22:18:38.787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6</v>
      </c>
      <c r="CP2183" t="s">
        <v>119</v>
      </c>
      <c r="CQ2183">
        <v>364</v>
      </c>
      <c r="CR2183">
        <v>0</v>
      </c>
      <c r="CW2183">
        <v>1448366</v>
      </c>
      <c r="CY2183">
        <v>1</v>
      </c>
      <c r="CZ2183">
        <v>0</v>
      </c>
      <c r="DA2183">
        <v>1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>"03/24/2022 22:18:38.940"</f>
        <v>03/24/2022 22:18:38.940</v>
      </c>
      <c r="C2184" t="str">
        <f t="shared" si="639"/>
        <v>FFDFD3C0</v>
      </c>
      <c r="D2184" t="s">
        <v>120</v>
      </c>
      <c r="E2184">
        <v>14</v>
      </c>
      <c r="F2184">
        <v>1014</v>
      </c>
      <c r="G2184" t="s">
        <v>121</v>
      </c>
      <c r="J2184" t="s">
        <v>122</v>
      </c>
      <c r="K2184">
        <v>0</v>
      </c>
      <c r="L2184">
        <v>3</v>
      </c>
      <c r="M2184">
        <v>0</v>
      </c>
      <c r="N2184">
        <v>2</v>
      </c>
      <c r="O2184">
        <v>0</v>
      </c>
      <c r="P2184">
        <v>1</v>
      </c>
      <c r="Q2184">
        <v>0</v>
      </c>
      <c r="S2184" t="str">
        <f t="shared" si="653"/>
        <v>22:18:38.000</v>
      </c>
      <c r="T2184" t="str">
        <f t="shared" si="653"/>
        <v>22:18:38.000</v>
      </c>
      <c r="U2184" t="str">
        <f t="shared" si="652"/>
        <v>A9D71F</v>
      </c>
      <c r="V2184">
        <v>0</v>
      </c>
      <c r="W2184">
        <v>0</v>
      </c>
      <c r="X2184">
        <v>2</v>
      </c>
      <c r="Z2184">
        <v>1</v>
      </c>
      <c r="AA2184">
        <v>8</v>
      </c>
      <c r="AB2184">
        <v>3</v>
      </c>
      <c r="AC2184">
        <v>0</v>
      </c>
      <c r="AD2184">
        <v>9</v>
      </c>
      <c r="AE2184">
        <v>0</v>
      </c>
      <c r="AF2184">
        <v>3</v>
      </c>
      <c r="AG2184">
        <v>1</v>
      </c>
      <c r="AH2184">
        <v>0</v>
      </c>
      <c r="AI2184" t="s">
        <v>1142</v>
      </c>
      <c r="AJ2184">
        <v>33.016061999999998</v>
      </c>
      <c r="AK2184" t="s">
        <v>1143</v>
      </c>
      <c r="AL2184">
        <v>-97.650689999999997</v>
      </c>
      <c r="AM2184">
        <v>25</v>
      </c>
      <c r="AN2184">
        <v>3300</v>
      </c>
      <c r="AO2184" t="s">
        <v>118</v>
      </c>
      <c r="AP2184">
        <v>28</v>
      </c>
      <c r="AQ2184">
        <v>-81</v>
      </c>
      <c r="AR2184">
        <v>-192</v>
      </c>
      <c r="AZ2184">
        <v>1200</v>
      </c>
      <c r="BA2184">
        <v>1</v>
      </c>
      <c r="BB2184" t="str">
        <f t="shared" si="640"/>
        <v xml:space="preserve">N733KP  </v>
      </c>
      <c r="BC2184">
        <v>1</v>
      </c>
      <c r="BE2184">
        <v>0</v>
      </c>
      <c r="BF2184">
        <v>0</v>
      </c>
      <c r="BG2184">
        <v>0</v>
      </c>
      <c r="BH2184">
        <v>3325</v>
      </c>
      <c r="BI2184">
        <v>1</v>
      </c>
      <c r="BJ2184">
        <v>1</v>
      </c>
      <c r="BK2184">
        <v>0</v>
      </c>
      <c r="BL2184">
        <v>0</v>
      </c>
      <c r="BO2184">
        <v>0</v>
      </c>
      <c r="BP2184">
        <v>0</v>
      </c>
      <c r="BW2184" t="str">
        <f>"22:18:38.787"</f>
        <v>22:18:38.787</v>
      </c>
      <c r="CJ2184">
        <v>0</v>
      </c>
      <c r="CK2184">
        <v>2</v>
      </c>
      <c r="CL2184">
        <v>0</v>
      </c>
      <c r="CM2184">
        <v>2</v>
      </c>
      <c r="CN2184">
        <v>0</v>
      </c>
      <c r="CO2184">
        <v>6</v>
      </c>
      <c r="CP2184" t="s">
        <v>119</v>
      </c>
      <c r="CQ2184">
        <v>364</v>
      </c>
      <c r="CR2184">
        <v>0</v>
      </c>
      <c r="CW2184">
        <v>1448366</v>
      </c>
      <c r="CY2184">
        <v>1</v>
      </c>
      <c r="CZ2184">
        <v>0</v>
      </c>
      <c r="DA2184">
        <v>1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>"03/24/2022 22:18:40.175"</f>
        <v>03/24/2022 22:18:40.175</v>
      </c>
      <c r="C2185" t="str">
        <f t="shared" si="639"/>
        <v>FFDFD3C0</v>
      </c>
      <c r="D2185" t="s">
        <v>123</v>
      </c>
      <c r="E2185">
        <v>8</v>
      </c>
      <c r="H2185">
        <v>31</v>
      </c>
      <c r="I2185" t="s">
        <v>124</v>
      </c>
      <c r="J2185" t="s">
        <v>125</v>
      </c>
      <c r="K2185">
        <v>0</v>
      </c>
      <c r="L2185">
        <v>3</v>
      </c>
      <c r="M2185">
        <v>0</v>
      </c>
      <c r="N2185">
        <v>2</v>
      </c>
      <c r="O2185">
        <v>0</v>
      </c>
      <c r="P2185">
        <v>1</v>
      </c>
      <c r="Q2185">
        <v>0</v>
      </c>
      <c r="S2185" t="str">
        <f t="shared" ref="S2185:T2188" si="654">"22:18:39.000"</f>
        <v>22:18:39.000</v>
      </c>
      <c r="T2185" t="str">
        <f t="shared" si="654"/>
        <v>22:18:39.000</v>
      </c>
      <c r="U2185" t="str">
        <f t="shared" si="652"/>
        <v>A9D71F</v>
      </c>
      <c r="V2185">
        <v>0</v>
      </c>
      <c r="W2185">
        <v>0</v>
      </c>
      <c r="X2185">
        <v>2</v>
      </c>
      <c r="Z2185">
        <v>1</v>
      </c>
      <c r="AA2185">
        <v>8</v>
      </c>
      <c r="AB2185">
        <v>3</v>
      </c>
      <c r="AC2185">
        <v>0</v>
      </c>
      <c r="AD2185">
        <v>9</v>
      </c>
      <c r="AE2185">
        <v>0</v>
      </c>
      <c r="AF2185">
        <v>3</v>
      </c>
      <c r="AG2185">
        <v>1</v>
      </c>
      <c r="AH2185">
        <v>0</v>
      </c>
      <c r="AI2185" t="s">
        <v>1144</v>
      </c>
      <c r="AJ2185">
        <v>33.015697000000003</v>
      </c>
      <c r="AK2185" t="s">
        <v>1145</v>
      </c>
      <c r="AL2185">
        <v>-97.650540000000007</v>
      </c>
      <c r="AM2185">
        <v>25</v>
      </c>
      <c r="AN2185">
        <v>3300</v>
      </c>
      <c r="AO2185" t="s">
        <v>118</v>
      </c>
      <c r="AP2185">
        <v>25</v>
      </c>
      <c r="AQ2185">
        <v>-82</v>
      </c>
      <c r="AR2185">
        <v>-192</v>
      </c>
      <c r="AZ2185">
        <v>1200</v>
      </c>
      <c r="BA2185">
        <v>1</v>
      </c>
      <c r="BB2185" t="str">
        <f t="shared" si="640"/>
        <v xml:space="preserve">N733KP  </v>
      </c>
      <c r="BC2185">
        <v>1</v>
      </c>
      <c r="BE2185">
        <v>0</v>
      </c>
      <c r="BF2185">
        <v>0</v>
      </c>
      <c r="BG2185">
        <v>0</v>
      </c>
      <c r="BH2185">
        <v>3325</v>
      </c>
      <c r="BI2185">
        <v>1</v>
      </c>
      <c r="BJ2185">
        <v>1</v>
      </c>
      <c r="BK2185">
        <v>0</v>
      </c>
      <c r="BL2185">
        <v>0</v>
      </c>
      <c r="BO2185">
        <v>0</v>
      </c>
      <c r="BP2185">
        <v>0</v>
      </c>
      <c r="BW2185" t="str">
        <f>"22:18:39.964"</f>
        <v>22:18:39.964</v>
      </c>
      <c r="CJ2185">
        <v>0</v>
      </c>
      <c r="CK2185">
        <v>2</v>
      </c>
      <c r="CL2185">
        <v>0</v>
      </c>
      <c r="CM2185">
        <v>2</v>
      </c>
      <c r="CN2185">
        <v>0</v>
      </c>
      <c r="CO2185">
        <v>7</v>
      </c>
      <c r="CP2185" t="s">
        <v>119</v>
      </c>
      <c r="CQ2185">
        <v>364</v>
      </c>
      <c r="CR2185">
        <v>0</v>
      </c>
      <c r="CW2185">
        <v>1448523</v>
      </c>
      <c r="CY2185">
        <v>1</v>
      </c>
      <c r="CZ2185">
        <v>0</v>
      </c>
      <c r="DA2185">
        <v>0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>"03/24/2022 22:18:40.175"</f>
        <v>03/24/2022 22:18:40.175</v>
      </c>
      <c r="C2186" t="str">
        <f t="shared" si="639"/>
        <v>FFDFD3C0</v>
      </c>
      <c r="D2186" t="s">
        <v>126</v>
      </c>
      <c r="E2186">
        <v>3</v>
      </c>
      <c r="H2186">
        <v>160</v>
      </c>
      <c r="I2186" t="s">
        <v>121</v>
      </c>
      <c r="J2186" t="s">
        <v>127</v>
      </c>
      <c r="K2186">
        <v>0</v>
      </c>
      <c r="L2186">
        <v>3</v>
      </c>
      <c r="M2186">
        <v>0</v>
      </c>
      <c r="N2186">
        <v>2</v>
      </c>
      <c r="O2186">
        <v>0</v>
      </c>
      <c r="P2186">
        <v>1</v>
      </c>
      <c r="Q2186">
        <v>0</v>
      </c>
      <c r="S2186" t="str">
        <f t="shared" si="654"/>
        <v>22:18:39.000</v>
      </c>
      <c r="T2186" t="str">
        <f t="shared" si="654"/>
        <v>22:18:39.000</v>
      </c>
      <c r="U2186" t="str">
        <f t="shared" si="652"/>
        <v>A9D71F</v>
      </c>
      <c r="V2186">
        <v>0</v>
      </c>
      <c r="W2186">
        <v>0</v>
      </c>
      <c r="X2186">
        <v>2</v>
      </c>
      <c r="Z2186">
        <v>1</v>
      </c>
      <c r="AA2186">
        <v>8</v>
      </c>
      <c r="AB2186">
        <v>3</v>
      </c>
      <c r="AC2186">
        <v>0</v>
      </c>
      <c r="AD2186">
        <v>9</v>
      </c>
      <c r="AE2186">
        <v>0</v>
      </c>
      <c r="AF2186">
        <v>3</v>
      </c>
      <c r="AG2186">
        <v>1</v>
      </c>
      <c r="AH2186">
        <v>0</v>
      </c>
      <c r="AI2186" t="s">
        <v>1144</v>
      </c>
      <c r="AJ2186">
        <v>33.015697000000003</v>
      </c>
      <c r="AK2186" t="s">
        <v>1145</v>
      </c>
      <c r="AL2186">
        <v>-97.650540000000007</v>
      </c>
      <c r="AM2186">
        <v>25</v>
      </c>
      <c r="AN2186">
        <v>3300</v>
      </c>
      <c r="AO2186" t="s">
        <v>118</v>
      </c>
      <c r="AP2186">
        <v>25</v>
      </c>
      <c r="AQ2186">
        <v>-82</v>
      </c>
      <c r="AR2186">
        <v>-192</v>
      </c>
      <c r="AZ2186">
        <v>1200</v>
      </c>
      <c r="BA2186">
        <v>1</v>
      </c>
      <c r="BB2186" t="str">
        <f t="shared" si="640"/>
        <v xml:space="preserve">N733KP  </v>
      </c>
      <c r="BC2186">
        <v>1</v>
      </c>
      <c r="BE2186">
        <v>0</v>
      </c>
      <c r="BF2186">
        <v>0</v>
      </c>
      <c r="BG2186">
        <v>0</v>
      </c>
      <c r="BH2186">
        <v>3325</v>
      </c>
      <c r="BI2186">
        <v>1</v>
      </c>
      <c r="BJ2186">
        <v>1</v>
      </c>
      <c r="BK2186">
        <v>0</v>
      </c>
      <c r="BL2186">
        <v>0</v>
      </c>
      <c r="BO2186">
        <v>0</v>
      </c>
      <c r="BP2186">
        <v>0</v>
      </c>
      <c r="BW2186" t="str">
        <f>"22:18:39.964"</f>
        <v>22:18:39.964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7</v>
      </c>
      <c r="CP2186" t="s">
        <v>119</v>
      </c>
      <c r="CQ2186">
        <v>364</v>
      </c>
      <c r="CR2186">
        <v>0</v>
      </c>
      <c r="CW2186">
        <v>1448523</v>
      </c>
      <c r="CY2186">
        <v>1</v>
      </c>
      <c r="CZ2186">
        <v>0</v>
      </c>
      <c r="DA2186">
        <v>1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>"03/24/2022 22:18:40.190"</f>
        <v>03/24/2022 22:18:40.190</v>
      </c>
      <c r="C2187" t="str">
        <f t="shared" si="639"/>
        <v>FFDFD3C0</v>
      </c>
      <c r="D2187" t="s">
        <v>120</v>
      </c>
      <c r="E2187">
        <v>14</v>
      </c>
      <c r="F2187">
        <v>1014</v>
      </c>
      <c r="G2187" t="s">
        <v>121</v>
      </c>
      <c r="J2187" t="s">
        <v>122</v>
      </c>
      <c r="K2187">
        <v>0</v>
      </c>
      <c r="L2187">
        <v>3</v>
      </c>
      <c r="M2187">
        <v>0</v>
      </c>
      <c r="N2187">
        <v>2</v>
      </c>
      <c r="O2187">
        <v>0</v>
      </c>
      <c r="P2187">
        <v>1</v>
      </c>
      <c r="Q2187">
        <v>0</v>
      </c>
      <c r="S2187" t="str">
        <f t="shared" si="654"/>
        <v>22:18:39.000</v>
      </c>
      <c r="T2187" t="str">
        <f t="shared" si="654"/>
        <v>22:18:39.000</v>
      </c>
      <c r="U2187" t="str">
        <f t="shared" si="652"/>
        <v>A9D71F</v>
      </c>
      <c r="V2187">
        <v>0</v>
      </c>
      <c r="W2187">
        <v>0</v>
      </c>
      <c r="X2187">
        <v>2</v>
      </c>
      <c r="Z2187">
        <v>1</v>
      </c>
      <c r="AA2187">
        <v>8</v>
      </c>
      <c r="AB2187">
        <v>3</v>
      </c>
      <c r="AC2187">
        <v>0</v>
      </c>
      <c r="AD2187">
        <v>9</v>
      </c>
      <c r="AE2187">
        <v>0</v>
      </c>
      <c r="AF2187">
        <v>3</v>
      </c>
      <c r="AG2187">
        <v>1</v>
      </c>
      <c r="AH2187">
        <v>0</v>
      </c>
      <c r="AI2187" t="s">
        <v>1144</v>
      </c>
      <c r="AJ2187">
        <v>33.015697000000003</v>
      </c>
      <c r="AK2187" t="s">
        <v>1145</v>
      </c>
      <c r="AL2187">
        <v>-97.650540000000007</v>
      </c>
      <c r="AM2187">
        <v>25</v>
      </c>
      <c r="AN2187">
        <v>3300</v>
      </c>
      <c r="AO2187" t="s">
        <v>118</v>
      </c>
      <c r="AP2187">
        <v>25</v>
      </c>
      <c r="AQ2187">
        <v>-82</v>
      </c>
      <c r="AR2187">
        <v>-192</v>
      </c>
      <c r="AZ2187">
        <v>1200</v>
      </c>
      <c r="BA2187">
        <v>1</v>
      </c>
      <c r="BB2187" t="str">
        <f t="shared" si="640"/>
        <v xml:space="preserve">N733KP  </v>
      </c>
      <c r="BC2187">
        <v>1</v>
      </c>
      <c r="BE2187">
        <v>0</v>
      </c>
      <c r="BF2187">
        <v>0</v>
      </c>
      <c r="BG2187">
        <v>0</v>
      </c>
      <c r="BH2187">
        <v>3325</v>
      </c>
      <c r="BI2187">
        <v>1</v>
      </c>
      <c r="BJ2187">
        <v>1</v>
      </c>
      <c r="BK2187">
        <v>0</v>
      </c>
      <c r="BL2187">
        <v>0</v>
      </c>
      <c r="BO2187">
        <v>0</v>
      </c>
      <c r="BP2187">
        <v>0</v>
      </c>
      <c r="BW2187" t="str">
        <f>"22:18:39.964"</f>
        <v>22:18:39.964</v>
      </c>
      <c r="CJ2187">
        <v>0</v>
      </c>
      <c r="CK2187">
        <v>2</v>
      </c>
      <c r="CL2187">
        <v>0</v>
      </c>
      <c r="CM2187">
        <v>2</v>
      </c>
      <c r="CN2187">
        <v>0</v>
      </c>
      <c r="CO2187">
        <v>7</v>
      </c>
      <c r="CP2187" t="s">
        <v>119</v>
      </c>
      <c r="CQ2187">
        <v>364</v>
      </c>
      <c r="CR2187">
        <v>0</v>
      </c>
      <c r="CW2187">
        <v>1448523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>"03/24/2022 22:18:40.190"</f>
        <v>03/24/2022 22:18:40.190</v>
      </c>
      <c r="C2188" t="str">
        <f t="shared" si="639"/>
        <v>FFDFD3C0</v>
      </c>
      <c r="D2188" t="s">
        <v>113</v>
      </c>
      <c r="E2188">
        <v>24</v>
      </c>
      <c r="F2188">
        <v>2024</v>
      </c>
      <c r="G2188" t="s">
        <v>114</v>
      </c>
      <c r="J2188" t="s">
        <v>115</v>
      </c>
      <c r="K2188">
        <v>0</v>
      </c>
      <c r="L2188">
        <v>3</v>
      </c>
      <c r="M2188">
        <v>0</v>
      </c>
      <c r="N2188">
        <v>2</v>
      </c>
      <c r="O2188">
        <v>0</v>
      </c>
      <c r="P2188">
        <v>1</v>
      </c>
      <c r="Q2188">
        <v>0</v>
      </c>
      <c r="S2188" t="str">
        <f t="shared" si="654"/>
        <v>22:18:39.000</v>
      </c>
      <c r="T2188" t="str">
        <f t="shared" si="654"/>
        <v>22:18:39.000</v>
      </c>
      <c r="U2188" t="str">
        <f t="shared" si="652"/>
        <v>A9D71F</v>
      </c>
      <c r="V2188">
        <v>0</v>
      </c>
      <c r="W2188">
        <v>0</v>
      </c>
      <c r="X2188">
        <v>2</v>
      </c>
      <c r="Z2188">
        <v>1</v>
      </c>
      <c r="AA2188">
        <v>8</v>
      </c>
      <c r="AB2188">
        <v>3</v>
      </c>
      <c r="AC2188">
        <v>0</v>
      </c>
      <c r="AD2188">
        <v>9</v>
      </c>
      <c r="AE2188">
        <v>0</v>
      </c>
      <c r="AF2188">
        <v>3</v>
      </c>
      <c r="AG2188">
        <v>1</v>
      </c>
      <c r="AH2188">
        <v>0</v>
      </c>
      <c r="AI2188" t="s">
        <v>1144</v>
      </c>
      <c r="AJ2188">
        <v>33.015697000000003</v>
      </c>
      <c r="AK2188" t="s">
        <v>1145</v>
      </c>
      <c r="AL2188">
        <v>-97.650540000000007</v>
      </c>
      <c r="AM2188">
        <v>25</v>
      </c>
      <c r="AN2188">
        <v>3300</v>
      </c>
      <c r="AO2188" t="s">
        <v>118</v>
      </c>
      <c r="AP2188">
        <v>25</v>
      </c>
      <c r="AQ2188">
        <v>-82</v>
      </c>
      <c r="AR2188">
        <v>-192</v>
      </c>
      <c r="AZ2188">
        <v>1200</v>
      </c>
      <c r="BA2188">
        <v>1</v>
      </c>
      <c r="BB2188" t="str">
        <f t="shared" si="640"/>
        <v xml:space="preserve">N733KP  </v>
      </c>
      <c r="BC2188">
        <v>1</v>
      </c>
      <c r="BE2188">
        <v>0</v>
      </c>
      <c r="BF2188">
        <v>0</v>
      </c>
      <c r="BG2188">
        <v>0</v>
      </c>
      <c r="BH2188">
        <v>3325</v>
      </c>
      <c r="BI2188">
        <v>1</v>
      </c>
      <c r="BJ2188">
        <v>1</v>
      </c>
      <c r="BK2188">
        <v>0</v>
      </c>
      <c r="BL2188">
        <v>0</v>
      </c>
      <c r="BO2188">
        <v>0</v>
      </c>
      <c r="BP2188">
        <v>0</v>
      </c>
      <c r="BW2188" t="str">
        <f>"22:18:39.964"</f>
        <v>22:18:39.964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7</v>
      </c>
      <c r="CP2188" t="s">
        <v>119</v>
      </c>
      <c r="CQ2188">
        <v>364</v>
      </c>
      <c r="CR2188">
        <v>0</v>
      </c>
      <c r="CW2188">
        <v>1448523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>"03/24/2022 22:18:40.831"</f>
        <v>03/24/2022 22:18:40.831</v>
      </c>
      <c r="C2189" t="str">
        <f t="shared" si="639"/>
        <v>FFDFD3C0</v>
      </c>
      <c r="D2189" t="s">
        <v>126</v>
      </c>
      <c r="E2189">
        <v>3</v>
      </c>
      <c r="H2189">
        <v>160</v>
      </c>
      <c r="I2189" t="s">
        <v>121</v>
      </c>
      <c r="J2189" t="s">
        <v>127</v>
      </c>
      <c r="K2189">
        <v>0</v>
      </c>
      <c r="L2189">
        <v>3</v>
      </c>
      <c r="M2189">
        <v>0</v>
      </c>
      <c r="N2189">
        <v>2</v>
      </c>
      <c r="O2189">
        <v>0</v>
      </c>
      <c r="P2189">
        <v>1</v>
      </c>
      <c r="Q2189">
        <v>0</v>
      </c>
      <c r="S2189" t="str">
        <f t="shared" ref="S2189:T2192" si="655">"22:18:40.000"</f>
        <v>22:18:40.000</v>
      </c>
      <c r="T2189" t="str">
        <f t="shared" si="655"/>
        <v>22:18:40.000</v>
      </c>
      <c r="U2189" t="str">
        <f t="shared" si="652"/>
        <v>A9D71F</v>
      </c>
      <c r="V2189">
        <v>0</v>
      </c>
      <c r="W2189">
        <v>0</v>
      </c>
      <c r="X2189">
        <v>2</v>
      </c>
      <c r="Z2189">
        <v>1</v>
      </c>
      <c r="AA2189">
        <v>8</v>
      </c>
      <c r="AB2189">
        <v>3</v>
      </c>
      <c r="AC2189">
        <v>0</v>
      </c>
      <c r="AD2189">
        <v>9</v>
      </c>
      <c r="AE2189">
        <v>0</v>
      </c>
      <c r="AF2189">
        <v>3</v>
      </c>
      <c r="AG2189">
        <v>1</v>
      </c>
      <c r="AH2189">
        <v>0</v>
      </c>
      <c r="AI2189" t="s">
        <v>1146</v>
      </c>
      <c r="AJ2189">
        <v>33.015289000000003</v>
      </c>
      <c r="AK2189" t="s">
        <v>1147</v>
      </c>
      <c r="AL2189">
        <v>-97.650390000000002</v>
      </c>
      <c r="AM2189">
        <v>25</v>
      </c>
      <c r="AN2189">
        <v>3300</v>
      </c>
      <c r="AO2189" t="s">
        <v>118</v>
      </c>
      <c r="AP2189">
        <v>23</v>
      </c>
      <c r="AQ2189">
        <v>-82</v>
      </c>
      <c r="AR2189">
        <v>-192</v>
      </c>
      <c r="AZ2189">
        <v>1200</v>
      </c>
      <c r="BA2189">
        <v>1</v>
      </c>
      <c r="BB2189" t="str">
        <f t="shared" si="640"/>
        <v xml:space="preserve">N733KP  </v>
      </c>
      <c r="BC2189">
        <v>1</v>
      </c>
      <c r="BE2189">
        <v>0</v>
      </c>
      <c r="BF2189">
        <v>0</v>
      </c>
      <c r="BG2189">
        <v>0</v>
      </c>
      <c r="BH2189">
        <v>3325</v>
      </c>
      <c r="BI2189">
        <v>1</v>
      </c>
      <c r="BJ2189">
        <v>1</v>
      </c>
      <c r="BK2189">
        <v>0</v>
      </c>
      <c r="BL2189">
        <v>0</v>
      </c>
      <c r="BO2189">
        <v>0</v>
      </c>
      <c r="BP2189">
        <v>0</v>
      </c>
      <c r="BW2189" t="str">
        <f>"22:18:40.620"</f>
        <v>22:18:40.620</v>
      </c>
      <c r="CJ2189">
        <v>0</v>
      </c>
      <c r="CK2189">
        <v>2</v>
      </c>
      <c r="CL2189">
        <v>0</v>
      </c>
      <c r="CM2189">
        <v>2</v>
      </c>
      <c r="CN2189">
        <v>0</v>
      </c>
      <c r="CO2189">
        <v>7</v>
      </c>
      <c r="CP2189" t="s">
        <v>119</v>
      </c>
      <c r="CQ2189">
        <v>364</v>
      </c>
      <c r="CR2189">
        <v>0</v>
      </c>
      <c r="CW2189">
        <v>1448607</v>
      </c>
      <c r="CY2189">
        <v>1</v>
      </c>
      <c r="CZ2189">
        <v>0</v>
      </c>
      <c r="DA2189">
        <v>0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>"03/24/2022 22:18:40.847"</f>
        <v>03/24/2022 22:18:40.847</v>
      </c>
      <c r="C2190" t="str">
        <f t="shared" si="639"/>
        <v>FFDFD3C0</v>
      </c>
      <c r="D2190" t="s">
        <v>120</v>
      </c>
      <c r="E2190">
        <v>14</v>
      </c>
      <c r="F2190">
        <v>1014</v>
      </c>
      <c r="G2190" t="s">
        <v>121</v>
      </c>
      <c r="J2190" t="s">
        <v>122</v>
      </c>
      <c r="K2190">
        <v>0</v>
      </c>
      <c r="L2190">
        <v>3</v>
      </c>
      <c r="M2190">
        <v>0</v>
      </c>
      <c r="N2190">
        <v>2</v>
      </c>
      <c r="O2190">
        <v>0</v>
      </c>
      <c r="P2190">
        <v>1</v>
      </c>
      <c r="Q2190">
        <v>0</v>
      </c>
      <c r="S2190" t="str">
        <f t="shared" si="655"/>
        <v>22:18:40.000</v>
      </c>
      <c r="T2190" t="str">
        <f t="shared" si="655"/>
        <v>22:18:40.000</v>
      </c>
      <c r="U2190" t="str">
        <f t="shared" si="652"/>
        <v>A9D71F</v>
      </c>
      <c r="V2190">
        <v>0</v>
      </c>
      <c r="W2190">
        <v>0</v>
      </c>
      <c r="X2190">
        <v>2</v>
      </c>
      <c r="Z2190">
        <v>1</v>
      </c>
      <c r="AA2190">
        <v>8</v>
      </c>
      <c r="AB2190">
        <v>3</v>
      </c>
      <c r="AC2190">
        <v>0</v>
      </c>
      <c r="AD2190">
        <v>9</v>
      </c>
      <c r="AE2190">
        <v>0</v>
      </c>
      <c r="AF2190">
        <v>3</v>
      </c>
      <c r="AG2190">
        <v>1</v>
      </c>
      <c r="AH2190">
        <v>0</v>
      </c>
      <c r="AI2190" t="s">
        <v>1146</v>
      </c>
      <c r="AJ2190">
        <v>33.015289000000003</v>
      </c>
      <c r="AK2190" t="s">
        <v>1147</v>
      </c>
      <c r="AL2190">
        <v>-97.650390000000002</v>
      </c>
      <c r="AM2190">
        <v>25</v>
      </c>
      <c r="AN2190">
        <v>3300</v>
      </c>
      <c r="AO2190" t="s">
        <v>118</v>
      </c>
      <c r="AP2190">
        <v>23</v>
      </c>
      <c r="AQ2190">
        <v>-82</v>
      </c>
      <c r="AR2190">
        <v>-192</v>
      </c>
      <c r="AZ2190">
        <v>1200</v>
      </c>
      <c r="BA2190">
        <v>1</v>
      </c>
      <c r="BB2190" t="str">
        <f t="shared" si="640"/>
        <v xml:space="preserve">N733KP  </v>
      </c>
      <c r="BC2190">
        <v>1</v>
      </c>
      <c r="BE2190">
        <v>0</v>
      </c>
      <c r="BF2190">
        <v>0</v>
      </c>
      <c r="BG2190">
        <v>0</v>
      </c>
      <c r="BH2190">
        <v>3325</v>
      </c>
      <c r="BI2190">
        <v>1</v>
      </c>
      <c r="BJ2190">
        <v>1</v>
      </c>
      <c r="BK2190">
        <v>0</v>
      </c>
      <c r="BL2190">
        <v>0</v>
      </c>
      <c r="BO2190">
        <v>0</v>
      </c>
      <c r="BP2190">
        <v>0</v>
      </c>
      <c r="BW2190" t="str">
        <f>"22:18:40.620"</f>
        <v>22:18:40.620</v>
      </c>
      <c r="CJ2190">
        <v>0</v>
      </c>
      <c r="CK2190">
        <v>2</v>
      </c>
      <c r="CL2190">
        <v>0</v>
      </c>
      <c r="CM2190">
        <v>2</v>
      </c>
      <c r="CN2190">
        <v>0</v>
      </c>
      <c r="CO2190">
        <v>7</v>
      </c>
      <c r="CP2190" t="s">
        <v>119</v>
      </c>
      <c r="CQ2190">
        <v>364</v>
      </c>
      <c r="CR2190">
        <v>0</v>
      </c>
      <c r="CW2190">
        <v>1448607</v>
      </c>
      <c r="CY2190">
        <v>1</v>
      </c>
      <c r="CZ2190">
        <v>0</v>
      </c>
      <c r="DA2190">
        <v>1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>"03/24/2022 22:18:40.956"</f>
        <v>03/24/2022 22:18:40.956</v>
      </c>
      <c r="C2191" t="str">
        <f t="shared" si="639"/>
        <v>FFDFD3C0</v>
      </c>
      <c r="D2191" t="s">
        <v>113</v>
      </c>
      <c r="E2191">
        <v>24</v>
      </c>
      <c r="F2191">
        <v>2024</v>
      </c>
      <c r="G2191" t="s">
        <v>114</v>
      </c>
      <c r="J2191" t="s">
        <v>115</v>
      </c>
      <c r="K2191">
        <v>0</v>
      </c>
      <c r="L2191">
        <v>3</v>
      </c>
      <c r="M2191">
        <v>0</v>
      </c>
      <c r="N2191">
        <v>2</v>
      </c>
      <c r="O2191">
        <v>0</v>
      </c>
      <c r="P2191">
        <v>1</v>
      </c>
      <c r="Q2191">
        <v>0</v>
      </c>
      <c r="S2191" t="str">
        <f t="shared" si="655"/>
        <v>22:18:40.000</v>
      </c>
      <c r="T2191" t="str">
        <f t="shared" si="655"/>
        <v>22:18:40.000</v>
      </c>
      <c r="U2191" t="str">
        <f t="shared" si="652"/>
        <v>A9D71F</v>
      </c>
      <c r="V2191">
        <v>0</v>
      </c>
      <c r="W2191">
        <v>0</v>
      </c>
      <c r="X2191">
        <v>2</v>
      </c>
      <c r="Z2191">
        <v>1</v>
      </c>
      <c r="AA2191">
        <v>8</v>
      </c>
      <c r="AB2191">
        <v>3</v>
      </c>
      <c r="AC2191">
        <v>0</v>
      </c>
      <c r="AD2191">
        <v>9</v>
      </c>
      <c r="AE2191">
        <v>0</v>
      </c>
      <c r="AF2191">
        <v>3</v>
      </c>
      <c r="AG2191">
        <v>1</v>
      </c>
      <c r="AH2191">
        <v>0</v>
      </c>
      <c r="AI2191" t="s">
        <v>1146</v>
      </c>
      <c r="AJ2191">
        <v>33.015289000000003</v>
      </c>
      <c r="AK2191" t="s">
        <v>1147</v>
      </c>
      <c r="AL2191">
        <v>-97.650390000000002</v>
      </c>
      <c r="AM2191">
        <v>25</v>
      </c>
      <c r="AN2191">
        <v>3300</v>
      </c>
      <c r="AO2191" t="s">
        <v>118</v>
      </c>
      <c r="AP2191">
        <v>23</v>
      </c>
      <c r="AQ2191">
        <v>-82</v>
      </c>
      <c r="AR2191">
        <v>-192</v>
      </c>
      <c r="AZ2191">
        <v>1200</v>
      </c>
      <c r="BA2191">
        <v>1</v>
      </c>
      <c r="BB2191" t="str">
        <f t="shared" si="640"/>
        <v xml:space="preserve">N733KP  </v>
      </c>
      <c r="BC2191">
        <v>1</v>
      </c>
      <c r="BE2191">
        <v>0</v>
      </c>
      <c r="BF2191">
        <v>0</v>
      </c>
      <c r="BG2191">
        <v>0</v>
      </c>
      <c r="BH2191">
        <v>3325</v>
      </c>
      <c r="BI2191">
        <v>1</v>
      </c>
      <c r="BJ2191">
        <v>1</v>
      </c>
      <c r="BK2191">
        <v>0</v>
      </c>
      <c r="BL2191">
        <v>0</v>
      </c>
      <c r="BO2191">
        <v>0</v>
      </c>
      <c r="BP2191">
        <v>0</v>
      </c>
      <c r="BW2191" t="str">
        <f>"22:18:40.620"</f>
        <v>22:18:40.620</v>
      </c>
      <c r="CJ2191">
        <v>0</v>
      </c>
      <c r="CK2191">
        <v>2</v>
      </c>
      <c r="CL2191">
        <v>0</v>
      </c>
      <c r="CM2191">
        <v>2</v>
      </c>
      <c r="CN2191">
        <v>0</v>
      </c>
      <c r="CO2191">
        <v>7</v>
      </c>
      <c r="CP2191" t="s">
        <v>119</v>
      </c>
      <c r="CQ2191">
        <v>364</v>
      </c>
      <c r="CR2191">
        <v>0</v>
      </c>
      <c r="CW2191">
        <v>1448607</v>
      </c>
      <c r="CY2191">
        <v>1</v>
      </c>
      <c r="CZ2191">
        <v>0</v>
      </c>
      <c r="DA2191">
        <v>1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>"03/24/2022 22:18:40.956"</f>
        <v>03/24/2022 22:18:40.956</v>
      </c>
      <c r="C2192" t="str">
        <f t="shared" si="639"/>
        <v>FFDFD3C0</v>
      </c>
      <c r="D2192" t="s">
        <v>123</v>
      </c>
      <c r="E2192">
        <v>8</v>
      </c>
      <c r="H2192">
        <v>31</v>
      </c>
      <c r="I2192" t="s">
        <v>124</v>
      </c>
      <c r="J2192" t="s">
        <v>125</v>
      </c>
      <c r="K2192">
        <v>0</v>
      </c>
      <c r="L2192">
        <v>3</v>
      </c>
      <c r="M2192">
        <v>0</v>
      </c>
      <c r="N2192">
        <v>2</v>
      </c>
      <c r="O2192">
        <v>0</v>
      </c>
      <c r="P2192">
        <v>1</v>
      </c>
      <c r="Q2192">
        <v>0</v>
      </c>
      <c r="S2192" t="str">
        <f t="shared" si="655"/>
        <v>22:18:40.000</v>
      </c>
      <c r="T2192" t="str">
        <f t="shared" si="655"/>
        <v>22:18:40.000</v>
      </c>
      <c r="U2192" t="str">
        <f t="shared" si="652"/>
        <v>A9D71F</v>
      </c>
      <c r="V2192">
        <v>0</v>
      </c>
      <c r="W2192">
        <v>0</v>
      </c>
      <c r="X2192">
        <v>2</v>
      </c>
      <c r="Z2192">
        <v>1</v>
      </c>
      <c r="AA2192">
        <v>8</v>
      </c>
      <c r="AB2192">
        <v>3</v>
      </c>
      <c r="AC2192">
        <v>0</v>
      </c>
      <c r="AD2192">
        <v>9</v>
      </c>
      <c r="AE2192">
        <v>0</v>
      </c>
      <c r="AF2192">
        <v>3</v>
      </c>
      <c r="AG2192">
        <v>1</v>
      </c>
      <c r="AH2192">
        <v>0</v>
      </c>
      <c r="AI2192" t="s">
        <v>1146</v>
      </c>
      <c r="AJ2192">
        <v>33.015289000000003</v>
      </c>
      <c r="AK2192" t="s">
        <v>1147</v>
      </c>
      <c r="AL2192">
        <v>-97.650390000000002</v>
      </c>
      <c r="AM2192">
        <v>25</v>
      </c>
      <c r="AN2192">
        <v>3300</v>
      </c>
      <c r="AO2192" t="s">
        <v>118</v>
      </c>
      <c r="AP2192">
        <v>23</v>
      </c>
      <c r="AQ2192">
        <v>-82</v>
      </c>
      <c r="AR2192">
        <v>-192</v>
      </c>
      <c r="AZ2192">
        <v>1200</v>
      </c>
      <c r="BA2192">
        <v>1</v>
      </c>
      <c r="BB2192" t="str">
        <f t="shared" si="640"/>
        <v xml:space="preserve">N733KP  </v>
      </c>
      <c r="BC2192">
        <v>1</v>
      </c>
      <c r="BE2192">
        <v>0</v>
      </c>
      <c r="BF2192">
        <v>0</v>
      </c>
      <c r="BG2192">
        <v>0</v>
      </c>
      <c r="BH2192">
        <v>3325</v>
      </c>
      <c r="BI2192">
        <v>1</v>
      </c>
      <c r="BJ2192">
        <v>1</v>
      </c>
      <c r="BK2192">
        <v>0</v>
      </c>
      <c r="BL2192">
        <v>0</v>
      </c>
      <c r="BO2192">
        <v>0</v>
      </c>
      <c r="BP2192">
        <v>0</v>
      </c>
      <c r="BW2192" t="str">
        <f>"22:18:40.620"</f>
        <v>22:18:40.620</v>
      </c>
      <c r="CJ2192">
        <v>0</v>
      </c>
      <c r="CK2192">
        <v>2</v>
      </c>
      <c r="CL2192">
        <v>0</v>
      </c>
      <c r="CM2192">
        <v>2</v>
      </c>
      <c r="CN2192">
        <v>0</v>
      </c>
      <c r="CO2192">
        <v>7</v>
      </c>
      <c r="CP2192" t="s">
        <v>119</v>
      </c>
      <c r="CQ2192">
        <v>364</v>
      </c>
      <c r="CR2192">
        <v>0</v>
      </c>
      <c r="CW2192">
        <v>1448607</v>
      </c>
      <c r="CY2192">
        <v>1</v>
      </c>
      <c r="CZ2192">
        <v>0</v>
      </c>
      <c r="DA2192">
        <v>1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>"03/24/2022 22:18:41.847"</f>
        <v>03/24/2022 22:18:41.847</v>
      </c>
      <c r="C2193" t="str">
        <f t="shared" si="639"/>
        <v>FFDFD3C0</v>
      </c>
      <c r="D2193" t="s">
        <v>120</v>
      </c>
      <c r="E2193">
        <v>14</v>
      </c>
      <c r="F2193">
        <v>1014</v>
      </c>
      <c r="G2193" t="s">
        <v>121</v>
      </c>
      <c r="J2193" t="s">
        <v>122</v>
      </c>
      <c r="K2193">
        <v>0</v>
      </c>
      <c r="L2193">
        <v>3</v>
      </c>
      <c r="M2193">
        <v>0</v>
      </c>
      <c r="N2193">
        <v>2</v>
      </c>
      <c r="O2193">
        <v>0</v>
      </c>
      <c r="P2193">
        <v>1</v>
      </c>
      <c r="Q2193">
        <v>0</v>
      </c>
      <c r="S2193" t="str">
        <f t="shared" ref="S2193:T2196" si="656">"22:18:41.000"</f>
        <v>22:18:41.000</v>
      </c>
      <c r="T2193" t="str">
        <f t="shared" si="656"/>
        <v>22:18:41.000</v>
      </c>
      <c r="U2193" t="str">
        <f t="shared" si="652"/>
        <v>A9D71F</v>
      </c>
      <c r="V2193">
        <v>0</v>
      </c>
      <c r="W2193">
        <v>0</v>
      </c>
      <c r="X2193">
        <v>2</v>
      </c>
      <c r="Z2193">
        <v>1</v>
      </c>
      <c r="AA2193">
        <v>8</v>
      </c>
      <c r="AB2193">
        <v>3</v>
      </c>
      <c r="AC2193">
        <v>0</v>
      </c>
      <c r="AD2193">
        <v>9</v>
      </c>
      <c r="AE2193">
        <v>0</v>
      </c>
      <c r="AF2193">
        <v>3</v>
      </c>
      <c r="AG2193">
        <v>1</v>
      </c>
      <c r="AH2193">
        <v>0</v>
      </c>
      <c r="AI2193" t="s">
        <v>1148</v>
      </c>
      <c r="AJ2193">
        <v>33.014902999999997</v>
      </c>
      <c r="AK2193" t="s">
        <v>1149</v>
      </c>
      <c r="AL2193">
        <v>-97.650238999999999</v>
      </c>
      <c r="AM2193">
        <v>25</v>
      </c>
      <c r="AN2193">
        <v>3300</v>
      </c>
      <c r="AO2193" t="s">
        <v>118</v>
      </c>
      <c r="AP2193">
        <v>19</v>
      </c>
      <c r="AQ2193">
        <v>-83</v>
      </c>
      <c r="AR2193">
        <v>-64</v>
      </c>
      <c r="AZ2193">
        <v>1200</v>
      </c>
      <c r="BA2193">
        <v>1</v>
      </c>
      <c r="BB2193" t="str">
        <f t="shared" si="640"/>
        <v xml:space="preserve">N733KP  </v>
      </c>
      <c r="BC2193">
        <v>1</v>
      </c>
      <c r="BE2193">
        <v>0</v>
      </c>
      <c r="BF2193">
        <v>0</v>
      </c>
      <c r="BG2193">
        <v>0</v>
      </c>
      <c r="BH2193">
        <v>3325</v>
      </c>
      <c r="BI2193">
        <v>1</v>
      </c>
      <c r="BJ2193">
        <v>1</v>
      </c>
      <c r="BK2193">
        <v>0</v>
      </c>
      <c r="BL2193">
        <v>0</v>
      </c>
      <c r="BO2193">
        <v>0</v>
      </c>
      <c r="BP2193">
        <v>0</v>
      </c>
      <c r="BW2193" t="str">
        <f>"22:18:41.600"</f>
        <v>22:18:41.600</v>
      </c>
      <c r="CJ2193">
        <v>0</v>
      </c>
      <c r="CK2193">
        <v>2</v>
      </c>
      <c r="CL2193">
        <v>0</v>
      </c>
      <c r="CM2193">
        <v>2</v>
      </c>
      <c r="CN2193">
        <v>0</v>
      </c>
      <c r="CO2193">
        <v>6</v>
      </c>
      <c r="CP2193" t="s">
        <v>119</v>
      </c>
      <c r="CQ2193">
        <v>364</v>
      </c>
      <c r="CR2193">
        <v>0</v>
      </c>
      <c r="CW2193">
        <v>1448721</v>
      </c>
      <c r="CY2193">
        <v>1</v>
      </c>
      <c r="CZ2193">
        <v>0</v>
      </c>
      <c r="DA2193">
        <v>0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>"03/24/2022 22:18:41.847"</f>
        <v>03/24/2022 22:18:41.847</v>
      </c>
      <c r="C2194" t="str">
        <f t="shared" si="639"/>
        <v>FFDFD3C0</v>
      </c>
      <c r="D2194" t="s">
        <v>113</v>
      </c>
      <c r="E2194">
        <v>24</v>
      </c>
      <c r="F2194">
        <v>2024</v>
      </c>
      <c r="G2194" t="s">
        <v>114</v>
      </c>
      <c r="J2194" t="s">
        <v>115</v>
      </c>
      <c r="K2194">
        <v>0</v>
      </c>
      <c r="L2194">
        <v>3</v>
      </c>
      <c r="M2194">
        <v>0</v>
      </c>
      <c r="N2194">
        <v>2</v>
      </c>
      <c r="O2194">
        <v>0</v>
      </c>
      <c r="P2194">
        <v>1</v>
      </c>
      <c r="Q2194">
        <v>0</v>
      </c>
      <c r="S2194" t="str">
        <f t="shared" si="656"/>
        <v>22:18:41.000</v>
      </c>
      <c r="T2194" t="str">
        <f t="shared" si="656"/>
        <v>22:18:41.000</v>
      </c>
      <c r="U2194" t="str">
        <f t="shared" si="652"/>
        <v>A9D71F</v>
      </c>
      <c r="V2194">
        <v>0</v>
      </c>
      <c r="W2194">
        <v>0</v>
      </c>
      <c r="X2194">
        <v>2</v>
      </c>
      <c r="Z2194">
        <v>1</v>
      </c>
      <c r="AA2194">
        <v>8</v>
      </c>
      <c r="AB2194">
        <v>3</v>
      </c>
      <c r="AC2194">
        <v>0</v>
      </c>
      <c r="AD2194">
        <v>9</v>
      </c>
      <c r="AE2194">
        <v>0</v>
      </c>
      <c r="AF2194">
        <v>3</v>
      </c>
      <c r="AG2194">
        <v>1</v>
      </c>
      <c r="AH2194">
        <v>0</v>
      </c>
      <c r="AI2194" t="s">
        <v>1148</v>
      </c>
      <c r="AJ2194">
        <v>33.014902999999997</v>
      </c>
      <c r="AK2194" t="s">
        <v>1149</v>
      </c>
      <c r="AL2194">
        <v>-97.650238999999999</v>
      </c>
      <c r="AM2194">
        <v>25</v>
      </c>
      <c r="AN2194">
        <v>3300</v>
      </c>
      <c r="AO2194" t="s">
        <v>118</v>
      </c>
      <c r="AP2194">
        <v>19</v>
      </c>
      <c r="AQ2194">
        <v>-83</v>
      </c>
      <c r="AR2194">
        <v>-64</v>
      </c>
      <c r="AZ2194">
        <v>1200</v>
      </c>
      <c r="BA2194">
        <v>1</v>
      </c>
      <c r="BB2194" t="str">
        <f t="shared" si="640"/>
        <v xml:space="preserve">N733KP  </v>
      </c>
      <c r="BC2194">
        <v>1</v>
      </c>
      <c r="BE2194">
        <v>0</v>
      </c>
      <c r="BF2194">
        <v>0</v>
      </c>
      <c r="BG2194">
        <v>0</v>
      </c>
      <c r="BH2194">
        <v>3325</v>
      </c>
      <c r="BI2194">
        <v>1</v>
      </c>
      <c r="BJ2194">
        <v>1</v>
      </c>
      <c r="BK2194">
        <v>0</v>
      </c>
      <c r="BL2194">
        <v>0</v>
      </c>
      <c r="BO2194">
        <v>0</v>
      </c>
      <c r="BP2194">
        <v>0</v>
      </c>
      <c r="BW2194" t="str">
        <f>"22:18:41.600"</f>
        <v>22:18:41.600</v>
      </c>
      <c r="CJ2194">
        <v>0</v>
      </c>
      <c r="CK2194">
        <v>2</v>
      </c>
      <c r="CL2194">
        <v>0</v>
      </c>
      <c r="CM2194">
        <v>2</v>
      </c>
      <c r="CN2194">
        <v>0</v>
      </c>
      <c r="CO2194">
        <v>6</v>
      </c>
      <c r="CP2194" t="s">
        <v>119</v>
      </c>
      <c r="CQ2194">
        <v>364</v>
      </c>
      <c r="CR2194">
        <v>0</v>
      </c>
      <c r="CW2194">
        <v>1448721</v>
      </c>
      <c r="CY2194">
        <v>1</v>
      </c>
      <c r="CZ2194">
        <v>0</v>
      </c>
      <c r="DA2194">
        <v>1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>"03/24/2022 22:18:41.847"</f>
        <v>03/24/2022 22:18:41.847</v>
      </c>
      <c r="C2195" t="str">
        <f t="shared" si="639"/>
        <v>FFDFD3C0</v>
      </c>
      <c r="D2195" t="s">
        <v>123</v>
      </c>
      <c r="E2195">
        <v>8</v>
      </c>
      <c r="H2195">
        <v>31</v>
      </c>
      <c r="I2195" t="s">
        <v>124</v>
      </c>
      <c r="J2195" t="s">
        <v>125</v>
      </c>
      <c r="K2195">
        <v>0</v>
      </c>
      <c r="L2195">
        <v>3</v>
      </c>
      <c r="M2195">
        <v>0</v>
      </c>
      <c r="N2195">
        <v>2</v>
      </c>
      <c r="O2195">
        <v>0</v>
      </c>
      <c r="P2195">
        <v>1</v>
      </c>
      <c r="Q2195">
        <v>0</v>
      </c>
      <c r="S2195" t="str">
        <f t="shared" si="656"/>
        <v>22:18:41.000</v>
      </c>
      <c r="T2195" t="str">
        <f t="shared" si="656"/>
        <v>22:18:41.000</v>
      </c>
      <c r="U2195" t="str">
        <f t="shared" si="652"/>
        <v>A9D71F</v>
      </c>
      <c r="V2195">
        <v>0</v>
      </c>
      <c r="W2195">
        <v>0</v>
      </c>
      <c r="X2195">
        <v>2</v>
      </c>
      <c r="Z2195">
        <v>1</v>
      </c>
      <c r="AA2195">
        <v>8</v>
      </c>
      <c r="AB2195">
        <v>3</v>
      </c>
      <c r="AC2195">
        <v>0</v>
      </c>
      <c r="AD2195">
        <v>9</v>
      </c>
      <c r="AE2195">
        <v>0</v>
      </c>
      <c r="AF2195">
        <v>3</v>
      </c>
      <c r="AG2195">
        <v>1</v>
      </c>
      <c r="AH2195">
        <v>0</v>
      </c>
      <c r="AI2195" t="s">
        <v>1148</v>
      </c>
      <c r="AJ2195">
        <v>33.014902999999997</v>
      </c>
      <c r="AK2195" t="s">
        <v>1149</v>
      </c>
      <c r="AL2195">
        <v>-97.650238999999999</v>
      </c>
      <c r="AM2195">
        <v>25</v>
      </c>
      <c r="AN2195">
        <v>3300</v>
      </c>
      <c r="AO2195" t="s">
        <v>118</v>
      </c>
      <c r="AP2195">
        <v>19</v>
      </c>
      <c r="AQ2195">
        <v>-83</v>
      </c>
      <c r="AR2195">
        <v>-64</v>
      </c>
      <c r="AZ2195">
        <v>1200</v>
      </c>
      <c r="BA2195">
        <v>1</v>
      </c>
      <c r="BB2195" t="str">
        <f t="shared" si="640"/>
        <v xml:space="preserve">N733KP  </v>
      </c>
      <c r="BC2195">
        <v>1</v>
      </c>
      <c r="BE2195">
        <v>0</v>
      </c>
      <c r="BF2195">
        <v>0</v>
      </c>
      <c r="BG2195">
        <v>0</v>
      </c>
      <c r="BH2195">
        <v>3325</v>
      </c>
      <c r="BI2195">
        <v>1</v>
      </c>
      <c r="BJ2195">
        <v>1</v>
      </c>
      <c r="BK2195">
        <v>0</v>
      </c>
      <c r="BL2195">
        <v>0</v>
      </c>
      <c r="BO2195">
        <v>0</v>
      </c>
      <c r="BP2195">
        <v>0</v>
      </c>
      <c r="BW2195" t="str">
        <f>"22:18:41.600"</f>
        <v>22:18:41.600</v>
      </c>
      <c r="CJ2195">
        <v>0</v>
      </c>
      <c r="CK2195">
        <v>2</v>
      </c>
      <c r="CL2195">
        <v>0</v>
      </c>
      <c r="CM2195">
        <v>2</v>
      </c>
      <c r="CN2195">
        <v>0</v>
      </c>
      <c r="CO2195">
        <v>6</v>
      </c>
      <c r="CP2195" t="s">
        <v>119</v>
      </c>
      <c r="CQ2195">
        <v>364</v>
      </c>
      <c r="CR2195">
        <v>0</v>
      </c>
      <c r="CW2195">
        <v>1448721</v>
      </c>
      <c r="CY2195">
        <v>1</v>
      </c>
      <c r="CZ2195">
        <v>0</v>
      </c>
      <c r="DA2195">
        <v>1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>"03/24/2022 22:18:41.847"</f>
        <v>03/24/2022 22:18:41.847</v>
      </c>
      <c r="C2196" t="str">
        <f t="shared" si="639"/>
        <v>FFDFD3C0</v>
      </c>
      <c r="D2196" t="s">
        <v>126</v>
      </c>
      <c r="E2196">
        <v>3</v>
      </c>
      <c r="H2196">
        <v>160</v>
      </c>
      <c r="I2196" t="s">
        <v>121</v>
      </c>
      <c r="J2196" t="s">
        <v>127</v>
      </c>
      <c r="K2196">
        <v>0</v>
      </c>
      <c r="L2196">
        <v>3</v>
      </c>
      <c r="M2196">
        <v>0</v>
      </c>
      <c r="N2196">
        <v>2</v>
      </c>
      <c r="O2196">
        <v>0</v>
      </c>
      <c r="P2196">
        <v>1</v>
      </c>
      <c r="Q2196">
        <v>0</v>
      </c>
      <c r="S2196" t="str">
        <f t="shared" si="656"/>
        <v>22:18:41.000</v>
      </c>
      <c r="T2196" t="str">
        <f t="shared" si="656"/>
        <v>22:18:41.000</v>
      </c>
      <c r="U2196" t="str">
        <f t="shared" si="652"/>
        <v>A9D71F</v>
      </c>
      <c r="V2196">
        <v>0</v>
      </c>
      <c r="W2196">
        <v>0</v>
      </c>
      <c r="X2196">
        <v>2</v>
      </c>
      <c r="Z2196">
        <v>1</v>
      </c>
      <c r="AA2196">
        <v>8</v>
      </c>
      <c r="AB2196">
        <v>3</v>
      </c>
      <c r="AC2196">
        <v>0</v>
      </c>
      <c r="AD2196">
        <v>9</v>
      </c>
      <c r="AE2196">
        <v>0</v>
      </c>
      <c r="AF2196">
        <v>3</v>
      </c>
      <c r="AG2196">
        <v>1</v>
      </c>
      <c r="AH2196">
        <v>0</v>
      </c>
      <c r="AI2196" t="s">
        <v>1148</v>
      </c>
      <c r="AJ2196">
        <v>33.014902999999997</v>
      </c>
      <c r="AK2196" t="s">
        <v>1149</v>
      </c>
      <c r="AL2196">
        <v>-97.650238999999999</v>
      </c>
      <c r="AM2196">
        <v>25</v>
      </c>
      <c r="AN2196">
        <v>3300</v>
      </c>
      <c r="AO2196" t="s">
        <v>118</v>
      </c>
      <c r="AP2196">
        <v>19</v>
      </c>
      <c r="AQ2196">
        <v>-83</v>
      </c>
      <c r="AR2196">
        <v>-64</v>
      </c>
      <c r="AZ2196">
        <v>1200</v>
      </c>
      <c r="BA2196">
        <v>1</v>
      </c>
      <c r="BB2196" t="str">
        <f t="shared" si="640"/>
        <v xml:space="preserve">N733KP  </v>
      </c>
      <c r="BC2196">
        <v>1</v>
      </c>
      <c r="BE2196">
        <v>0</v>
      </c>
      <c r="BF2196">
        <v>0</v>
      </c>
      <c r="BG2196">
        <v>0</v>
      </c>
      <c r="BH2196">
        <v>3325</v>
      </c>
      <c r="BI2196">
        <v>1</v>
      </c>
      <c r="BJ2196">
        <v>1</v>
      </c>
      <c r="BK2196">
        <v>0</v>
      </c>
      <c r="BL2196">
        <v>0</v>
      </c>
      <c r="BO2196">
        <v>0</v>
      </c>
      <c r="BP2196">
        <v>0</v>
      </c>
      <c r="BW2196" t="str">
        <f>"22:18:41.600"</f>
        <v>22:18:41.600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6</v>
      </c>
      <c r="CP2196" t="s">
        <v>119</v>
      </c>
      <c r="CQ2196">
        <v>364</v>
      </c>
      <c r="CR2196">
        <v>0</v>
      </c>
      <c r="CW2196">
        <v>1448721</v>
      </c>
      <c r="CY2196">
        <v>1</v>
      </c>
      <c r="CZ2196">
        <v>0</v>
      </c>
      <c r="DA2196">
        <v>1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>"03/24/2022 22:18:42.676"</f>
        <v>03/24/2022 22:18:42.676</v>
      </c>
      <c r="C2197" t="str">
        <f t="shared" si="639"/>
        <v>FFDFD3C0</v>
      </c>
      <c r="D2197" t="s">
        <v>123</v>
      </c>
      <c r="E2197">
        <v>8</v>
      </c>
      <c r="H2197">
        <v>31</v>
      </c>
      <c r="I2197" t="s">
        <v>124</v>
      </c>
      <c r="J2197" t="s">
        <v>125</v>
      </c>
      <c r="K2197">
        <v>0</v>
      </c>
      <c r="L2197">
        <v>3</v>
      </c>
      <c r="M2197">
        <v>0</v>
      </c>
      <c r="N2197">
        <v>2</v>
      </c>
      <c r="O2197">
        <v>0</v>
      </c>
      <c r="P2197">
        <v>1</v>
      </c>
      <c r="Q2197">
        <v>0</v>
      </c>
      <c r="S2197" t="str">
        <f t="shared" ref="S2197:T2200" si="657">"22:18:42.000"</f>
        <v>22:18:42.000</v>
      </c>
      <c r="T2197" t="str">
        <f t="shared" si="657"/>
        <v>22:18:42.000</v>
      </c>
      <c r="U2197" t="str">
        <f t="shared" si="652"/>
        <v>A9D71F</v>
      </c>
      <c r="V2197">
        <v>0</v>
      </c>
      <c r="W2197">
        <v>0</v>
      </c>
      <c r="X2197">
        <v>2</v>
      </c>
      <c r="Z2197">
        <v>1</v>
      </c>
      <c r="AA2197">
        <v>8</v>
      </c>
      <c r="AB2197">
        <v>3</v>
      </c>
      <c r="AC2197">
        <v>0</v>
      </c>
      <c r="AD2197">
        <v>9</v>
      </c>
      <c r="AE2197">
        <v>0</v>
      </c>
      <c r="AF2197">
        <v>3</v>
      </c>
      <c r="AG2197">
        <v>1</v>
      </c>
      <c r="AH2197">
        <v>0</v>
      </c>
      <c r="AI2197" t="s">
        <v>1150</v>
      </c>
      <c r="AJ2197">
        <v>33.014516999999998</v>
      </c>
      <c r="AK2197" t="s">
        <v>1151</v>
      </c>
      <c r="AL2197">
        <v>-97.650131999999999</v>
      </c>
      <c r="AM2197">
        <v>25</v>
      </c>
      <c r="AN2197">
        <v>3300</v>
      </c>
      <c r="AO2197" t="s">
        <v>118</v>
      </c>
      <c r="AP2197">
        <v>14</v>
      </c>
      <c r="AQ2197">
        <v>-80</v>
      </c>
      <c r="AR2197">
        <v>0</v>
      </c>
      <c r="AZ2197">
        <v>1200</v>
      </c>
      <c r="BA2197">
        <v>1</v>
      </c>
      <c r="BB2197" t="str">
        <f t="shared" si="640"/>
        <v xml:space="preserve">N733KP  </v>
      </c>
      <c r="BC2197">
        <v>1</v>
      </c>
      <c r="BE2197">
        <v>0</v>
      </c>
      <c r="BF2197">
        <v>0</v>
      </c>
      <c r="BG2197">
        <v>0</v>
      </c>
      <c r="BH2197">
        <v>3325</v>
      </c>
      <c r="BI2197">
        <v>1</v>
      </c>
      <c r="BJ2197">
        <v>1</v>
      </c>
      <c r="BK2197">
        <v>0</v>
      </c>
      <c r="BL2197">
        <v>0</v>
      </c>
      <c r="BO2197">
        <v>0</v>
      </c>
      <c r="BP2197">
        <v>0</v>
      </c>
      <c r="BW2197" t="str">
        <f>"22:18:42.447"</f>
        <v>22:18:42.447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6</v>
      </c>
      <c r="CP2197" t="s">
        <v>119</v>
      </c>
      <c r="CQ2197">
        <v>364</v>
      </c>
      <c r="CR2197">
        <v>0</v>
      </c>
      <c r="CW2197">
        <v>1448837</v>
      </c>
      <c r="CY2197">
        <v>1</v>
      </c>
      <c r="CZ2197">
        <v>0</v>
      </c>
      <c r="DA2197">
        <v>0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>"03/24/2022 22:18:42.676"</f>
        <v>03/24/2022 22:18:42.676</v>
      </c>
      <c r="C2198" t="str">
        <f t="shared" ref="C2198:C2261" si="658">"FFDFD3C0"</f>
        <v>FFDFD3C0</v>
      </c>
      <c r="D2198" t="s">
        <v>113</v>
      </c>
      <c r="E2198">
        <v>24</v>
      </c>
      <c r="F2198">
        <v>2024</v>
      </c>
      <c r="G2198" t="s">
        <v>114</v>
      </c>
      <c r="J2198" t="s">
        <v>115</v>
      </c>
      <c r="K2198">
        <v>0</v>
      </c>
      <c r="L2198">
        <v>3</v>
      </c>
      <c r="M2198">
        <v>0</v>
      </c>
      <c r="N2198">
        <v>2</v>
      </c>
      <c r="O2198">
        <v>0</v>
      </c>
      <c r="P2198">
        <v>1</v>
      </c>
      <c r="Q2198">
        <v>0</v>
      </c>
      <c r="S2198" t="str">
        <f t="shared" si="657"/>
        <v>22:18:42.000</v>
      </c>
      <c r="T2198" t="str">
        <f t="shared" si="657"/>
        <v>22:18:42.000</v>
      </c>
      <c r="U2198" t="str">
        <f t="shared" si="652"/>
        <v>A9D71F</v>
      </c>
      <c r="V2198">
        <v>0</v>
      </c>
      <c r="W2198">
        <v>0</v>
      </c>
      <c r="X2198">
        <v>2</v>
      </c>
      <c r="Z2198">
        <v>1</v>
      </c>
      <c r="AA2198">
        <v>8</v>
      </c>
      <c r="AB2198">
        <v>3</v>
      </c>
      <c r="AC2198">
        <v>0</v>
      </c>
      <c r="AD2198">
        <v>9</v>
      </c>
      <c r="AE2198">
        <v>0</v>
      </c>
      <c r="AF2198">
        <v>3</v>
      </c>
      <c r="AG2198">
        <v>1</v>
      </c>
      <c r="AH2198">
        <v>0</v>
      </c>
      <c r="AI2198" t="s">
        <v>1150</v>
      </c>
      <c r="AJ2198">
        <v>33.014516999999998</v>
      </c>
      <c r="AK2198" t="s">
        <v>1151</v>
      </c>
      <c r="AL2198">
        <v>-97.650131999999999</v>
      </c>
      <c r="AM2198">
        <v>25</v>
      </c>
      <c r="AN2198">
        <v>3300</v>
      </c>
      <c r="AO2198" t="s">
        <v>118</v>
      </c>
      <c r="AP2198">
        <v>14</v>
      </c>
      <c r="AQ2198">
        <v>-80</v>
      </c>
      <c r="AR2198">
        <v>0</v>
      </c>
      <c r="AZ2198">
        <v>1200</v>
      </c>
      <c r="BA2198">
        <v>1</v>
      </c>
      <c r="BB2198" t="str">
        <f t="shared" ref="BB2198:BB2261" si="659">"N733KP  "</f>
        <v xml:space="preserve">N733KP  </v>
      </c>
      <c r="BC2198">
        <v>1</v>
      </c>
      <c r="BE2198">
        <v>0</v>
      </c>
      <c r="BF2198">
        <v>0</v>
      </c>
      <c r="BG2198">
        <v>0</v>
      </c>
      <c r="BH2198">
        <v>3325</v>
      </c>
      <c r="BI2198">
        <v>1</v>
      </c>
      <c r="BJ2198">
        <v>1</v>
      </c>
      <c r="BK2198">
        <v>0</v>
      </c>
      <c r="BL2198">
        <v>0</v>
      </c>
      <c r="BO2198">
        <v>0</v>
      </c>
      <c r="BP2198">
        <v>0</v>
      </c>
      <c r="BW2198" t="str">
        <f>"22:18:42.447"</f>
        <v>22:18:42.447</v>
      </c>
      <c r="CJ2198">
        <v>0</v>
      </c>
      <c r="CK2198">
        <v>2</v>
      </c>
      <c r="CL2198">
        <v>0</v>
      </c>
      <c r="CM2198">
        <v>2</v>
      </c>
      <c r="CN2198">
        <v>0</v>
      </c>
      <c r="CO2198">
        <v>6</v>
      </c>
      <c r="CP2198" t="s">
        <v>119</v>
      </c>
      <c r="CQ2198">
        <v>364</v>
      </c>
      <c r="CR2198">
        <v>0</v>
      </c>
      <c r="CW2198">
        <v>1448837</v>
      </c>
      <c r="CY2198">
        <v>1</v>
      </c>
      <c r="CZ2198">
        <v>0</v>
      </c>
      <c r="DA2198">
        <v>1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>"03/24/2022 22:18:42.676"</f>
        <v>03/24/2022 22:18:42.676</v>
      </c>
      <c r="C2199" t="str">
        <f t="shared" si="658"/>
        <v>FFDFD3C0</v>
      </c>
      <c r="D2199" t="s">
        <v>126</v>
      </c>
      <c r="E2199">
        <v>3</v>
      </c>
      <c r="H2199">
        <v>160</v>
      </c>
      <c r="I2199" t="s">
        <v>121</v>
      </c>
      <c r="J2199" t="s">
        <v>127</v>
      </c>
      <c r="K2199">
        <v>0</v>
      </c>
      <c r="L2199">
        <v>3</v>
      </c>
      <c r="M2199">
        <v>0</v>
      </c>
      <c r="N2199">
        <v>2</v>
      </c>
      <c r="O2199">
        <v>0</v>
      </c>
      <c r="P2199">
        <v>1</v>
      </c>
      <c r="Q2199">
        <v>0</v>
      </c>
      <c r="S2199" t="str">
        <f t="shared" si="657"/>
        <v>22:18:42.000</v>
      </c>
      <c r="T2199" t="str">
        <f t="shared" si="657"/>
        <v>22:18:42.000</v>
      </c>
      <c r="U2199" t="str">
        <f t="shared" si="652"/>
        <v>A9D71F</v>
      </c>
      <c r="V2199">
        <v>0</v>
      </c>
      <c r="W2199">
        <v>0</v>
      </c>
      <c r="X2199">
        <v>2</v>
      </c>
      <c r="Z2199">
        <v>1</v>
      </c>
      <c r="AA2199">
        <v>8</v>
      </c>
      <c r="AB2199">
        <v>3</v>
      </c>
      <c r="AC2199">
        <v>0</v>
      </c>
      <c r="AD2199">
        <v>9</v>
      </c>
      <c r="AE2199">
        <v>0</v>
      </c>
      <c r="AF2199">
        <v>3</v>
      </c>
      <c r="AG2199">
        <v>1</v>
      </c>
      <c r="AH2199">
        <v>0</v>
      </c>
      <c r="AI2199" t="s">
        <v>1150</v>
      </c>
      <c r="AJ2199">
        <v>33.014516999999998</v>
      </c>
      <c r="AK2199" t="s">
        <v>1151</v>
      </c>
      <c r="AL2199">
        <v>-97.650131999999999</v>
      </c>
      <c r="AM2199">
        <v>25</v>
      </c>
      <c r="AN2199">
        <v>3300</v>
      </c>
      <c r="AO2199" t="s">
        <v>118</v>
      </c>
      <c r="AP2199">
        <v>14</v>
      </c>
      <c r="AQ2199">
        <v>-80</v>
      </c>
      <c r="AR2199">
        <v>0</v>
      </c>
      <c r="AZ2199">
        <v>1200</v>
      </c>
      <c r="BA2199">
        <v>1</v>
      </c>
      <c r="BB2199" t="str">
        <f t="shared" si="659"/>
        <v xml:space="preserve">N733KP  </v>
      </c>
      <c r="BC2199">
        <v>1</v>
      </c>
      <c r="BE2199">
        <v>0</v>
      </c>
      <c r="BF2199">
        <v>0</v>
      </c>
      <c r="BG2199">
        <v>0</v>
      </c>
      <c r="BH2199">
        <v>3325</v>
      </c>
      <c r="BI2199">
        <v>1</v>
      </c>
      <c r="BJ2199">
        <v>1</v>
      </c>
      <c r="BK2199">
        <v>0</v>
      </c>
      <c r="BL2199">
        <v>0</v>
      </c>
      <c r="BO2199">
        <v>0</v>
      </c>
      <c r="BP2199">
        <v>0</v>
      </c>
      <c r="BW2199" t="str">
        <f>"22:18:42.447"</f>
        <v>22:18:42.447</v>
      </c>
      <c r="CJ2199">
        <v>0</v>
      </c>
      <c r="CK2199">
        <v>2</v>
      </c>
      <c r="CL2199">
        <v>0</v>
      </c>
      <c r="CM2199">
        <v>2</v>
      </c>
      <c r="CN2199">
        <v>0</v>
      </c>
      <c r="CO2199">
        <v>6</v>
      </c>
      <c r="CP2199" t="s">
        <v>119</v>
      </c>
      <c r="CQ2199">
        <v>364</v>
      </c>
      <c r="CR2199">
        <v>0</v>
      </c>
      <c r="CW2199">
        <v>1448837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>"03/24/2022 22:18:42.676"</f>
        <v>03/24/2022 22:18:42.676</v>
      </c>
      <c r="C2200" t="str">
        <f t="shared" si="658"/>
        <v>FFDFD3C0</v>
      </c>
      <c r="D2200" t="s">
        <v>120</v>
      </c>
      <c r="E2200">
        <v>14</v>
      </c>
      <c r="F2200">
        <v>1014</v>
      </c>
      <c r="G2200" t="s">
        <v>121</v>
      </c>
      <c r="J2200" t="s">
        <v>122</v>
      </c>
      <c r="K2200">
        <v>0</v>
      </c>
      <c r="L2200">
        <v>3</v>
      </c>
      <c r="M2200">
        <v>0</v>
      </c>
      <c r="N2200">
        <v>2</v>
      </c>
      <c r="O2200">
        <v>0</v>
      </c>
      <c r="P2200">
        <v>1</v>
      </c>
      <c r="Q2200">
        <v>0</v>
      </c>
      <c r="S2200" t="str">
        <f t="shared" si="657"/>
        <v>22:18:42.000</v>
      </c>
      <c r="T2200" t="str">
        <f t="shared" si="657"/>
        <v>22:18:42.000</v>
      </c>
      <c r="U2200" t="str">
        <f t="shared" si="652"/>
        <v>A9D71F</v>
      </c>
      <c r="V2200">
        <v>0</v>
      </c>
      <c r="W2200">
        <v>0</v>
      </c>
      <c r="X2200">
        <v>2</v>
      </c>
      <c r="Z2200">
        <v>1</v>
      </c>
      <c r="AA2200">
        <v>8</v>
      </c>
      <c r="AB2200">
        <v>3</v>
      </c>
      <c r="AC2200">
        <v>0</v>
      </c>
      <c r="AD2200">
        <v>9</v>
      </c>
      <c r="AE2200">
        <v>0</v>
      </c>
      <c r="AF2200">
        <v>3</v>
      </c>
      <c r="AG2200">
        <v>1</v>
      </c>
      <c r="AH2200">
        <v>0</v>
      </c>
      <c r="AI2200" t="s">
        <v>1150</v>
      </c>
      <c r="AJ2200">
        <v>33.014516999999998</v>
      </c>
      <c r="AK2200" t="s">
        <v>1151</v>
      </c>
      <c r="AL2200">
        <v>-97.650131999999999</v>
      </c>
      <c r="AM2200">
        <v>25</v>
      </c>
      <c r="AN2200">
        <v>3300</v>
      </c>
      <c r="AO2200" t="s">
        <v>118</v>
      </c>
      <c r="AP2200">
        <v>14</v>
      </c>
      <c r="AQ2200">
        <v>-80</v>
      </c>
      <c r="AR2200">
        <v>0</v>
      </c>
      <c r="AZ2200">
        <v>1200</v>
      </c>
      <c r="BA2200">
        <v>1</v>
      </c>
      <c r="BB2200" t="str">
        <f t="shared" si="659"/>
        <v xml:space="preserve">N733KP  </v>
      </c>
      <c r="BC2200">
        <v>1</v>
      </c>
      <c r="BE2200">
        <v>0</v>
      </c>
      <c r="BF2200">
        <v>0</v>
      </c>
      <c r="BG2200">
        <v>0</v>
      </c>
      <c r="BH2200">
        <v>3325</v>
      </c>
      <c r="BI2200">
        <v>1</v>
      </c>
      <c r="BJ2200">
        <v>1</v>
      </c>
      <c r="BK2200">
        <v>0</v>
      </c>
      <c r="BL2200">
        <v>0</v>
      </c>
      <c r="BO2200">
        <v>0</v>
      </c>
      <c r="BP2200">
        <v>0</v>
      </c>
      <c r="BW2200" t="str">
        <f>"22:18:42.447"</f>
        <v>22:18:42.447</v>
      </c>
      <c r="CJ2200">
        <v>0</v>
      </c>
      <c r="CK2200">
        <v>2</v>
      </c>
      <c r="CL2200">
        <v>0</v>
      </c>
      <c r="CM2200">
        <v>2</v>
      </c>
      <c r="CN2200">
        <v>0</v>
      </c>
      <c r="CO2200">
        <v>6</v>
      </c>
      <c r="CP2200" t="s">
        <v>119</v>
      </c>
      <c r="CQ2200">
        <v>364</v>
      </c>
      <c r="CR2200">
        <v>0</v>
      </c>
      <c r="CW2200">
        <v>1448837</v>
      </c>
      <c r="CY2200">
        <v>1</v>
      </c>
      <c r="CZ2200">
        <v>0</v>
      </c>
      <c r="DA2200">
        <v>1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>"03/24/2022 22:18:43.788"</f>
        <v>03/24/2022 22:18:43.788</v>
      </c>
      <c r="C2201" t="str">
        <f t="shared" si="658"/>
        <v>FFDFD3C0</v>
      </c>
      <c r="D2201" t="s">
        <v>120</v>
      </c>
      <c r="E2201">
        <v>14</v>
      </c>
      <c r="F2201">
        <v>1014</v>
      </c>
      <c r="G2201" t="s">
        <v>121</v>
      </c>
      <c r="J2201" t="s">
        <v>122</v>
      </c>
      <c r="K2201">
        <v>0</v>
      </c>
      <c r="L2201">
        <v>3</v>
      </c>
      <c r="M2201">
        <v>0</v>
      </c>
      <c r="N2201">
        <v>2</v>
      </c>
      <c r="O2201">
        <v>0</v>
      </c>
      <c r="P2201">
        <v>1</v>
      </c>
      <c r="Q2201">
        <v>0</v>
      </c>
      <c r="S2201" t="str">
        <f t="shared" ref="S2201:T2204" si="660">"22:18:43.000"</f>
        <v>22:18:43.000</v>
      </c>
      <c r="T2201" t="str">
        <f t="shared" si="660"/>
        <v>22:18:43.000</v>
      </c>
      <c r="U2201" t="str">
        <f t="shared" si="652"/>
        <v>A9D71F</v>
      </c>
      <c r="V2201">
        <v>0</v>
      </c>
      <c r="W2201">
        <v>0</v>
      </c>
      <c r="X2201">
        <v>2</v>
      </c>
      <c r="Z2201">
        <v>1</v>
      </c>
      <c r="AA2201">
        <v>8</v>
      </c>
      <c r="AB2201">
        <v>3</v>
      </c>
      <c r="AC2201">
        <v>0</v>
      </c>
      <c r="AD2201">
        <v>9</v>
      </c>
      <c r="AE2201">
        <v>0</v>
      </c>
      <c r="AF2201">
        <v>3</v>
      </c>
      <c r="AG2201">
        <v>1</v>
      </c>
      <c r="AH2201">
        <v>0</v>
      </c>
      <c r="AI2201" t="s">
        <v>1152</v>
      </c>
      <c r="AJ2201">
        <v>33.014088000000001</v>
      </c>
      <c r="AK2201" t="s">
        <v>1153</v>
      </c>
      <c r="AL2201">
        <v>-97.650024999999999</v>
      </c>
      <c r="AM2201">
        <v>25</v>
      </c>
      <c r="AN2201">
        <v>3300</v>
      </c>
      <c r="AO2201" t="s">
        <v>118</v>
      </c>
      <c r="AP2201">
        <v>11</v>
      </c>
      <c r="AQ2201">
        <v>-84</v>
      </c>
      <c r="AR2201">
        <v>0</v>
      </c>
      <c r="AZ2201">
        <v>1200</v>
      </c>
      <c r="BA2201">
        <v>1</v>
      </c>
      <c r="BB2201" t="str">
        <f t="shared" si="659"/>
        <v xml:space="preserve">N733KP  </v>
      </c>
      <c r="BC2201">
        <v>1</v>
      </c>
      <c r="BE2201">
        <v>0</v>
      </c>
      <c r="BF2201">
        <v>0</v>
      </c>
      <c r="BG2201">
        <v>0</v>
      </c>
      <c r="BH2201">
        <v>3325</v>
      </c>
      <c r="BI2201">
        <v>1</v>
      </c>
      <c r="BJ2201">
        <v>1</v>
      </c>
      <c r="BK2201">
        <v>0</v>
      </c>
      <c r="BL2201">
        <v>0</v>
      </c>
      <c r="BO2201">
        <v>0</v>
      </c>
      <c r="BP2201">
        <v>0</v>
      </c>
      <c r="BW2201" t="str">
        <f>"22:18:43.630"</f>
        <v>22:18:43.630</v>
      </c>
      <c r="CJ2201">
        <v>0</v>
      </c>
      <c r="CK2201">
        <v>2</v>
      </c>
      <c r="CL2201">
        <v>0</v>
      </c>
      <c r="CM2201">
        <v>2</v>
      </c>
      <c r="CN2201">
        <v>0</v>
      </c>
      <c r="CO2201">
        <v>6</v>
      </c>
      <c r="CP2201" t="s">
        <v>119</v>
      </c>
      <c r="CQ2201">
        <v>364</v>
      </c>
      <c r="CR2201">
        <v>0</v>
      </c>
      <c r="CW2201">
        <v>1448971</v>
      </c>
      <c r="CY2201">
        <v>1</v>
      </c>
      <c r="CZ2201">
        <v>0</v>
      </c>
      <c r="DA2201">
        <v>0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>"03/24/2022 22:18:43.788"</f>
        <v>03/24/2022 22:18:43.788</v>
      </c>
      <c r="C2202" t="str">
        <f t="shared" si="658"/>
        <v>FFDFD3C0</v>
      </c>
      <c r="D2202" t="s">
        <v>123</v>
      </c>
      <c r="E2202">
        <v>8</v>
      </c>
      <c r="H2202">
        <v>31</v>
      </c>
      <c r="I2202" t="s">
        <v>124</v>
      </c>
      <c r="J2202" t="s">
        <v>125</v>
      </c>
      <c r="K2202">
        <v>0</v>
      </c>
      <c r="L2202">
        <v>3</v>
      </c>
      <c r="M2202">
        <v>0</v>
      </c>
      <c r="N2202">
        <v>2</v>
      </c>
      <c r="O2202">
        <v>0</v>
      </c>
      <c r="P2202">
        <v>1</v>
      </c>
      <c r="Q2202">
        <v>0</v>
      </c>
      <c r="S2202" t="str">
        <f t="shared" si="660"/>
        <v>22:18:43.000</v>
      </c>
      <c r="T2202" t="str">
        <f t="shared" si="660"/>
        <v>22:18:43.000</v>
      </c>
      <c r="U2202" t="str">
        <f t="shared" si="652"/>
        <v>A9D71F</v>
      </c>
      <c r="V2202">
        <v>0</v>
      </c>
      <c r="W2202">
        <v>0</v>
      </c>
      <c r="X2202">
        <v>2</v>
      </c>
      <c r="Z2202">
        <v>1</v>
      </c>
      <c r="AA2202">
        <v>8</v>
      </c>
      <c r="AB2202">
        <v>3</v>
      </c>
      <c r="AC2202">
        <v>0</v>
      </c>
      <c r="AD2202">
        <v>9</v>
      </c>
      <c r="AE2202">
        <v>0</v>
      </c>
      <c r="AF2202">
        <v>3</v>
      </c>
      <c r="AG2202">
        <v>1</v>
      </c>
      <c r="AH2202">
        <v>0</v>
      </c>
      <c r="AI2202" t="s">
        <v>1152</v>
      </c>
      <c r="AJ2202">
        <v>33.014088000000001</v>
      </c>
      <c r="AK2202" t="s">
        <v>1153</v>
      </c>
      <c r="AL2202">
        <v>-97.650024999999999</v>
      </c>
      <c r="AM2202">
        <v>25</v>
      </c>
      <c r="AN2202">
        <v>3300</v>
      </c>
      <c r="AO2202" t="s">
        <v>118</v>
      </c>
      <c r="AP2202">
        <v>11</v>
      </c>
      <c r="AQ2202">
        <v>-84</v>
      </c>
      <c r="AR2202">
        <v>0</v>
      </c>
      <c r="AZ2202">
        <v>1200</v>
      </c>
      <c r="BA2202">
        <v>1</v>
      </c>
      <c r="BB2202" t="str">
        <f t="shared" si="659"/>
        <v xml:space="preserve">N733KP  </v>
      </c>
      <c r="BC2202">
        <v>1</v>
      </c>
      <c r="BE2202">
        <v>0</v>
      </c>
      <c r="BF2202">
        <v>0</v>
      </c>
      <c r="BG2202">
        <v>0</v>
      </c>
      <c r="BH2202">
        <v>3325</v>
      </c>
      <c r="BI2202">
        <v>1</v>
      </c>
      <c r="BJ2202">
        <v>1</v>
      </c>
      <c r="BK2202">
        <v>0</v>
      </c>
      <c r="BL2202">
        <v>0</v>
      </c>
      <c r="BO2202">
        <v>0</v>
      </c>
      <c r="BP2202">
        <v>0</v>
      </c>
      <c r="BW2202" t="str">
        <f>"22:18:43.630"</f>
        <v>22:18:43.630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6</v>
      </c>
      <c r="CP2202" t="s">
        <v>119</v>
      </c>
      <c r="CQ2202">
        <v>364</v>
      </c>
      <c r="CR2202">
        <v>0</v>
      </c>
      <c r="CW2202">
        <v>1448971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>"03/24/2022 22:18:43.788"</f>
        <v>03/24/2022 22:18:43.788</v>
      </c>
      <c r="C2203" t="str">
        <f t="shared" si="658"/>
        <v>FFDFD3C0</v>
      </c>
      <c r="D2203" t="s">
        <v>113</v>
      </c>
      <c r="E2203">
        <v>24</v>
      </c>
      <c r="F2203">
        <v>2024</v>
      </c>
      <c r="G2203" t="s">
        <v>114</v>
      </c>
      <c r="J2203" t="s">
        <v>115</v>
      </c>
      <c r="K2203">
        <v>0</v>
      </c>
      <c r="L2203">
        <v>3</v>
      </c>
      <c r="M2203">
        <v>0</v>
      </c>
      <c r="N2203">
        <v>2</v>
      </c>
      <c r="O2203">
        <v>0</v>
      </c>
      <c r="P2203">
        <v>1</v>
      </c>
      <c r="Q2203">
        <v>0</v>
      </c>
      <c r="S2203" t="str">
        <f t="shared" si="660"/>
        <v>22:18:43.000</v>
      </c>
      <c r="T2203" t="str">
        <f t="shared" si="660"/>
        <v>22:18:43.000</v>
      </c>
      <c r="U2203" t="str">
        <f t="shared" si="652"/>
        <v>A9D71F</v>
      </c>
      <c r="V2203">
        <v>0</v>
      </c>
      <c r="W2203">
        <v>0</v>
      </c>
      <c r="X2203">
        <v>2</v>
      </c>
      <c r="Z2203">
        <v>1</v>
      </c>
      <c r="AA2203">
        <v>8</v>
      </c>
      <c r="AB2203">
        <v>3</v>
      </c>
      <c r="AC2203">
        <v>0</v>
      </c>
      <c r="AD2203">
        <v>9</v>
      </c>
      <c r="AE2203">
        <v>0</v>
      </c>
      <c r="AF2203">
        <v>3</v>
      </c>
      <c r="AG2203">
        <v>1</v>
      </c>
      <c r="AH2203">
        <v>0</v>
      </c>
      <c r="AI2203" t="s">
        <v>1152</v>
      </c>
      <c r="AJ2203">
        <v>33.014088000000001</v>
      </c>
      <c r="AK2203" t="s">
        <v>1153</v>
      </c>
      <c r="AL2203">
        <v>-97.650024999999999</v>
      </c>
      <c r="AM2203">
        <v>25</v>
      </c>
      <c r="AN2203">
        <v>3300</v>
      </c>
      <c r="AO2203" t="s">
        <v>118</v>
      </c>
      <c r="AP2203">
        <v>11</v>
      </c>
      <c r="AQ2203">
        <v>-84</v>
      </c>
      <c r="AR2203">
        <v>0</v>
      </c>
      <c r="AZ2203">
        <v>1200</v>
      </c>
      <c r="BA2203">
        <v>1</v>
      </c>
      <c r="BB2203" t="str">
        <f t="shared" si="659"/>
        <v xml:space="preserve">N733KP  </v>
      </c>
      <c r="BC2203">
        <v>1</v>
      </c>
      <c r="BE2203">
        <v>0</v>
      </c>
      <c r="BF2203">
        <v>0</v>
      </c>
      <c r="BG2203">
        <v>0</v>
      </c>
      <c r="BH2203">
        <v>3325</v>
      </c>
      <c r="BI2203">
        <v>1</v>
      </c>
      <c r="BJ2203">
        <v>1</v>
      </c>
      <c r="BK2203">
        <v>0</v>
      </c>
      <c r="BL2203">
        <v>0</v>
      </c>
      <c r="BO2203">
        <v>0</v>
      </c>
      <c r="BP2203">
        <v>0</v>
      </c>
      <c r="BW2203" t="str">
        <f>"22:18:43.630"</f>
        <v>22:18:43.630</v>
      </c>
      <c r="CJ2203">
        <v>0</v>
      </c>
      <c r="CK2203">
        <v>2</v>
      </c>
      <c r="CL2203">
        <v>0</v>
      </c>
      <c r="CM2203">
        <v>2</v>
      </c>
      <c r="CN2203">
        <v>0</v>
      </c>
      <c r="CO2203">
        <v>6</v>
      </c>
      <c r="CP2203" t="s">
        <v>119</v>
      </c>
      <c r="CQ2203">
        <v>364</v>
      </c>
      <c r="CR2203">
        <v>0</v>
      </c>
      <c r="CW2203">
        <v>1448971</v>
      </c>
      <c r="CY2203">
        <v>1</v>
      </c>
      <c r="CZ2203">
        <v>0</v>
      </c>
      <c r="DA2203">
        <v>1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>"03/24/2022 22:18:43.850"</f>
        <v>03/24/2022 22:18:43.850</v>
      </c>
      <c r="C2204" t="str">
        <f t="shared" si="658"/>
        <v>FFDFD3C0</v>
      </c>
      <c r="D2204" t="s">
        <v>126</v>
      </c>
      <c r="E2204">
        <v>3</v>
      </c>
      <c r="H2204">
        <v>160</v>
      </c>
      <c r="I2204" t="s">
        <v>121</v>
      </c>
      <c r="J2204" t="s">
        <v>127</v>
      </c>
      <c r="K2204">
        <v>0</v>
      </c>
      <c r="L2204">
        <v>3</v>
      </c>
      <c r="M2204">
        <v>0</v>
      </c>
      <c r="N2204">
        <v>2</v>
      </c>
      <c r="O2204">
        <v>0</v>
      </c>
      <c r="P2204">
        <v>1</v>
      </c>
      <c r="Q2204">
        <v>0</v>
      </c>
      <c r="S2204" t="str">
        <f t="shared" si="660"/>
        <v>22:18:43.000</v>
      </c>
      <c r="T2204" t="str">
        <f t="shared" si="660"/>
        <v>22:18:43.000</v>
      </c>
      <c r="U2204" t="str">
        <f t="shared" si="652"/>
        <v>A9D71F</v>
      </c>
      <c r="V2204">
        <v>0</v>
      </c>
      <c r="W2204">
        <v>0</v>
      </c>
      <c r="X2204">
        <v>2</v>
      </c>
      <c r="Z2204">
        <v>1</v>
      </c>
      <c r="AA2204">
        <v>8</v>
      </c>
      <c r="AB2204">
        <v>3</v>
      </c>
      <c r="AC2204">
        <v>0</v>
      </c>
      <c r="AD2204">
        <v>9</v>
      </c>
      <c r="AE2204">
        <v>0</v>
      </c>
      <c r="AF2204">
        <v>3</v>
      </c>
      <c r="AG2204">
        <v>1</v>
      </c>
      <c r="AH2204">
        <v>0</v>
      </c>
      <c r="AI2204" t="s">
        <v>1152</v>
      </c>
      <c r="AJ2204">
        <v>33.014088000000001</v>
      </c>
      <c r="AK2204" t="s">
        <v>1153</v>
      </c>
      <c r="AL2204">
        <v>-97.650024999999999</v>
      </c>
      <c r="AM2204">
        <v>25</v>
      </c>
      <c r="AN2204">
        <v>3300</v>
      </c>
      <c r="AO2204" t="s">
        <v>118</v>
      </c>
      <c r="AP2204">
        <v>11</v>
      </c>
      <c r="AQ2204">
        <v>-84</v>
      </c>
      <c r="AR2204">
        <v>0</v>
      </c>
      <c r="AZ2204">
        <v>1200</v>
      </c>
      <c r="BA2204">
        <v>1</v>
      </c>
      <c r="BB2204" t="str">
        <f t="shared" si="659"/>
        <v xml:space="preserve">N733KP  </v>
      </c>
      <c r="BC2204">
        <v>1</v>
      </c>
      <c r="BE2204">
        <v>0</v>
      </c>
      <c r="BF2204">
        <v>0</v>
      </c>
      <c r="BG2204">
        <v>0</v>
      </c>
      <c r="BH2204">
        <v>3325</v>
      </c>
      <c r="BI2204">
        <v>1</v>
      </c>
      <c r="BJ2204">
        <v>1</v>
      </c>
      <c r="BK2204">
        <v>0</v>
      </c>
      <c r="BL2204">
        <v>0</v>
      </c>
      <c r="BO2204">
        <v>0</v>
      </c>
      <c r="BP2204">
        <v>0</v>
      </c>
      <c r="BW2204" t="str">
        <f>"22:18:43.630"</f>
        <v>22:18:43.630</v>
      </c>
      <c r="CJ2204">
        <v>0</v>
      </c>
      <c r="CK2204">
        <v>2</v>
      </c>
      <c r="CL2204">
        <v>0</v>
      </c>
      <c r="CM2204">
        <v>2</v>
      </c>
      <c r="CN2204">
        <v>0</v>
      </c>
      <c r="CO2204">
        <v>6</v>
      </c>
      <c r="CP2204" t="s">
        <v>119</v>
      </c>
      <c r="CQ2204">
        <v>364</v>
      </c>
      <c r="CR2204">
        <v>0</v>
      </c>
      <c r="CW2204">
        <v>1448971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>"03/24/2022 22:18:44.444"</f>
        <v>03/24/2022 22:18:44.444</v>
      </c>
      <c r="C2205" t="str">
        <f t="shared" si="658"/>
        <v>FFDFD3C0</v>
      </c>
      <c r="D2205" t="s">
        <v>120</v>
      </c>
      <c r="E2205">
        <v>14</v>
      </c>
      <c r="F2205">
        <v>1014</v>
      </c>
      <c r="G2205" t="s">
        <v>121</v>
      </c>
      <c r="J2205" t="s">
        <v>122</v>
      </c>
      <c r="K2205">
        <v>0</v>
      </c>
      <c r="L2205">
        <v>3</v>
      </c>
      <c r="M2205">
        <v>0</v>
      </c>
      <c r="N2205">
        <v>2</v>
      </c>
      <c r="O2205">
        <v>0</v>
      </c>
      <c r="P2205">
        <v>1</v>
      </c>
      <c r="Q2205">
        <v>0</v>
      </c>
      <c r="S2205" t="str">
        <f t="shared" ref="S2205:T2208" si="661">"22:18:44.000"</f>
        <v>22:18:44.000</v>
      </c>
      <c r="T2205" t="str">
        <f t="shared" si="661"/>
        <v>22:18:44.000</v>
      </c>
      <c r="U2205" t="str">
        <f t="shared" si="652"/>
        <v>A9D71F</v>
      </c>
      <c r="V2205">
        <v>0</v>
      </c>
      <c r="W2205">
        <v>0</v>
      </c>
      <c r="X2205">
        <v>2</v>
      </c>
      <c r="Z2205">
        <v>1</v>
      </c>
      <c r="AA2205">
        <v>8</v>
      </c>
      <c r="AB2205">
        <v>3</v>
      </c>
      <c r="AC2205">
        <v>0</v>
      </c>
      <c r="AD2205">
        <v>9</v>
      </c>
      <c r="AE2205">
        <v>0</v>
      </c>
      <c r="AF2205">
        <v>3</v>
      </c>
      <c r="AG2205">
        <v>1</v>
      </c>
      <c r="AH2205">
        <v>0</v>
      </c>
      <c r="AI2205" t="s">
        <v>1154</v>
      </c>
      <c r="AJ2205">
        <v>33.013700999999998</v>
      </c>
      <c r="AK2205" t="s">
        <v>1155</v>
      </c>
      <c r="AL2205">
        <v>-97.649961000000005</v>
      </c>
      <c r="AM2205">
        <v>25</v>
      </c>
      <c r="AN2205">
        <v>3300</v>
      </c>
      <c r="AO2205" t="s">
        <v>118</v>
      </c>
      <c r="AP2205">
        <v>7</v>
      </c>
      <c r="AQ2205">
        <v>-84</v>
      </c>
      <c r="AR2205">
        <v>0</v>
      </c>
      <c r="AZ2205">
        <v>1200</v>
      </c>
      <c r="BA2205">
        <v>1</v>
      </c>
      <c r="BB2205" t="str">
        <f t="shared" si="659"/>
        <v xml:space="preserve">N733KP  </v>
      </c>
      <c r="BC2205">
        <v>1</v>
      </c>
      <c r="BE2205">
        <v>0</v>
      </c>
      <c r="BF2205">
        <v>0</v>
      </c>
      <c r="BG2205">
        <v>0</v>
      </c>
      <c r="BH2205">
        <v>3325</v>
      </c>
      <c r="BI2205">
        <v>1</v>
      </c>
      <c r="BJ2205">
        <v>1</v>
      </c>
      <c r="BK2205">
        <v>0</v>
      </c>
      <c r="BL2205">
        <v>0</v>
      </c>
      <c r="BO2205">
        <v>0</v>
      </c>
      <c r="BP2205">
        <v>0</v>
      </c>
      <c r="BW2205" t="str">
        <f>"22:18:44.267"</f>
        <v>22:18:44.267</v>
      </c>
      <c r="CJ2205">
        <v>0</v>
      </c>
      <c r="CK2205">
        <v>2</v>
      </c>
      <c r="CL2205">
        <v>0</v>
      </c>
      <c r="CM2205">
        <v>2</v>
      </c>
      <c r="CN2205">
        <v>0</v>
      </c>
      <c r="CO2205">
        <v>6</v>
      </c>
      <c r="CP2205" t="s">
        <v>119</v>
      </c>
      <c r="CQ2205">
        <v>364</v>
      </c>
      <c r="CR2205">
        <v>0</v>
      </c>
      <c r="CW2205">
        <v>1449055</v>
      </c>
      <c r="CY2205">
        <v>1</v>
      </c>
      <c r="CZ2205">
        <v>0</v>
      </c>
      <c r="DA2205">
        <v>0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>"03/24/2022 22:18:44.444"</f>
        <v>03/24/2022 22:18:44.444</v>
      </c>
      <c r="C2206" t="str">
        <f t="shared" si="658"/>
        <v>FFDFD3C0</v>
      </c>
      <c r="D2206" t="s">
        <v>123</v>
      </c>
      <c r="E2206">
        <v>8</v>
      </c>
      <c r="H2206">
        <v>31</v>
      </c>
      <c r="I2206" t="s">
        <v>124</v>
      </c>
      <c r="J2206" t="s">
        <v>125</v>
      </c>
      <c r="K2206">
        <v>0</v>
      </c>
      <c r="L2206">
        <v>3</v>
      </c>
      <c r="M2206">
        <v>0</v>
      </c>
      <c r="N2206">
        <v>2</v>
      </c>
      <c r="O2206">
        <v>0</v>
      </c>
      <c r="P2206">
        <v>1</v>
      </c>
      <c r="Q2206">
        <v>0</v>
      </c>
      <c r="S2206" t="str">
        <f t="shared" si="661"/>
        <v>22:18:44.000</v>
      </c>
      <c r="T2206" t="str">
        <f t="shared" si="661"/>
        <v>22:18:44.000</v>
      </c>
      <c r="U2206" t="str">
        <f t="shared" si="652"/>
        <v>A9D71F</v>
      </c>
      <c r="V2206">
        <v>0</v>
      </c>
      <c r="W2206">
        <v>0</v>
      </c>
      <c r="X2206">
        <v>2</v>
      </c>
      <c r="Z2206">
        <v>1</v>
      </c>
      <c r="AA2206">
        <v>8</v>
      </c>
      <c r="AB2206">
        <v>3</v>
      </c>
      <c r="AC2206">
        <v>0</v>
      </c>
      <c r="AD2206">
        <v>9</v>
      </c>
      <c r="AE2206">
        <v>0</v>
      </c>
      <c r="AF2206">
        <v>3</v>
      </c>
      <c r="AG2206">
        <v>1</v>
      </c>
      <c r="AH2206">
        <v>0</v>
      </c>
      <c r="AI2206" t="s">
        <v>1154</v>
      </c>
      <c r="AJ2206">
        <v>33.013700999999998</v>
      </c>
      <c r="AK2206" t="s">
        <v>1155</v>
      </c>
      <c r="AL2206">
        <v>-97.649961000000005</v>
      </c>
      <c r="AM2206">
        <v>25</v>
      </c>
      <c r="AN2206">
        <v>3300</v>
      </c>
      <c r="AO2206" t="s">
        <v>118</v>
      </c>
      <c r="AP2206">
        <v>7</v>
      </c>
      <c r="AQ2206">
        <v>-84</v>
      </c>
      <c r="AR2206">
        <v>0</v>
      </c>
      <c r="AZ2206">
        <v>1200</v>
      </c>
      <c r="BA2206">
        <v>1</v>
      </c>
      <c r="BB2206" t="str">
        <f t="shared" si="659"/>
        <v xml:space="preserve">N733KP  </v>
      </c>
      <c r="BC2206">
        <v>1</v>
      </c>
      <c r="BE2206">
        <v>0</v>
      </c>
      <c r="BF2206">
        <v>0</v>
      </c>
      <c r="BG2206">
        <v>0</v>
      </c>
      <c r="BH2206">
        <v>3325</v>
      </c>
      <c r="BI2206">
        <v>1</v>
      </c>
      <c r="BJ2206">
        <v>1</v>
      </c>
      <c r="BK2206">
        <v>0</v>
      </c>
      <c r="BL2206">
        <v>0</v>
      </c>
      <c r="BO2206">
        <v>0</v>
      </c>
      <c r="BP2206">
        <v>0</v>
      </c>
      <c r="BW2206" t="str">
        <f>"22:18:44.267"</f>
        <v>22:18:44.267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6</v>
      </c>
      <c r="CP2206" t="s">
        <v>119</v>
      </c>
      <c r="CQ2206">
        <v>364</v>
      </c>
      <c r="CR2206">
        <v>0</v>
      </c>
      <c r="CW2206">
        <v>1449055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>"03/24/2022 22:18:44.444"</f>
        <v>03/24/2022 22:18:44.444</v>
      </c>
      <c r="C2207" t="str">
        <f t="shared" si="658"/>
        <v>FFDFD3C0</v>
      </c>
      <c r="D2207" t="s">
        <v>113</v>
      </c>
      <c r="E2207">
        <v>24</v>
      </c>
      <c r="F2207">
        <v>2024</v>
      </c>
      <c r="G2207" t="s">
        <v>114</v>
      </c>
      <c r="J2207" t="s">
        <v>115</v>
      </c>
      <c r="K2207">
        <v>0</v>
      </c>
      <c r="L2207">
        <v>3</v>
      </c>
      <c r="M2207">
        <v>0</v>
      </c>
      <c r="N2207">
        <v>2</v>
      </c>
      <c r="O2207">
        <v>0</v>
      </c>
      <c r="P2207">
        <v>1</v>
      </c>
      <c r="Q2207">
        <v>0</v>
      </c>
      <c r="S2207" t="str">
        <f t="shared" si="661"/>
        <v>22:18:44.000</v>
      </c>
      <c r="T2207" t="str">
        <f t="shared" si="661"/>
        <v>22:18:44.000</v>
      </c>
      <c r="U2207" t="str">
        <f t="shared" si="652"/>
        <v>A9D71F</v>
      </c>
      <c r="V2207">
        <v>0</v>
      </c>
      <c r="W2207">
        <v>0</v>
      </c>
      <c r="X2207">
        <v>2</v>
      </c>
      <c r="Z2207">
        <v>1</v>
      </c>
      <c r="AA2207">
        <v>8</v>
      </c>
      <c r="AB2207">
        <v>3</v>
      </c>
      <c r="AC2207">
        <v>0</v>
      </c>
      <c r="AD2207">
        <v>9</v>
      </c>
      <c r="AE2207">
        <v>0</v>
      </c>
      <c r="AF2207">
        <v>3</v>
      </c>
      <c r="AG2207">
        <v>1</v>
      </c>
      <c r="AH2207">
        <v>0</v>
      </c>
      <c r="AI2207" t="s">
        <v>1154</v>
      </c>
      <c r="AJ2207">
        <v>33.013700999999998</v>
      </c>
      <c r="AK2207" t="s">
        <v>1155</v>
      </c>
      <c r="AL2207">
        <v>-97.649961000000005</v>
      </c>
      <c r="AM2207">
        <v>25</v>
      </c>
      <c r="AN2207">
        <v>3300</v>
      </c>
      <c r="AO2207" t="s">
        <v>118</v>
      </c>
      <c r="AP2207">
        <v>7</v>
      </c>
      <c r="AQ2207">
        <v>-84</v>
      </c>
      <c r="AR2207">
        <v>0</v>
      </c>
      <c r="AZ2207">
        <v>1200</v>
      </c>
      <c r="BA2207">
        <v>1</v>
      </c>
      <c r="BB2207" t="str">
        <f t="shared" si="659"/>
        <v xml:space="preserve">N733KP  </v>
      </c>
      <c r="BC2207">
        <v>1</v>
      </c>
      <c r="BE2207">
        <v>0</v>
      </c>
      <c r="BF2207">
        <v>0</v>
      </c>
      <c r="BG2207">
        <v>0</v>
      </c>
      <c r="BH2207">
        <v>3325</v>
      </c>
      <c r="BI2207">
        <v>1</v>
      </c>
      <c r="BJ2207">
        <v>1</v>
      </c>
      <c r="BK2207">
        <v>0</v>
      </c>
      <c r="BL2207">
        <v>0</v>
      </c>
      <c r="BO2207">
        <v>0</v>
      </c>
      <c r="BP2207">
        <v>0</v>
      </c>
      <c r="BW2207" t="str">
        <f>"22:18:44.267"</f>
        <v>22:18:44.267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6</v>
      </c>
      <c r="CP2207" t="s">
        <v>119</v>
      </c>
      <c r="CQ2207">
        <v>364</v>
      </c>
      <c r="CR2207">
        <v>0</v>
      </c>
      <c r="CW2207">
        <v>1449055</v>
      </c>
      <c r="CY2207">
        <v>1</v>
      </c>
      <c r="CZ2207">
        <v>0</v>
      </c>
      <c r="DA2207">
        <v>1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>"03/24/2022 22:18:44.475"</f>
        <v>03/24/2022 22:18:44.475</v>
      </c>
      <c r="C2208" t="str">
        <f t="shared" si="658"/>
        <v>FFDFD3C0</v>
      </c>
      <c r="D2208" t="s">
        <v>126</v>
      </c>
      <c r="E2208">
        <v>3</v>
      </c>
      <c r="H2208">
        <v>160</v>
      </c>
      <c r="I2208" t="s">
        <v>121</v>
      </c>
      <c r="J2208" t="s">
        <v>127</v>
      </c>
      <c r="K2208">
        <v>0</v>
      </c>
      <c r="L2208">
        <v>3</v>
      </c>
      <c r="M2208">
        <v>0</v>
      </c>
      <c r="N2208">
        <v>2</v>
      </c>
      <c r="O2208">
        <v>0</v>
      </c>
      <c r="P2208">
        <v>1</v>
      </c>
      <c r="Q2208">
        <v>0</v>
      </c>
      <c r="S2208" t="str">
        <f t="shared" si="661"/>
        <v>22:18:44.000</v>
      </c>
      <c r="T2208" t="str">
        <f t="shared" si="661"/>
        <v>22:18:44.000</v>
      </c>
      <c r="U2208" t="str">
        <f t="shared" si="652"/>
        <v>A9D71F</v>
      </c>
      <c r="V2208">
        <v>0</v>
      </c>
      <c r="W2208">
        <v>0</v>
      </c>
      <c r="X2208">
        <v>2</v>
      </c>
      <c r="Z2208">
        <v>1</v>
      </c>
      <c r="AA2208">
        <v>8</v>
      </c>
      <c r="AB2208">
        <v>3</v>
      </c>
      <c r="AC2208">
        <v>0</v>
      </c>
      <c r="AD2208">
        <v>9</v>
      </c>
      <c r="AE2208">
        <v>0</v>
      </c>
      <c r="AF2208">
        <v>3</v>
      </c>
      <c r="AG2208">
        <v>1</v>
      </c>
      <c r="AH2208">
        <v>0</v>
      </c>
      <c r="AI2208" t="s">
        <v>1154</v>
      </c>
      <c r="AJ2208">
        <v>33.013700999999998</v>
      </c>
      <c r="AK2208" t="s">
        <v>1155</v>
      </c>
      <c r="AL2208">
        <v>-97.649961000000005</v>
      </c>
      <c r="AM2208">
        <v>25</v>
      </c>
      <c r="AN2208">
        <v>3300</v>
      </c>
      <c r="AO2208" t="s">
        <v>118</v>
      </c>
      <c r="AP2208">
        <v>7</v>
      </c>
      <c r="AQ2208">
        <v>-84</v>
      </c>
      <c r="AR2208">
        <v>0</v>
      </c>
      <c r="AZ2208">
        <v>1200</v>
      </c>
      <c r="BA2208">
        <v>1</v>
      </c>
      <c r="BB2208" t="str">
        <f t="shared" si="659"/>
        <v xml:space="preserve">N733KP  </v>
      </c>
      <c r="BC2208">
        <v>1</v>
      </c>
      <c r="BE2208">
        <v>0</v>
      </c>
      <c r="BF2208">
        <v>0</v>
      </c>
      <c r="BG2208">
        <v>0</v>
      </c>
      <c r="BH2208">
        <v>3325</v>
      </c>
      <c r="BI2208">
        <v>1</v>
      </c>
      <c r="BJ2208">
        <v>1</v>
      </c>
      <c r="BK2208">
        <v>0</v>
      </c>
      <c r="BL2208">
        <v>0</v>
      </c>
      <c r="BO2208">
        <v>0</v>
      </c>
      <c r="BP2208">
        <v>0</v>
      </c>
      <c r="BW2208" t="str">
        <f>"22:18:44.267"</f>
        <v>22:18:44.267</v>
      </c>
      <c r="CJ2208">
        <v>0</v>
      </c>
      <c r="CK2208">
        <v>2</v>
      </c>
      <c r="CL2208">
        <v>0</v>
      </c>
      <c r="CM2208">
        <v>2</v>
      </c>
      <c r="CN2208">
        <v>0</v>
      </c>
      <c r="CO2208">
        <v>6</v>
      </c>
      <c r="CP2208" t="s">
        <v>119</v>
      </c>
      <c r="CQ2208">
        <v>364</v>
      </c>
      <c r="CR2208">
        <v>0</v>
      </c>
      <c r="CW2208">
        <v>1449055</v>
      </c>
      <c r="CY2208">
        <v>1</v>
      </c>
      <c r="CZ2208">
        <v>0</v>
      </c>
      <c r="DA2208">
        <v>1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>"03/24/2022 22:18:45.807"</f>
        <v>03/24/2022 22:18:45.807</v>
      </c>
      <c r="C2209" t="str">
        <f t="shared" si="658"/>
        <v>FFDFD3C0</v>
      </c>
      <c r="D2209" t="s">
        <v>120</v>
      </c>
      <c r="E2209">
        <v>14</v>
      </c>
      <c r="F2209">
        <v>1014</v>
      </c>
      <c r="G2209" t="s">
        <v>121</v>
      </c>
      <c r="J2209" t="s">
        <v>122</v>
      </c>
      <c r="K2209">
        <v>0</v>
      </c>
      <c r="L2209">
        <v>3</v>
      </c>
      <c r="M2209">
        <v>0</v>
      </c>
      <c r="N2209">
        <v>2</v>
      </c>
      <c r="O2209">
        <v>0</v>
      </c>
      <c r="P2209">
        <v>1</v>
      </c>
      <c r="Q2209">
        <v>0</v>
      </c>
      <c r="S2209" t="str">
        <f t="shared" ref="S2209:T2212" si="662">"22:18:45.000"</f>
        <v>22:18:45.000</v>
      </c>
      <c r="T2209" t="str">
        <f t="shared" si="662"/>
        <v>22:18:45.000</v>
      </c>
      <c r="U2209" t="str">
        <f t="shared" si="652"/>
        <v>A9D71F</v>
      </c>
      <c r="V2209">
        <v>0</v>
      </c>
      <c r="W2209">
        <v>0</v>
      </c>
      <c r="X2209">
        <v>2</v>
      </c>
      <c r="Z2209">
        <v>1</v>
      </c>
      <c r="AA2209">
        <v>8</v>
      </c>
      <c r="AB2209">
        <v>3</v>
      </c>
      <c r="AC2209">
        <v>0</v>
      </c>
      <c r="AD2209">
        <v>9</v>
      </c>
      <c r="AE2209">
        <v>0</v>
      </c>
      <c r="AF2209">
        <v>3</v>
      </c>
      <c r="AG2209">
        <v>1</v>
      </c>
      <c r="AH2209">
        <v>0</v>
      </c>
      <c r="AI2209" t="s">
        <v>1156</v>
      </c>
      <c r="AJ2209">
        <v>33.013314999999999</v>
      </c>
      <c r="AK2209" t="s">
        <v>1157</v>
      </c>
      <c r="AL2209">
        <v>-97.649939000000003</v>
      </c>
      <c r="AM2209">
        <v>25</v>
      </c>
      <c r="AN2209">
        <v>3300</v>
      </c>
      <c r="AO2209" t="s">
        <v>118</v>
      </c>
      <c r="AP2209">
        <v>3</v>
      </c>
      <c r="AQ2209">
        <v>-85</v>
      </c>
      <c r="AR2209">
        <v>-128</v>
      </c>
      <c r="AZ2209">
        <v>1200</v>
      </c>
      <c r="BA2209">
        <v>1</v>
      </c>
      <c r="BB2209" t="str">
        <f t="shared" si="659"/>
        <v xml:space="preserve">N733KP  </v>
      </c>
      <c r="BC2209">
        <v>1</v>
      </c>
      <c r="BE2209">
        <v>0</v>
      </c>
      <c r="BF2209">
        <v>0</v>
      </c>
      <c r="BG2209">
        <v>0</v>
      </c>
      <c r="BH2209">
        <v>3325</v>
      </c>
      <c r="BI2209">
        <v>1</v>
      </c>
      <c r="BJ2209">
        <v>1</v>
      </c>
      <c r="BK2209">
        <v>0</v>
      </c>
      <c r="BL2209">
        <v>0</v>
      </c>
      <c r="BO2209">
        <v>0</v>
      </c>
      <c r="BP2209">
        <v>0</v>
      </c>
      <c r="BW2209" t="str">
        <f>"22:18:45.651"</f>
        <v>22:18:45.651</v>
      </c>
      <c r="CJ2209">
        <v>0</v>
      </c>
      <c r="CK2209">
        <v>2</v>
      </c>
      <c r="CL2209">
        <v>0</v>
      </c>
      <c r="CM2209">
        <v>2</v>
      </c>
      <c r="CN2209">
        <v>0</v>
      </c>
      <c r="CO2209">
        <v>6</v>
      </c>
      <c r="CP2209" t="s">
        <v>119</v>
      </c>
      <c r="CQ2209">
        <v>364</v>
      </c>
      <c r="CR2209">
        <v>0</v>
      </c>
      <c r="CW2209">
        <v>1449220</v>
      </c>
      <c r="CY2209">
        <v>1</v>
      </c>
      <c r="CZ2209">
        <v>0</v>
      </c>
      <c r="DA2209">
        <v>0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>"03/24/2022 22:18:45.807"</f>
        <v>03/24/2022 22:18:45.807</v>
      </c>
      <c r="C2210" t="str">
        <f t="shared" si="658"/>
        <v>FFDFD3C0</v>
      </c>
      <c r="D2210" t="s">
        <v>123</v>
      </c>
      <c r="E2210">
        <v>8</v>
      </c>
      <c r="H2210">
        <v>31</v>
      </c>
      <c r="I2210" t="s">
        <v>124</v>
      </c>
      <c r="J2210" t="s">
        <v>125</v>
      </c>
      <c r="K2210">
        <v>0</v>
      </c>
      <c r="L2210">
        <v>3</v>
      </c>
      <c r="M2210">
        <v>0</v>
      </c>
      <c r="N2210">
        <v>2</v>
      </c>
      <c r="O2210">
        <v>0</v>
      </c>
      <c r="P2210">
        <v>1</v>
      </c>
      <c r="Q2210">
        <v>0</v>
      </c>
      <c r="S2210" t="str">
        <f t="shared" si="662"/>
        <v>22:18:45.000</v>
      </c>
      <c r="T2210" t="str">
        <f t="shared" si="662"/>
        <v>22:18:45.000</v>
      </c>
      <c r="U2210" t="str">
        <f t="shared" si="652"/>
        <v>A9D71F</v>
      </c>
      <c r="V2210">
        <v>0</v>
      </c>
      <c r="W2210">
        <v>0</v>
      </c>
      <c r="X2210">
        <v>2</v>
      </c>
      <c r="Z2210">
        <v>1</v>
      </c>
      <c r="AA2210">
        <v>8</v>
      </c>
      <c r="AB2210">
        <v>3</v>
      </c>
      <c r="AC2210">
        <v>0</v>
      </c>
      <c r="AD2210">
        <v>9</v>
      </c>
      <c r="AE2210">
        <v>0</v>
      </c>
      <c r="AF2210">
        <v>3</v>
      </c>
      <c r="AG2210">
        <v>1</v>
      </c>
      <c r="AH2210">
        <v>0</v>
      </c>
      <c r="AI2210" t="s">
        <v>1156</v>
      </c>
      <c r="AJ2210">
        <v>33.013314999999999</v>
      </c>
      <c r="AK2210" t="s">
        <v>1157</v>
      </c>
      <c r="AL2210">
        <v>-97.649939000000003</v>
      </c>
      <c r="AM2210">
        <v>25</v>
      </c>
      <c r="AN2210">
        <v>3300</v>
      </c>
      <c r="AO2210" t="s">
        <v>118</v>
      </c>
      <c r="AP2210">
        <v>3</v>
      </c>
      <c r="AQ2210">
        <v>-85</v>
      </c>
      <c r="AR2210">
        <v>-128</v>
      </c>
      <c r="AZ2210">
        <v>1200</v>
      </c>
      <c r="BA2210">
        <v>1</v>
      </c>
      <c r="BB2210" t="str">
        <f t="shared" si="659"/>
        <v xml:space="preserve">N733KP  </v>
      </c>
      <c r="BC2210">
        <v>1</v>
      </c>
      <c r="BE2210">
        <v>0</v>
      </c>
      <c r="BF2210">
        <v>0</v>
      </c>
      <c r="BG2210">
        <v>0</v>
      </c>
      <c r="BH2210">
        <v>3325</v>
      </c>
      <c r="BI2210">
        <v>1</v>
      </c>
      <c r="BJ2210">
        <v>1</v>
      </c>
      <c r="BK2210">
        <v>0</v>
      </c>
      <c r="BL2210">
        <v>0</v>
      </c>
      <c r="BO2210">
        <v>0</v>
      </c>
      <c r="BP2210">
        <v>0</v>
      </c>
      <c r="BW2210" t="str">
        <f>"22:18:45.651"</f>
        <v>22:18:45.651</v>
      </c>
      <c r="CJ2210">
        <v>0</v>
      </c>
      <c r="CK2210">
        <v>2</v>
      </c>
      <c r="CL2210">
        <v>0</v>
      </c>
      <c r="CM2210">
        <v>2</v>
      </c>
      <c r="CN2210">
        <v>0</v>
      </c>
      <c r="CO2210">
        <v>6</v>
      </c>
      <c r="CP2210" t="s">
        <v>119</v>
      </c>
      <c r="CQ2210">
        <v>364</v>
      </c>
      <c r="CR2210">
        <v>0</v>
      </c>
      <c r="CW2210">
        <v>1449220</v>
      </c>
      <c r="CY2210">
        <v>1</v>
      </c>
      <c r="CZ2210">
        <v>0</v>
      </c>
      <c r="DA2210">
        <v>1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>"03/24/2022 22:18:45.807"</f>
        <v>03/24/2022 22:18:45.807</v>
      </c>
      <c r="C2211" t="str">
        <f t="shared" si="658"/>
        <v>FFDFD3C0</v>
      </c>
      <c r="D2211" t="s">
        <v>113</v>
      </c>
      <c r="E2211">
        <v>24</v>
      </c>
      <c r="F2211">
        <v>2024</v>
      </c>
      <c r="G2211" t="s">
        <v>114</v>
      </c>
      <c r="J2211" t="s">
        <v>115</v>
      </c>
      <c r="K2211">
        <v>0</v>
      </c>
      <c r="L2211">
        <v>3</v>
      </c>
      <c r="M2211">
        <v>0</v>
      </c>
      <c r="N2211">
        <v>2</v>
      </c>
      <c r="O2211">
        <v>0</v>
      </c>
      <c r="P2211">
        <v>1</v>
      </c>
      <c r="Q2211">
        <v>0</v>
      </c>
      <c r="S2211" t="str">
        <f t="shared" si="662"/>
        <v>22:18:45.000</v>
      </c>
      <c r="T2211" t="str">
        <f t="shared" si="662"/>
        <v>22:18:45.000</v>
      </c>
      <c r="U2211" t="str">
        <f t="shared" si="652"/>
        <v>A9D71F</v>
      </c>
      <c r="V2211">
        <v>0</v>
      </c>
      <c r="W2211">
        <v>0</v>
      </c>
      <c r="X2211">
        <v>2</v>
      </c>
      <c r="Z2211">
        <v>1</v>
      </c>
      <c r="AA2211">
        <v>8</v>
      </c>
      <c r="AB2211">
        <v>3</v>
      </c>
      <c r="AC2211">
        <v>0</v>
      </c>
      <c r="AD2211">
        <v>9</v>
      </c>
      <c r="AE2211">
        <v>0</v>
      </c>
      <c r="AF2211">
        <v>3</v>
      </c>
      <c r="AG2211">
        <v>1</v>
      </c>
      <c r="AH2211">
        <v>0</v>
      </c>
      <c r="AI2211" t="s">
        <v>1156</v>
      </c>
      <c r="AJ2211">
        <v>33.013314999999999</v>
      </c>
      <c r="AK2211" t="s">
        <v>1157</v>
      </c>
      <c r="AL2211">
        <v>-97.649939000000003</v>
      </c>
      <c r="AM2211">
        <v>25</v>
      </c>
      <c r="AN2211">
        <v>3300</v>
      </c>
      <c r="AO2211" t="s">
        <v>118</v>
      </c>
      <c r="AP2211">
        <v>3</v>
      </c>
      <c r="AQ2211">
        <v>-85</v>
      </c>
      <c r="AR2211">
        <v>-128</v>
      </c>
      <c r="AZ2211">
        <v>1200</v>
      </c>
      <c r="BA2211">
        <v>1</v>
      </c>
      <c r="BB2211" t="str">
        <f t="shared" si="659"/>
        <v xml:space="preserve">N733KP  </v>
      </c>
      <c r="BC2211">
        <v>1</v>
      </c>
      <c r="BE2211">
        <v>0</v>
      </c>
      <c r="BF2211">
        <v>0</v>
      </c>
      <c r="BG2211">
        <v>0</v>
      </c>
      <c r="BH2211">
        <v>3325</v>
      </c>
      <c r="BI2211">
        <v>1</v>
      </c>
      <c r="BJ2211">
        <v>1</v>
      </c>
      <c r="BK2211">
        <v>0</v>
      </c>
      <c r="BL2211">
        <v>0</v>
      </c>
      <c r="BO2211">
        <v>0</v>
      </c>
      <c r="BP2211">
        <v>0</v>
      </c>
      <c r="BW2211" t="str">
        <f>"22:18:45.651"</f>
        <v>22:18:45.651</v>
      </c>
      <c r="CJ2211">
        <v>0</v>
      </c>
      <c r="CK2211">
        <v>2</v>
      </c>
      <c r="CL2211">
        <v>0</v>
      </c>
      <c r="CM2211">
        <v>2</v>
      </c>
      <c r="CN2211">
        <v>0</v>
      </c>
      <c r="CO2211">
        <v>6</v>
      </c>
      <c r="CP2211" t="s">
        <v>119</v>
      </c>
      <c r="CQ2211">
        <v>364</v>
      </c>
      <c r="CR2211">
        <v>0</v>
      </c>
      <c r="CW2211">
        <v>1449220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>"03/24/2022 22:18:45.807"</f>
        <v>03/24/2022 22:18:45.807</v>
      </c>
      <c r="C2212" t="str">
        <f t="shared" si="658"/>
        <v>FFDFD3C0</v>
      </c>
      <c r="D2212" t="s">
        <v>126</v>
      </c>
      <c r="E2212">
        <v>3</v>
      </c>
      <c r="H2212">
        <v>160</v>
      </c>
      <c r="I2212" t="s">
        <v>121</v>
      </c>
      <c r="J2212" t="s">
        <v>127</v>
      </c>
      <c r="K2212">
        <v>0</v>
      </c>
      <c r="L2212">
        <v>3</v>
      </c>
      <c r="M2212">
        <v>0</v>
      </c>
      <c r="N2212">
        <v>2</v>
      </c>
      <c r="O2212">
        <v>0</v>
      </c>
      <c r="P2212">
        <v>1</v>
      </c>
      <c r="Q2212">
        <v>0</v>
      </c>
      <c r="S2212" t="str">
        <f t="shared" si="662"/>
        <v>22:18:45.000</v>
      </c>
      <c r="T2212" t="str">
        <f t="shared" si="662"/>
        <v>22:18:45.000</v>
      </c>
      <c r="U2212" t="str">
        <f t="shared" si="652"/>
        <v>A9D71F</v>
      </c>
      <c r="V2212">
        <v>0</v>
      </c>
      <c r="W2212">
        <v>0</v>
      </c>
      <c r="X2212">
        <v>2</v>
      </c>
      <c r="Z2212">
        <v>1</v>
      </c>
      <c r="AA2212">
        <v>8</v>
      </c>
      <c r="AB2212">
        <v>3</v>
      </c>
      <c r="AC2212">
        <v>0</v>
      </c>
      <c r="AD2212">
        <v>9</v>
      </c>
      <c r="AE2212">
        <v>0</v>
      </c>
      <c r="AF2212">
        <v>3</v>
      </c>
      <c r="AG2212">
        <v>1</v>
      </c>
      <c r="AH2212">
        <v>0</v>
      </c>
      <c r="AI2212" t="s">
        <v>1156</v>
      </c>
      <c r="AJ2212">
        <v>33.013314999999999</v>
      </c>
      <c r="AK2212" t="s">
        <v>1157</v>
      </c>
      <c r="AL2212">
        <v>-97.649939000000003</v>
      </c>
      <c r="AM2212">
        <v>25</v>
      </c>
      <c r="AN2212">
        <v>3300</v>
      </c>
      <c r="AO2212" t="s">
        <v>118</v>
      </c>
      <c r="AP2212">
        <v>3</v>
      </c>
      <c r="AQ2212">
        <v>-85</v>
      </c>
      <c r="AR2212">
        <v>-128</v>
      </c>
      <c r="AZ2212">
        <v>1200</v>
      </c>
      <c r="BA2212">
        <v>1</v>
      </c>
      <c r="BB2212" t="str">
        <f t="shared" si="659"/>
        <v xml:space="preserve">N733KP  </v>
      </c>
      <c r="BC2212">
        <v>1</v>
      </c>
      <c r="BE2212">
        <v>0</v>
      </c>
      <c r="BF2212">
        <v>0</v>
      </c>
      <c r="BG2212">
        <v>0</v>
      </c>
      <c r="BH2212">
        <v>3325</v>
      </c>
      <c r="BI2212">
        <v>1</v>
      </c>
      <c r="BJ2212">
        <v>1</v>
      </c>
      <c r="BK2212">
        <v>0</v>
      </c>
      <c r="BL2212">
        <v>0</v>
      </c>
      <c r="BO2212">
        <v>0</v>
      </c>
      <c r="BP2212">
        <v>0</v>
      </c>
      <c r="BW2212" t="str">
        <f>"22:18:45.651"</f>
        <v>22:18:45.651</v>
      </c>
      <c r="CJ2212">
        <v>0</v>
      </c>
      <c r="CK2212">
        <v>2</v>
      </c>
      <c r="CL2212">
        <v>0</v>
      </c>
      <c r="CM2212">
        <v>2</v>
      </c>
      <c r="CN2212">
        <v>0</v>
      </c>
      <c r="CO2212">
        <v>6</v>
      </c>
      <c r="CP2212" t="s">
        <v>119</v>
      </c>
      <c r="CQ2212">
        <v>364</v>
      </c>
      <c r="CR2212">
        <v>0</v>
      </c>
      <c r="CW2212">
        <v>1449220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"03/24/2022 22:18:46.636"</f>
        <v>03/24/2022 22:18:46.636</v>
      </c>
      <c r="C2213" t="str">
        <f t="shared" si="658"/>
        <v>FFDFD3C0</v>
      </c>
      <c r="D2213" t="s">
        <v>126</v>
      </c>
      <c r="E2213">
        <v>3</v>
      </c>
      <c r="H2213">
        <v>160</v>
      </c>
      <c r="I2213" t="s">
        <v>121</v>
      </c>
      <c r="J2213" t="s">
        <v>127</v>
      </c>
      <c r="K2213">
        <v>0</v>
      </c>
      <c r="L2213">
        <v>3</v>
      </c>
      <c r="M2213">
        <v>0</v>
      </c>
      <c r="N2213">
        <v>2</v>
      </c>
      <c r="O2213">
        <v>0</v>
      </c>
      <c r="P2213">
        <v>1</v>
      </c>
      <c r="Q2213">
        <v>0</v>
      </c>
      <c r="S2213" t="str">
        <f t="shared" ref="S2213:T2216" si="663">"22:18:46.000"</f>
        <v>22:18:46.000</v>
      </c>
      <c r="T2213" t="str">
        <f t="shared" si="663"/>
        <v>22:18:46.000</v>
      </c>
      <c r="U2213" t="str">
        <f t="shared" si="652"/>
        <v>A9D71F</v>
      </c>
      <c r="V2213">
        <v>0</v>
      </c>
      <c r="W2213">
        <v>0</v>
      </c>
      <c r="X2213">
        <v>2</v>
      </c>
      <c r="Z2213">
        <v>1</v>
      </c>
      <c r="AA2213">
        <v>8</v>
      </c>
      <c r="AB2213">
        <v>3</v>
      </c>
      <c r="AC2213">
        <v>0</v>
      </c>
      <c r="AD2213">
        <v>9</v>
      </c>
      <c r="AE2213">
        <v>0</v>
      </c>
      <c r="AF2213">
        <v>3</v>
      </c>
      <c r="AG2213">
        <v>1</v>
      </c>
      <c r="AH2213">
        <v>0</v>
      </c>
      <c r="AI2213" t="s">
        <v>1158</v>
      </c>
      <c r="AJ2213">
        <v>33.012908000000003</v>
      </c>
      <c r="AK2213" t="s">
        <v>1159</v>
      </c>
      <c r="AL2213">
        <v>-97.649895999999998</v>
      </c>
      <c r="AM2213">
        <v>25</v>
      </c>
      <c r="AN2213">
        <v>3300</v>
      </c>
      <c r="AO2213" t="s">
        <v>118</v>
      </c>
      <c r="AP2213">
        <v>-5</v>
      </c>
      <c r="AQ2213">
        <v>-82</v>
      </c>
      <c r="AR2213">
        <v>-256</v>
      </c>
      <c r="AZ2213">
        <v>1200</v>
      </c>
      <c r="BA2213">
        <v>1</v>
      </c>
      <c r="BB2213" t="str">
        <f t="shared" si="659"/>
        <v xml:space="preserve">N733KP  </v>
      </c>
      <c r="BC2213">
        <v>1</v>
      </c>
      <c r="BE2213">
        <v>0</v>
      </c>
      <c r="BF2213">
        <v>0</v>
      </c>
      <c r="BG2213">
        <v>0</v>
      </c>
      <c r="BH2213">
        <v>3300</v>
      </c>
      <c r="BI2213">
        <v>1</v>
      </c>
      <c r="BJ2213">
        <v>1</v>
      </c>
      <c r="BK2213">
        <v>0</v>
      </c>
      <c r="BL2213">
        <v>0</v>
      </c>
      <c r="BO2213">
        <v>0</v>
      </c>
      <c r="BP2213">
        <v>0</v>
      </c>
      <c r="BW2213" t="str">
        <f>"22:18:46.479"</f>
        <v>22:18:46.479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6</v>
      </c>
      <c r="CP2213" t="s">
        <v>119</v>
      </c>
      <c r="CQ2213">
        <v>364</v>
      </c>
      <c r="CR2213">
        <v>0</v>
      </c>
      <c r="CW2213">
        <v>1449325</v>
      </c>
      <c r="CY2213">
        <v>1</v>
      </c>
      <c r="CZ2213">
        <v>0</v>
      </c>
      <c r="DA2213">
        <v>0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"03/24/2022 22:18:46.698"</f>
        <v>03/24/2022 22:18:46.698</v>
      </c>
      <c r="C2214" t="str">
        <f t="shared" si="658"/>
        <v>FFDFD3C0</v>
      </c>
      <c r="D2214" t="s">
        <v>120</v>
      </c>
      <c r="E2214">
        <v>14</v>
      </c>
      <c r="F2214">
        <v>1014</v>
      </c>
      <c r="G2214" t="s">
        <v>121</v>
      </c>
      <c r="J2214" t="s">
        <v>122</v>
      </c>
      <c r="K2214">
        <v>0</v>
      </c>
      <c r="L2214">
        <v>3</v>
      </c>
      <c r="M2214">
        <v>0</v>
      </c>
      <c r="N2214">
        <v>2</v>
      </c>
      <c r="O2214">
        <v>0</v>
      </c>
      <c r="P2214">
        <v>1</v>
      </c>
      <c r="Q2214">
        <v>0</v>
      </c>
      <c r="S2214" t="str">
        <f t="shared" si="663"/>
        <v>22:18:46.000</v>
      </c>
      <c r="T2214" t="str">
        <f t="shared" si="663"/>
        <v>22:18:46.000</v>
      </c>
      <c r="U2214" t="str">
        <f t="shared" si="652"/>
        <v>A9D71F</v>
      </c>
      <c r="V2214">
        <v>0</v>
      </c>
      <c r="W2214">
        <v>0</v>
      </c>
      <c r="X2214">
        <v>2</v>
      </c>
      <c r="Z2214">
        <v>1</v>
      </c>
      <c r="AA2214">
        <v>8</v>
      </c>
      <c r="AB2214">
        <v>3</v>
      </c>
      <c r="AC2214">
        <v>0</v>
      </c>
      <c r="AD2214">
        <v>9</v>
      </c>
      <c r="AE2214">
        <v>0</v>
      </c>
      <c r="AF2214">
        <v>3</v>
      </c>
      <c r="AG2214">
        <v>1</v>
      </c>
      <c r="AH2214">
        <v>0</v>
      </c>
      <c r="AI2214" t="s">
        <v>1158</v>
      </c>
      <c r="AJ2214">
        <v>33.012908000000003</v>
      </c>
      <c r="AK2214" t="s">
        <v>1159</v>
      </c>
      <c r="AL2214">
        <v>-97.649895999999998</v>
      </c>
      <c r="AM2214">
        <v>25</v>
      </c>
      <c r="AN2214">
        <v>3300</v>
      </c>
      <c r="AO2214" t="s">
        <v>118</v>
      </c>
      <c r="AP2214">
        <v>-5</v>
      </c>
      <c r="AQ2214">
        <v>-82</v>
      </c>
      <c r="AR2214">
        <v>-256</v>
      </c>
      <c r="AZ2214">
        <v>1200</v>
      </c>
      <c r="BA2214">
        <v>1</v>
      </c>
      <c r="BB2214" t="str">
        <f t="shared" si="659"/>
        <v xml:space="preserve">N733KP  </v>
      </c>
      <c r="BC2214">
        <v>1</v>
      </c>
      <c r="BE2214">
        <v>0</v>
      </c>
      <c r="BF2214">
        <v>0</v>
      </c>
      <c r="BG2214">
        <v>0</v>
      </c>
      <c r="BH2214">
        <v>3300</v>
      </c>
      <c r="BI2214">
        <v>1</v>
      </c>
      <c r="BJ2214">
        <v>1</v>
      </c>
      <c r="BK2214">
        <v>0</v>
      </c>
      <c r="BL2214">
        <v>0</v>
      </c>
      <c r="BO2214">
        <v>0</v>
      </c>
      <c r="BP2214">
        <v>0</v>
      </c>
      <c r="BW2214" t="str">
        <f>"22:18:46.479"</f>
        <v>22:18:46.479</v>
      </c>
      <c r="CJ2214">
        <v>0</v>
      </c>
      <c r="CK2214">
        <v>2</v>
      </c>
      <c r="CL2214">
        <v>0</v>
      </c>
      <c r="CM2214">
        <v>2</v>
      </c>
      <c r="CN2214">
        <v>0</v>
      </c>
      <c r="CO2214">
        <v>6</v>
      </c>
      <c r="CP2214" t="s">
        <v>119</v>
      </c>
      <c r="CQ2214">
        <v>364</v>
      </c>
      <c r="CR2214">
        <v>0</v>
      </c>
      <c r="CW2214">
        <v>1449325</v>
      </c>
      <c r="CY2214">
        <v>1</v>
      </c>
      <c r="CZ2214">
        <v>0</v>
      </c>
      <c r="DA2214">
        <v>1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"03/24/2022 22:18:46.729"</f>
        <v>03/24/2022 22:18:46.729</v>
      </c>
      <c r="C2215" t="str">
        <f t="shared" si="658"/>
        <v>FFDFD3C0</v>
      </c>
      <c r="D2215" t="s">
        <v>123</v>
      </c>
      <c r="E2215">
        <v>8</v>
      </c>
      <c r="H2215">
        <v>31</v>
      </c>
      <c r="I2215" t="s">
        <v>124</v>
      </c>
      <c r="J2215" t="s">
        <v>125</v>
      </c>
      <c r="K2215">
        <v>0</v>
      </c>
      <c r="L2215">
        <v>3</v>
      </c>
      <c r="M2215">
        <v>0</v>
      </c>
      <c r="N2215">
        <v>2</v>
      </c>
      <c r="O2215">
        <v>0</v>
      </c>
      <c r="P2215">
        <v>1</v>
      </c>
      <c r="Q2215">
        <v>0</v>
      </c>
      <c r="S2215" t="str">
        <f t="shared" si="663"/>
        <v>22:18:46.000</v>
      </c>
      <c r="T2215" t="str">
        <f t="shared" si="663"/>
        <v>22:18:46.000</v>
      </c>
      <c r="U2215" t="str">
        <f t="shared" si="652"/>
        <v>A9D71F</v>
      </c>
      <c r="V2215">
        <v>0</v>
      </c>
      <c r="W2215">
        <v>0</v>
      </c>
      <c r="X2215">
        <v>2</v>
      </c>
      <c r="Z2215">
        <v>1</v>
      </c>
      <c r="AA2215">
        <v>8</v>
      </c>
      <c r="AB2215">
        <v>3</v>
      </c>
      <c r="AC2215">
        <v>0</v>
      </c>
      <c r="AD2215">
        <v>9</v>
      </c>
      <c r="AE2215">
        <v>0</v>
      </c>
      <c r="AF2215">
        <v>3</v>
      </c>
      <c r="AG2215">
        <v>1</v>
      </c>
      <c r="AH2215">
        <v>0</v>
      </c>
      <c r="AI2215" t="s">
        <v>1158</v>
      </c>
      <c r="AJ2215">
        <v>33.012908000000003</v>
      </c>
      <c r="AK2215" t="s">
        <v>1159</v>
      </c>
      <c r="AL2215">
        <v>-97.649895999999998</v>
      </c>
      <c r="AM2215">
        <v>25</v>
      </c>
      <c r="AN2215">
        <v>3300</v>
      </c>
      <c r="AO2215" t="s">
        <v>118</v>
      </c>
      <c r="AP2215">
        <v>-5</v>
      </c>
      <c r="AQ2215">
        <v>-82</v>
      </c>
      <c r="AR2215">
        <v>-256</v>
      </c>
      <c r="AZ2215">
        <v>1200</v>
      </c>
      <c r="BA2215">
        <v>1</v>
      </c>
      <c r="BB2215" t="str">
        <f t="shared" si="659"/>
        <v xml:space="preserve">N733KP  </v>
      </c>
      <c r="BC2215">
        <v>1</v>
      </c>
      <c r="BE2215">
        <v>0</v>
      </c>
      <c r="BF2215">
        <v>0</v>
      </c>
      <c r="BG2215">
        <v>0</v>
      </c>
      <c r="BH2215">
        <v>3300</v>
      </c>
      <c r="BI2215">
        <v>1</v>
      </c>
      <c r="BJ2215">
        <v>1</v>
      </c>
      <c r="BK2215">
        <v>0</v>
      </c>
      <c r="BL2215">
        <v>0</v>
      </c>
      <c r="BO2215">
        <v>0</v>
      </c>
      <c r="BP2215">
        <v>0</v>
      </c>
      <c r="BW2215" t="str">
        <f>"22:18:46.479"</f>
        <v>22:18:46.479</v>
      </c>
      <c r="CJ2215">
        <v>0</v>
      </c>
      <c r="CK2215">
        <v>2</v>
      </c>
      <c r="CL2215">
        <v>0</v>
      </c>
      <c r="CM2215">
        <v>2</v>
      </c>
      <c r="CN2215">
        <v>0</v>
      </c>
      <c r="CO2215">
        <v>6</v>
      </c>
      <c r="CP2215" t="s">
        <v>119</v>
      </c>
      <c r="CQ2215">
        <v>364</v>
      </c>
      <c r="CR2215">
        <v>0</v>
      </c>
      <c r="CW2215">
        <v>1449325</v>
      </c>
      <c r="CY2215">
        <v>1</v>
      </c>
      <c r="CZ2215">
        <v>0</v>
      </c>
      <c r="DA2215">
        <v>1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"03/24/2022 22:18:46.729"</f>
        <v>03/24/2022 22:18:46.729</v>
      </c>
      <c r="C2216" t="str">
        <f t="shared" si="658"/>
        <v>FFDFD3C0</v>
      </c>
      <c r="D2216" t="s">
        <v>113</v>
      </c>
      <c r="E2216">
        <v>24</v>
      </c>
      <c r="F2216">
        <v>2024</v>
      </c>
      <c r="G2216" t="s">
        <v>114</v>
      </c>
      <c r="J2216" t="s">
        <v>115</v>
      </c>
      <c r="K2216">
        <v>0</v>
      </c>
      <c r="L2216">
        <v>3</v>
      </c>
      <c r="M2216">
        <v>0</v>
      </c>
      <c r="N2216">
        <v>2</v>
      </c>
      <c r="O2216">
        <v>0</v>
      </c>
      <c r="P2216">
        <v>1</v>
      </c>
      <c r="Q2216">
        <v>0</v>
      </c>
      <c r="S2216" t="str">
        <f t="shared" si="663"/>
        <v>22:18:46.000</v>
      </c>
      <c r="T2216" t="str">
        <f t="shared" si="663"/>
        <v>22:18:46.000</v>
      </c>
      <c r="U2216" t="str">
        <f t="shared" si="652"/>
        <v>A9D71F</v>
      </c>
      <c r="V2216">
        <v>0</v>
      </c>
      <c r="W2216">
        <v>0</v>
      </c>
      <c r="X2216">
        <v>2</v>
      </c>
      <c r="Z2216">
        <v>1</v>
      </c>
      <c r="AA2216">
        <v>8</v>
      </c>
      <c r="AB2216">
        <v>3</v>
      </c>
      <c r="AC2216">
        <v>0</v>
      </c>
      <c r="AD2216">
        <v>9</v>
      </c>
      <c r="AE2216">
        <v>0</v>
      </c>
      <c r="AF2216">
        <v>3</v>
      </c>
      <c r="AG2216">
        <v>1</v>
      </c>
      <c r="AH2216">
        <v>0</v>
      </c>
      <c r="AI2216" t="s">
        <v>1158</v>
      </c>
      <c r="AJ2216">
        <v>33.012908000000003</v>
      </c>
      <c r="AK2216" t="s">
        <v>1159</v>
      </c>
      <c r="AL2216">
        <v>-97.649895999999998</v>
      </c>
      <c r="AM2216">
        <v>25</v>
      </c>
      <c r="AN2216">
        <v>3300</v>
      </c>
      <c r="AO2216" t="s">
        <v>118</v>
      </c>
      <c r="AP2216">
        <v>-5</v>
      </c>
      <c r="AQ2216">
        <v>-82</v>
      </c>
      <c r="AR2216">
        <v>-256</v>
      </c>
      <c r="AZ2216">
        <v>1200</v>
      </c>
      <c r="BA2216">
        <v>1</v>
      </c>
      <c r="BB2216" t="str">
        <f t="shared" si="659"/>
        <v xml:space="preserve">N733KP  </v>
      </c>
      <c r="BC2216">
        <v>1</v>
      </c>
      <c r="BE2216">
        <v>0</v>
      </c>
      <c r="BF2216">
        <v>0</v>
      </c>
      <c r="BG2216">
        <v>0</v>
      </c>
      <c r="BH2216">
        <v>3300</v>
      </c>
      <c r="BI2216">
        <v>1</v>
      </c>
      <c r="BJ2216">
        <v>1</v>
      </c>
      <c r="BK2216">
        <v>0</v>
      </c>
      <c r="BL2216">
        <v>0</v>
      </c>
      <c r="BO2216">
        <v>0</v>
      </c>
      <c r="BP2216">
        <v>0</v>
      </c>
      <c r="BW2216" t="str">
        <f>"22:18:46.479"</f>
        <v>22:18:46.479</v>
      </c>
      <c r="CJ2216">
        <v>0</v>
      </c>
      <c r="CK2216">
        <v>2</v>
      </c>
      <c r="CL2216">
        <v>0</v>
      </c>
      <c r="CM2216">
        <v>2</v>
      </c>
      <c r="CN2216">
        <v>0</v>
      </c>
      <c r="CO2216">
        <v>6</v>
      </c>
      <c r="CP2216" t="s">
        <v>119</v>
      </c>
      <c r="CQ2216">
        <v>364</v>
      </c>
      <c r="CR2216">
        <v>0</v>
      </c>
      <c r="CW2216">
        <v>1449325</v>
      </c>
      <c r="CY2216">
        <v>1</v>
      </c>
      <c r="CZ2216">
        <v>0</v>
      </c>
      <c r="DA2216">
        <v>1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"03/24/2022 22:18:47.824"</f>
        <v>03/24/2022 22:18:47.824</v>
      </c>
      <c r="C2217" t="str">
        <f t="shared" si="658"/>
        <v>FFDFD3C0</v>
      </c>
      <c r="D2217" t="s">
        <v>120</v>
      </c>
      <c r="E2217">
        <v>14</v>
      </c>
      <c r="F2217">
        <v>1014</v>
      </c>
      <c r="G2217" t="s">
        <v>121</v>
      </c>
      <c r="J2217" t="s">
        <v>122</v>
      </c>
      <c r="K2217">
        <v>0</v>
      </c>
      <c r="L2217">
        <v>3</v>
      </c>
      <c r="M2217">
        <v>0</v>
      </c>
      <c r="N2217">
        <v>2</v>
      </c>
      <c r="O2217">
        <v>0</v>
      </c>
      <c r="P2217">
        <v>1</v>
      </c>
      <c r="Q2217">
        <v>0</v>
      </c>
      <c r="S2217" t="str">
        <f t="shared" ref="S2217:T2220" si="664">"22:18:47.000"</f>
        <v>22:18:47.000</v>
      </c>
      <c r="T2217" t="str">
        <f t="shared" si="664"/>
        <v>22:18:47.000</v>
      </c>
      <c r="U2217" t="str">
        <f t="shared" si="652"/>
        <v>A9D71F</v>
      </c>
      <c r="V2217">
        <v>0</v>
      </c>
      <c r="W2217">
        <v>0</v>
      </c>
      <c r="X2217">
        <v>2</v>
      </c>
      <c r="Z2217">
        <v>1</v>
      </c>
      <c r="AA2217">
        <v>8</v>
      </c>
      <c r="AB2217">
        <v>3</v>
      </c>
      <c r="AC2217">
        <v>0</v>
      </c>
      <c r="AD2217">
        <v>9</v>
      </c>
      <c r="AE2217">
        <v>0</v>
      </c>
      <c r="AF2217">
        <v>3</v>
      </c>
      <c r="AG2217">
        <v>1</v>
      </c>
      <c r="AH2217">
        <v>0</v>
      </c>
      <c r="AI2217" t="s">
        <v>1160</v>
      </c>
      <c r="AJ2217">
        <v>33.012500000000003</v>
      </c>
      <c r="AK2217" t="s">
        <v>1161</v>
      </c>
      <c r="AL2217">
        <v>-97.649918</v>
      </c>
      <c r="AM2217">
        <v>25</v>
      </c>
      <c r="AN2217">
        <v>3300</v>
      </c>
      <c r="AO2217" t="s">
        <v>118</v>
      </c>
      <c r="AP2217">
        <v>-10</v>
      </c>
      <c r="AQ2217">
        <v>-81</v>
      </c>
      <c r="AR2217">
        <v>-256</v>
      </c>
      <c r="AZ2217">
        <v>1200</v>
      </c>
      <c r="BA2217">
        <v>1</v>
      </c>
      <c r="BB2217" t="str">
        <f t="shared" si="659"/>
        <v xml:space="preserve">N733KP  </v>
      </c>
      <c r="BC2217">
        <v>1</v>
      </c>
      <c r="BE2217">
        <v>0</v>
      </c>
      <c r="BF2217">
        <v>0</v>
      </c>
      <c r="BG2217">
        <v>0</v>
      </c>
      <c r="BH2217">
        <v>3300</v>
      </c>
      <c r="BI2217">
        <v>1</v>
      </c>
      <c r="BJ2217">
        <v>1</v>
      </c>
      <c r="BK2217">
        <v>0</v>
      </c>
      <c r="BL2217">
        <v>0</v>
      </c>
      <c r="BO2217">
        <v>0</v>
      </c>
      <c r="BP2217">
        <v>0</v>
      </c>
      <c r="BW2217" t="str">
        <f>"22:18:47.663"</f>
        <v>22:18:47.663</v>
      </c>
      <c r="CJ2217">
        <v>0</v>
      </c>
      <c r="CK2217">
        <v>2</v>
      </c>
      <c r="CL2217">
        <v>0</v>
      </c>
      <c r="CM2217">
        <v>2</v>
      </c>
      <c r="CN2217">
        <v>0</v>
      </c>
      <c r="CO2217">
        <v>6</v>
      </c>
      <c r="CP2217" t="s">
        <v>119</v>
      </c>
      <c r="CQ2217">
        <v>364</v>
      </c>
      <c r="CR2217">
        <v>0</v>
      </c>
      <c r="CW2217">
        <v>1449463</v>
      </c>
      <c r="CY2217">
        <v>1</v>
      </c>
      <c r="CZ2217">
        <v>0</v>
      </c>
      <c r="DA2217">
        <v>0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>"03/24/2022 22:18:47.840"</f>
        <v>03/24/2022 22:18:47.840</v>
      </c>
      <c r="C2218" t="str">
        <f t="shared" si="658"/>
        <v>FFDFD3C0</v>
      </c>
      <c r="D2218" t="s">
        <v>123</v>
      </c>
      <c r="E2218">
        <v>8</v>
      </c>
      <c r="H2218">
        <v>31</v>
      </c>
      <c r="I2218" t="s">
        <v>124</v>
      </c>
      <c r="J2218" t="s">
        <v>125</v>
      </c>
      <c r="K2218">
        <v>0</v>
      </c>
      <c r="L2218">
        <v>3</v>
      </c>
      <c r="M2218">
        <v>0</v>
      </c>
      <c r="N2218">
        <v>2</v>
      </c>
      <c r="O2218">
        <v>0</v>
      </c>
      <c r="P2218">
        <v>1</v>
      </c>
      <c r="Q2218">
        <v>0</v>
      </c>
      <c r="S2218" t="str">
        <f t="shared" si="664"/>
        <v>22:18:47.000</v>
      </c>
      <c r="T2218" t="str">
        <f t="shared" si="664"/>
        <v>22:18:47.000</v>
      </c>
      <c r="U2218" t="str">
        <f t="shared" si="652"/>
        <v>A9D71F</v>
      </c>
      <c r="V2218">
        <v>0</v>
      </c>
      <c r="W2218">
        <v>0</v>
      </c>
      <c r="X2218">
        <v>2</v>
      </c>
      <c r="Z2218">
        <v>1</v>
      </c>
      <c r="AA2218">
        <v>8</v>
      </c>
      <c r="AB2218">
        <v>3</v>
      </c>
      <c r="AC2218">
        <v>0</v>
      </c>
      <c r="AD2218">
        <v>9</v>
      </c>
      <c r="AE2218">
        <v>0</v>
      </c>
      <c r="AF2218">
        <v>3</v>
      </c>
      <c r="AG2218">
        <v>1</v>
      </c>
      <c r="AH2218">
        <v>0</v>
      </c>
      <c r="AI2218" t="s">
        <v>1160</v>
      </c>
      <c r="AJ2218">
        <v>33.012500000000003</v>
      </c>
      <c r="AK2218" t="s">
        <v>1161</v>
      </c>
      <c r="AL2218">
        <v>-97.649918</v>
      </c>
      <c r="AM2218">
        <v>25</v>
      </c>
      <c r="AN2218">
        <v>3300</v>
      </c>
      <c r="AO2218" t="s">
        <v>118</v>
      </c>
      <c r="AP2218">
        <v>-10</v>
      </c>
      <c r="AQ2218">
        <v>-81</v>
      </c>
      <c r="AR2218">
        <v>-256</v>
      </c>
      <c r="AZ2218">
        <v>1200</v>
      </c>
      <c r="BA2218">
        <v>1</v>
      </c>
      <c r="BB2218" t="str">
        <f t="shared" si="659"/>
        <v xml:space="preserve">N733KP  </v>
      </c>
      <c r="BC2218">
        <v>1</v>
      </c>
      <c r="BE2218">
        <v>0</v>
      </c>
      <c r="BF2218">
        <v>0</v>
      </c>
      <c r="BG2218">
        <v>0</v>
      </c>
      <c r="BH2218">
        <v>3300</v>
      </c>
      <c r="BI2218">
        <v>1</v>
      </c>
      <c r="BJ2218">
        <v>1</v>
      </c>
      <c r="BK2218">
        <v>0</v>
      </c>
      <c r="BL2218">
        <v>0</v>
      </c>
      <c r="BO2218">
        <v>0</v>
      </c>
      <c r="BP2218">
        <v>0</v>
      </c>
      <c r="BW2218" t="str">
        <f>"22:18:47.663"</f>
        <v>22:18:47.663</v>
      </c>
      <c r="CJ2218">
        <v>0</v>
      </c>
      <c r="CK2218">
        <v>2</v>
      </c>
      <c r="CL2218">
        <v>0</v>
      </c>
      <c r="CM2218">
        <v>2</v>
      </c>
      <c r="CN2218">
        <v>0</v>
      </c>
      <c r="CO2218">
        <v>6</v>
      </c>
      <c r="CP2218" t="s">
        <v>119</v>
      </c>
      <c r="CQ2218">
        <v>364</v>
      </c>
      <c r="CR2218">
        <v>0</v>
      </c>
      <c r="CW2218">
        <v>1449463</v>
      </c>
      <c r="CY2218">
        <v>1</v>
      </c>
      <c r="CZ2218">
        <v>0</v>
      </c>
      <c r="DA2218">
        <v>1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>"03/24/2022 22:18:47.840"</f>
        <v>03/24/2022 22:18:47.840</v>
      </c>
      <c r="C2219" t="str">
        <f t="shared" si="658"/>
        <v>FFDFD3C0</v>
      </c>
      <c r="D2219" t="s">
        <v>126</v>
      </c>
      <c r="E2219">
        <v>3</v>
      </c>
      <c r="H2219">
        <v>160</v>
      </c>
      <c r="I2219" t="s">
        <v>121</v>
      </c>
      <c r="J2219" t="s">
        <v>127</v>
      </c>
      <c r="K2219">
        <v>0</v>
      </c>
      <c r="L2219">
        <v>3</v>
      </c>
      <c r="M2219">
        <v>0</v>
      </c>
      <c r="N2219">
        <v>2</v>
      </c>
      <c r="O2219">
        <v>0</v>
      </c>
      <c r="P2219">
        <v>1</v>
      </c>
      <c r="Q2219">
        <v>0</v>
      </c>
      <c r="S2219" t="str">
        <f t="shared" si="664"/>
        <v>22:18:47.000</v>
      </c>
      <c r="T2219" t="str">
        <f t="shared" si="664"/>
        <v>22:18:47.000</v>
      </c>
      <c r="U2219" t="str">
        <f t="shared" si="652"/>
        <v>A9D71F</v>
      </c>
      <c r="V2219">
        <v>0</v>
      </c>
      <c r="W2219">
        <v>0</v>
      </c>
      <c r="X2219">
        <v>2</v>
      </c>
      <c r="Z2219">
        <v>1</v>
      </c>
      <c r="AA2219">
        <v>8</v>
      </c>
      <c r="AB2219">
        <v>3</v>
      </c>
      <c r="AC2219">
        <v>0</v>
      </c>
      <c r="AD2219">
        <v>9</v>
      </c>
      <c r="AE2219">
        <v>0</v>
      </c>
      <c r="AF2219">
        <v>3</v>
      </c>
      <c r="AG2219">
        <v>1</v>
      </c>
      <c r="AH2219">
        <v>0</v>
      </c>
      <c r="AI2219" t="s">
        <v>1160</v>
      </c>
      <c r="AJ2219">
        <v>33.012500000000003</v>
      </c>
      <c r="AK2219" t="s">
        <v>1161</v>
      </c>
      <c r="AL2219">
        <v>-97.649918</v>
      </c>
      <c r="AM2219">
        <v>25</v>
      </c>
      <c r="AN2219">
        <v>3300</v>
      </c>
      <c r="AO2219" t="s">
        <v>118</v>
      </c>
      <c r="AP2219">
        <v>-10</v>
      </c>
      <c r="AQ2219">
        <v>-81</v>
      </c>
      <c r="AR2219">
        <v>-256</v>
      </c>
      <c r="AZ2219">
        <v>1200</v>
      </c>
      <c r="BA2219">
        <v>1</v>
      </c>
      <c r="BB2219" t="str">
        <f t="shared" si="659"/>
        <v xml:space="preserve">N733KP  </v>
      </c>
      <c r="BC2219">
        <v>1</v>
      </c>
      <c r="BE2219">
        <v>0</v>
      </c>
      <c r="BF2219">
        <v>0</v>
      </c>
      <c r="BG2219">
        <v>0</v>
      </c>
      <c r="BH2219">
        <v>3300</v>
      </c>
      <c r="BI2219">
        <v>1</v>
      </c>
      <c r="BJ2219">
        <v>1</v>
      </c>
      <c r="BK2219">
        <v>0</v>
      </c>
      <c r="BL2219">
        <v>0</v>
      </c>
      <c r="BO2219">
        <v>0</v>
      </c>
      <c r="BP2219">
        <v>0</v>
      </c>
      <c r="BW2219" t="str">
        <f>"22:18:47.663"</f>
        <v>22:18:47.663</v>
      </c>
      <c r="CJ2219">
        <v>0</v>
      </c>
      <c r="CK2219">
        <v>2</v>
      </c>
      <c r="CL2219">
        <v>0</v>
      </c>
      <c r="CM2219">
        <v>2</v>
      </c>
      <c r="CN2219">
        <v>0</v>
      </c>
      <c r="CO2219">
        <v>6</v>
      </c>
      <c r="CP2219" t="s">
        <v>119</v>
      </c>
      <c r="CQ2219">
        <v>364</v>
      </c>
      <c r="CR2219">
        <v>0</v>
      </c>
      <c r="CW2219">
        <v>1449463</v>
      </c>
      <c r="CY2219">
        <v>1</v>
      </c>
      <c r="CZ2219">
        <v>0</v>
      </c>
      <c r="DA2219">
        <v>1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>"03/24/2022 22:18:47.840"</f>
        <v>03/24/2022 22:18:47.840</v>
      </c>
      <c r="C2220" t="str">
        <f t="shared" si="658"/>
        <v>FFDFD3C0</v>
      </c>
      <c r="D2220" t="s">
        <v>113</v>
      </c>
      <c r="E2220">
        <v>24</v>
      </c>
      <c r="F2220">
        <v>2024</v>
      </c>
      <c r="G2220" t="s">
        <v>114</v>
      </c>
      <c r="J2220" t="s">
        <v>115</v>
      </c>
      <c r="K2220">
        <v>0</v>
      </c>
      <c r="L2220">
        <v>3</v>
      </c>
      <c r="M2220">
        <v>0</v>
      </c>
      <c r="N2220">
        <v>2</v>
      </c>
      <c r="O2220">
        <v>0</v>
      </c>
      <c r="P2220">
        <v>1</v>
      </c>
      <c r="Q2220">
        <v>0</v>
      </c>
      <c r="S2220" t="str">
        <f t="shared" si="664"/>
        <v>22:18:47.000</v>
      </c>
      <c r="T2220" t="str">
        <f t="shared" si="664"/>
        <v>22:18:47.000</v>
      </c>
      <c r="U2220" t="str">
        <f t="shared" si="652"/>
        <v>A9D71F</v>
      </c>
      <c r="V2220">
        <v>0</v>
      </c>
      <c r="W2220">
        <v>0</v>
      </c>
      <c r="X2220">
        <v>2</v>
      </c>
      <c r="Z2220">
        <v>1</v>
      </c>
      <c r="AA2220">
        <v>8</v>
      </c>
      <c r="AB2220">
        <v>3</v>
      </c>
      <c r="AC2220">
        <v>0</v>
      </c>
      <c r="AD2220">
        <v>9</v>
      </c>
      <c r="AE2220">
        <v>0</v>
      </c>
      <c r="AF2220">
        <v>3</v>
      </c>
      <c r="AG2220">
        <v>1</v>
      </c>
      <c r="AH2220">
        <v>0</v>
      </c>
      <c r="AI2220" t="s">
        <v>1160</v>
      </c>
      <c r="AJ2220">
        <v>33.012500000000003</v>
      </c>
      <c r="AK2220" t="s">
        <v>1161</v>
      </c>
      <c r="AL2220">
        <v>-97.649918</v>
      </c>
      <c r="AM2220">
        <v>25</v>
      </c>
      <c r="AN2220">
        <v>3300</v>
      </c>
      <c r="AO2220" t="s">
        <v>118</v>
      </c>
      <c r="AP2220">
        <v>-10</v>
      </c>
      <c r="AQ2220">
        <v>-81</v>
      </c>
      <c r="AR2220">
        <v>-256</v>
      </c>
      <c r="AZ2220">
        <v>1200</v>
      </c>
      <c r="BA2220">
        <v>1</v>
      </c>
      <c r="BB2220" t="str">
        <f t="shared" si="659"/>
        <v xml:space="preserve">N733KP  </v>
      </c>
      <c r="BC2220">
        <v>1</v>
      </c>
      <c r="BE2220">
        <v>0</v>
      </c>
      <c r="BF2220">
        <v>0</v>
      </c>
      <c r="BG2220">
        <v>0</v>
      </c>
      <c r="BH2220">
        <v>3300</v>
      </c>
      <c r="BI2220">
        <v>1</v>
      </c>
      <c r="BJ2220">
        <v>1</v>
      </c>
      <c r="BK2220">
        <v>0</v>
      </c>
      <c r="BL2220">
        <v>0</v>
      </c>
      <c r="BO2220">
        <v>0</v>
      </c>
      <c r="BP2220">
        <v>0</v>
      </c>
      <c r="BW2220" t="str">
        <f>"22:18:47.663"</f>
        <v>22:18:47.663</v>
      </c>
      <c r="CJ2220">
        <v>0</v>
      </c>
      <c r="CK2220">
        <v>2</v>
      </c>
      <c r="CL2220">
        <v>0</v>
      </c>
      <c r="CM2220">
        <v>2</v>
      </c>
      <c r="CN2220">
        <v>0</v>
      </c>
      <c r="CO2220">
        <v>6</v>
      </c>
      <c r="CP2220" t="s">
        <v>119</v>
      </c>
      <c r="CQ2220">
        <v>364</v>
      </c>
      <c r="CR2220">
        <v>0</v>
      </c>
      <c r="CW2220">
        <v>1449463</v>
      </c>
      <c r="CY2220">
        <v>1</v>
      </c>
      <c r="CZ2220">
        <v>0</v>
      </c>
      <c r="DA2220">
        <v>1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>"03/24/2022 22:18:48.670"</f>
        <v>03/24/2022 22:18:48.670</v>
      </c>
      <c r="C2221" t="str">
        <f t="shared" si="658"/>
        <v>FFDFD3C0</v>
      </c>
      <c r="D2221" t="s">
        <v>120</v>
      </c>
      <c r="E2221">
        <v>14</v>
      </c>
      <c r="F2221">
        <v>1014</v>
      </c>
      <c r="G2221" t="s">
        <v>121</v>
      </c>
      <c r="J2221" t="s">
        <v>122</v>
      </c>
      <c r="K2221">
        <v>0</v>
      </c>
      <c r="L2221">
        <v>3</v>
      </c>
      <c r="M2221">
        <v>0</v>
      </c>
      <c r="N2221">
        <v>2</v>
      </c>
      <c r="O2221">
        <v>0</v>
      </c>
      <c r="P2221">
        <v>1</v>
      </c>
      <c r="Q2221">
        <v>0</v>
      </c>
      <c r="S2221" t="str">
        <f t="shared" ref="S2221:T2224" si="665">"22:18:48.000"</f>
        <v>22:18:48.000</v>
      </c>
      <c r="T2221" t="str">
        <f t="shared" si="665"/>
        <v>22:18:48.000</v>
      </c>
      <c r="U2221" t="str">
        <f t="shared" si="652"/>
        <v>A9D71F</v>
      </c>
      <c r="V2221">
        <v>0</v>
      </c>
      <c r="W2221">
        <v>0</v>
      </c>
      <c r="X2221">
        <v>2</v>
      </c>
      <c r="Z2221">
        <v>1</v>
      </c>
      <c r="AA2221">
        <v>8</v>
      </c>
      <c r="AB2221">
        <v>3</v>
      </c>
      <c r="AC2221">
        <v>0</v>
      </c>
      <c r="AD2221">
        <v>9</v>
      </c>
      <c r="AE2221">
        <v>0</v>
      </c>
      <c r="AF2221">
        <v>3</v>
      </c>
      <c r="AG2221">
        <v>1</v>
      </c>
      <c r="AH2221">
        <v>0</v>
      </c>
      <c r="AI2221" t="s">
        <v>1162</v>
      </c>
      <c r="AJ2221">
        <v>33.012155999999997</v>
      </c>
      <c r="AK2221" t="s">
        <v>1155</v>
      </c>
      <c r="AL2221">
        <v>-97.649961000000005</v>
      </c>
      <c r="AM2221">
        <v>25</v>
      </c>
      <c r="AN2221">
        <v>3300</v>
      </c>
      <c r="AO2221" t="s">
        <v>118</v>
      </c>
      <c r="AP2221">
        <v>-21</v>
      </c>
      <c r="AQ2221">
        <v>-62</v>
      </c>
      <c r="AR2221">
        <v>-128</v>
      </c>
      <c r="AZ2221">
        <v>1200</v>
      </c>
      <c r="BA2221">
        <v>1</v>
      </c>
      <c r="BB2221" t="str">
        <f t="shared" si="659"/>
        <v xml:space="preserve">N733KP  </v>
      </c>
      <c r="BC2221">
        <v>1</v>
      </c>
      <c r="BE2221">
        <v>0</v>
      </c>
      <c r="BF2221">
        <v>0</v>
      </c>
      <c r="BG2221">
        <v>0</v>
      </c>
      <c r="BH2221">
        <v>3300</v>
      </c>
      <c r="BI2221">
        <v>1</v>
      </c>
      <c r="BJ2221">
        <v>1</v>
      </c>
      <c r="BK2221">
        <v>0</v>
      </c>
      <c r="BL2221">
        <v>0</v>
      </c>
      <c r="BO2221">
        <v>0</v>
      </c>
      <c r="BP2221">
        <v>0</v>
      </c>
      <c r="BW2221" t="str">
        <f>"22:18:48.483"</f>
        <v>22:18:48.483</v>
      </c>
      <c r="CJ2221">
        <v>0</v>
      </c>
      <c r="CK2221">
        <v>2</v>
      </c>
      <c r="CL2221">
        <v>0</v>
      </c>
      <c r="CM2221">
        <v>2</v>
      </c>
      <c r="CN2221">
        <v>0</v>
      </c>
      <c r="CO2221">
        <v>6</v>
      </c>
      <c r="CP2221" t="s">
        <v>119</v>
      </c>
      <c r="CQ2221">
        <v>364</v>
      </c>
      <c r="CR2221">
        <v>0</v>
      </c>
      <c r="CW2221">
        <v>1449574</v>
      </c>
      <c r="CY2221">
        <v>1</v>
      </c>
      <c r="CZ2221">
        <v>0</v>
      </c>
      <c r="DA2221">
        <v>0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>"03/24/2022 22:18:48.670"</f>
        <v>03/24/2022 22:18:48.670</v>
      </c>
      <c r="C2222" t="str">
        <f t="shared" si="658"/>
        <v>FFDFD3C0</v>
      </c>
      <c r="D2222" t="s">
        <v>123</v>
      </c>
      <c r="E2222">
        <v>8</v>
      </c>
      <c r="H2222">
        <v>31</v>
      </c>
      <c r="I2222" t="s">
        <v>124</v>
      </c>
      <c r="J2222" t="s">
        <v>125</v>
      </c>
      <c r="K2222">
        <v>0</v>
      </c>
      <c r="L2222">
        <v>3</v>
      </c>
      <c r="M2222">
        <v>0</v>
      </c>
      <c r="N2222">
        <v>2</v>
      </c>
      <c r="O2222">
        <v>0</v>
      </c>
      <c r="P2222">
        <v>1</v>
      </c>
      <c r="Q2222">
        <v>0</v>
      </c>
      <c r="S2222" t="str">
        <f t="shared" si="665"/>
        <v>22:18:48.000</v>
      </c>
      <c r="T2222" t="str">
        <f t="shared" si="665"/>
        <v>22:18:48.000</v>
      </c>
      <c r="U2222" t="str">
        <f t="shared" si="652"/>
        <v>A9D71F</v>
      </c>
      <c r="V2222">
        <v>0</v>
      </c>
      <c r="W2222">
        <v>0</v>
      </c>
      <c r="X2222">
        <v>2</v>
      </c>
      <c r="Z2222">
        <v>1</v>
      </c>
      <c r="AA2222">
        <v>8</v>
      </c>
      <c r="AB2222">
        <v>3</v>
      </c>
      <c r="AC2222">
        <v>0</v>
      </c>
      <c r="AD2222">
        <v>9</v>
      </c>
      <c r="AE2222">
        <v>0</v>
      </c>
      <c r="AF2222">
        <v>3</v>
      </c>
      <c r="AG2222">
        <v>1</v>
      </c>
      <c r="AH2222">
        <v>0</v>
      </c>
      <c r="AI2222" t="s">
        <v>1162</v>
      </c>
      <c r="AJ2222">
        <v>33.012155999999997</v>
      </c>
      <c r="AK2222" t="s">
        <v>1155</v>
      </c>
      <c r="AL2222">
        <v>-97.649961000000005</v>
      </c>
      <c r="AM2222">
        <v>25</v>
      </c>
      <c r="AN2222">
        <v>3300</v>
      </c>
      <c r="AO2222" t="s">
        <v>118</v>
      </c>
      <c r="AP2222">
        <v>-21</v>
      </c>
      <c r="AQ2222">
        <v>-62</v>
      </c>
      <c r="AR2222">
        <v>-128</v>
      </c>
      <c r="AZ2222">
        <v>1200</v>
      </c>
      <c r="BA2222">
        <v>1</v>
      </c>
      <c r="BB2222" t="str">
        <f t="shared" si="659"/>
        <v xml:space="preserve">N733KP  </v>
      </c>
      <c r="BC2222">
        <v>1</v>
      </c>
      <c r="BE2222">
        <v>0</v>
      </c>
      <c r="BF2222">
        <v>0</v>
      </c>
      <c r="BG2222">
        <v>0</v>
      </c>
      <c r="BH2222">
        <v>3300</v>
      </c>
      <c r="BI2222">
        <v>1</v>
      </c>
      <c r="BJ2222">
        <v>1</v>
      </c>
      <c r="BK2222">
        <v>0</v>
      </c>
      <c r="BL2222">
        <v>0</v>
      </c>
      <c r="BO2222">
        <v>0</v>
      </c>
      <c r="BP2222">
        <v>0</v>
      </c>
      <c r="BW2222" t="str">
        <f>"22:18:48.483"</f>
        <v>22:18:48.483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6</v>
      </c>
      <c r="CP2222" t="s">
        <v>119</v>
      </c>
      <c r="CQ2222">
        <v>364</v>
      </c>
      <c r="CR2222">
        <v>0</v>
      </c>
      <c r="CW2222">
        <v>1449574</v>
      </c>
      <c r="CY2222">
        <v>1</v>
      </c>
      <c r="CZ2222">
        <v>0</v>
      </c>
      <c r="DA2222">
        <v>1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>"03/24/2022 22:18:48.670"</f>
        <v>03/24/2022 22:18:48.670</v>
      </c>
      <c r="C2223" t="str">
        <f t="shared" si="658"/>
        <v>FFDFD3C0</v>
      </c>
      <c r="D2223" t="s">
        <v>126</v>
      </c>
      <c r="E2223">
        <v>3</v>
      </c>
      <c r="H2223">
        <v>160</v>
      </c>
      <c r="I2223" t="s">
        <v>121</v>
      </c>
      <c r="J2223" t="s">
        <v>127</v>
      </c>
      <c r="K2223">
        <v>0</v>
      </c>
      <c r="L2223">
        <v>3</v>
      </c>
      <c r="M2223">
        <v>0</v>
      </c>
      <c r="N2223">
        <v>2</v>
      </c>
      <c r="O2223">
        <v>0</v>
      </c>
      <c r="P2223">
        <v>1</v>
      </c>
      <c r="Q2223">
        <v>0</v>
      </c>
      <c r="S2223" t="str">
        <f t="shared" si="665"/>
        <v>22:18:48.000</v>
      </c>
      <c r="T2223" t="str">
        <f t="shared" si="665"/>
        <v>22:18:48.000</v>
      </c>
      <c r="U2223" t="str">
        <f t="shared" si="652"/>
        <v>A9D71F</v>
      </c>
      <c r="V2223">
        <v>0</v>
      </c>
      <c r="W2223">
        <v>0</v>
      </c>
      <c r="X2223">
        <v>2</v>
      </c>
      <c r="Z2223">
        <v>1</v>
      </c>
      <c r="AA2223">
        <v>8</v>
      </c>
      <c r="AB2223">
        <v>3</v>
      </c>
      <c r="AC2223">
        <v>0</v>
      </c>
      <c r="AD2223">
        <v>9</v>
      </c>
      <c r="AE2223">
        <v>0</v>
      </c>
      <c r="AF2223">
        <v>3</v>
      </c>
      <c r="AG2223">
        <v>1</v>
      </c>
      <c r="AH2223">
        <v>0</v>
      </c>
      <c r="AI2223" t="s">
        <v>1162</v>
      </c>
      <c r="AJ2223">
        <v>33.012155999999997</v>
      </c>
      <c r="AK2223" t="s">
        <v>1155</v>
      </c>
      <c r="AL2223">
        <v>-97.649961000000005</v>
      </c>
      <c r="AM2223">
        <v>25</v>
      </c>
      <c r="AN2223">
        <v>3300</v>
      </c>
      <c r="AO2223" t="s">
        <v>118</v>
      </c>
      <c r="AP2223">
        <v>-21</v>
      </c>
      <c r="AQ2223">
        <v>-62</v>
      </c>
      <c r="AR2223">
        <v>-128</v>
      </c>
      <c r="AZ2223">
        <v>1200</v>
      </c>
      <c r="BA2223">
        <v>1</v>
      </c>
      <c r="BB2223" t="str">
        <f t="shared" si="659"/>
        <v xml:space="preserve">N733KP  </v>
      </c>
      <c r="BC2223">
        <v>1</v>
      </c>
      <c r="BE2223">
        <v>0</v>
      </c>
      <c r="BF2223">
        <v>0</v>
      </c>
      <c r="BG2223">
        <v>0</v>
      </c>
      <c r="BH2223">
        <v>3300</v>
      </c>
      <c r="BI2223">
        <v>1</v>
      </c>
      <c r="BJ2223">
        <v>1</v>
      </c>
      <c r="BK2223">
        <v>0</v>
      </c>
      <c r="BL2223">
        <v>0</v>
      </c>
      <c r="BO2223">
        <v>0</v>
      </c>
      <c r="BP2223">
        <v>0</v>
      </c>
      <c r="BW2223" t="str">
        <f>"22:18:48.483"</f>
        <v>22:18:48.483</v>
      </c>
      <c r="CJ2223">
        <v>0</v>
      </c>
      <c r="CK2223">
        <v>2</v>
      </c>
      <c r="CL2223">
        <v>0</v>
      </c>
      <c r="CM2223">
        <v>2</v>
      </c>
      <c r="CN2223">
        <v>0</v>
      </c>
      <c r="CO2223">
        <v>6</v>
      </c>
      <c r="CP2223" t="s">
        <v>119</v>
      </c>
      <c r="CQ2223">
        <v>364</v>
      </c>
      <c r="CR2223">
        <v>0</v>
      </c>
      <c r="CW2223">
        <v>1449574</v>
      </c>
      <c r="CY2223">
        <v>1</v>
      </c>
      <c r="CZ2223">
        <v>0</v>
      </c>
      <c r="DA2223">
        <v>1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>"03/24/2022 22:18:48.670"</f>
        <v>03/24/2022 22:18:48.670</v>
      </c>
      <c r="C2224" t="str">
        <f t="shared" si="658"/>
        <v>FFDFD3C0</v>
      </c>
      <c r="D2224" t="s">
        <v>113</v>
      </c>
      <c r="E2224">
        <v>24</v>
      </c>
      <c r="F2224">
        <v>2024</v>
      </c>
      <c r="G2224" t="s">
        <v>114</v>
      </c>
      <c r="J2224" t="s">
        <v>115</v>
      </c>
      <c r="K2224">
        <v>0</v>
      </c>
      <c r="L2224">
        <v>3</v>
      </c>
      <c r="M2224">
        <v>0</v>
      </c>
      <c r="N2224">
        <v>2</v>
      </c>
      <c r="O2224">
        <v>0</v>
      </c>
      <c r="P2224">
        <v>1</v>
      </c>
      <c r="Q2224">
        <v>0</v>
      </c>
      <c r="S2224" t="str">
        <f t="shared" si="665"/>
        <v>22:18:48.000</v>
      </c>
      <c r="T2224" t="str">
        <f t="shared" si="665"/>
        <v>22:18:48.000</v>
      </c>
      <c r="U2224" t="str">
        <f t="shared" si="652"/>
        <v>A9D71F</v>
      </c>
      <c r="V2224">
        <v>0</v>
      </c>
      <c r="W2224">
        <v>0</v>
      </c>
      <c r="X2224">
        <v>2</v>
      </c>
      <c r="Z2224">
        <v>1</v>
      </c>
      <c r="AA2224">
        <v>8</v>
      </c>
      <c r="AB2224">
        <v>3</v>
      </c>
      <c r="AC2224">
        <v>0</v>
      </c>
      <c r="AD2224">
        <v>9</v>
      </c>
      <c r="AE2224">
        <v>0</v>
      </c>
      <c r="AF2224">
        <v>3</v>
      </c>
      <c r="AG2224">
        <v>1</v>
      </c>
      <c r="AH2224">
        <v>0</v>
      </c>
      <c r="AI2224" t="s">
        <v>1162</v>
      </c>
      <c r="AJ2224">
        <v>33.012155999999997</v>
      </c>
      <c r="AK2224" t="s">
        <v>1155</v>
      </c>
      <c r="AL2224">
        <v>-97.649961000000005</v>
      </c>
      <c r="AM2224">
        <v>25</v>
      </c>
      <c r="AN2224">
        <v>3300</v>
      </c>
      <c r="AO2224" t="s">
        <v>118</v>
      </c>
      <c r="AP2224">
        <v>-21</v>
      </c>
      <c r="AQ2224">
        <v>-62</v>
      </c>
      <c r="AR2224">
        <v>-128</v>
      </c>
      <c r="AZ2224">
        <v>1200</v>
      </c>
      <c r="BA2224">
        <v>1</v>
      </c>
      <c r="BB2224" t="str">
        <f t="shared" si="659"/>
        <v xml:space="preserve">N733KP  </v>
      </c>
      <c r="BC2224">
        <v>1</v>
      </c>
      <c r="BE2224">
        <v>0</v>
      </c>
      <c r="BF2224">
        <v>0</v>
      </c>
      <c r="BG2224">
        <v>0</v>
      </c>
      <c r="BH2224">
        <v>3300</v>
      </c>
      <c r="BI2224">
        <v>1</v>
      </c>
      <c r="BJ2224">
        <v>1</v>
      </c>
      <c r="BK2224">
        <v>0</v>
      </c>
      <c r="BL2224">
        <v>0</v>
      </c>
      <c r="BO2224">
        <v>0</v>
      </c>
      <c r="BP2224">
        <v>0</v>
      </c>
      <c r="BW2224" t="str">
        <f>"22:18:48.483"</f>
        <v>22:18:48.483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6</v>
      </c>
      <c r="CP2224" t="s">
        <v>119</v>
      </c>
      <c r="CQ2224">
        <v>364</v>
      </c>
      <c r="CR2224">
        <v>0</v>
      </c>
      <c r="CW2224">
        <v>1449574</v>
      </c>
      <c r="CY2224">
        <v>1</v>
      </c>
      <c r="CZ2224">
        <v>0</v>
      </c>
      <c r="DA2224">
        <v>1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>"03/24/2022 22:18:49.545"</f>
        <v>03/24/2022 22:18:49.545</v>
      </c>
      <c r="C2225" t="str">
        <f t="shared" si="658"/>
        <v>FFDFD3C0</v>
      </c>
      <c r="D2225" t="s">
        <v>126</v>
      </c>
      <c r="E2225">
        <v>3</v>
      </c>
      <c r="H2225">
        <v>160</v>
      </c>
      <c r="I2225" t="s">
        <v>121</v>
      </c>
      <c r="J2225" t="s">
        <v>127</v>
      </c>
      <c r="K2225">
        <v>0</v>
      </c>
      <c r="L2225">
        <v>3</v>
      </c>
      <c r="M2225">
        <v>0</v>
      </c>
      <c r="N2225">
        <v>2</v>
      </c>
      <c r="O2225">
        <v>0</v>
      </c>
      <c r="P2225">
        <v>1</v>
      </c>
      <c r="Q2225">
        <v>0</v>
      </c>
      <c r="S2225" t="str">
        <f t="shared" ref="S2225:T2228" si="666">"22:18:49.000"</f>
        <v>22:18:49.000</v>
      </c>
      <c r="T2225" t="str">
        <f t="shared" si="666"/>
        <v>22:18:49.000</v>
      </c>
      <c r="U2225" t="str">
        <f t="shared" si="652"/>
        <v>A9D71F</v>
      </c>
      <c r="V2225">
        <v>0</v>
      </c>
      <c r="W2225">
        <v>0</v>
      </c>
      <c r="X2225">
        <v>2</v>
      </c>
      <c r="Z2225">
        <v>1</v>
      </c>
      <c r="AA2225">
        <v>8</v>
      </c>
      <c r="AB2225">
        <v>3</v>
      </c>
      <c r="AC2225">
        <v>0</v>
      </c>
      <c r="AD2225">
        <v>9</v>
      </c>
      <c r="AE2225">
        <v>0</v>
      </c>
      <c r="AF2225">
        <v>3</v>
      </c>
      <c r="AG2225">
        <v>1</v>
      </c>
      <c r="AH2225">
        <v>0</v>
      </c>
      <c r="AI2225" t="s">
        <v>1163</v>
      </c>
      <c r="AJ2225">
        <v>33.011878000000003</v>
      </c>
      <c r="AK2225" t="s">
        <v>1164</v>
      </c>
      <c r="AL2225">
        <v>-97.650110999999995</v>
      </c>
      <c r="AM2225">
        <v>25</v>
      </c>
      <c r="AN2225">
        <v>3300</v>
      </c>
      <c r="AO2225" t="s">
        <v>118</v>
      </c>
      <c r="AP2225">
        <v>-25</v>
      </c>
      <c r="AQ2225">
        <v>-59</v>
      </c>
      <c r="AR2225">
        <v>128</v>
      </c>
      <c r="AZ2225">
        <v>1200</v>
      </c>
      <c r="BA2225">
        <v>1</v>
      </c>
      <c r="BB2225" t="str">
        <f t="shared" si="659"/>
        <v xml:space="preserve">N733KP  </v>
      </c>
      <c r="BC2225">
        <v>1</v>
      </c>
      <c r="BE2225">
        <v>0</v>
      </c>
      <c r="BF2225">
        <v>0</v>
      </c>
      <c r="BG2225">
        <v>0</v>
      </c>
      <c r="BH2225">
        <v>3300</v>
      </c>
      <c r="BI2225">
        <v>1</v>
      </c>
      <c r="BJ2225">
        <v>1</v>
      </c>
      <c r="BK2225">
        <v>0</v>
      </c>
      <c r="BL2225">
        <v>0</v>
      </c>
      <c r="BO2225">
        <v>0</v>
      </c>
      <c r="BP2225">
        <v>0</v>
      </c>
      <c r="BW2225" t="str">
        <f>"22:18:49.264"</f>
        <v>22:18:49.264</v>
      </c>
      <c r="CJ2225">
        <v>0</v>
      </c>
      <c r="CK2225">
        <v>2</v>
      </c>
      <c r="CL2225">
        <v>0</v>
      </c>
      <c r="CM2225">
        <v>2</v>
      </c>
      <c r="CN2225">
        <v>0</v>
      </c>
      <c r="CO2225">
        <v>5</v>
      </c>
      <c r="CP2225" t="s">
        <v>119</v>
      </c>
      <c r="CQ2225">
        <v>364</v>
      </c>
      <c r="CR2225">
        <v>0</v>
      </c>
      <c r="CW2225">
        <v>1449664</v>
      </c>
      <c r="CY2225">
        <v>1</v>
      </c>
      <c r="CZ2225">
        <v>0</v>
      </c>
      <c r="DA2225">
        <v>0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>"03/24/2022 22:18:49.545"</f>
        <v>03/24/2022 22:18:49.545</v>
      </c>
      <c r="C2226" t="str">
        <f t="shared" si="658"/>
        <v>FFDFD3C0</v>
      </c>
      <c r="D2226" t="s">
        <v>113</v>
      </c>
      <c r="E2226">
        <v>24</v>
      </c>
      <c r="F2226">
        <v>2024</v>
      </c>
      <c r="G2226" t="s">
        <v>114</v>
      </c>
      <c r="J2226" t="s">
        <v>115</v>
      </c>
      <c r="K2226">
        <v>0</v>
      </c>
      <c r="L2226">
        <v>3</v>
      </c>
      <c r="M2226">
        <v>0</v>
      </c>
      <c r="N2226">
        <v>2</v>
      </c>
      <c r="O2226">
        <v>0</v>
      </c>
      <c r="P2226">
        <v>1</v>
      </c>
      <c r="Q2226">
        <v>0</v>
      </c>
      <c r="S2226" t="str">
        <f t="shared" si="666"/>
        <v>22:18:49.000</v>
      </c>
      <c r="T2226" t="str">
        <f t="shared" si="666"/>
        <v>22:18:49.000</v>
      </c>
      <c r="U2226" t="str">
        <f t="shared" si="652"/>
        <v>A9D71F</v>
      </c>
      <c r="V2226">
        <v>0</v>
      </c>
      <c r="W2226">
        <v>0</v>
      </c>
      <c r="X2226">
        <v>2</v>
      </c>
      <c r="Z2226">
        <v>1</v>
      </c>
      <c r="AA2226">
        <v>8</v>
      </c>
      <c r="AB2226">
        <v>3</v>
      </c>
      <c r="AC2226">
        <v>0</v>
      </c>
      <c r="AD2226">
        <v>9</v>
      </c>
      <c r="AE2226">
        <v>0</v>
      </c>
      <c r="AF2226">
        <v>3</v>
      </c>
      <c r="AG2226">
        <v>1</v>
      </c>
      <c r="AH2226">
        <v>0</v>
      </c>
      <c r="AI2226" t="s">
        <v>1163</v>
      </c>
      <c r="AJ2226">
        <v>33.011878000000003</v>
      </c>
      <c r="AK2226" t="s">
        <v>1164</v>
      </c>
      <c r="AL2226">
        <v>-97.650110999999995</v>
      </c>
      <c r="AM2226">
        <v>25</v>
      </c>
      <c r="AN2226">
        <v>3300</v>
      </c>
      <c r="AO2226" t="s">
        <v>118</v>
      </c>
      <c r="AP2226">
        <v>-25</v>
      </c>
      <c r="AQ2226">
        <v>-59</v>
      </c>
      <c r="AR2226">
        <v>128</v>
      </c>
      <c r="AZ2226">
        <v>1200</v>
      </c>
      <c r="BA2226">
        <v>1</v>
      </c>
      <c r="BB2226" t="str">
        <f t="shared" si="659"/>
        <v xml:space="preserve">N733KP  </v>
      </c>
      <c r="BC2226">
        <v>1</v>
      </c>
      <c r="BE2226">
        <v>0</v>
      </c>
      <c r="BF2226">
        <v>0</v>
      </c>
      <c r="BG2226">
        <v>0</v>
      </c>
      <c r="BH2226">
        <v>3300</v>
      </c>
      <c r="BI2226">
        <v>1</v>
      </c>
      <c r="BJ2226">
        <v>1</v>
      </c>
      <c r="BK2226">
        <v>0</v>
      </c>
      <c r="BL2226">
        <v>0</v>
      </c>
      <c r="BO2226">
        <v>0</v>
      </c>
      <c r="BP2226">
        <v>0</v>
      </c>
      <c r="BW2226" t="str">
        <f>"22:18:49.264"</f>
        <v>22:18:49.264</v>
      </c>
      <c r="CJ2226">
        <v>0</v>
      </c>
      <c r="CK2226">
        <v>2</v>
      </c>
      <c r="CL2226">
        <v>0</v>
      </c>
      <c r="CM2226">
        <v>2</v>
      </c>
      <c r="CN2226">
        <v>0</v>
      </c>
      <c r="CO2226">
        <v>5</v>
      </c>
      <c r="CP2226" t="s">
        <v>119</v>
      </c>
      <c r="CQ2226">
        <v>364</v>
      </c>
      <c r="CR2226">
        <v>0</v>
      </c>
      <c r="CW2226">
        <v>1449664</v>
      </c>
      <c r="CY2226">
        <v>1</v>
      </c>
      <c r="CZ2226">
        <v>0</v>
      </c>
      <c r="DA2226">
        <v>1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>"03/24/2022 22:18:49.561"</f>
        <v>03/24/2022 22:18:49.561</v>
      </c>
      <c r="C2227" t="str">
        <f t="shared" si="658"/>
        <v>FFDFD3C0</v>
      </c>
      <c r="D2227" t="s">
        <v>120</v>
      </c>
      <c r="E2227">
        <v>14</v>
      </c>
      <c r="F2227">
        <v>1014</v>
      </c>
      <c r="G2227" t="s">
        <v>121</v>
      </c>
      <c r="J2227" t="s">
        <v>122</v>
      </c>
      <c r="K2227">
        <v>0</v>
      </c>
      <c r="L2227">
        <v>3</v>
      </c>
      <c r="M2227">
        <v>0</v>
      </c>
      <c r="N2227">
        <v>2</v>
      </c>
      <c r="O2227">
        <v>0</v>
      </c>
      <c r="P2227">
        <v>1</v>
      </c>
      <c r="Q2227">
        <v>0</v>
      </c>
      <c r="S2227" t="str">
        <f t="shared" si="666"/>
        <v>22:18:49.000</v>
      </c>
      <c r="T2227" t="str">
        <f t="shared" si="666"/>
        <v>22:18:49.000</v>
      </c>
      <c r="U2227" t="str">
        <f t="shared" si="652"/>
        <v>A9D71F</v>
      </c>
      <c r="V2227">
        <v>0</v>
      </c>
      <c r="W2227">
        <v>0</v>
      </c>
      <c r="X2227">
        <v>2</v>
      </c>
      <c r="Z2227">
        <v>1</v>
      </c>
      <c r="AA2227">
        <v>8</v>
      </c>
      <c r="AB2227">
        <v>3</v>
      </c>
      <c r="AC2227">
        <v>0</v>
      </c>
      <c r="AD2227">
        <v>9</v>
      </c>
      <c r="AE2227">
        <v>0</v>
      </c>
      <c r="AF2227">
        <v>3</v>
      </c>
      <c r="AG2227">
        <v>1</v>
      </c>
      <c r="AH2227">
        <v>0</v>
      </c>
      <c r="AI2227" t="s">
        <v>1163</v>
      </c>
      <c r="AJ2227">
        <v>33.011878000000003</v>
      </c>
      <c r="AK2227" t="s">
        <v>1164</v>
      </c>
      <c r="AL2227">
        <v>-97.650110999999995</v>
      </c>
      <c r="AM2227">
        <v>25</v>
      </c>
      <c r="AN2227">
        <v>3300</v>
      </c>
      <c r="AO2227" t="s">
        <v>118</v>
      </c>
      <c r="AP2227">
        <v>-25</v>
      </c>
      <c r="AQ2227">
        <v>-59</v>
      </c>
      <c r="AR2227">
        <v>128</v>
      </c>
      <c r="AZ2227">
        <v>1200</v>
      </c>
      <c r="BA2227">
        <v>1</v>
      </c>
      <c r="BB2227" t="str">
        <f t="shared" si="659"/>
        <v xml:space="preserve">N733KP  </v>
      </c>
      <c r="BC2227">
        <v>1</v>
      </c>
      <c r="BE2227">
        <v>0</v>
      </c>
      <c r="BF2227">
        <v>0</v>
      </c>
      <c r="BG2227">
        <v>0</v>
      </c>
      <c r="BH2227">
        <v>3300</v>
      </c>
      <c r="BI2227">
        <v>1</v>
      </c>
      <c r="BJ2227">
        <v>1</v>
      </c>
      <c r="BK2227">
        <v>0</v>
      </c>
      <c r="BL2227">
        <v>0</v>
      </c>
      <c r="BO2227">
        <v>0</v>
      </c>
      <c r="BP2227">
        <v>0</v>
      </c>
      <c r="BW2227" t="str">
        <f>"22:18:49.264"</f>
        <v>22:18:49.264</v>
      </c>
      <c r="CJ2227">
        <v>0</v>
      </c>
      <c r="CK2227">
        <v>2</v>
      </c>
      <c r="CL2227">
        <v>0</v>
      </c>
      <c r="CM2227">
        <v>2</v>
      </c>
      <c r="CN2227">
        <v>0</v>
      </c>
      <c r="CO2227">
        <v>5</v>
      </c>
      <c r="CP2227" t="s">
        <v>119</v>
      </c>
      <c r="CQ2227">
        <v>364</v>
      </c>
      <c r="CR2227">
        <v>0</v>
      </c>
      <c r="CW2227">
        <v>1449664</v>
      </c>
      <c r="CY2227">
        <v>1</v>
      </c>
      <c r="CZ2227">
        <v>0</v>
      </c>
      <c r="DA2227">
        <v>1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>"03/24/2022 22:18:49.561"</f>
        <v>03/24/2022 22:18:49.561</v>
      </c>
      <c r="C2228" t="str">
        <f t="shared" si="658"/>
        <v>FFDFD3C0</v>
      </c>
      <c r="D2228" t="s">
        <v>123</v>
      </c>
      <c r="E2228">
        <v>8</v>
      </c>
      <c r="H2228">
        <v>31</v>
      </c>
      <c r="I2228" t="s">
        <v>124</v>
      </c>
      <c r="J2228" t="s">
        <v>125</v>
      </c>
      <c r="K2228">
        <v>0</v>
      </c>
      <c r="L2228">
        <v>3</v>
      </c>
      <c r="M2228">
        <v>0</v>
      </c>
      <c r="N2228">
        <v>2</v>
      </c>
      <c r="O2228">
        <v>0</v>
      </c>
      <c r="P2228">
        <v>1</v>
      </c>
      <c r="Q2228">
        <v>0</v>
      </c>
      <c r="S2228" t="str">
        <f t="shared" si="666"/>
        <v>22:18:49.000</v>
      </c>
      <c r="T2228" t="str">
        <f t="shared" si="666"/>
        <v>22:18:49.000</v>
      </c>
      <c r="U2228" t="str">
        <f t="shared" si="652"/>
        <v>A9D71F</v>
      </c>
      <c r="V2228">
        <v>0</v>
      </c>
      <c r="W2228">
        <v>0</v>
      </c>
      <c r="X2228">
        <v>2</v>
      </c>
      <c r="Z2228">
        <v>1</v>
      </c>
      <c r="AA2228">
        <v>8</v>
      </c>
      <c r="AB2228">
        <v>3</v>
      </c>
      <c r="AC2228">
        <v>0</v>
      </c>
      <c r="AD2228">
        <v>9</v>
      </c>
      <c r="AE2228">
        <v>0</v>
      </c>
      <c r="AF2228">
        <v>3</v>
      </c>
      <c r="AG2228">
        <v>1</v>
      </c>
      <c r="AH2228">
        <v>0</v>
      </c>
      <c r="AI2228" t="s">
        <v>1163</v>
      </c>
      <c r="AJ2228">
        <v>33.011878000000003</v>
      </c>
      <c r="AK2228" t="s">
        <v>1164</v>
      </c>
      <c r="AL2228">
        <v>-97.650110999999995</v>
      </c>
      <c r="AM2228">
        <v>25</v>
      </c>
      <c r="AN2228">
        <v>3300</v>
      </c>
      <c r="AO2228" t="s">
        <v>118</v>
      </c>
      <c r="AP2228">
        <v>-25</v>
      </c>
      <c r="AQ2228">
        <v>-59</v>
      </c>
      <c r="AR2228">
        <v>128</v>
      </c>
      <c r="AZ2228">
        <v>1200</v>
      </c>
      <c r="BA2228">
        <v>1</v>
      </c>
      <c r="BB2228" t="str">
        <f t="shared" si="659"/>
        <v xml:space="preserve">N733KP  </v>
      </c>
      <c r="BC2228">
        <v>1</v>
      </c>
      <c r="BE2228">
        <v>0</v>
      </c>
      <c r="BF2228">
        <v>0</v>
      </c>
      <c r="BG2228">
        <v>0</v>
      </c>
      <c r="BH2228">
        <v>3300</v>
      </c>
      <c r="BI2228">
        <v>1</v>
      </c>
      <c r="BJ2228">
        <v>1</v>
      </c>
      <c r="BK2228">
        <v>0</v>
      </c>
      <c r="BL2228">
        <v>0</v>
      </c>
      <c r="BO2228">
        <v>0</v>
      </c>
      <c r="BP2228">
        <v>0</v>
      </c>
      <c r="BW2228" t="str">
        <f>"22:18:49.264"</f>
        <v>22:18:49.264</v>
      </c>
      <c r="CJ2228">
        <v>0</v>
      </c>
      <c r="CK2228">
        <v>2</v>
      </c>
      <c r="CL2228">
        <v>0</v>
      </c>
      <c r="CM2228">
        <v>2</v>
      </c>
      <c r="CN2228">
        <v>0</v>
      </c>
      <c r="CO2228">
        <v>5</v>
      </c>
      <c r="CP2228" t="s">
        <v>119</v>
      </c>
      <c r="CQ2228">
        <v>364</v>
      </c>
      <c r="CR2228">
        <v>0</v>
      </c>
      <c r="CW2228">
        <v>1449664</v>
      </c>
      <c r="CY2228">
        <v>1</v>
      </c>
      <c r="CZ2228">
        <v>0</v>
      </c>
      <c r="DA2228">
        <v>1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>"03/24/2022 22:18:50.530"</f>
        <v>03/24/2022 22:18:50.530</v>
      </c>
      <c r="C2229" t="str">
        <f t="shared" si="658"/>
        <v>FFDFD3C0</v>
      </c>
      <c r="D2229" t="s">
        <v>113</v>
      </c>
      <c r="E2229">
        <v>24</v>
      </c>
      <c r="F2229">
        <v>2024</v>
      </c>
      <c r="G2229" t="s">
        <v>114</v>
      </c>
      <c r="J2229" t="s">
        <v>115</v>
      </c>
      <c r="K2229">
        <v>0</v>
      </c>
      <c r="L2229">
        <v>3</v>
      </c>
      <c r="M2229">
        <v>0</v>
      </c>
      <c r="N2229">
        <v>2</v>
      </c>
      <c r="O2229">
        <v>0</v>
      </c>
      <c r="P2229">
        <v>1</v>
      </c>
      <c r="Q2229">
        <v>0</v>
      </c>
      <c r="S2229" t="str">
        <f t="shared" ref="S2229:T2232" si="667">"22:18:50.000"</f>
        <v>22:18:50.000</v>
      </c>
      <c r="T2229" t="str">
        <f t="shared" si="667"/>
        <v>22:18:50.000</v>
      </c>
      <c r="U2229" t="str">
        <f t="shared" si="652"/>
        <v>A9D71F</v>
      </c>
      <c r="V2229">
        <v>0</v>
      </c>
      <c r="W2229">
        <v>0</v>
      </c>
      <c r="X2229">
        <v>2</v>
      </c>
      <c r="Z2229">
        <v>1</v>
      </c>
      <c r="AA2229">
        <v>8</v>
      </c>
      <c r="AB2229">
        <v>3</v>
      </c>
      <c r="AC2229">
        <v>0</v>
      </c>
      <c r="AD2229">
        <v>9</v>
      </c>
      <c r="AE2229">
        <v>0</v>
      </c>
      <c r="AF2229">
        <v>3</v>
      </c>
      <c r="AG2229">
        <v>1</v>
      </c>
      <c r="AH2229">
        <v>0</v>
      </c>
      <c r="AI2229" t="s">
        <v>1165</v>
      </c>
      <c r="AJ2229">
        <v>33.011577000000003</v>
      </c>
      <c r="AK2229" t="s">
        <v>1149</v>
      </c>
      <c r="AL2229">
        <v>-97.650238999999999</v>
      </c>
      <c r="AM2229">
        <v>25</v>
      </c>
      <c r="AN2229">
        <v>3300</v>
      </c>
      <c r="AO2229" t="s">
        <v>118</v>
      </c>
      <c r="AP2229">
        <v>-23</v>
      </c>
      <c r="AQ2229">
        <v>-73</v>
      </c>
      <c r="AR2229">
        <v>384</v>
      </c>
      <c r="AZ2229">
        <v>1200</v>
      </c>
      <c r="BA2229">
        <v>1</v>
      </c>
      <c r="BB2229" t="str">
        <f t="shared" si="659"/>
        <v xml:space="preserve">N733KP  </v>
      </c>
      <c r="BC2229">
        <v>1</v>
      </c>
      <c r="BE2229">
        <v>0</v>
      </c>
      <c r="BF2229">
        <v>0</v>
      </c>
      <c r="BG2229">
        <v>0</v>
      </c>
      <c r="BH2229">
        <v>3300</v>
      </c>
      <c r="BI2229">
        <v>1</v>
      </c>
      <c r="BJ2229">
        <v>1</v>
      </c>
      <c r="BK2229">
        <v>0</v>
      </c>
      <c r="BL2229">
        <v>0</v>
      </c>
      <c r="BO2229">
        <v>0</v>
      </c>
      <c r="BP2229">
        <v>0</v>
      </c>
      <c r="BW2229" t="str">
        <f>"22:18:50.277"</f>
        <v>22:18:50.277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5</v>
      </c>
      <c r="CP2229" t="s">
        <v>119</v>
      </c>
      <c r="CQ2229">
        <v>365</v>
      </c>
      <c r="CR2229">
        <v>0</v>
      </c>
      <c r="CW2229">
        <v>11524676</v>
      </c>
      <c r="CY2229">
        <v>1</v>
      </c>
      <c r="CZ2229">
        <v>0</v>
      </c>
      <c r="DA2229">
        <v>0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>"03/24/2022 22:18:50.530"</f>
        <v>03/24/2022 22:18:50.530</v>
      </c>
      <c r="C2230" t="str">
        <f t="shared" si="658"/>
        <v>FFDFD3C0</v>
      </c>
      <c r="D2230" t="s">
        <v>123</v>
      </c>
      <c r="E2230">
        <v>8</v>
      </c>
      <c r="H2230">
        <v>31</v>
      </c>
      <c r="I2230" t="s">
        <v>124</v>
      </c>
      <c r="J2230" t="s">
        <v>125</v>
      </c>
      <c r="K2230">
        <v>0</v>
      </c>
      <c r="L2230">
        <v>3</v>
      </c>
      <c r="M2230">
        <v>0</v>
      </c>
      <c r="N2230">
        <v>2</v>
      </c>
      <c r="O2230">
        <v>0</v>
      </c>
      <c r="P2230">
        <v>1</v>
      </c>
      <c r="Q2230">
        <v>0</v>
      </c>
      <c r="S2230" t="str">
        <f t="shared" si="667"/>
        <v>22:18:50.000</v>
      </c>
      <c r="T2230" t="str">
        <f t="shared" si="667"/>
        <v>22:18:50.000</v>
      </c>
      <c r="U2230" t="str">
        <f t="shared" si="652"/>
        <v>A9D71F</v>
      </c>
      <c r="V2230">
        <v>0</v>
      </c>
      <c r="W2230">
        <v>0</v>
      </c>
      <c r="X2230">
        <v>2</v>
      </c>
      <c r="Z2230">
        <v>1</v>
      </c>
      <c r="AA2230">
        <v>8</v>
      </c>
      <c r="AB2230">
        <v>3</v>
      </c>
      <c r="AC2230">
        <v>0</v>
      </c>
      <c r="AD2230">
        <v>9</v>
      </c>
      <c r="AE2230">
        <v>0</v>
      </c>
      <c r="AF2230">
        <v>3</v>
      </c>
      <c r="AG2230">
        <v>1</v>
      </c>
      <c r="AH2230">
        <v>0</v>
      </c>
      <c r="AI2230" t="s">
        <v>1165</v>
      </c>
      <c r="AJ2230">
        <v>33.011577000000003</v>
      </c>
      <c r="AK2230" t="s">
        <v>1149</v>
      </c>
      <c r="AL2230">
        <v>-97.650238999999999</v>
      </c>
      <c r="AM2230">
        <v>25</v>
      </c>
      <c r="AN2230">
        <v>3300</v>
      </c>
      <c r="AO2230" t="s">
        <v>118</v>
      </c>
      <c r="AP2230">
        <v>-23</v>
      </c>
      <c r="AQ2230">
        <v>-73</v>
      </c>
      <c r="AR2230">
        <v>384</v>
      </c>
      <c r="AZ2230">
        <v>1200</v>
      </c>
      <c r="BA2230">
        <v>1</v>
      </c>
      <c r="BB2230" t="str">
        <f t="shared" si="659"/>
        <v xml:space="preserve">N733KP  </v>
      </c>
      <c r="BC2230">
        <v>1</v>
      </c>
      <c r="BE2230">
        <v>0</v>
      </c>
      <c r="BF2230">
        <v>0</v>
      </c>
      <c r="BG2230">
        <v>0</v>
      </c>
      <c r="BH2230">
        <v>3300</v>
      </c>
      <c r="BI2230">
        <v>1</v>
      </c>
      <c r="BJ2230">
        <v>1</v>
      </c>
      <c r="BK2230">
        <v>0</v>
      </c>
      <c r="BL2230">
        <v>0</v>
      </c>
      <c r="BO2230">
        <v>0</v>
      </c>
      <c r="BP2230">
        <v>0</v>
      </c>
      <c r="BW2230" t="str">
        <f>"22:18:50.277"</f>
        <v>22:18:50.277</v>
      </c>
      <c r="CJ2230">
        <v>0</v>
      </c>
      <c r="CK2230">
        <v>2</v>
      </c>
      <c r="CL2230">
        <v>0</v>
      </c>
      <c r="CM2230">
        <v>2</v>
      </c>
      <c r="CN2230">
        <v>0</v>
      </c>
      <c r="CO2230">
        <v>5</v>
      </c>
      <c r="CP2230" t="s">
        <v>119</v>
      </c>
      <c r="CQ2230">
        <v>365</v>
      </c>
      <c r="CR2230">
        <v>0</v>
      </c>
      <c r="CW2230">
        <v>11524676</v>
      </c>
      <c r="CY2230">
        <v>1</v>
      </c>
      <c r="CZ2230">
        <v>0</v>
      </c>
      <c r="DA2230">
        <v>1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>"03/24/2022 22:18:50.530"</f>
        <v>03/24/2022 22:18:50.530</v>
      </c>
      <c r="C2231" t="str">
        <f t="shared" si="658"/>
        <v>FFDFD3C0</v>
      </c>
      <c r="D2231" t="s">
        <v>120</v>
      </c>
      <c r="E2231">
        <v>14</v>
      </c>
      <c r="F2231">
        <v>1014</v>
      </c>
      <c r="G2231" t="s">
        <v>121</v>
      </c>
      <c r="J2231" t="s">
        <v>122</v>
      </c>
      <c r="K2231">
        <v>0</v>
      </c>
      <c r="L2231">
        <v>3</v>
      </c>
      <c r="M2231">
        <v>0</v>
      </c>
      <c r="N2231">
        <v>2</v>
      </c>
      <c r="O2231">
        <v>0</v>
      </c>
      <c r="P2231">
        <v>1</v>
      </c>
      <c r="Q2231">
        <v>0</v>
      </c>
      <c r="S2231" t="str">
        <f t="shared" si="667"/>
        <v>22:18:50.000</v>
      </c>
      <c r="T2231" t="str">
        <f t="shared" si="667"/>
        <v>22:18:50.000</v>
      </c>
      <c r="U2231" t="str">
        <f t="shared" si="652"/>
        <v>A9D71F</v>
      </c>
      <c r="V2231">
        <v>0</v>
      </c>
      <c r="W2231">
        <v>0</v>
      </c>
      <c r="X2231">
        <v>2</v>
      </c>
      <c r="Z2231">
        <v>1</v>
      </c>
      <c r="AA2231">
        <v>8</v>
      </c>
      <c r="AB2231">
        <v>3</v>
      </c>
      <c r="AC2231">
        <v>0</v>
      </c>
      <c r="AD2231">
        <v>9</v>
      </c>
      <c r="AE2231">
        <v>0</v>
      </c>
      <c r="AF2231">
        <v>3</v>
      </c>
      <c r="AG2231">
        <v>1</v>
      </c>
      <c r="AH2231">
        <v>0</v>
      </c>
      <c r="AI2231" t="s">
        <v>1165</v>
      </c>
      <c r="AJ2231">
        <v>33.011577000000003</v>
      </c>
      <c r="AK2231" t="s">
        <v>1149</v>
      </c>
      <c r="AL2231">
        <v>-97.650238999999999</v>
      </c>
      <c r="AM2231">
        <v>25</v>
      </c>
      <c r="AN2231">
        <v>3300</v>
      </c>
      <c r="AO2231" t="s">
        <v>118</v>
      </c>
      <c r="AP2231">
        <v>-23</v>
      </c>
      <c r="AQ2231">
        <v>-73</v>
      </c>
      <c r="AR2231">
        <v>384</v>
      </c>
      <c r="AZ2231">
        <v>1200</v>
      </c>
      <c r="BA2231">
        <v>1</v>
      </c>
      <c r="BB2231" t="str">
        <f t="shared" si="659"/>
        <v xml:space="preserve">N733KP  </v>
      </c>
      <c r="BC2231">
        <v>1</v>
      </c>
      <c r="BE2231">
        <v>0</v>
      </c>
      <c r="BF2231">
        <v>0</v>
      </c>
      <c r="BG2231">
        <v>0</v>
      </c>
      <c r="BH2231">
        <v>3300</v>
      </c>
      <c r="BI2231">
        <v>1</v>
      </c>
      <c r="BJ2231">
        <v>1</v>
      </c>
      <c r="BK2231">
        <v>0</v>
      </c>
      <c r="BL2231">
        <v>0</v>
      </c>
      <c r="BO2231">
        <v>0</v>
      </c>
      <c r="BP2231">
        <v>0</v>
      </c>
      <c r="BW2231" t="str">
        <f>"22:18:50.277"</f>
        <v>22:18:50.277</v>
      </c>
      <c r="CJ2231">
        <v>0</v>
      </c>
      <c r="CK2231">
        <v>2</v>
      </c>
      <c r="CL2231">
        <v>0</v>
      </c>
      <c r="CM2231">
        <v>2</v>
      </c>
      <c r="CN2231">
        <v>0</v>
      </c>
      <c r="CO2231">
        <v>5</v>
      </c>
      <c r="CP2231" t="s">
        <v>119</v>
      </c>
      <c r="CQ2231">
        <v>365</v>
      </c>
      <c r="CR2231">
        <v>0</v>
      </c>
      <c r="CW2231">
        <v>11524676</v>
      </c>
      <c r="CY2231">
        <v>1</v>
      </c>
      <c r="CZ2231">
        <v>0</v>
      </c>
      <c r="DA2231">
        <v>1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>"03/24/2022 22:18:50.530"</f>
        <v>03/24/2022 22:18:50.530</v>
      </c>
      <c r="C2232" t="str">
        <f t="shared" si="658"/>
        <v>FFDFD3C0</v>
      </c>
      <c r="D2232" t="s">
        <v>126</v>
      </c>
      <c r="E2232">
        <v>3</v>
      </c>
      <c r="H2232">
        <v>160</v>
      </c>
      <c r="I2232" t="s">
        <v>121</v>
      </c>
      <c r="J2232" t="s">
        <v>127</v>
      </c>
      <c r="K2232">
        <v>0</v>
      </c>
      <c r="L2232">
        <v>3</v>
      </c>
      <c r="M2232">
        <v>0</v>
      </c>
      <c r="N2232">
        <v>2</v>
      </c>
      <c r="O2232">
        <v>0</v>
      </c>
      <c r="P2232">
        <v>1</v>
      </c>
      <c r="Q2232">
        <v>0</v>
      </c>
      <c r="S2232" t="str">
        <f t="shared" si="667"/>
        <v>22:18:50.000</v>
      </c>
      <c r="T2232" t="str">
        <f t="shared" si="667"/>
        <v>22:18:50.000</v>
      </c>
      <c r="U2232" t="str">
        <f t="shared" si="652"/>
        <v>A9D71F</v>
      </c>
      <c r="V2232">
        <v>0</v>
      </c>
      <c r="W2232">
        <v>0</v>
      </c>
      <c r="X2232">
        <v>2</v>
      </c>
      <c r="Z2232">
        <v>1</v>
      </c>
      <c r="AA2232">
        <v>8</v>
      </c>
      <c r="AB2232">
        <v>3</v>
      </c>
      <c r="AC2232">
        <v>0</v>
      </c>
      <c r="AD2232">
        <v>9</v>
      </c>
      <c r="AE2232">
        <v>0</v>
      </c>
      <c r="AF2232">
        <v>3</v>
      </c>
      <c r="AG2232">
        <v>1</v>
      </c>
      <c r="AH2232">
        <v>0</v>
      </c>
      <c r="AI2232" t="s">
        <v>1165</v>
      </c>
      <c r="AJ2232">
        <v>33.011577000000003</v>
      </c>
      <c r="AK2232" t="s">
        <v>1149</v>
      </c>
      <c r="AL2232">
        <v>-97.650238999999999</v>
      </c>
      <c r="AM2232">
        <v>25</v>
      </c>
      <c r="AN2232">
        <v>3300</v>
      </c>
      <c r="AO2232" t="s">
        <v>118</v>
      </c>
      <c r="AP2232">
        <v>-23</v>
      </c>
      <c r="AQ2232">
        <v>-73</v>
      </c>
      <c r="AR2232">
        <v>384</v>
      </c>
      <c r="AZ2232">
        <v>1200</v>
      </c>
      <c r="BA2232">
        <v>1</v>
      </c>
      <c r="BB2232" t="str">
        <f t="shared" si="659"/>
        <v xml:space="preserve">N733KP  </v>
      </c>
      <c r="BC2232">
        <v>1</v>
      </c>
      <c r="BE2232">
        <v>0</v>
      </c>
      <c r="BF2232">
        <v>0</v>
      </c>
      <c r="BG2232">
        <v>0</v>
      </c>
      <c r="BH2232">
        <v>3300</v>
      </c>
      <c r="BI2232">
        <v>1</v>
      </c>
      <c r="BJ2232">
        <v>1</v>
      </c>
      <c r="BK2232">
        <v>0</v>
      </c>
      <c r="BL2232">
        <v>0</v>
      </c>
      <c r="BO2232">
        <v>0</v>
      </c>
      <c r="BP2232">
        <v>0</v>
      </c>
      <c r="BW2232" t="str">
        <f>"22:18:50.277"</f>
        <v>22:18:50.277</v>
      </c>
      <c r="CJ2232">
        <v>0</v>
      </c>
      <c r="CK2232">
        <v>2</v>
      </c>
      <c r="CL2232">
        <v>0</v>
      </c>
      <c r="CM2232">
        <v>2</v>
      </c>
      <c r="CN2232">
        <v>0</v>
      </c>
      <c r="CO2232">
        <v>5</v>
      </c>
      <c r="CP2232" t="s">
        <v>119</v>
      </c>
      <c r="CQ2232">
        <v>365</v>
      </c>
      <c r="CR2232">
        <v>0</v>
      </c>
      <c r="CW2232">
        <v>11524676</v>
      </c>
      <c r="CY2232">
        <v>1</v>
      </c>
      <c r="CZ2232">
        <v>0</v>
      </c>
      <c r="DA2232">
        <v>1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>"03/24/2022 22:18:51.624"</f>
        <v>03/24/2022 22:18:51.624</v>
      </c>
      <c r="C2233" t="str">
        <f t="shared" si="658"/>
        <v>FFDFD3C0</v>
      </c>
      <c r="D2233" t="s">
        <v>123</v>
      </c>
      <c r="E2233">
        <v>8</v>
      </c>
      <c r="H2233">
        <v>31</v>
      </c>
      <c r="I2233" t="s">
        <v>124</v>
      </c>
      <c r="J2233" t="s">
        <v>125</v>
      </c>
      <c r="K2233">
        <v>0</v>
      </c>
      <c r="L2233">
        <v>3</v>
      </c>
      <c r="M2233">
        <v>0</v>
      </c>
      <c r="N2233">
        <v>2</v>
      </c>
      <c r="O2233">
        <v>0</v>
      </c>
      <c r="P2233">
        <v>1</v>
      </c>
      <c r="Q2233">
        <v>0</v>
      </c>
      <c r="S2233" t="str">
        <f t="shared" ref="S2233:T2236" si="668">"22:18:51.000"</f>
        <v>22:18:51.000</v>
      </c>
      <c r="T2233" t="str">
        <f t="shared" si="668"/>
        <v>22:18:51.000</v>
      </c>
      <c r="U2233" t="str">
        <f t="shared" si="652"/>
        <v>A9D71F</v>
      </c>
      <c r="V2233">
        <v>0</v>
      </c>
      <c r="W2233">
        <v>0</v>
      </c>
      <c r="X2233">
        <v>2</v>
      </c>
      <c r="Z2233">
        <v>1</v>
      </c>
      <c r="AA2233">
        <v>8</v>
      </c>
      <c r="AB2233">
        <v>3</v>
      </c>
      <c r="AC2233">
        <v>0</v>
      </c>
      <c r="AD2233">
        <v>9</v>
      </c>
      <c r="AE2233">
        <v>0</v>
      </c>
      <c r="AF2233">
        <v>3</v>
      </c>
      <c r="AG2233">
        <v>1</v>
      </c>
      <c r="AH2233">
        <v>0</v>
      </c>
      <c r="AI2233" t="s">
        <v>1166</v>
      </c>
      <c r="AJ2233">
        <v>33.011169000000002</v>
      </c>
      <c r="AK2233" t="s">
        <v>1167</v>
      </c>
      <c r="AL2233">
        <v>-97.650346999999996</v>
      </c>
      <c r="AM2233">
        <v>25</v>
      </c>
      <c r="AN2233">
        <v>3300</v>
      </c>
      <c r="AO2233" t="s">
        <v>118</v>
      </c>
      <c r="AP2233">
        <v>-15</v>
      </c>
      <c r="AQ2233">
        <v>-109</v>
      </c>
      <c r="AR2233">
        <v>-576</v>
      </c>
      <c r="AZ2233">
        <v>1200</v>
      </c>
      <c r="BA2233">
        <v>1</v>
      </c>
      <c r="BB2233" t="str">
        <f t="shared" si="659"/>
        <v xml:space="preserve">N733KP  </v>
      </c>
      <c r="BC2233">
        <v>1</v>
      </c>
      <c r="BE2233">
        <v>0</v>
      </c>
      <c r="BF2233">
        <v>0</v>
      </c>
      <c r="BG2233">
        <v>0</v>
      </c>
      <c r="BH2233">
        <v>3300</v>
      </c>
      <c r="BI2233">
        <v>1</v>
      </c>
      <c r="BJ2233">
        <v>1</v>
      </c>
      <c r="BK2233">
        <v>0</v>
      </c>
      <c r="BL2233">
        <v>0</v>
      </c>
      <c r="BO2233">
        <v>0</v>
      </c>
      <c r="BP2233">
        <v>0</v>
      </c>
      <c r="BW2233" t="str">
        <f>"22:18:51.456"</f>
        <v>22:18:51.456</v>
      </c>
      <c r="CJ2233">
        <v>0</v>
      </c>
      <c r="CK2233">
        <v>2</v>
      </c>
      <c r="CL2233">
        <v>0</v>
      </c>
      <c r="CM2233">
        <v>2</v>
      </c>
      <c r="CN2233">
        <v>0</v>
      </c>
      <c r="CO2233">
        <v>5</v>
      </c>
      <c r="CP2233" t="s">
        <v>119</v>
      </c>
      <c r="CQ2233">
        <v>365</v>
      </c>
      <c r="CR2233">
        <v>0</v>
      </c>
      <c r="CW2233">
        <v>11524981</v>
      </c>
      <c r="CY2233">
        <v>1</v>
      </c>
      <c r="CZ2233">
        <v>0</v>
      </c>
      <c r="DA2233">
        <v>0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>"03/24/2022 22:18:51.624"</f>
        <v>03/24/2022 22:18:51.624</v>
      </c>
      <c r="C2234" t="str">
        <f t="shared" si="658"/>
        <v>FFDFD3C0</v>
      </c>
      <c r="D2234" t="s">
        <v>120</v>
      </c>
      <c r="E2234">
        <v>14</v>
      </c>
      <c r="F2234">
        <v>1014</v>
      </c>
      <c r="G2234" t="s">
        <v>121</v>
      </c>
      <c r="J2234" t="s">
        <v>122</v>
      </c>
      <c r="K2234">
        <v>0</v>
      </c>
      <c r="L2234">
        <v>3</v>
      </c>
      <c r="M2234">
        <v>0</v>
      </c>
      <c r="N2234">
        <v>2</v>
      </c>
      <c r="O2234">
        <v>0</v>
      </c>
      <c r="P2234">
        <v>1</v>
      </c>
      <c r="Q2234">
        <v>0</v>
      </c>
      <c r="S2234" t="str">
        <f t="shared" si="668"/>
        <v>22:18:51.000</v>
      </c>
      <c r="T2234" t="str">
        <f t="shared" si="668"/>
        <v>22:18:51.000</v>
      </c>
      <c r="U2234" t="str">
        <f t="shared" si="652"/>
        <v>A9D71F</v>
      </c>
      <c r="V2234">
        <v>0</v>
      </c>
      <c r="W2234">
        <v>0</v>
      </c>
      <c r="X2234">
        <v>2</v>
      </c>
      <c r="Z2234">
        <v>1</v>
      </c>
      <c r="AA2234">
        <v>8</v>
      </c>
      <c r="AB2234">
        <v>3</v>
      </c>
      <c r="AC2234">
        <v>0</v>
      </c>
      <c r="AD2234">
        <v>9</v>
      </c>
      <c r="AE2234">
        <v>0</v>
      </c>
      <c r="AF2234">
        <v>3</v>
      </c>
      <c r="AG2234">
        <v>1</v>
      </c>
      <c r="AH2234">
        <v>0</v>
      </c>
      <c r="AI2234" t="s">
        <v>1166</v>
      </c>
      <c r="AJ2234">
        <v>33.011169000000002</v>
      </c>
      <c r="AK2234" t="s">
        <v>1167</v>
      </c>
      <c r="AL2234">
        <v>-97.650346999999996</v>
      </c>
      <c r="AM2234">
        <v>25</v>
      </c>
      <c r="AN2234">
        <v>3300</v>
      </c>
      <c r="AO2234" t="s">
        <v>118</v>
      </c>
      <c r="AP2234">
        <v>-15</v>
      </c>
      <c r="AQ2234">
        <v>-109</v>
      </c>
      <c r="AR2234">
        <v>-576</v>
      </c>
      <c r="AZ2234">
        <v>1200</v>
      </c>
      <c r="BA2234">
        <v>1</v>
      </c>
      <c r="BB2234" t="str">
        <f t="shared" si="659"/>
        <v xml:space="preserve">N733KP  </v>
      </c>
      <c r="BC2234">
        <v>1</v>
      </c>
      <c r="BE2234">
        <v>0</v>
      </c>
      <c r="BF2234">
        <v>0</v>
      </c>
      <c r="BG2234">
        <v>0</v>
      </c>
      <c r="BH2234">
        <v>3300</v>
      </c>
      <c r="BI2234">
        <v>1</v>
      </c>
      <c r="BJ2234">
        <v>1</v>
      </c>
      <c r="BK2234">
        <v>0</v>
      </c>
      <c r="BL2234">
        <v>0</v>
      </c>
      <c r="BO2234">
        <v>0</v>
      </c>
      <c r="BP2234">
        <v>0</v>
      </c>
      <c r="BW2234" t="str">
        <f>"22:18:51.456"</f>
        <v>22:18:51.456</v>
      </c>
      <c r="CJ2234">
        <v>0</v>
      </c>
      <c r="CK2234">
        <v>2</v>
      </c>
      <c r="CL2234">
        <v>0</v>
      </c>
      <c r="CM2234">
        <v>2</v>
      </c>
      <c r="CN2234">
        <v>0</v>
      </c>
      <c r="CO2234">
        <v>5</v>
      </c>
      <c r="CP2234" t="s">
        <v>119</v>
      </c>
      <c r="CQ2234">
        <v>365</v>
      </c>
      <c r="CR2234">
        <v>0</v>
      </c>
      <c r="CW2234">
        <v>11524981</v>
      </c>
      <c r="CY2234">
        <v>1</v>
      </c>
      <c r="CZ2234">
        <v>0</v>
      </c>
      <c r="DA2234">
        <v>1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>"03/24/2022 22:18:51.639"</f>
        <v>03/24/2022 22:18:51.639</v>
      </c>
      <c r="C2235" t="str">
        <f t="shared" si="658"/>
        <v>FFDFD3C0</v>
      </c>
      <c r="D2235" t="s">
        <v>126</v>
      </c>
      <c r="E2235">
        <v>3</v>
      </c>
      <c r="H2235">
        <v>160</v>
      </c>
      <c r="I2235" t="s">
        <v>121</v>
      </c>
      <c r="J2235" t="s">
        <v>127</v>
      </c>
      <c r="K2235">
        <v>0</v>
      </c>
      <c r="L2235">
        <v>3</v>
      </c>
      <c r="M2235">
        <v>0</v>
      </c>
      <c r="N2235">
        <v>2</v>
      </c>
      <c r="O2235">
        <v>0</v>
      </c>
      <c r="P2235">
        <v>1</v>
      </c>
      <c r="Q2235">
        <v>0</v>
      </c>
      <c r="S2235" t="str">
        <f t="shared" si="668"/>
        <v>22:18:51.000</v>
      </c>
      <c r="T2235" t="str">
        <f t="shared" si="668"/>
        <v>22:18:51.000</v>
      </c>
      <c r="U2235" t="str">
        <f t="shared" si="652"/>
        <v>A9D71F</v>
      </c>
      <c r="V2235">
        <v>0</v>
      </c>
      <c r="W2235">
        <v>0</v>
      </c>
      <c r="X2235">
        <v>2</v>
      </c>
      <c r="Z2235">
        <v>1</v>
      </c>
      <c r="AA2235">
        <v>8</v>
      </c>
      <c r="AB2235">
        <v>3</v>
      </c>
      <c r="AC2235">
        <v>0</v>
      </c>
      <c r="AD2235">
        <v>9</v>
      </c>
      <c r="AE2235">
        <v>0</v>
      </c>
      <c r="AF2235">
        <v>3</v>
      </c>
      <c r="AG2235">
        <v>1</v>
      </c>
      <c r="AH2235">
        <v>0</v>
      </c>
      <c r="AI2235" t="s">
        <v>1166</v>
      </c>
      <c r="AJ2235">
        <v>33.011169000000002</v>
      </c>
      <c r="AK2235" t="s">
        <v>1167</v>
      </c>
      <c r="AL2235">
        <v>-97.650346999999996</v>
      </c>
      <c r="AM2235">
        <v>25</v>
      </c>
      <c r="AN2235">
        <v>3300</v>
      </c>
      <c r="AO2235" t="s">
        <v>118</v>
      </c>
      <c r="AP2235">
        <v>-15</v>
      </c>
      <c r="AQ2235">
        <v>-109</v>
      </c>
      <c r="AR2235">
        <v>-576</v>
      </c>
      <c r="AZ2235">
        <v>1200</v>
      </c>
      <c r="BA2235">
        <v>1</v>
      </c>
      <c r="BB2235" t="str">
        <f t="shared" si="659"/>
        <v xml:space="preserve">N733KP  </v>
      </c>
      <c r="BC2235">
        <v>1</v>
      </c>
      <c r="BE2235">
        <v>0</v>
      </c>
      <c r="BF2235">
        <v>0</v>
      </c>
      <c r="BG2235">
        <v>0</v>
      </c>
      <c r="BH2235">
        <v>3300</v>
      </c>
      <c r="BI2235">
        <v>1</v>
      </c>
      <c r="BJ2235">
        <v>1</v>
      </c>
      <c r="BK2235">
        <v>0</v>
      </c>
      <c r="BL2235">
        <v>0</v>
      </c>
      <c r="BO2235">
        <v>0</v>
      </c>
      <c r="BP2235">
        <v>0</v>
      </c>
      <c r="BW2235" t="str">
        <f>"22:18:51.456"</f>
        <v>22:18:51.456</v>
      </c>
      <c r="CJ2235">
        <v>0</v>
      </c>
      <c r="CK2235">
        <v>2</v>
      </c>
      <c r="CL2235">
        <v>0</v>
      </c>
      <c r="CM2235">
        <v>2</v>
      </c>
      <c r="CN2235">
        <v>0</v>
      </c>
      <c r="CO2235">
        <v>5</v>
      </c>
      <c r="CP2235" t="s">
        <v>119</v>
      </c>
      <c r="CQ2235">
        <v>365</v>
      </c>
      <c r="CR2235">
        <v>0</v>
      </c>
      <c r="CW2235">
        <v>11524981</v>
      </c>
      <c r="CY2235">
        <v>1</v>
      </c>
      <c r="CZ2235">
        <v>0</v>
      </c>
      <c r="DA2235">
        <v>1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>"03/24/2022 22:18:51.639"</f>
        <v>03/24/2022 22:18:51.639</v>
      </c>
      <c r="C2236" t="str">
        <f t="shared" si="658"/>
        <v>FFDFD3C0</v>
      </c>
      <c r="D2236" t="s">
        <v>113</v>
      </c>
      <c r="E2236">
        <v>24</v>
      </c>
      <c r="F2236">
        <v>2024</v>
      </c>
      <c r="G2236" t="s">
        <v>114</v>
      </c>
      <c r="J2236" t="s">
        <v>115</v>
      </c>
      <c r="K2236">
        <v>0</v>
      </c>
      <c r="L2236">
        <v>3</v>
      </c>
      <c r="M2236">
        <v>0</v>
      </c>
      <c r="N2236">
        <v>2</v>
      </c>
      <c r="O2236">
        <v>0</v>
      </c>
      <c r="P2236">
        <v>1</v>
      </c>
      <c r="Q2236">
        <v>0</v>
      </c>
      <c r="S2236" t="str">
        <f t="shared" si="668"/>
        <v>22:18:51.000</v>
      </c>
      <c r="T2236" t="str">
        <f t="shared" si="668"/>
        <v>22:18:51.000</v>
      </c>
      <c r="U2236" t="str">
        <f t="shared" si="652"/>
        <v>A9D71F</v>
      </c>
      <c r="V2236">
        <v>0</v>
      </c>
      <c r="W2236">
        <v>0</v>
      </c>
      <c r="X2236">
        <v>2</v>
      </c>
      <c r="Z2236">
        <v>1</v>
      </c>
      <c r="AA2236">
        <v>8</v>
      </c>
      <c r="AB2236">
        <v>3</v>
      </c>
      <c r="AC2236">
        <v>0</v>
      </c>
      <c r="AD2236">
        <v>9</v>
      </c>
      <c r="AE2236">
        <v>0</v>
      </c>
      <c r="AF2236">
        <v>3</v>
      </c>
      <c r="AG2236">
        <v>1</v>
      </c>
      <c r="AH2236">
        <v>0</v>
      </c>
      <c r="AI2236" t="s">
        <v>1166</v>
      </c>
      <c r="AJ2236">
        <v>33.011169000000002</v>
      </c>
      <c r="AK2236" t="s">
        <v>1167</v>
      </c>
      <c r="AL2236">
        <v>-97.650346999999996</v>
      </c>
      <c r="AM2236">
        <v>25</v>
      </c>
      <c r="AN2236">
        <v>3300</v>
      </c>
      <c r="AO2236" t="s">
        <v>118</v>
      </c>
      <c r="AP2236">
        <v>-15</v>
      </c>
      <c r="AQ2236">
        <v>-109</v>
      </c>
      <c r="AR2236">
        <v>-576</v>
      </c>
      <c r="AZ2236">
        <v>1200</v>
      </c>
      <c r="BA2236">
        <v>1</v>
      </c>
      <c r="BB2236" t="str">
        <f t="shared" si="659"/>
        <v xml:space="preserve">N733KP  </v>
      </c>
      <c r="BC2236">
        <v>1</v>
      </c>
      <c r="BE2236">
        <v>0</v>
      </c>
      <c r="BF2236">
        <v>0</v>
      </c>
      <c r="BG2236">
        <v>0</v>
      </c>
      <c r="BH2236">
        <v>3300</v>
      </c>
      <c r="BI2236">
        <v>1</v>
      </c>
      <c r="BJ2236">
        <v>1</v>
      </c>
      <c r="BK2236">
        <v>0</v>
      </c>
      <c r="BL2236">
        <v>0</v>
      </c>
      <c r="BO2236">
        <v>0</v>
      </c>
      <c r="BP2236">
        <v>0</v>
      </c>
      <c r="BW2236" t="str">
        <f>"22:18:51.456"</f>
        <v>22:18:51.456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5</v>
      </c>
      <c r="CP2236" t="s">
        <v>119</v>
      </c>
      <c r="CQ2236">
        <v>365</v>
      </c>
      <c r="CR2236">
        <v>0</v>
      </c>
      <c r="CW2236">
        <v>11524981</v>
      </c>
      <c r="CY2236">
        <v>1</v>
      </c>
      <c r="CZ2236">
        <v>0</v>
      </c>
      <c r="DA2236">
        <v>1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>"03/24/2022 22:18:52.437"</f>
        <v>03/24/2022 22:18:52.437</v>
      </c>
      <c r="C2237" t="str">
        <f t="shared" si="658"/>
        <v>FFDFD3C0</v>
      </c>
      <c r="D2237" t="s">
        <v>123</v>
      </c>
      <c r="E2237">
        <v>8</v>
      </c>
      <c r="H2237">
        <v>31</v>
      </c>
      <c r="I2237" t="s">
        <v>124</v>
      </c>
      <c r="J2237" t="s">
        <v>125</v>
      </c>
      <c r="K2237">
        <v>0</v>
      </c>
      <c r="L2237">
        <v>3</v>
      </c>
      <c r="M2237">
        <v>0</v>
      </c>
      <c r="N2237">
        <v>2</v>
      </c>
      <c r="O2237">
        <v>0</v>
      </c>
      <c r="P2237">
        <v>1</v>
      </c>
      <c r="Q2237">
        <v>0</v>
      </c>
      <c r="S2237" t="str">
        <f t="shared" ref="S2237:T2240" si="669">"22:18:52.000"</f>
        <v>22:18:52.000</v>
      </c>
      <c r="T2237" t="str">
        <f t="shared" si="669"/>
        <v>22:18:52.000</v>
      </c>
      <c r="U2237" t="str">
        <f t="shared" si="652"/>
        <v>A9D71F</v>
      </c>
      <c r="V2237">
        <v>0</v>
      </c>
      <c r="W2237">
        <v>0</v>
      </c>
      <c r="X2237">
        <v>2</v>
      </c>
      <c r="Z2237">
        <v>1</v>
      </c>
      <c r="AA2237">
        <v>8</v>
      </c>
      <c r="AB2237">
        <v>3</v>
      </c>
      <c r="AC2237">
        <v>0</v>
      </c>
      <c r="AD2237">
        <v>9</v>
      </c>
      <c r="AE2237">
        <v>0</v>
      </c>
      <c r="AF2237">
        <v>3</v>
      </c>
      <c r="AG2237">
        <v>1</v>
      </c>
      <c r="AH2237">
        <v>0</v>
      </c>
      <c r="AI2237" t="s">
        <v>1168</v>
      </c>
      <c r="AJ2237">
        <v>33.010654000000002</v>
      </c>
      <c r="AK2237" t="s">
        <v>1169</v>
      </c>
      <c r="AL2237">
        <v>-97.650411000000005</v>
      </c>
      <c r="AM2237">
        <v>25</v>
      </c>
      <c r="AN2237">
        <v>3300</v>
      </c>
      <c r="AO2237" t="s">
        <v>118</v>
      </c>
      <c r="AP2237">
        <v>-27</v>
      </c>
      <c r="AQ2237">
        <v>-73</v>
      </c>
      <c r="AR2237">
        <v>-1152</v>
      </c>
      <c r="AZ2237">
        <v>1200</v>
      </c>
      <c r="BA2237">
        <v>1</v>
      </c>
      <c r="BB2237" t="str">
        <f t="shared" si="659"/>
        <v xml:space="preserve">N733KP  </v>
      </c>
      <c r="BC2237">
        <v>1</v>
      </c>
      <c r="BE2237">
        <v>0</v>
      </c>
      <c r="BF2237">
        <v>0</v>
      </c>
      <c r="BG2237">
        <v>0</v>
      </c>
      <c r="BH2237">
        <v>3275</v>
      </c>
      <c r="BI2237">
        <v>1</v>
      </c>
      <c r="BJ2237">
        <v>1</v>
      </c>
      <c r="BK2237">
        <v>0</v>
      </c>
      <c r="BL2237">
        <v>0</v>
      </c>
      <c r="BO2237">
        <v>0</v>
      </c>
      <c r="BP2237">
        <v>0</v>
      </c>
      <c r="BW2237" t="str">
        <f>"22:18:52.258"</f>
        <v>22:18:52.258</v>
      </c>
      <c r="CJ2237">
        <v>0</v>
      </c>
      <c r="CK2237">
        <v>2</v>
      </c>
      <c r="CL2237">
        <v>0</v>
      </c>
      <c r="CM2237">
        <v>2</v>
      </c>
      <c r="CN2237">
        <v>0</v>
      </c>
      <c r="CO2237">
        <v>5</v>
      </c>
      <c r="CP2237" t="s">
        <v>119</v>
      </c>
      <c r="CQ2237">
        <v>365</v>
      </c>
      <c r="CR2237">
        <v>0</v>
      </c>
      <c r="CW2237">
        <v>11525169</v>
      </c>
      <c r="CY2237">
        <v>1</v>
      </c>
      <c r="CZ2237">
        <v>0</v>
      </c>
      <c r="DA2237">
        <v>0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>"03/24/2022 22:18:52.437"</f>
        <v>03/24/2022 22:18:52.437</v>
      </c>
      <c r="C2238" t="str">
        <f t="shared" si="658"/>
        <v>FFDFD3C0</v>
      </c>
      <c r="D2238" t="s">
        <v>120</v>
      </c>
      <c r="E2238">
        <v>14</v>
      </c>
      <c r="F2238">
        <v>1014</v>
      </c>
      <c r="G2238" t="s">
        <v>121</v>
      </c>
      <c r="J2238" t="s">
        <v>122</v>
      </c>
      <c r="K2238">
        <v>0</v>
      </c>
      <c r="L2238">
        <v>3</v>
      </c>
      <c r="M2238">
        <v>0</v>
      </c>
      <c r="N2238">
        <v>2</v>
      </c>
      <c r="O2238">
        <v>0</v>
      </c>
      <c r="P2238">
        <v>1</v>
      </c>
      <c r="Q2238">
        <v>0</v>
      </c>
      <c r="S2238" t="str">
        <f t="shared" si="669"/>
        <v>22:18:52.000</v>
      </c>
      <c r="T2238" t="str">
        <f t="shared" si="669"/>
        <v>22:18:52.000</v>
      </c>
      <c r="U2238" t="str">
        <f t="shared" si="652"/>
        <v>A9D71F</v>
      </c>
      <c r="V2238">
        <v>0</v>
      </c>
      <c r="W2238">
        <v>0</v>
      </c>
      <c r="X2238">
        <v>2</v>
      </c>
      <c r="Z2238">
        <v>1</v>
      </c>
      <c r="AA2238">
        <v>8</v>
      </c>
      <c r="AB2238">
        <v>3</v>
      </c>
      <c r="AC2238">
        <v>0</v>
      </c>
      <c r="AD2238">
        <v>9</v>
      </c>
      <c r="AE2238">
        <v>0</v>
      </c>
      <c r="AF2238">
        <v>3</v>
      </c>
      <c r="AG2238">
        <v>1</v>
      </c>
      <c r="AH2238">
        <v>0</v>
      </c>
      <c r="AI2238" t="s">
        <v>1168</v>
      </c>
      <c r="AJ2238">
        <v>33.010654000000002</v>
      </c>
      <c r="AK2238" t="s">
        <v>1169</v>
      </c>
      <c r="AL2238">
        <v>-97.650411000000005</v>
      </c>
      <c r="AM2238">
        <v>25</v>
      </c>
      <c r="AN2238">
        <v>3300</v>
      </c>
      <c r="AO2238" t="s">
        <v>118</v>
      </c>
      <c r="AP2238">
        <v>-27</v>
      </c>
      <c r="AQ2238">
        <v>-73</v>
      </c>
      <c r="AR2238">
        <v>-1152</v>
      </c>
      <c r="AZ2238">
        <v>1200</v>
      </c>
      <c r="BA2238">
        <v>1</v>
      </c>
      <c r="BB2238" t="str">
        <f t="shared" si="659"/>
        <v xml:space="preserve">N733KP  </v>
      </c>
      <c r="BC2238">
        <v>1</v>
      </c>
      <c r="BE2238">
        <v>0</v>
      </c>
      <c r="BF2238">
        <v>0</v>
      </c>
      <c r="BG2238">
        <v>0</v>
      </c>
      <c r="BH2238">
        <v>3275</v>
      </c>
      <c r="BI2238">
        <v>1</v>
      </c>
      <c r="BJ2238">
        <v>1</v>
      </c>
      <c r="BK2238">
        <v>0</v>
      </c>
      <c r="BL2238">
        <v>0</v>
      </c>
      <c r="BO2238">
        <v>0</v>
      </c>
      <c r="BP2238">
        <v>0</v>
      </c>
      <c r="BW2238" t="str">
        <f>"22:18:52.258"</f>
        <v>22:18:52.258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5</v>
      </c>
      <c r="CP2238" t="s">
        <v>119</v>
      </c>
      <c r="CQ2238">
        <v>365</v>
      </c>
      <c r="CR2238">
        <v>0</v>
      </c>
      <c r="CW2238">
        <v>11525169</v>
      </c>
      <c r="CY2238">
        <v>1</v>
      </c>
      <c r="CZ2238">
        <v>0</v>
      </c>
      <c r="DA2238">
        <v>1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>"03/24/2022 22:18:52.453"</f>
        <v>03/24/2022 22:18:52.453</v>
      </c>
      <c r="C2239" t="str">
        <f t="shared" si="658"/>
        <v>FFDFD3C0</v>
      </c>
      <c r="D2239" t="s">
        <v>126</v>
      </c>
      <c r="E2239">
        <v>3</v>
      </c>
      <c r="H2239">
        <v>160</v>
      </c>
      <c r="I2239" t="s">
        <v>121</v>
      </c>
      <c r="J2239" t="s">
        <v>127</v>
      </c>
      <c r="K2239">
        <v>0</v>
      </c>
      <c r="L2239">
        <v>3</v>
      </c>
      <c r="M2239">
        <v>0</v>
      </c>
      <c r="N2239">
        <v>2</v>
      </c>
      <c r="O2239">
        <v>0</v>
      </c>
      <c r="P2239">
        <v>1</v>
      </c>
      <c r="Q2239">
        <v>0</v>
      </c>
      <c r="S2239" t="str">
        <f t="shared" si="669"/>
        <v>22:18:52.000</v>
      </c>
      <c r="T2239" t="str">
        <f t="shared" si="669"/>
        <v>22:18:52.000</v>
      </c>
      <c r="U2239" t="str">
        <f t="shared" si="652"/>
        <v>A9D71F</v>
      </c>
      <c r="V2239">
        <v>0</v>
      </c>
      <c r="W2239">
        <v>0</v>
      </c>
      <c r="X2239">
        <v>2</v>
      </c>
      <c r="Z2239">
        <v>1</v>
      </c>
      <c r="AA2239">
        <v>8</v>
      </c>
      <c r="AB2239">
        <v>3</v>
      </c>
      <c r="AC2239">
        <v>0</v>
      </c>
      <c r="AD2239">
        <v>9</v>
      </c>
      <c r="AE2239">
        <v>0</v>
      </c>
      <c r="AF2239">
        <v>3</v>
      </c>
      <c r="AG2239">
        <v>1</v>
      </c>
      <c r="AH2239">
        <v>0</v>
      </c>
      <c r="AI2239" t="s">
        <v>1168</v>
      </c>
      <c r="AJ2239">
        <v>33.010654000000002</v>
      </c>
      <c r="AK2239" t="s">
        <v>1169</v>
      </c>
      <c r="AL2239">
        <v>-97.650411000000005</v>
      </c>
      <c r="AM2239">
        <v>25</v>
      </c>
      <c r="AN2239">
        <v>3300</v>
      </c>
      <c r="AO2239" t="s">
        <v>118</v>
      </c>
      <c r="AP2239">
        <v>-27</v>
      </c>
      <c r="AQ2239">
        <v>-73</v>
      </c>
      <c r="AR2239">
        <v>-1152</v>
      </c>
      <c r="AZ2239">
        <v>1200</v>
      </c>
      <c r="BA2239">
        <v>1</v>
      </c>
      <c r="BB2239" t="str">
        <f t="shared" si="659"/>
        <v xml:space="preserve">N733KP  </v>
      </c>
      <c r="BC2239">
        <v>1</v>
      </c>
      <c r="BE2239">
        <v>0</v>
      </c>
      <c r="BF2239">
        <v>0</v>
      </c>
      <c r="BG2239">
        <v>0</v>
      </c>
      <c r="BH2239">
        <v>3275</v>
      </c>
      <c r="BI2239">
        <v>1</v>
      </c>
      <c r="BJ2239">
        <v>1</v>
      </c>
      <c r="BK2239">
        <v>0</v>
      </c>
      <c r="BL2239">
        <v>0</v>
      </c>
      <c r="BO2239">
        <v>0</v>
      </c>
      <c r="BP2239">
        <v>0</v>
      </c>
      <c r="BW2239" t="str">
        <f>"22:18:52.258"</f>
        <v>22:18:52.258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5</v>
      </c>
      <c r="CP2239" t="s">
        <v>119</v>
      </c>
      <c r="CQ2239">
        <v>365</v>
      </c>
      <c r="CR2239">
        <v>0</v>
      </c>
      <c r="CW2239">
        <v>11525169</v>
      </c>
      <c r="CY2239">
        <v>1</v>
      </c>
      <c r="CZ2239">
        <v>0</v>
      </c>
      <c r="DA2239">
        <v>1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>"03/24/2022 22:18:52.453"</f>
        <v>03/24/2022 22:18:52.453</v>
      </c>
      <c r="C2240" t="str">
        <f t="shared" si="658"/>
        <v>FFDFD3C0</v>
      </c>
      <c r="D2240" t="s">
        <v>113</v>
      </c>
      <c r="E2240">
        <v>24</v>
      </c>
      <c r="F2240">
        <v>2024</v>
      </c>
      <c r="G2240" t="s">
        <v>114</v>
      </c>
      <c r="J2240" t="s">
        <v>115</v>
      </c>
      <c r="K2240">
        <v>0</v>
      </c>
      <c r="L2240">
        <v>3</v>
      </c>
      <c r="M2240">
        <v>0</v>
      </c>
      <c r="N2240">
        <v>2</v>
      </c>
      <c r="O2240">
        <v>0</v>
      </c>
      <c r="P2240">
        <v>1</v>
      </c>
      <c r="Q2240">
        <v>0</v>
      </c>
      <c r="S2240" t="str">
        <f t="shared" si="669"/>
        <v>22:18:52.000</v>
      </c>
      <c r="T2240" t="str">
        <f t="shared" si="669"/>
        <v>22:18:52.000</v>
      </c>
      <c r="U2240" t="str">
        <f t="shared" si="652"/>
        <v>A9D71F</v>
      </c>
      <c r="V2240">
        <v>0</v>
      </c>
      <c r="W2240">
        <v>0</v>
      </c>
      <c r="X2240">
        <v>2</v>
      </c>
      <c r="Z2240">
        <v>1</v>
      </c>
      <c r="AA2240">
        <v>8</v>
      </c>
      <c r="AB2240">
        <v>3</v>
      </c>
      <c r="AC2240">
        <v>0</v>
      </c>
      <c r="AD2240">
        <v>9</v>
      </c>
      <c r="AE2240">
        <v>0</v>
      </c>
      <c r="AF2240">
        <v>3</v>
      </c>
      <c r="AG2240">
        <v>1</v>
      </c>
      <c r="AH2240">
        <v>0</v>
      </c>
      <c r="AI2240" t="s">
        <v>1168</v>
      </c>
      <c r="AJ2240">
        <v>33.010654000000002</v>
      </c>
      <c r="AK2240" t="s">
        <v>1169</v>
      </c>
      <c r="AL2240">
        <v>-97.650411000000005</v>
      </c>
      <c r="AM2240">
        <v>25</v>
      </c>
      <c r="AN2240">
        <v>3300</v>
      </c>
      <c r="AO2240" t="s">
        <v>118</v>
      </c>
      <c r="AP2240">
        <v>-27</v>
      </c>
      <c r="AQ2240">
        <v>-73</v>
      </c>
      <c r="AR2240">
        <v>-1152</v>
      </c>
      <c r="AZ2240">
        <v>1200</v>
      </c>
      <c r="BA2240">
        <v>1</v>
      </c>
      <c r="BB2240" t="str">
        <f t="shared" si="659"/>
        <v xml:space="preserve">N733KP  </v>
      </c>
      <c r="BC2240">
        <v>1</v>
      </c>
      <c r="BE2240">
        <v>0</v>
      </c>
      <c r="BF2240">
        <v>0</v>
      </c>
      <c r="BG2240">
        <v>0</v>
      </c>
      <c r="BH2240">
        <v>3275</v>
      </c>
      <c r="BI2240">
        <v>1</v>
      </c>
      <c r="BJ2240">
        <v>1</v>
      </c>
      <c r="BK2240">
        <v>0</v>
      </c>
      <c r="BL2240">
        <v>0</v>
      </c>
      <c r="BO2240">
        <v>0</v>
      </c>
      <c r="BP2240">
        <v>0</v>
      </c>
      <c r="BW2240" t="str">
        <f>"22:18:52.258"</f>
        <v>22:18:52.258</v>
      </c>
      <c r="CJ2240">
        <v>0</v>
      </c>
      <c r="CK2240">
        <v>2</v>
      </c>
      <c r="CL2240">
        <v>0</v>
      </c>
      <c r="CM2240">
        <v>2</v>
      </c>
      <c r="CN2240">
        <v>0</v>
      </c>
      <c r="CO2240">
        <v>5</v>
      </c>
      <c r="CP2240" t="s">
        <v>119</v>
      </c>
      <c r="CQ2240">
        <v>365</v>
      </c>
      <c r="CR2240">
        <v>0</v>
      </c>
      <c r="CW2240">
        <v>11525169</v>
      </c>
      <c r="CY2240">
        <v>1</v>
      </c>
      <c r="CZ2240">
        <v>0</v>
      </c>
      <c r="DA2240">
        <v>1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>"03/24/2022 22:18:53.643"</f>
        <v>03/24/2022 22:18:53.643</v>
      </c>
      <c r="C2241" t="str">
        <f t="shared" si="658"/>
        <v>FFDFD3C0</v>
      </c>
      <c r="D2241" t="s">
        <v>123</v>
      </c>
      <c r="E2241">
        <v>8</v>
      </c>
      <c r="H2241">
        <v>31</v>
      </c>
      <c r="I2241" t="s">
        <v>124</v>
      </c>
      <c r="J2241" t="s">
        <v>125</v>
      </c>
      <c r="K2241">
        <v>0</v>
      </c>
      <c r="L2241">
        <v>3</v>
      </c>
      <c r="M2241">
        <v>0</v>
      </c>
      <c r="N2241">
        <v>2</v>
      </c>
      <c r="O2241">
        <v>0</v>
      </c>
      <c r="P2241">
        <v>1</v>
      </c>
      <c r="Q2241">
        <v>0</v>
      </c>
      <c r="S2241" t="str">
        <f t="shared" ref="S2241:T2244" si="670">"22:18:53.000"</f>
        <v>22:18:53.000</v>
      </c>
      <c r="T2241" t="str">
        <f t="shared" si="670"/>
        <v>22:18:53.000</v>
      </c>
      <c r="U2241" t="str">
        <f t="shared" si="652"/>
        <v>A9D71F</v>
      </c>
      <c r="V2241">
        <v>0</v>
      </c>
      <c r="W2241">
        <v>0</v>
      </c>
      <c r="X2241">
        <v>2</v>
      </c>
      <c r="Z2241">
        <v>1</v>
      </c>
      <c r="AA2241">
        <v>8</v>
      </c>
      <c r="AB2241">
        <v>3</v>
      </c>
      <c r="AC2241">
        <v>0</v>
      </c>
      <c r="AD2241">
        <v>9</v>
      </c>
      <c r="AE2241">
        <v>0</v>
      </c>
      <c r="AF2241">
        <v>3</v>
      </c>
      <c r="AG2241">
        <v>1</v>
      </c>
      <c r="AH2241">
        <v>0</v>
      </c>
      <c r="AI2241" t="s">
        <v>1170</v>
      </c>
      <c r="AJ2241">
        <v>33.010418000000001</v>
      </c>
      <c r="AK2241" t="s">
        <v>1171</v>
      </c>
      <c r="AL2241">
        <v>-97.650604000000001</v>
      </c>
      <c r="AM2241">
        <v>25</v>
      </c>
      <c r="AN2241">
        <v>3300</v>
      </c>
      <c r="AO2241" t="s">
        <v>118</v>
      </c>
      <c r="AP2241">
        <v>-31</v>
      </c>
      <c r="AQ2241">
        <v>-72</v>
      </c>
      <c r="AR2241">
        <v>-832</v>
      </c>
      <c r="AZ2241">
        <v>1200</v>
      </c>
      <c r="BA2241">
        <v>1</v>
      </c>
      <c r="BB2241" t="str">
        <f t="shared" si="659"/>
        <v xml:space="preserve">N733KP  </v>
      </c>
      <c r="BC2241">
        <v>1</v>
      </c>
      <c r="BE2241">
        <v>0</v>
      </c>
      <c r="BF2241">
        <v>0</v>
      </c>
      <c r="BG2241">
        <v>0</v>
      </c>
      <c r="BH2241">
        <v>3275</v>
      </c>
      <c r="BI2241">
        <v>1</v>
      </c>
      <c r="BJ2241">
        <v>1</v>
      </c>
      <c r="BK2241">
        <v>0</v>
      </c>
      <c r="BL2241">
        <v>0</v>
      </c>
      <c r="BO2241">
        <v>0</v>
      </c>
      <c r="BP2241">
        <v>0</v>
      </c>
      <c r="BW2241" t="str">
        <f>"22:18:53.434"</f>
        <v>22:18:53.434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5</v>
      </c>
      <c r="CP2241" t="s">
        <v>119</v>
      </c>
      <c r="CQ2241">
        <v>365</v>
      </c>
      <c r="CR2241">
        <v>0</v>
      </c>
      <c r="CW2241">
        <v>11525456</v>
      </c>
      <c r="CY2241">
        <v>1</v>
      </c>
      <c r="CZ2241">
        <v>0</v>
      </c>
      <c r="DA2241">
        <v>0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>"03/24/2022 22:18:53.643"</f>
        <v>03/24/2022 22:18:53.643</v>
      </c>
      <c r="C2242" t="str">
        <f t="shared" si="658"/>
        <v>FFDFD3C0</v>
      </c>
      <c r="D2242" t="s">
        <v>120</v>
      </c>
      <c r="E2242">
        <v>14</v>
      </c>
      <c r="F2242">
        <v>1014</v>
      </c>
      <c r="G2242" t="s">
        <v>121</v>
      </c>
      <c r="J2242" t="s">
        <v>122</v>
      </c>
      <c r="K2242">
        <v>0</v>
      </c>
      <c r="L2242">
        <v>3</v>
      </c>
      <c r="M2242">
        <v>0</v>
      </c>
      <c r="N2242">
        <v>2</v>
      </c>
      <c r="O2242">
        <v>0</v>
      </c>
      <c r="P2242">
        <v>1</v>
      </c>
      <c r="Q2242">
        <v>0</v>
      </c>
      <c r="S2242" t="str">
        <f t="shared" si="670"/>
        <v>22:18:53.000</v>
      </c>
      <c r="T2242" t="str">
        <f t="shared" si="670"/>
        <v>22:18:53.000</v>
      </c>
      <c r="U2242" t="str">
        <f t="shared" ref="U2242:U2305" si="671">"A9D71F"</f>
        <v>A9D71F</v>
      </c>
      <c r="V2242">
        <v>0</v>
      </c>
      <c r="W2242">
        <v>0</v>
      </c>
      <c r="X2242">
        <v>2</v>
      </c>
      <c r="Z2242">
        <v>1</v>
      </c>
      <c r="AA2242">
        <v>8</v>
      </c>
      <c r="AB2242">
        <v>3</v>
      </c>
      <c r="AC2242">
        <v>0</v>
      </c>
      <c r="AD2242">
        <v>9</v>
      </c>
      <c r="AE2242">
        <v>0</v>
      </c>
      <c r="AF2242">
        <v>3</v>
      </c>
      <c r="AG2242">
        <v>1</v>
      </c>
      <c r="AH2242">
        <v>0</v>
      </c>
      <c r="AI2242" t="s">
        <v>1170</v>
      </c>
      <c r="AJ2242">
        <v>33.010418000000001</v>
      </c>
      <c r="AK2242" t="s">
        <v>1171</v>
      </c>
      <c r="AL2242">
        <v>-97.650604000000001</v>
      </c>
      <c r="AM2242">
        <v>25</v>
      </c>
      <c r="AN2242">
        <v>3300</v>
      </c>
      <c r="AO2242" t="s">
        <v>118</v>
      </c>
      <c r="AP2242">
        <v>-31</v>
      </c>
      <c r="AQ2242">
        <v>-72</v>
      </c>
      <c r="AR2242">
        <v>-832</v>
      </c>
      <c r="AZ2242">
        <v>1200</v>
      </c>
      <c r="BA2242">
        <v>1</v>
      </c>
      <c r="BB2242" t="str">
        <f t="shared" si="659"/>
        <v xml:space="preserve">N733KP  </v>
      </c>
      <c r="BC2242">
        <v>1</v>
      </c>
      <c r="BE2242">
        <v>0</v>
      </c>
      <c r="BF2242">
        <v>0</v>
      </c>
      <c r="BG2242">
        <v>0</v>
      </c>
      <c r="BH2242">
        <v>3275</v>
      </c>
      <c r="BI2242">
        <v>1</v>
      </c>
      <c r="BJ2242">
        <v>1</v>
      </c>
      <c r="BK2242">
        <v>0</v>
      </c>
      <c r="BL2242">
        <v>0</v>
      </c>
      <c r="BO2242">
        <v>0</v>
      </c>
      <c r="BP2242">
        <v>0</v>
      </c>
      <c r="BW2242" t="str">
        <f>"22:18:53.434"</f>
        <v>22:18:53.434</v>
      </c>
      <c r="CJ2242">
        <v>0</v>
      </c>
      <c r="CK2242">
        <v>2</v>
      </c>
      <c r="CL2242">
        <v>0</v>
      </c>
      <c r="CM2242">
        <v>2</v>
      </c>
      <c r="CN2242">
        <v>0</v>
      </c>
      <c r="CO2242">
        <v>5</v>
      </c>
      <c r="CP2242" t="s">
        <v>119</v>
      </c>
      <c r="CQ2242">
        <v>365</v>
      </c>
      <c r="CR2242">
        <v>0</v>
      </c>
      <c r="CW2242">
        <v>11525456</v>
      </c>
      <c r="CY2242">
        <v>1</v>
      </c>
      <c r="CZ2242">
        <v>0</v>
      </c>
      <c r="DA2242">
        <v>1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>"03/24/2022 22:18:53.643"</f>
        <v>03/24/2022 22:18:53.643</v>
      </c>
      <c r="C2243" t="str">
        <f t="shared" si="658"/>
        <v>FFDFD3C0</v>
      </c>
      <c r="D2243" t="s">
        <v>126</v>
      </c>
      <c r="E2243">
        <v>3</v>
      </c>
      <c r="H2243">
        <v>160</v>
      </c>
      <c r="I2243" t="s">
        <v>121</v>
      </c>
      <c r="J2243" t="s">
        <v>127</v>
      </c>
      <c r="K2243">
        <v>0</v>
      </c>
      <c r="L2243">
        <v>3</v>
      </c>
      <c r="M2243">
        <v>0</v>
      </c>
      <c r="N2243">
        <v>2</v>
      </c>
      <c r="O2243">
        <v>0</v>
      </c>
      <c r="P2243">
        <v>1</v>
      </c>
      <c r="Q2243">
        <v>0</v>
      </c>
      <c r="S2243" t="str">
        <f t="shared" si="670"/>
        <v>22:18:53.000</v>
      </c>
      <c r="T2243" t="str">
        <f t="shared" si="670"/>
        <v>22:18:53.000</v>
      </c>
      <c r="U2243" t="str">
        <f t="shared" si="671"/>
        <v>A9D71F</v>
      </c>
      <c r="V2243">
        <v>0</v>
      </c>
      <c r="W2243">
        <v>0</v>
      </c>
      <c r="X2243">
        <v>2</v>
      </c>
      <c r="Z2243">
        <v>1</v>
      </c>
      <c r="AA2243">
        <v>8</v>
      </c>
      <c r="AB2243">
        <v>3</v>
      </c>
      <c r="AC2243">
        <v>0</v>
      </c>
      <c r="AD2243">
        <v>9</v>
      </c>
      <c r="AE2243">
        <v>0</v>
      </c>
      <c r="AF2243">
        <v>3</v>
      </c>
      <c r="AG2243">
        <v>1</v>
      </c>
      <c r="AH2243">
        <v>0</v>
      </c>
      <c r="AI2243" t="s">
        <v>1170</v>
      </c>
      <c r="AJ2243">
        <v>33.010418000000001</v>
      </c>
      <c r="AK2243" t="s">
        <v>1171</v>
      </c>
      <c r="AL2243">
        <v>-97.650604000000001</v>
      </c>
      <c r="AM2243">
        <v>25</v>
      </c>
      <c r="AN2243">
        <v>3300</v>
      </c>
      <c r="AO2243" t="s">
        <v>118</v>
      </c>
      <c r="AP2243">
        <v>-31</v>
      </c>
      <c r="AQ2243">
        <v>-72</v>
      </c>
      <c r="AR2243">
        <v>-832</v>
      </c>
      <c r="AZ2243">
        <v>1200</v>
      </c>
      <c r="BA2243">
        <v>1</v>
      </c>
      <c r="BB2243" t="str">
        <f t="shared" si="659"/>
        <v xml:space="preserve">N733KP  </v>
      </c>
      <c r="BC2243">
        <v>1</v>
      </c>
      <c r="BE2243">
        <v>0</v>
      </c>
      <c r="BF2243">
        <v>0</v>
      </c>
      <c r="BG2243">
        <v>0</v>
      </c>
      <c r="BH2243">
        <v>3275</v>
      </c>
      <c r="BI2243">
        <v>1</v>
      </c>
      <c r="BJ2243">
        <v>1</v>
      </c>
      <c r="BK2243">
        <v>0</v>
      </c>
      <c r="BL2243">
        <v>0</v>
      </c>
      <c r="BO2243">
        <v>0</v>
      </c>
      <c r="BP2243">
        <v>0</v>
      </c>
      <c r="BW2243" t="str">
        <f>"22:18:53.434"</f>
        <v>22:18:53.434</v>
      </c>
      <c r="CJ2243">
        <v>0</v>
      </c>
      <c r="CK2243">
        <v>2</v>
      </c>
      <c r="CL2243">
        <v>0</v>
      </c>
      <c r="CM2243">
        <v>2</v>
      </c>
      <c r="CN2243">
        <v>0</v>
      </c>
      <c r="CO2243">
        <v>5</v>
      </c>
      <c r="CP2243" t="s">
        <v>119</v>
      </c>
      <c r="CQ2243">
        <v>365</v>
      </c>
      <c r="CR2243">
        <v>0</v>
      </c>
      <c r="CW2243">
        <v>11525456</v>
      </c>
      <c r="CY2243">
        <v>1</v>
      </c>
      <c r="CZ2243">
        <v>0</v>
      </c>
      <c r="DA2243">
        <v>1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>"03/24/2022 22:18:53.643"</f>
        <v>03/24/2022 22:18:53.643</v>
      </c>
      <c r="C2244" t="str">
        <f t="shared" si="658"/>
        <v>FFDFD3C0</v>
      </c>
      <c r="D2244" t="s">
        <v>113</v>
      </c>
      <c r="E2244">
        <v>24</v>
      </c>
      <c r="F2244">
        <v>2024</v>
      </c>
      <c r="G2244" t="s">
        <v>114</v>
      </c>
      <c r="J2244" t="s">
        <v>115</v>
      </c>
      <c r="K2244">
        <v>0</v>
      </c>
      <c r="L2244">
        <v>3</v>
      </c>
      <c r="M2244">
        <v>0</v>
      </c>
      <c r="N2244">
        <v>2</v>
      </c>
      <c r="O2244">
        <v>0</v>
      </c>
      <c r="P2244">
        <v>1</v>
      </c>
      <c r="Q2244">
        <v>0</v>
      </c>
      <c r="S2244" t="str">
        <f t="shared" si="670"/>
        <v>22:18:53.000</v>
      </c>
      <c r="T2244" t="str">
        <f t="shared" si="670"/>
        <v>22:18:53.000</v>
      </c>
      <c r="U2244" t="str">
        <f t="shared" si="671"/>
        <v>A9D71F</v>
      </c>
      <c r="V2244">
        <v>0</v>
      </c>
      <c r="W2244">
        <v>0</v>
      </c>
      <c r="X2244">
        <v>2</v>
      </c>
      <c r="Z2244">
        <v>1</v>
      </c>
      <c r="AA2244">
        <v>8</v>
      </c>
      <c r="AB2244">
        <v>3</v>
      </c>
      <c r="AC2244">
        <v>0</v>
      </c>
      <c r="AD2244">
        <v>9</v>
      </c>
      <c r="AE2244">
        <v>0</v>
      </c>
      <c r="AF2244">
        <v>3</v>
      </c>
      <c r="AG2244">
        <v>1</v>
      </c>
      <c r="AH2244">
        <v>0</v>
      </c>
      <c r="AI2244" t="s">
        <v>1170</v>
      </c>
      <c r="AJ2244">
        <v>33.010418000000001</v>
      </c>
      <c r="AK2244" t="s">
        <v>1171</v>
      </c>
      <c r="AL2244">
        <v>-97.650604000000001</v>
      </c>
      <c r="AM2244">
        <v>25</v>
      </c>
      <c r="AN2244">
        <v>3300</v>
      </c>
      <c r="AO2244" t="s">
        <v>118</v>
      </c>
      <c r="AP2244">
        <v>-31</v>
      </c>
      <c r="AQ2244">
        <v>-72</v>
      </c>
      <c r="AR2244">
        <v>-832</v>
      </c>
      <c r="AZ2244">
        <v>1200</v>
      </c>
      <c r="BA2244">
        <v>1</v>
      </c>
      <c r="BB2244" t="str">
        <f t="shared" si="659"/>
        <v xml:space="preserve">N733KP  </v>
      </c>
      <c r="BC2244">
        <v>1</v>
      </c>
      <c r="BE2244">
        <v>0</v>
      </c>
      <c r="BF2244">
        <v>0</v>
      </c>
      <c r="BG2244">
        <v>0</v>
      </c>
      <c r="BH2244">
        <v>3275</v>
      </c>
      <c r="BI2244">
        <v>1</v>
      </c>
      <c r="BJ2244">
        <v>1</v>
      </c>
      <c r="BK2244">
        <v>0</v>
      </c>
      <c r="BL2244">
        <v>0</v>
      </c>
      <c r="BO2244">
        <v>0</v>
      </c>
      <c r="BP2244">
        <v>0</v>
      </c>
      <c r="BW2244" t="str">
        <f>"22:18:53.434"</f>
        <v>22:18:53.434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5</v>
      </c>
      <c r="CP2244" t="s">
        <v>119</v>
      </c>
      <c r="CQ2244">
        <v>365</v>
      </c>
      <c r="CR2244">
        <v>0</v>
      </c>
      <c r="CW2244">
        <v>11525456</v>
      </c>
      <c r="CY2244">
        <v>1</v>
      </c>
      <c r="CZ2244">
        <v>0</v>
      </c>
      <c r="DA2244">
        <v>1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>"03/24/2022 22:18:54.393"</f>
        <v>03/24/2022 22:18:54.393</v>
      </c>
      <c r="C2245" t="str">
        <f t="shared" si="658"/>
        <v>FFDFD3C0</v>
      </c>
      <c r="D2245" t="s">
        <v>113</v>
      </c>
      <c r="E2245">
        <v>24</v>
      </c>
      <c r="F2245">
        <v>2024</v>
      </c>
      <c r="G2245" t="s">
        <v>114</v>
      </c>
      <c r="J2245" t="s">
        <v>115</v>
      </c>
      <c r="K2245">
        <v>0</v>
      </c>
      <c r="L2245">
        <v>3</v>
      </c>
      <c r="M2245">
        <v>0</v>
      </c>
      <c r="N2245">
        <v>2</v>
      </c>
      <c r="O2245">
        <v>0</v>
      </c>
      <c r="P2245">
        <v>1</v>
      </c>
      <c r="Q2245">
        <v>0</v>
      </c>
      <c r="S2245" t="str">
        <f t="shared" ref="S2245:T2248" si="672">"22:18:54.000"</f>
        <v>22:18:54.000</v>
      </c>
      <c r="T2245" t="str">
        <f t="shared" si="672"/>
        <v>22:18:54.000</v>
      </c>
      <c r="U2245" t="str">
        <f t="shared" si="671"/>
        <v>A9D71F</v>
      </c>
      <c r="V2245">
        <v>0</v>
      </c>
      <c r="W2245">
        <v>0</v>
      </c>
      <c r="X2245">
        <v>2</v>
      </c>
      <c r="Z2245">
        <v>1</v>
      </c>
      <c r="AA2245">
        <v>8</v>
      </c>
      <c r="AB2245">
        <v>3</v>
      </c>
      <c r="AC2245">
        <v>0</v>
      </c>
      <c r="AD2245">
        <v>9</v>
      </c>
      <c r="AE2245">
        <v>0</v>
      </c>
      <c r="AF2245">
        <v>3</v>
      </c>
      <c r="AG2245">
        <v>1</v>
      </c>
      <c r="AH2245">
        <v>0</v>
      </c>
      <c r="AI2245" t="s">
        <v>1172</v>
      </c>
      <c r="AJ2245">
        <v>33.010097000000002</v>
      </c>
      <c r="AK2245" t="s">
        <v>1173</v>
      </c>
      <c r="AL2245">
        <v>-97.650775999999993</v>
      </c>
      <c r="AM2245">
        <v>25</v>
      </c>
      <c r="AN2245">
        <v>3300</v>
      </c>
      <c r="AO2245" t="s">
        <v>118</v>
      </c>
      <c r="AP2245">
        <v>-33</v>
      </c>
      <c r="AQ2245">
        <v>-71</v>
      </c>
      <c r="AR2245">
        <v>-704</v>
      </c>
      <c r="AZ2245">
        <v>1200</v>
      </c>
      <c r="BA2245">
        <v>1</v>
      </c>
      <c r="BB2245" t="str">
        <f t="shared" si="659"/>
        <v xml:space="preserve">N733KP  </v>
      </c>
      <c r="BC2245">
        <v>1</v>
      </c>
      <c r="BE2245">
        <v>0</v>
      </c>
      <c r="BF2245">
        <v>0</v>
      </c>
      <c r="BG2245">
        <v>0</v>
      </c>
      <c r="BH2245">
        <v>3250</v>
      </c>
      <c r="BI2245">
        <v>1</v>
      </c>
      <c r="BJ2245">
        <v>1</v>
      </c>
      <c r="BK2245">
        <v>0</v>
      </c>
      <c r="BL2245">
        <v>0</v>
      </c>
      <c r="BO2245">
        <v>0</v>
      </c>
      <c r="BP2245">
        <v>0</v>
      </c>
      <c r="BW2245" t="str">
        <f>"22:18:54.230"</f>
        <v>22:18:54.230</v>
      </c>
      <c r="CJ2245">
        <v>0</v>
      </c>
      <c r="CK2245">
        <v>2</v>
      </c>
      <c r="CL2245">
        <v>0</v>
      </c>
      <c r="CM2245">
        <v>2</v>
      </c>
      <c r="CN2245">
        <v>0</v>
      </c>
      <c r="CO2245">
        <v>5</v>
      </c>
      <c r="CP2245" t="s">
        <v>119</v>
      </c>
      <c r="CQ2245">
        <v>364</v>
      </c>
      <c r="CR2245">
        <v>0</v>
      </c>
      <c r="CW2245">
        <v>1450325</v>
      </c>
      <c r="CY2245">
        <v>1</v>
      </c>
      <c r="CZ2245">
        <v>0</v>
      </c>
      <c r="DA2245">
        <v>0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>"03/24/2022 22:18:54.393"</f>
        <v>03/24/2022 22:18:54.393</v>
      </c>
      <c r="C2246" t="str">
        <f t="shared" si="658"/>
        <v>FFDFD3C0</v>
      </c>
      <c r="D2246" t="s">
        <v>123</v>
      </c>
      <c r="E2246">
        <v>8</v>
      </c>
      <c r="H2246">
        <v>31</v>
      </c>
      <c r="I2246" t="s">
        <v>124</v>
      </c>
      <c r="J2246" t="s">
        <v>125</v>
      </c>
      <c r="K2246">
        <v>0</v>
      </c>
      <c r="L2246">
        <v>3</v>
      </c>
      <c r="M2246">
        <v>0</v>
      </c>
      <c r="N2246">
        <v>2</v>
      </c>
      <c r="O2246">
        <v>0</v>
      </c>
      <c r="P2246">
        <v>1</v>
      </c>
      <c r="Q2246">
        <v>0</v>
      </c>
      <c r="S2246" t="str">
        <f t="shared" si="672"/>
        <v>22:18:54.000</v>
      </c>
      <c r="T2246" t="str">
        <f t="shared" si="672"/>
        <v>22:18:54.000</v>
      </c>
      <c r="U2246" t="str">
        <f t="shared" si="671"/>
        <v>A9D71F</v>
      </c>
      <c r="V2246">
        <v>0</v>
      </c>
      <c r="W2246">
        <v>0</v>
      </c>
      <c r="X2246">
        <v>2</v>
      </c>
      <c r="Z2246">
        <v>1</v>
      </c>
      <c r="AA2246">
        <v>8</v>
      </c>
      <c r="AB2246">
        <v>3</v>
      </c>
      <c r="AC2246">
        <v>0</v>
      </c>
      <c r="AD2246">
        <v>9</v>
      </c>
      <c r="AE2246">
        <v>0</v>
      </c>
      <c r="AF2246">
        <v>3</v>
      </c>
      <c r="AG2246">
        <v>1</v>
      </c>
      <c r="AH2246">
        <v>0</v>
      </c>
      <c r="AI2246" t="s">
        <v>1172</v>
      </c>
      <c r="AJ2246">
        <v>33.010097000000002</v>
      </c>
      <c r="AK2246" t="s">
        <v>1173</v>
      </c>
      <c r="AL2246">
        <v>-97.650775999999993</v>
      </c>
      <c r="AM2246">
        <v>25</v>
      </c>
      <c r="AN2246">
        <v>3300</v>
      </c>
      <c r="AO2246" t="s">
        <v>118</v>
      </c>
      <c r="AP2246">
        <v>-33</v>
      </c>
      <c r="AQ2246">
        <v>-71</v>
      </c>
      <c r="AR2246">
        <v>-704</v>
      </c>
      <c r="AZ2246">
        <v>1200</v>
      </c>
      <c r="BA2246">
        <v>1</v>
      </c>
      <c r="BB2246" t="str">
        <f t="shared" si="659"/>
        <v xml:space="preserve">N733KP  </v>
      </c>
      <c r="BC2246">
        <v>1</v>
      </c>
      <c r="BE2246">
        <v>0</v>
      </c>
      <c r="BF2246">
        <v>0</v>
      </c>
      <c r="BG2246">
        <v>0</v>
      </c>
      <c r="BH2246">
        <v>3250</v>
      </c>
      <c r="BI2246">
        <v>1</v>
      </c>
      <c r="BJ2246">
        <v>1</v>
      </c>
      <c r="BK2246">
        <v>0</v>
      </c>
      <c r="BL2246">
        <v>0</v>
      </c>
      <c r="BO2246">
        <v>0</v>
      </c>
      <c r="BP2246">
        <v>0</v>
      </c>
      <c r="BW2246" t="str">
        <f>"22:18:54.230"</f>
        <v>22:18:54.230</v>
      </c>
      <c r="CJ2246">
        <v>0</v>
      </c>
      <c r="CK2246">
        <v>2</v>
      </c>
      <c r="CL2246">
        <v>0</v>
      </c>
      <c r="CM2246">
        <v>2</v>
      </c>
      <c r="CN2246">
        <v>0</v>
      </c>
      <c r="CO2246">
        <v>5</v>
      </c>
      <c r="CP2246" t="s">
        <v>119</v>
      </c>
      <c r="CQ2246">
        <v>364</v>
      </c>
      <c r="CR2246">
        <v>0</v>
      </c>
      <c r="CW2246">
        <v>1450325</v>
      </c>
      <c r="CY2246">
        <v>1</v>
      </c>
      <c r="CZ2246">
        <v>0</v>
      </c>
      <c r="DA2246">
        <v>1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>"03/24/2022 22:18:54.456"</f>
        <v>03/24/2022 22:18:54.456</v>
      </c>
      <c r="C2247" t="str">
        <f t="shared" si="658"/>
        <v>FFDFD3C0</v>
      </c>
      <c r="D2247" t="s">
        <v>120</v>
      </c>
      <c r="E2247">
        <v>14</v>
      </c>
      <c r="F2247">
        <v>1014</v>
      </c>
      <c r="G2247" t="s">
        <v>121</v>
      </c>
      <c r="J2247" t="s">
        <v>122</v>
      </c>
      <c r="K2247">
        <v>0</v>
      </c>
      <c r="L2247">
        <v>3</v>
      </c>
      <c r="M2247">
        <v>0</v>
      </c>
      <c r="N2247">
        <v>2</v>
      </c>
      <c r="O2247">
        <v>0</v>
      </c>
      <c r="P2247">
        <v>1</v>
      </c>
      <c r="Q2247">
        <v>0</v>
      </c>
      <c r="S2247" t="str">
        <f t="shared" si="672"/>
        <v>22:18:54.000</v>
      </c>
      <c r="T2247" t="str">
        <f t="shared" si="672"/>
        <v>22:18:54.000</v>
      </c>
      <c r="U2247" t="str">
        <f t="shared" si="671"/>
        <v>A9D71F</v>
      </c>
      <c r="V2247">
        <v>0</v>
      </c>
      <c r="W2247">
        <v>0</v>
      </c>
      <c r="X2247">
        <v>2</v>
      </c>
      <c r="Z2247">
        <v>1</v>
      </c>
      <c r="AA2247">
        <v>8</v>
      </c>
      <c r="AB2247">
        <v>3</v>
      </c>
      <c r="AC2247">
        <v>0</v>
      </c>
      <c r="AD2247">
        <v>9</v>
      </c>
      <c r="AE2247">
        <v>0</v>
      </c>
      <c r="AF2247">
        <v>3</v>
      </c>
      <c r="AG2247">
        <v>1</v>
      </c>
      <c r="AH2247">
        <v>0</v>
      </c>
      <c r="AI2247" t="s">
        <v>1172</v>
      </c>
      <c r="AJ2247">
        <v>33.010097000000002</v>
      </c>
      <c r="AK2247" t="s">
        <v>1173</v>
      </c>
      <c r="AL2247">
        <v>-97.650775999999993</v>
      </c>
      <c r="AM2247">
        <v>25</v>
      </c>
      <c r="AN2247">
        <v>3300</v>
      </c>
      <c r="AO2247" t="s">
        <v>118</v>
      </c>
      <c r="AP2247">
        <v>-33</v>
      </c>
      <c r="AQ2247">
        <v>-71</v>
      </c>
      <c r="AR2247">
        <v>-704</v>
      </c>
      <c r="AZ2247">
        <v>1200</v>
      </c>
      <c r="BA2247">
        <v>1</v>
      </c>
      <c r="BB2247" t="str">
        <f t="shared" si="659"/>
        <v xml:space="preserve">N733KP  </v>
      </c>
      <c r="BC2247">
        <v>1</v>
      </c>
      <c r="BE2247">
        <v>0</v>
      </c>
      <c r="BF2247">
        <v>0</v>
      </c>
      <c r="BG2247">
        <v>0</v>
      </c>
      <c r="BH2247">
        <v>3250</v>
      </c>
      <c r="BI2247">
        <v>1</v>
      </c>
      <c r="BJ2247">
        <v>1</v>
      </c>
      <c r="BK2247">
        <v>0</v>
      </c>
      <c r="BL2247">
        <v>0</v>
      </c>
      <c r="BO2247">
        <v>0</v>
      </c>
      <c r="BP2247">
        <v>0</v>
      </c>
      <c r="BW2247" t="str">
        <f>"22:18:54.230"</f>
        <v>22:18:54.230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5</v>
      </c>
      <c r="CP2247" t="s">
        <v>119</v>
      </c>
      <c r="CQ2247">
        <v>364</v>
      </c>
      <c r="CR2247">
        <v>0</v>
      </c>
      <c r="CW2247">
        <v>1450325</v>
      </c>
      <c r="CY2247">
        <v>1</v>
      </c>
      <c r="CZ2247">
        <v>0</v>
      </c>
      <c r="DA2247">
        <v>1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>"03/24/2022 22:18:54.456"</f>
        <v>03/24/2022 22:18:54.456</v>
      </c>
      <c r="C2248" t="str">
        <f t="shared" si="658"/>
        <v>FFDFD3C0</v>
      </c>
      <c r="D2248" t="s">
        <v>126</v>
      </c>
      <c r="E2248">
        <v>3</v>
      </c>
      <c r="H2248">
        <v>160</v>
      </c>
      <c r="I2248" t="s">
        <v>121</v>
      </c>
      <c r="J2248" t="s">
        <v>127</v>
      </c>
      <c r="K2248">
        <v>0</v>
      </c>
      <c r="L2248">
        <v>3</v>
      </c>
      <c r="M2248">
        <v>0</v>
      </c>
      <c r="N2248">
        <v>2</v>
      </c>
      <c r="O2248">
        <v>0</v>
      </c>
      <c r="P2248">
        <v>1</v>
      </c>
      <c r="Q2248">
        <v>0</v>
      </c>
      <c r="S2248" t="str">
        <f t="shared" si="672"/>
        <v>22:18:54.000</v>
      </c>
      <c r="T2248" t="str">
        <f t="shared" si="672"/>
        <v>22:18:54.000</v>
      </c>
      <c r="U2248" t="str">
        <f t="shared" si="671"/>
        <v>A9D71F</v>
      </c>
      <c r="V2248">
        <v>0</v>
      </c>
      <c r="W2248">
        <v>0</v>
      </c>
      <c r="X2248">
        <v>2</v>
      </c>
      <c r="Z2248">
        <v>1</v>
      </c>
      <c r="AA2248">
        <v>8</v>
      </c>
      <c r="AB2248">
        <v>3</v>
      </c>
      <c r="AC2248">
        <v>0</v>
      </c>
      <c r="AD2248">
        <v>9</v>
      </c>
      <c r="AE2248">
        <v>0</v>
      </c>
      <c r="AF2248">
        <v>3</v>
      </c>
      <c r="AG2248">
        <v>1</v>
      </c>
      <c r="AH2248">
        <v>0</v>
      </c>
      <c r="AI2248" t="s">
        <v>1172</v>
      </c>
      <c r="AJ2248">
        <v>33.010097000000002</v>
      </c>
      <c r="AK2248" t="s">
        <v>1173</v>
      </c>
      <c r="AL2248">
        <v>-97.650775999999993</v>
      </c>
      <c r="AM2248">
        <v>25</v>
      </c>
      <c r="AN2248">
        <v>3300</v>
      </c>
      <c r="AO2248" t="s">
        <v>118</v>
      </c>
      <c r="AP2248">
        <v>-33</v>
      </c>
      <c r="AQ2248">
        <v>-71</v>
      </c>
      <c r="AR2248">
        <v>-704</v>
      </c>
      <c r="AZ2248">
        <v>1200</v>
      </c>
      <c r="BA2248">
        <v>1</v>
      </c>
      <c r="BB2248" t="str">
        <f t="shared" si="659"/>
        <v xml:space="preserve">N733KP  </v>
      </c>
      <c r="BC2248">
        <v>1</v>
      </c>
      <c r="BE2248">
        <v>0</v>
      </c>
      <c r="BF2248">
        <v>0</v>
      </c>
      <c r="BG2248">
        <v>0</v>
      </c>
      <c r="BH2248">
        <v>3250</v>
      </c>
      <c r="BI2248">
        <v>1</v>
      </c>
      <c r="BJ2248">
        <v>1</v>
      </c>
      <c r="BK2248">
        <v>0</v>
      </c>
      <c r="BL2248">
        <v>0</v>
      </c>
      <c r="BO2248">
        <v>0</v>
      </c>
      <c r="BP2248">
        <v>0</v>
      </c>
      <c r="BW2248" t="str">
        <f>"22:18:54.230"</f>
        <v>22:18:54.230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5</v>
      </c>
      <c r="CP2248" t="s">
        <v>119</v>
      </c>
      <c r="CQ2248">
        <v>364</v>
      </c>
      <c r="CR2248">
        <v>0</v>
      </c>
      <c r="CW2248">
        <v>1450325</v>
      </c>
      <c r="CY2248">
        <v>1</v>
      </c>
      <c r="CZ2248">
        <v>0</v>
      </c>
      <c r="DA2248">
        <v>1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>"03/24/2022 22:18:56.971"</f>
        <v>03/24/2022 22:18:56.971</v>
      </c>
      <c r="C2249" t="str">
        <f t="shared" si="658"/>
        <v>FFDFD3C0</v>
      </c>
      <c r="D2249" t="s">
        <v>120</v>
      </c>
      <c r="E2249">
        <v>14</v>
      </c>
      <c r="F2249">
        <v>1014</v>
      </c>
      <c r="G2249" t="s">
        <v>121</v>
      </c>
      <c r="J2249" t="s">
        <v>122</v>
      </c>
      <c r="K2249">
        <v>0</v>
      </c>
      <c r="L2249">
        <v>3</v>
      </c>
      <c r="M2249">
        <v>0</v>
      </c>
      <c r="N2249">
        <v>2</v>
      </c>
      <c r="O2249">
        <v>0</v>
      </c>
      <c r="P2249">
        <v>1</v>
      </c>
      <c r="Q2249">
        <v>0</v>
      </c>
      <c r="S2249" t="str">
        <f t="shared" ref="S2249:T2252" si="673">"22:18:56.000"</f>
        <v>22:18:56.000</v>
      </c>
      <c r="T2249" t="str">
        <f t="shared" si="673"/>
        <v>22:18:56.000</v>
      </c>
      <c r="U2249" t="str">
        <f t="shared" si="671"/>
        <v>A9D71F</v>
      </c>
      <c r="V2249">
        <v>0</v>
      </c>
      <c r="W2249">
        <v>0</v>
      </c>
      <c r="X2249">
        <v>2</v>
      </c>
      <c r="Z2249">
        <v>1</v>
      </c>
      <c r="AA2249">
        <v>7</v>
      </c>
      <c r="AB2249">
        <v>3</v>
      </c>
      <c r="AC2249">
        <v>0</v>
      </c>
      <c r="AD2249">
        <v>9</v>
      </c>
      <c r="AE2249">
        <v>0</v>
      </c>
      <c r="AF2249">
        <v>3</v>
      </c>
      <c r="AG2249">
        <v>1</v>
      </c>
      <c r="AH2249">
        <v>0</v>
      </c>
      <c r="AI2249" t="s">
        <v>1174</v>
      </c>
      <c r="AJ2249">
        <v>33.009430999999999</v>
      </c>
      <c r="AK2249" t="s">
        <v>1175</v>
      </c>
      <c r="AL2249">
        <v>-97.651161999999999</v>
      </c>
      <c r="AM2249">
        <v>25</v>
      </c>
      <c r="AN2249">
        <v>3200</v>
      </c>
      <c r="AO2249" t="s">
        <v>118</v>
      </c>
      <c r="AP2249">
        <v>-35</v>
      </c>
      <c r="AQ2249">
        <v>-70</v>
      </c>
      <c r="AR2249">
        <v>-384</v>
      </c>
      <c r="AZ2249">
        <v>1200</v>
      </c>
      <c r="BA2249">
        <v>1</v>
      </c>
      <c r="BB2249" t="str">
        <f t="shared" si="659"/>
        <v xml:space="preserve">N733KP  </v>
      </c>
      <c r="BC2249">
        <v>1</v>
      </c>
      <c r="BE2249">
        <v>0</v>
      </c>
      <c r="BF2249">
        <v>0</v>
      </c>
      <c r="BG2249">
        <v>0</v>
      </c>
      <c r="BH2249">
        <v>3250</v>
      </c>
      <c r="BI2249">
        <v>1</v>
      </c>
      <c r="BJ2249">
        <v>1</v>
      </c>
      <c r="BK2249">
        <v>0</v>
      </c>
      <c r="BL2249">
        <v>0</v>
      </c>
      <c r="BO2249">
        <v>0</v>
      </c>
      <c r="BP2249">
        <v>0</v>
      </c>
      <c r="BW2249" t="str">
        <f>"22:18:56.789"</f>
        <v>22:18:56.789</v>
      </c>
      <c r="CJ2249">
        <v>0</v>
      </c>
      <c r="CK2249">
        <v>2</v>
      </c>
      <c r="CL2249">
        <v>0</v>
      </c>
      <c r="CM2249">
        <v>2</v>
      </c>
      <c r="CN2249">
        <v>0</v>
      </c>
      <c r="CO2249">
        <v>5</v>
      </c>
      <c r="CP2249" t="s">
        <v>119</v>
      </c>
      <c r="CQ2249">
        <v>364</v>
      </c>
      <c r="CR2249">
        <v>0</v>
      </c>
      <c r="CW2249">
        <v>1450610</v>
      </c>
      <c r="CY2249">
        <v>1</v>
      </c>
      <c r="CZ2249">
        <v>0</v>
      </c>
      <c r="DA2249">
        <v>0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>"03/24/2022 22:18:56.971"</f>
        <v>03/24/2022 22:18:56.971</v>
      </c>
      <c r="C2250" t="str">
        <f t="shared" si="658"/>
        <v>FFDFD3C0</v>
      </c>
      <c r="D2250" t="s">
        <v>126</v>
      </c>
      <c r="E2250">
        <v>3</v>
      </c>
      <c r="H2250">
        <v>160</v>
      </c>
      <c r="I2250" t="s">
        <v>121</v>
      </c>
      <c r="J2250" t="s">
        <v>127</v>
      </c>
      <c r="K2250">
        <v>0</v>
      </c>
      <c r="L2250">
        <v>3</v>
      </c>
      <c r="M2250">
        <v>0</v>
      </c>
      <c r="N2250">
        <v>2</v>
      </c>
      <c r="O2250">
        <v>0</v>
      </c>
      <c r="P2250">
        <v>1</v>
      </c>
      <c r="Q2250">
        <v>0</v>
      </c>
      <c r="S2250" t="str">
        <f t="shared" si="673"/>
        <v>22:18:56.000</v>
      </c>
      <c r="T2250" t="str">
        <f t="shared" si="673"/>
        <v>22:18:56.000</v>
      </c>
      <c r="U2250" t="str">
        <f t="shared" si="671"/>
        <v>A9D71F</v>
      </c>
      <c r="V2250">
        <v>0</v>
      </c>
      <c r="W2250">
        <v>0</v>
      </c>
      <c r="X2250">
        <v>2</v>
      </c>
      <c r="Z2250">
        <v>1</v>
      </c>
      <c r="AA2250">
        <v>7</v>
      </c>
      <c r="AB2250">
        <v>3</v>
      </c>
      <c r="AC2250">
        <v>0</v>
      </c>
      <c r="AD2250">
        <v>9</v>
      </c>
      <c r="AE2250">
        <v>0</v>
      </c>
      <c r="AF2250">
        <v>3</v>
      </c>
      <c r="AG2250">
        <v>1</v>
      </c>
      <c r="AH2250">
        <v>0</v>
      </c>
      <c r="AI2250" t="s">
        <v>1174</v>
      </c>
      <c r="AJ2250">
        <v>33.009430999999999</v>
      </c>
      <c r="AK2250" t="s">
        <v>1175</v>
      </c>
      <c r="AL2250">
        <v>-97.651161999999999</v>
      </c>
      <c r="AM2250">
        <v>25</v>
      </c>
      <c r="AN2250">
        <v>3200</v>
      </c>
      <c r="AO2250" t="s">
        <v>118</v>
      </c>
      <c r="AP2250">
        <v>-35</v>
      </c>
      <c r="AQ2250">
        <v>-70</v>
      </c>
      <c r="AR2250">
        <v>-384</v>
      </c>
      <c r="AZ2250">
        <v>1200</v>
      </c>
      <c r="BA2250">
        <v>1</v>
      </c>
      <c r="BB2250" t="str">
        <f t="shared" si="659"/>
        <v xml:space="preserve">N733KP  </v>
      </c>
      <c r="BC2250">
        <v>1</v>
      </c>
      <c r="BE2250">
        <v>0</v>
      </c>
      <c r="BF2250">
        <v>0</v>
      </c>
      <c r="BG2250">
        <v>0</v>
      </c>
      <c r="BH2250">
        <v>3250</v>
      </c>
      <c r="BI2250">
        <v>1</v>
      </c>
      <c r="BJ2250">
        <v>1</v>
      </c>
      <c r="BK2250">
        <v>0</v>
      </c>
      <c r="BL2250">
        <v>0</v>
      </c>
      <c r="BO2250">
        <v>0</v>
      </c>
      <c r="BP2250">
        <v>0</v>
      </c>
      <c r="BW2250" t="str">
        <f>"22:18:56.789"</f>
        <v>22:18:56.789</v>
      </c>
      <c r="CJ2250">
        <v>0</v>
      </c>
      <c r="CK2250">
        <v>2</v>
      </c>
      <c r="CL2250">
        <v>0</v>
      </c>
      <c r="CM2250">
        <v>2</v>
      </c>
      <c r="CN2250">
        <v>0</v>
      </c>
      <c r="CO2250">
        <v>5</v>
      </c>
      <c r="CP2250" t="s">
        <v>119</v>
      </c>
      <c r="CQ2250">
        <v>364</v>
      </c>
      <c r="CR2250">
        <v>0</v>
      </c>
      <c r="CW2250">
        <v>1450610</v>
      </c>
      <c r="CY2250">
        <v>1</v>
      </c>
      <c r="CZ2250">
        <v>0</v>
      </c>
      <c r="DA2250">
        <v>1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>"03/24/2022 22:18:56.971"</f>
        <v>03/24/2022 22:18:56.971</v>
      </c>
      <c r="C2251" t="str">
        <f t="shared" si="658"/>
        <v>FFDFD3C0</v>
      </c>
      <c r="D2251" t="s">
        <v>113</v>
      </c>
      <c r="E2251">
        <v>24</v>
      </c>
      <c r="F2251">
        <v>2024</v>
      </c>
      <c r="G2251" t="s">
        <v>114</v>
      </c>
      <c r="J2251" t="s">
        <v>115</v>
      </c>
      <c r="K2251">
        <v>0</v>
      </c>
      <c r="L2251">
        <v>3</v>
      </c>
      <c r="M2251">
        <v>0</v>
      </c>
      <c r="N2251">
        <v>2</v>
      </c>
      <c r="O2251">
        <v>0</v>
      </c>
      <c r="P2251">
        <v>1</v>
      </c>
      <c r="Q2251">
        <v>0</v>
      </c>
      <c r="S2251" t="str">
        <f t="shared" si="673"/>
        <v>22:18:56.000</v>
      </c>
      <c r="T2251" t="str">
        <f t="shared" si="673"/>
        <v>22:18:56.000</v>
      </c>
      <c r="U2251" t="str">
        <f t="shared" si="671"/>
        <v>A9D71F</v>
      </c>
      <c r="V2251">
        <v>0</v>
      </c>
      <c r="W2251">
        <v>0</v>
      </c>
      <c r="X2251">
        <v>2</v>
      </c>
      <c r="Z2251">
        <v>1</v>
      </c>
      <c r="AA2251">
        <v>7</v>
      </c>
      <c r="AB2251">
        <v>3</v>
      </c>
      <c r="AC2251">
        <v>0</v>
      </c>
      <c r="AD2251">
        <v>9</v>
      </c>
      <c r="AE2251">
        <v>0</v>
      </c>
      <c r="AF2251">
        <v>3</v>
      </c>
      <c r="AG2251">
        <v>1</v>
      </c>
      <c r="AH2251">
        <v>0</v>
      </c>
      <c r="AI2251" t="s">
        <v>1174</v>
      </c>
      <c r="AJ2251">
        <v>33.009430999999999</v>
      </c>
      <c r="AK2251" t="s">
        <v>1175</v>
      </c>
      <c r="AL2251">
        <v>-97.651161999999999</v>
      </c>
      <c r="AM2251">
        <v>25</v>
      </c>
      <c r="AN2251">
        <v>3200</v>
      </c>
      <c r="AO2251" t="s">
        <v>118</v>
      </c>
      <c r="AP2251">
        <v>-35</v>
      </c>
      <c r="AQ2251">
        <v>-70</v>
      </c>
      <c r="AR2251">
        <v>-384</v>
      </c>
      <c r="AZ2251">
        <v>1200</v>
      </c>
      <c r="BA2251">
        <v>1</v>
      </c>
      <c r="BB2251" t="str">
        <f t="shared" si="659"/>
        <v xml:space="preserve">N733KP  </v>
      </c>
      <c r="BC2251">
        <v>1</v>
      </c>
      <c r="BE2251">
        <v>0</v>
      </c>
      <c r="BF2251">
        <v>0</v>
      </c>
      <c r="BG2251">
        <v>0</v>
      </c>
      <c r="BH2251">
        <v>3250</v>
      </c>
      <c r="BI2251">
        <v>1</v>
      </c>
      <c r="BJ2251">
        <v>1</v>
      </c>
      <c r="BK2251">
        <v>0</v>
      </c>
      <c r="BL2251">
        <v>0</v>
      </c>
      <c r="BO2251">
        <v>0</v>
      </c>
      <c r="BP2251">
        <v>0</v>
      </c>
      <c r="BW2251" t="str">
        <f>"22:18:56.789"</f>
        <v>22:18:56.789</v>
      </c>
      <c r="CJ2251">
        <v>0</v>
      </c>
      <c r="CK2251">
        <v>2</v>
      </c>
      <c r="CL2251">
        <v>0</v>
      </c>
      <c r="CM2251">
        <v>2</v>
      </c>
      <c r="CN2251">
        <v>0</v>
      </c>
      <c r="CO2251">
        <v>5</v>
      </c>
      <c r="CP2251" t="s">
        <v>119</v>
      </c>
      <c r="CQ2251">
        <v>364</v>
      </c>
      <c r="CR2251">
        <v>0</v>
      </c>
      <c r="CW2251">
        <v>1450610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>"03/24/2022 22:18:56.971"</f>
        <v>03/24/2022 22:18:56.971</v>
      </c>
      <c r="C2252" t="str">
        <f t="shared" si="658"/>
        <v>FFDFD3C0</v>
      </c>
      <c r="D2252" t="s">
        <v>123</v>
      </c>
      <c r="E2252">
        <v>8</v>
      </c>
      <c r="H2252">
        <v>31</v>
      </c>
      <c r="I2252" t="s">
        <v>124</v>
      </c>
      <c r="J2252" t="s">
        <v>125</v>
      </c>
      <c r="K2252">
        <v>0</v>
      </c>
      <c r="L2252">
        <v>3</v>
      </c>
      <c r="M2252">
        <v>0</v>
      </c>
      <c r="N2252">
        <v>2</v>
      </c>
      <c r="O2252">
        <v>0</v>
      </c>
      <c r="P2252">
        <v>1</v>
      </c>
      <c r="Q2252">
        <v>0</v>
      </c>
      <c r="S2252" t="str">
        <f t="shared" si="673"/>
        <v>22:18:56.000</v>
      </c>
      <c r="T2252" t="str">
        <f t="shared" si="673"/>
        <v>22:18:56.000</v>
      </c>
      <c r="U2252" t="str">
        <f t="shared" si="671"/>
        <v>A9D71F</v>
      </c>
      <c r="V2252">
        <v>0</v>
      </c>
      <c r="W2252">
        <v>0</v>
      </c>
      <c r="X2252">
        <v>2</v>
      </c>
      <c r="Z2252">
        <v>1</v>
      </c>
      <c r="AA2252">
        <v>7</v>
      </c>
      <c r="AB2252">
        <v>3</v>
      </c>
      <c r="AC2252">
        <v>0</v>
      </c>
      <c r="AD2252">
        <v>9</v>
      </c>
      <c r="AE2252">
        <v>0</v>
      </c>
      <c r="AF2252">
        <v>3</v>
      </c>
      <c r="AG2252">
        <v>1</v>
      </c>
      <c r="AH2252">
        <v>0</v>
      </c>
      <c r="AI2252" t="s">
        <v>1174</v>
      </c>
      <c r="AJ2252">
        <v>33.009430999999999</v>
      </c>
      <c r="AK2252" t="s">
        <v>1175</v>
      </c>
      <c r="AL2252">
        <v>-97.651161999999999</v>
      </c>
      <c r="AM2252">
        <v>25</v>
      </c>
      <c r="AN2252">
        <v>3200</v>
      </c>
      <c r="AO2252" t="s">
        <v>118</v>
      </c>
      <c r="AP2252">
        <v>-35</v>
      </c>
      <c r="AQ2252">
        <v>-70</v>
      </c>
      <c r="AR2252">
        <v>-384</v>
      </c>
      <c r="AZ2252">
        <v>1200</v>
      </c>
      <c r="BA2252">
        <v>1</v>
      </c>
      <c r="BB2252" t="str">
        <f t="shared" si="659"/>
        <v xml:space="preserve">N733KP  </v>
      </c>
      <c r="BC2252">
        <v>1</v>
      </c>
      <c r="BE2252">
        <v>0</v>
      </c>
      <c r="BF2252">
        <v>0</v>
      </c>
      <c r="BG2252">
        <v>0</v>
      </c>
      <c r="BH2252">
        <v>3250</v>
      </c>
      <c r="BI2252">
        <v>1</v>
      </c>
      <c r="BJ2252">
        <v>1</v>
      </c>
      <c r="BK2252">
        <v>0</v>
      </c>
      <c r="BL2252">
        <v>0</v>
      </c>
      <c r="BO2252">
        <v>0</v>
      </c>
      <c r="BP2252">
        <v>0</v>
      </c>
      <c r="BW2252" t="str">
        <f>"22:18:56.789"</f>
        <v>22:18:56.789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5</v>
      </c>
      <c r="CP2252" t="s">
        <v>119</v>
      </c>
      <c r="CQ2252">
        <v>364</v>
      </c>
      <c r="CR2252">
        <v>0</v>
      </c>
      <c r="CW2252">
        <v>1450610</v>
      </c>
      <c r="CY2252">
        <v>1</v>
      </c>
      <c r="CZ2252">
        <v>0</v>
      </c>
      <c r="DA2252">
        <v>1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>"03/24/2022 22:18:58.113"</f>
        <v>03/24/2022 22:18:58.113</v>
      </c>
      <c r="C2253" t="str">
        <f t="shared" si="658"/>
        <v>FFDFD3C0</v>
      </c>
      <c r="D2253" t="s">
        <v>126</v>
      </c>
      <c r="E2253">
        <v>3</v>
      </c>
      <c r="H2253">
        <v>160</v>
      </c>
      <c r="I2253" t="s">
        <v>121</v>
      </c>
      <c r="J2253" t="s">
        <v>127</v>
      </c>
      <c r="K2253">
        <v>0</v>
      </c>
      <c r="L2253">
        <v>3</v>
      </c>
      <c r="M2253">
        <v>0</v>
      </c>
      <c r="N2253">
        <v>2</v>
      </c>
      <c r="O2253">
        <v>0</v>
      </c>
      <c r="P2253">
        <v>1</v>
      </c>
      <c r="Q2253">
        <v>0</v>
      </c>
      <c r="S2253" t="str">
        <f t="shared" ref="S2253:T2256" si="674">"22:18:57.000"</f>
        <v>22:18:57.000</v>
      </c>
      <c r="T2253" t="str">
        <f t="shared" si="674"/>
        <v>22:18:57.000</v>
      </c>
      <c r="U2253" t="str">
        <f t="shared" si="671"/>
        <v>A9D71F</v>
      </c>
      <c r="V2253">
        <v>0</v>
      </c>
      <c r="W2253">
        <v>0</v>
      </c>
      <c r="X2253">
        <v>2</v>
      </c>
      <c r="Z2253">
        <v>1</v>
      </c>
      <c r="AA2253">
        <v>7</v>
      </c>
      <c r="AB2253">
        <v>3</v>
      </c>
      <c r="AC2253">
        <v>0</v>
      </c>
      <c r="AD2253">
        <v>9</v>
      </c>
      <c r="AE2253">
        <v>0</v>
      </c>
      <c r="AF2253">
        <v>3</v>
      </c>
      <c r="AG2253">
        <v>1</v>
      </c>
      <c r="AH2253">
        <v>0</v>
      </c>
      <c r="AI2253" t="s">
        <v>1176</v>
      </c>
      <c r="AJ2253">
        <v>33.009087999999998</v>
      </c>
      <c r="AK2253" t="s">
        <v>1135</v>
      </c>
      <c r="AL2253">
        <v>-97.651354999999995</v>
      </c>
      <c r="AM2253">
        <v>25</v>
      </c>
      <c r="AN2253">
        <v>3200</v>
      </c>
      <c r="AO2253" t="s">
        <v>118</v>
      </c>
      <c r="AP2253">
        <v>-35</v>
      </c>
      <c r="AQ2253">
        <v>-70</v>
      </c>
      <c r="AR2253">
        <v>-256</v>
      </c>
      <c r="AZ2253">
        <v>1200</v>
      </c>
      <c r="BA2253">
        <v>1</v>
      </c>
      <c r="BB2253" t="str">
        <f t="shared" si="659"/>
        <v xml:space="preserve">N733KP  </v>
      </c>
      <c r="BC2253">
        <v>1</v>
      </c>
      <c r="BE2253">
        <v>0</v>
      </c>
      <c r="BF2253">
        <v>0</v>
      </c>
      <c r="BG2253">
        <v>0</v>
      </c>
      <c r="BH2253">
        <v>3250</v>
      </c>
      <c r="BI2253">
        <v>1</v>
      </c>
      <c r="BJ2253">
        <v>1</v>
      </c>
      <c r="BK2253">
        <v>0</v>
      </c>
      <c r="BL2253">
        <v>0</v>
      </c>
      <c r="BO2253">
        <v>0</v>
      </c>
      <c r="BP2253">
        <v>0</v>
      </c>
      <c r="BW2253" t="str">
        <f>"22:18:57.956"</f>
        <v>22:18:57.956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5</v>
      </c>
      <c r="CP2253" t="s">
        <v>119</v>
      </c>
      <c r="CQ2253">
        <v>364</v>
      </c>
      <c r="CR2253">
        <v>0</v>
      </c>
      <c r="CW2253">
        <v>1450730</v>
      </c>
      <c r="CY2253">
        <v>1</v>
      </c>
      <c r="CZ2253">
        <v>0</v>
      </c>
      <c r="DA2253">
        <v>0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>"03/24/2022 22:18:58.113"</f>
        <v>03/24/2022 22:18:58.113</v>
      </c>
      <c r="C2254" t="str">
        <f t="shared" si="658"/>
        <v>FFDFD3C0</v>
      </c>
      <c r="D2254" t="s">
        <v>120</v>
      </c>
      <c r="E2254">
        <v>14</v>
      </c>
      <c r="F2254">
        <v>1014</v>
      </c>
      <c r="G2254" t="s">
        <v>121</v>
      </c>
      <c r="J2254" t="s">
        <v>122</v>
      </c>
      <c r="K2254">
        <v>0</v>
      </c>
      <c r="L2254">
        <v>3</v>
      </c>
      <c r="M2254">
        <v>0</v>
      </c>
      <c r="N2254">
        <v>2</v>
      </c>
      <c r="O2254">
        <v>0</v>
      </c>
      <c r="P2254">
        <v>1</v>
      </c>
      <c r="Q2254">
        <v>0</v>
      </c>
      <c r="S2254" t="str">
        <f t="shared" si="674"/>
        <v>22:18:57.000</v>
      </c>
      <c r="T2254" t="str">
        <f t="shared" si="674"/>
        <v>22:18:57.000</v>
      </c>
      <c r="U2254" t="str">
        <f t="shared" si="671"/>
        <v>A9D71F</v>
      </c>
      <c r="V2254">
        <v>0</v>
      </c>
      <c r="W2254">
        <v>0</v>
      </c>
      <c r="X2254">
        <v>2</v>
      </c>
      <c r="Z2254">
        <v>1</v>
      </c>
      <c r="AA2254">
        <v>7</v>
      </c>
      <c r="AB2254">
        <v>3</v>
      </c>
      <c r="AC2254">
        <v>0</v>
      </c>
      <c r="AD2254">
        <v>9</v>
      </c>
      <c r="AE2254">
        <v>0</v>
      </c>
      <c r="AF2254">
        <v>3</v>
      </c>
      <c r="AG2254">
        <v>1</v>
      </c>
      <c r="AH2254">
        <v>0</v>
      </c>
      <c r="AI2254" t="s">
        <v>1176</v>
      </c>
      <c r="AJ2254">
        <v>33.009087999999998</v>
      </c>
      <c r="AK2254" t="s">
        <v>1135</v>
      </c>
      <c r="AL2254">
        <v>-97.651354999999995</v>
      </c>
      <c r="AM2254">
        <v>25</v>
      </c>
      <c r="AN2254">
        <v>3200</v>
      </c>
      <c r="AO2254" t="s">
        <v>118</v>
      </c>
      <c r="AP2254">
        <v>-35</v>
      </c>
      <c r="AQ2254">
        <v>-70</v>
      </c>
      <c r="AR2254">
        <v>-256</v>
      </c>
      <c r="AZ2254">
        <v>1200</v>
      </c>
      <c r="BA2254">
        <v>1</v>
      </c>
      <c r="BB2254" t="str">
        <f t="shared" si="659"/>
        <v xml:space="preserve">N733KP  </v>
      </c>
      <c r="BC2254">
        <v>1</v>
      </c>
      <c r="BE2254">
        <v>0</v>
      </c>
      <c r="BF2254">
        <v>0</v>
      </c>
      <c r="BG2254">
        <v>0</v>
      </c>
      <c r="BH2254">
        <v>3250</v>
      </c>
      <c r="BI2254">
        <v>1</v>
      </c>
      <c r="BJ2254">
        <v>1</v>
      </c>
      <c r="BK2254">
        <v>0</v>
      </c>
      <c r="BL2254">
        <v>0</v>
      </c>
      <c r="BO2254">
        <v>0</v>
      </c>
      <c r="BP2254">
        <v>0</v>
      </c>
      <c r="BW2254" t="str">
        <f>"22:18:57.956"</f>
        <v>22:18:57.956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5</v>
      </c>
      <c r="CP2254" t="s">
        <v>119</v>
      </c>
      <c r="CQ2254">
        <v>364</v>
      </c>
      <c r="CR2254">
        <v>0</v>
      </c>
      <c r="CW2254">
        <v>1450730</v>
      </c>
      <c r="CY2254">
        <v>1</v>
      </c>
      <c r="CZ2254">
        <v>0</v>
      </c>
      <c r="DA2254">
        <v>1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>"03/24/2022 22:18:58.113"</f>
        <v>03/24/2022 22:18:58.113</v>
      </c>
      <c r="C2255" t="str">
        <f t="shared" si="658"/>
        <v>FFDFD3C0</v>
      </c>
      <c r="D2255" t="s">
        <v>113</v>
      </c>
      <c r="E2255">
        <v>24</v>
      </c>
      <c r="F2255">
        <v>2024</v>
      </c>
      <c r="G2255" t="s">
        <v>114</v>
      </c>
      <c r="J2255" t="s">
        <v>115</v>
      </c>
      <c r="K2255">
        <v>0</v>
      </c>
      <c r="L2255">
        <v>3</v>
      </c>
      <c r="M2255">
        <v>0</v>
      </c>
      <c r="N2255">
        <v>2</v>
      </c>
      <c r="O2255">
        <v>0</v>
      </c>
      <c r="P2255">
        <v>1</v>
      </c>
      <c r="Q2255">
        <v>0</v>
      </c>
      <c r="S2255" t="str">
        <f t="shared" si="674"/>
        <v>22:18:57.000</v>
      </c>
      <c r="T2255" t="str">
        <f t="shared" si="674"/>
        <v>22:18:57.000</v>
      </c>
      <c r="U2255" t="str">
        <f t="shared" si="671"/>
        <v>A9D71F</v>
      </c>
      <c r="V2255">
        <v>0</v>
      </c>
      <c r="W2255">
        <v>0</v>
      </c>
      <c r="X2255">
        <v>2</v>
      </c>
      <c r="Z2255">
        <v>1</v>
      </c>
      <c r="AA2255">
        <v>7</v>
      </c>
      <c r="AB2255">
        <v>3</v>
      </c>
      <c r="AC2255">
        <v>0</v>
      </c>
      <c r="AD2255">
        <v>9</v>
      </c>
      <c r="AE2255">
        <v>0</v>
      </c>
      <c r="AF2255">
        <v>3</v>
      </c>
      <c r="AG2255">
        <v>1</v>
      </c>
      <c r="AH2255">
        <v>0</v>
      </c>
      <c r="AI2255" t="s">
        <v>1176</v>
      </c>
      <c r="AJ2255">
        <v>33.009087999999998</v>
      </c>
      <c r="AK2255" t="s">
        <v>1135</v>
      </c>
      <c r="AL2255">
        <v>-97.651354999999995</v>
      </c>
      <c r="AM2255">
        <v>25</v>
      </c>
      <c r="AN2255">
        <v>3200</v>
      </c>
      <c r="AO2255" t="s">
        <v>118</v>
      </c>
      <c r="AP2255">
        <v>-35</v>
      </c>
      <c r="AQ2255">
        <v>-70</v>
      </c>
      <c r="AR2255">
        <v>-256</v>
      </c>
      <c r="AZ2255">
        <v>1200</v>
      </c>
      <c r="BA2255">
        <v>1</v>
      </c>
      <c r="BB2255" t="str">
        <f t="shared" si="659"/>
        <v xml:space="preserve">N733KP  </v>
      </c>
      <c r="BC2255">
        <v>1</v>
      </c>
      <c r="BE2255">
        <v>0</v>
      </c>
      <c r="BF2255">
        <v>0</v>
      </c>
      <c r="BG2255">
        <v>0</v>
      </c>
      <c r="BH2255">
        <v>3250</v>
      </c>
      <c r="BI2255">
        <v>1</v>
      </c>
      <c r="BJ2255">
        <v>1</v>
      </c>
      <c r="BK2255">
        <v>0</v>
      </c>
      <c r="BL2255">
        <v>0</v>
      </c>
      <c r="BO2255">
        <v>0</v>
      </c>
      <c r="BP2255">
        <v>0</v>
      </c>
      <c r="BW2255" t="str">
        <f>"22:18:57.956"</f>
        <v>22:18:57.956</v>
      </c>
      <c r="CJ2255">
        <v>0</v>
      </c>
      <c r="CK2255">
        <v>2</v>
      </c>
      <c r="CL2255">
        <v>0</v>
      </c>
      <c r="CM2255">
        <v>2</v>
      </c>
      <c r="CN2255">
        <v>0</v>
      </c>
      <c r="CO2255">
        <v>5</v>
      </c>
      <c r="CP2255" t="s">
        <v>119</v>
      </c>
      <c r="CQ2255">
        <v>364</v>
      </c>
      <c r="CR2255">
        <v>0</v>
      </c>
      <c r="CW2255">
        <v>1450730</v>
      </c>
      <c r="CY2255">
        <v>1</v>
      </c>
      <c r="CZ2255">
        <v>0</v>
      </c>
      <c r="DA2255">
        <v>1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>"03/24/2022 22:18:58.144"</f>
        <v>03/24/2022 22:18:58.144</v>
      </c>
      <c r="C2256" t="str">
        <f t="shared" si="658"/>
        <v>FFDFD3C0</v>
      </c>
      <c r="D2256" t="s">
        <v>123</v>
      </c>
      <c r="E2256">
        <v>8</v>
      </c>
      <c r="H2256">
        <v>31</v>
      </c>
      <c r="I2256" t="s">
        <v>124</v>
      </c>
      <c r="J2256" t="s">
        <v>125</v>
      </c>
      <c r="K2256">
        <v>0</v>
      </c>
      <c r="L2256">
        <v>3</v>
      </c>
      <c r="M2256">
        <v>0</v>
      </c>
      <c r="N2256">
        <v>2</v>
      </c>
      <c r="O2256">
        <v>0</v>
      </c>
      <c r="P2256">
        <v>1</v>
      </c>
      <c r="Q2256">
        <v>0</v>
      </c>
      <c r="S2256" t="str">
        <f t="shared" si="674"/>
        <v>22:18:57.000</v>
      </c>
      <c r="T2256" t="str">
        <f t="shared" si="674"/>
        <v>22:18:57.000</v>
      </c>
      <c r="U2256" t="str">
        <f t="shared" si="671"/>
        <v>A9D71F</v>
      </c>
      <c r="V2256">
        <v>0</v>
      </c>
      <c r="W2256">
        <v>0</v>
      </c>
      <c r="X2256">
        <v>2</v>
      </c>
      <c r="Z2256">
        <v>1</v>
      </c>
      <c r="AA2256">
        <v>7</v>
      </c>
      <c r="AB2256">
        <v>3</v>
      </c>
      <c r="AC2256">
        <v>0</v>
      </c>
      <c r="AD2256">
        <v>9</v>
      </c>
      <c r="AE2256">
        <v>0</v>
      </c>
      <c r="AF2256">
        <v>3</v>
      </c>
      <c r="AG2256">
        <v>1</v>
      </c>
      <c r="AH2256">
        <v>0</v>
      </c>
      <c r="AI2256" t="s">
        <v>1176</v>
      </c>
      <c r="AJ2256">
        <v>33.009087999999998</v>
      </c>
      <c r="AK2256" t="s">
        <v>1135</v>
      </c>
      <c r="AL2256">
        <v>-97.651354999999995</v>
      </c>
      <c r="AM2256">
        <v>25</v>
      </c>
      <c r="AN2256">
        <v>3200</v>
      </c>
      <c r="AO2256" t="s">
        <v>118</v>
      </c>
      <c r="AP2256">
        <v>-35</v>
      </c>
      <c r="AQ2256">
        <v>-70</v>
      </c>
      <c r="AR2256">
        <v>-256</v>
      </c>
      <c r="AZ2256">
        <v>1200</v>
      </c>
      <c r="BA2256">
        <v>1</v>
      </c>
      <c r="BB2256" t="str">
        <f t="shared" si="659"/>
        <v xml:space="preserve">N733KP  </v>
      </c>
      <c r="BC2256">
        <v>1</v>
      </c>
      <c r="BE2256">
        <v>0</v>
      </c>
      <c r="BF2256">
        <v>0</v>
      </c>
      <c r="BG2256">
        <v>0</v>
      </c>
      <c r="BH2256">
        <v>3250</v>
      </c>
      <c r="BI2256">
        <v>1</v>
      </c>
      <c r="BJ2256">
        <v>1</v>
      </c>
      <c r="BK2256">
        <v>0</v>
      </c>
      <c r="BL2256">
        <v>0</v>
      </c>
      <c r="BO2256">
        <v>0</v>
      </c>
      <c r="BP2256">
        <v>0</v>
      </c>
      <c r="BW2256" t="str">
        <f>"22:18:57.956"</f>
        <v>22:18:57.956</v>
      </c>
      <c r="CJ2256">
        <v>0</v>
      </c>
      <c r="CK2256">
        <v>2</v>
      </c>
      <c r="CL2256">
        <v>0</v>
      </c>
      <c r="CM2256">
        <v>2</v>
      </c>
      <c r="CN2256">
        <v>0</v>
      </c>
      <c r="CO2256">
        <v>5</v>
      </c>
      <c r="CP2256" t="s">
        <v>119</v>
      </c>
      <c r="CQ2256">
        <v>364</v>
      </c>
      <c r="CR2256">
        <v>0</v>
      </c>
      <c r="CW2256">
        <v>1450730</v>
      </c>
      <c r="CY2256">
        <v>1</v>
      </c>
      <c r="CZ2256">
        <v>0</v>
      </c>
      <c r="DA2256">
        <v>1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>"03/24/2022 22:18:59.100"</f>
        <v>03/24/2022 22:18:59.100</v>
      </c>
      <c r="C2257" t="str">
        <f t="shared" si="658"/>
        <v>FFDFD3C0</v>
      </c>
      <c r="D2257" t="s">
        <v>123</v>
      </c>
      <c r="E2257">
        <v>8</v>
      </c>
      <c r="H2257">
        <v>31</v>
      </c>
      <c r="I2257" t="s">
        <v>124</v>
      </c>
      <c r="J2257" t="s">
        <v>125</v>
      </c>
      <c r="K2257">
        <v>0</v>
      </c>
      <c r="L2257">
        <v>3</v>
      </c>
      <c r="M2257">
        <v>0</v>
      </c>
      <c r="N2257">
        <v>2</v>
      </c>
      <c r="O2257">
        <v>0</v>
      </c>
      <c r="P2257">
        <v>1</v>
      </c>
      <c r="Q2257">
        <v>0</v>
      </c>
      <c r="S2257" t="str">
        <f t="shared" ref="S2257:T2260" si="675">"22:18:58.000"</f>
        <v>22:18:58.000</v>
      </c>
      <c r="T2257" t="str">
        <f t="shared" si="675"/>
        <v>22:18:58.000</v>
      </c>
      <c r="U2257" t="str">
        <f t="shared" si="671"/>
        <v>A9D71F</v>
      </c>
      <c r="V2257">
        <v>0</v>
      </c>
      <c r="W2257">
        <v>0</v>
      </c>
      <c r="X2257">
        <v>2</v>
      </c>
      <c r="Z2257">
        <v>1</v>
      </c>
      <c r="AA2257">
        <v>7</v>
      </c>
      <c r="AB2257">
        <v>3</v>
      </c>
      <c r="AC2257">
        <v>0</v>
      </c>
      <c r="AD2257">
        <v>9</v>
      </c>
      <c r="AE2257">
        <v>0</v>
      </c>
      <c r="AF2257">
        <v>3</v>
      </c>
      <c r="AG2257">
        <v>1</v>
      </c>
      <c r="AH2257">
        <v>0</v>
      </c>
      <c r="AI2257" t="s">
        <v>1177</v>
      </c>
      <c r="AJ2257">
        <v>33.008766000000001</v>
      </c>
      <c r="AK2257" t="s">
        <v>1178</v>
      </c>
      <c r="AL2257">
        <v>-97.651548000000005</v>
      </c>
      <c r="AM2257">
        <v>25</v>
      </c>
      <c r="AN2257">
        <v>3200</v>
      </c>
      <c r="AO2257" t="s">
        <v>118</v>
      </c>
      <c r="AP2257">
        <v>-35</v>
      </c>
      <c r="AQ2257">
        <v>-71</v>
      </c>
      <c r="AR2257">
        <v>-256</v>
      </c>
      <c r="AZ2257">
        <v>1200</v>
      </c>
      <c r="BA2257">
        <v>1</v>
      </c>
      <c r="BB2257" t="str">
        <f t="shared" si="659"/>
        <v xml:space="preserve">N733KP  </v>
      </c>
      <c r="BC2257">
        <v>1</v>
      </c>
      <c r="BE2257">
        <v>0</v>
      </c>
      <c r="BF2257">
        <v>0</v>
      </c>
      <c r="BG2257">
        <v>0</v>
      </c>
      <c r="BH2257">
        <v>3250</v>
      </c>
      <c r="BI2257">
        <v>1</v>
      </c>
      <c r="BJ2257">
        <v>1</v>
      </c>
      <c r="BK2257">
        <v>0</v>
      </c>
      <c r="BL2257">
        <v>0</v>
      </c>
      <c r="BO2257">
        <v>0</v>
      </c>
      <c r="BP2257">
        <v>0</v>
      </c>
      <c r="BW2257" t="str">
        <f>"22:18:58.936"</f>
        <v>22:18:58.936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5</v>
      </c>
      <c r="CP2257" t="s">
        <v>119</v>
      </c>
      <c r="CQ2257">
        <v>364</v>
      </c>
      <c r="CR2257">
        <v>0</v>
      </c>
      <c r="CW2257">
        <v>1450825</v>
      </c>
      <c r="CY2257">
        <v>1</v>
      </c>
      <c r="CZ2257">
        <v>0</v>
      </c>
      <c r="DA2257">
        <v>0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>"03/24/2022 22:18:59.131"</f>
        <v>03/24/2022 22:18:59.131</v>
      </c>
      <c r="C2258" t="str">
        <f t="shared" si="658"/>
        <v>FFDFD3C0</v>
      </c>
      <c r="D2258" t="s">
        <v>126</v>
      </c>
      <c r="E2258">
        <v>3</v>
      </c>
      <c r="H2258">
        <v>160</v>
      </c>
      <c r="I2258" t="s">
        <v>121</v>
      </c>
      <c r="J2258" t="s">
        <v>127</v>
      </c>
      <c r="K2258">
        <v>0</v>
      </c>
      <c r="L2258">
        <v>3</v>
      </c>
      <c r="M2258">
        <v>0</v>
      </c>
      <c r="N2258">
        <v>2</v>
      </c>
      <c r="O2258">
        <v>0</v>
      </c>
      <c r="P2258">
        <v>1</v>
      </c>
      <c r="Q2258">
        <v>0</v>
      </c>
      <c r="S2258" t="str">
        <f t="shared" si="675"/>
        <v>22:18:58.000</v>
      </c>
      <c r="T2258" t="str">
        <f t="shared" si="675"/>
        <v>22:18:58.000</v>
      </c>
      <c r="U2258" t="str">
        <f t="shared" si="671"/>
        <v>A9D71F</v>
      </c>
      <c r="V2258">
        <v>0</v>
      </c>
      <c r="W2258">
        <v>0</v>
      </c>
      <c r="X2258">
        <v>2</v>
      </c>
      <c r="Z2258">
        <v>1</v>
      </c>
      <c r="AA2258">
        <v>7</v>
      </c>
      <c r="AB2258">
        <v>3</v>
      </c>
      <c r="AC2258">
        <v>0</v>
      </c>
      <c r="AD2258">
        <v>9</v>
      </c>
      <c r="AE2258">
        <v>0</v>
      </c>
      <c r="AF2258">
        <v>3</v>
      </c>
      <c r="AG2258">
        <v>1</v>
      </c>
      <c r="AH2258">
        <v>0</v>
      </c>
      <c r="AI2258" t="s">
        <v>1177</v>
      </c>
      <c r="AJ2258">
        <v>33.008766000000001</v>
      </c>
      <c r="AK2258" t="s">
        <v>1178</v>
      </c>
      <c r="AL2258">
        <v>-97.651548000000005</v>
      </c>
      <c r="AM2258">
        <v>25</v>
      </c>
      <c r="AN2258">
        <v>3200</v>
      </c>
      <c r="AO2258" t="s">
        <v>118</v>
      </c>
      <c r="AP2258">
        <v>-35</v>
      </c>
      <c r="AQ2258">
        <v>-71</v>
      </c>
      <c r="AR2258">
        <v>-256</v>
      </c>
      <c r="AZ2258">
        <v>1200</v>
      </c>
      <c r="BA2258">
        <v>1</v>
      </c>
      <c r="BB2258" t="str">
        <f t="shared" si="659"/>
        <v xml:space="preserve">N733KP  </v>
      </c>
      <c r="BC2258">
        <v>1</v>
      </c>
      <c r="BE2258">
        <v>0</v>
      </c>
      <c r="BF2258">
        <v>0</v>
      </c>
      <c r="BG2258">
        <v>0</v>
      </c>
      <c r="BH2258">
        <v>3250</v>
      </c>
      <c r="BI2258">
        <v>1</v>
      </c>
      <c r="BJ2258">
        <v>1</v>
      </c>
      <c r="BK2258">
        <v>0</v>
      </c>
      <c r="BL2258">
        <v>0</v>
      </c>
      <c r="BO2258">
        <v>0</v>
      </c>
      <c r="BP2258">
        <v>0</v>
      </c>
      <c r="BW2258" t="str">
        <f>"22:18:58.936"</f>
        <v>22:18:58.936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5</v>
      </c>
      <c r="CP2258" t="s">
        <v>119</v>
      </c>
      <c r="CQ2258">
        <v>364</v>
      </c>
      <c r="CR2258">
        <v>0</v>
      </c>
      <c r="CW2258">
        <v>1450825</v>
      </c>
      <c r="CY2258">
        <v>1</v>
      </c>
      <c r="CZ2258">
        <v>0</v>
      </c>
      <c r="DA2258">
        <v>1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>"03/24/2022 22:18:59.131"</f>
        <v>03/24/2022 22:18:59.131</v>
      </c>
      <c r="C2259" t="str">
        <f t="shared" si="658"/>
        <v>FFDFD3C0</v>
      </c>
      <c r="D2259" t="s">
        <v>120</v>
      </c>
      <c r="E2259">
        <v>14</v>
      </c>
      <c r="F2259">
        <v>1014</v>
      </c>
      <c r="G2259" t="s">
        <v>121</v>
      </c>
      <c r="J2259" t="s">
        <v>122</v>
      </c>
      <c r="K2259">
        <v>0</v>
      </c>
      <c r="L2259">
        <v>3</v>
      </c>
      <c r="M2259">
        <v>0</v>
      </c>
      <c r="N2259">
        <v>2</v>
      </c>
      <c r="O2259">
        <v>0</v>
      </c>
      <c r="P2259">
        <v>1</v>
      </c>
      <c r="Q2259">
        <v>0</v>
      </c>
      <c r="S2259" t="str">
        <f t="shared" si="675"/>
        <v>22:18:58.000</v>
      </c>
      <c r="T2259" t="str">
        <f t="shared" si="675"/>
        <v>22:18:58.000</v>
      </c>
      <c r="U2259" t="str">
        <f t="shared" si="671"/>
        <v>A9D71F</v>
      </c>
      <c r="V2259">
        <v>0</v>
      </c>
      <c r="W2259">
        <v>0</v>
      </c>
      <c r="X2259">
        <v>2</v>
      </c>
      <c r="Z2259">
        <v>1</v>
      </c>
      <c r="AA2259">
        <v>7</v>
      </c>
      <c r="AB2259">
        <v>3</v>
      </c>
      <c r="AC2259">
        <v>0</v>
      </c>
      <c r="AD2259">
        <v>9</v>
      </c>
      <c r="AE2259">
        <v>0</v>
      </c>
      <c r="AF2259">
        <v>3</v>
      </c>
      <c r="AG2259">
        <v>1</v>
      </c>
      <c r="AH2259">
        <v>0</v>
      </c>
      <c r="AI2259" t="s">
        <v>1177</v>
      </c>
      <c r="AJ2259">
        <v>33.008766000000001</v>
      </c>
      <c r="AK2259" t="s">
        <v>1178</v>
      </c>
      <c r="AL2259">
        <v>-97.651548000000005</v>
      </c>
      <c r="AM2259">
        <v>25</v>
      </c>
      <c r="AN2259">
        <v>3200</v>
      </c>
      <c r="AO2259" t="s">
        <v>118</v>
      </c>
      <c r="AP2259">
        <v>-35</v>
      </c>
      <c r="AQ2259">
        <v>-71</v>
      </c>
      <c r="AR2259">
        <v>-256</v>
      </c>
      <c r="AZ2259">
        <v>1200</v>
      </c>
      <c r="BA2259">
        <v>1</v>
      </c>
      <c r="BB2259" t="str">
        <f t="shared" si="659"/>
        <v xml:space="preserve">N733KP  </v>
      </c>
      <c r="BC2259">
        <v>1</v>
      </c>
      <c r="BE2259">
        <v>0</v>
      </c>
      <c r="BF2259">
        <v>0</v>
      </c>
      <c r="BG2259">
        <v>0</v>
      </c>
      <c r="BH2259">
        <v>3250</v>
      </c>
      <c r="BI2259">
        <v>1</v>
      </c>
      <c r="BJ2259">
        <v>1</v>
      </c>
      <c r="BK2259">
        <v>0</v>
      </c>
      <c r="BL2259">
        <v>0</v>
      </c>
      <c r="BO2259">
        <v>0</v>
      </c>
      <c r="BP2259">
        <v>0</v>
      </c>
      <c r="BW2259" t="str">
        <f>"22:18:58.936"</f>
        <v>22:18:58.936</v>
      </c>
      <c r="CJ2259">
        <v>0</v>
      </c>
      <c r="CK2259">
        <v>2</v>
      </c>
      <c r="CL2259">
        <v>0</v>
      </c>
      <c r="CM2259">
        <v>2</v>
      </c>
      <c r="CN2259">
        <v>0</v>
      </c>
      <c r="CO2259">
        <v>5</v>
      </c>
      <c r="CP2259" t="s">
        <v>119</v>
      </c>
      <c r="CQ2259">
        <v>364</v>
      </c>
      <c r="CR2259">
        <v>0</v>
      </c>
      <c r="CW2259">
        <v>1450825</v>
      </c>
      <c r="CY2259">
        <v>1</v>
      </c>
      <c r="CZ2259">
        <v>0</v>
      </c>
      <c r="DA2259">
        <v>1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>"03/24/2022 22:18:59.162"</f>
        <v>03/24/2022 22:18:59.162</v>
      </c>
      <c r="C2260" t="str">
        <f t="shared" si="658"/>
        <v>FFDFD3C0</v>
      </c>
      <c r="D2260" t="s">
        <v>113</v>
      </c>
      <c r="E2260">
        <v>24</v>
      </c>
      <c r="F2260">
        <v>2024</v>
      </c>
      <c r="G2260" t="s">
        <v>114</v>
      </c>
      <c r="J2260" t="s">
        <v>115</v>
      </c>
      <c r="K2260">
        <v>0</v>
      </c>
      <c r="L2260">
        <v>3</v>
      </c>
      <c r="M2260">
        <v>0</v>
      </c>
      <c r="N2260">
        <v>2</v>
      </c>
      <c r="O2260">
        <v>0</v>
      </c>
      <c r="P2260">
        <v>1</v>
      </c>
      <c r="Q2260">
        <v>0</v>
      </c>
      <c r="S2260" t="str">
        <f t="shared" si="675"/>
        <v>22:18:58.000</v>
      </c>
      <c r="T2260" t="str">
        <f t="shared" si="675"/>
        <v>22:18:58.000</v>
      </c>
      <c r="U2260" t="str">
        <f t="shared" si="671"/>
        <v>A9D71F</v>
      </c>
      <c r="V2260">
        <v>0</v>
      </c>
      <c r="W2260">
        <v>0</v>
      </c>
      <c r="X2260">
        <v>2</v>
      </c>
      <c r="Z2260">
        <v>1</v>
      </c>
      <c r="AA2260">
        <v>7</v>
      </c>
      <c r="AB2260">
        <v>3</v>
      </c>
      <c r="AC2260">
        <v>0</v>
      </c>
      <c r="AD2260">
        <v>9</v>
      </c>
      <c r="AE2260">
        <v>0</v>
      </c>
      <c r="AF2260">
        <v>3</v>
      </c>
      <c r="AG2260">
        <v>1</v>
      </c>
      <c r="AH2260">
        <v>0</v>
      </c>
      <c r="AI2260" t="s">
        <v>1177</v>
      </c>
      <c r="AJ2260">
        <v>33.008766000000001</v>
      </c>
      <c r="AK2260" t="s">
        <v>1178</v>
      </c>
      <c r="AL2260">
        <v>-97.651548000000005</v>
      </c>
      <c r="AM2260">
        <v>25</v>
      </c>
      <c r="AN2260">
        <v>3200</v>
      </c>
      <c r="AO2260" t="s">
        <v>118</v>
      </c>
      <c r="AP2260">
        <v>-35</v>
      </c>
      <c r="AQ2260">
        <v>-71</v>
      </c>
      <c r="AR2260">
        <v>-256</v>
      </c>
      <c r="AZ2260">
        <v>1200</v>
      </c>
      <c r="BA2260">
        <v>1</v>
      </c>
      <c r="BB2260" t="str">
        <f t="shared" si="659"/>
        <v xml:space="preserve">N733KP  </v>
      </c>
      <c r="BC2260">
        <v>1</v>
      </c>
      <c r="BE2260">
        <v>0</v>
      </c>
      <c r="BF2260">
        <v>0</v>
      </c>
      <c r="BG2260">
        <v>0</v>
      </c>
      <c r="BH2260">
        <v>3250</v>
      </c>
      <c r="BI2260">
        <v>1</v>
      </c>
      <c r="BJ2260">
        <v>1</v>
      </c>
      <c r="BK2260">
        <v>0</v>
      </c>
      <c r="BL2260">
        <v>0</v>
      </c>
      <c r="BO2260">
        <v>0</v>
      </c>
      <c r="BP2260">
        <v>0</v>
      </c>
      <c r="BW2260" t="str">
        <f>"22:18:58.936"</f>
        <v>22:18:58.936</v>
      </c>
      <c r="CJ2260">
        <v>0</v>
      </c>
      <c r="CK2260">
        <v>2</v>
      </c>
      <c r="CL2260">
        <v>0</v>
      </c>
      <c r="CM2260">
        <v>2</v>
      </c>
      <c r="CN2260">
        <v>0</v>
      </c>
      <c r="CO2260">
        <v>5</v>
      </c>
      <c r="CP2260" t="s">
        <v>119</v>
      </c>
      <c r="CQ2260">
        <v>364</v>
      </c>
      <c r="CR2260">
        <v>0</v>
      </c>
      <c r="CW2260">
        <v>1450825</v>
      </c>
      <c r="CY2260">
        <v>1</v>
      </c>
      <c r="CZ2260">
        <v>0</v>
      </c>
      <c r="DA2260">
        <v>1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>"03/24/2022 22:18:59.663"</f>
        <v>03/24/2022 22:18:59.663</v>
      </c>
      <c r="C2261" t="str">
        <f t="shared" si="658"/>
        <v>FFDFD3C0</v>
      </c>
      <c r="D2261" t="s">
        <v>113</v>
      </c>
      <c r="E2261">
        <v>24</v>
      </c>
      <c r="F2261">
        <v>2024</v>
      </c>
      <c r="G2261" t="s">
        <v>114</v>
      </c>
      <c r="J2261" t="s">
        <v>115</v>
      </c>
      <c r="K2261">
        <v>0</v>
      </c>
      <c r="L2261">
        <v>3</v>
      </c>
      <c r="M2261">
        <v>0</v>
      </c>
      <c r="N2261">
        <v>2</v>
      </c>
      <c r="O2261">
        <v>0</v>
      </c>
      <c r="P2261">
        <v>1</v>
      </c>
      <c r="Q2261">
        <v>0</v>
      </c>
      <c r="S2261" t="str">
        <f t="shared" ref="S2261:T2264" si="676">"22:18:59.000"</f>
        <v>22:18:59.000</v>
      </c>
      <c r="T2261" t="str">
        <f t="shared" si="676"/>
        <v>22:18:59.000</v>
      </c>
      <c r="U2261" t="str">
        <f t="shared" si="671"/>
        <v>A9D71F</v>
      </c>
      <c r="V2261">
        <v>0</v>
      </c>
      <c r="W2261">
        <v>0</v>
      </c>
      <c r="X2261">
        <v>2</v>
      </c>
      <c r="Z2261">
        <v>1</v>
      </c>
      <c r="AA2261">
        <v>7</v>
      </c>
      <c r="AB2261">
        <v>3</v>
      </c>
      <c r="AC2261">
        <v>0</v>
      </c>
      <c r="AD2261">
        <v>9</v>
      </c>
      <c r="AE2261">
        <v>0</v>
      </c>
      <c r="AF2261">
        <v>3</v>
      </c>
      <c r="AG2261">
        <v>1</v>
      </c>
      <c r="AH2261">
        <v>0</v>
      </c>
      <c r="AI2261" t="s">
        <v>1179</v>
      </c>
      <c r="AJ2261">
        <v>33.008400999999999</v>
      </c>
      <c r="AK2261" t="s">
        <v>1180</v>
      </c>
      <c r="AL2261">
        <v>-97.651741999999999</v>
      </c>
      <c r="AM2261">
        <v>25</v>
      </c>
      <c r="AN2261">
        <v>3200</v>
      </c>
      <c r="AO2261" t="s">
        <v>118</v>
      </c>
      <c r="AP2261">
        <v>-34</v>
      </c>
      <c r="AQ2261">
        <v>-70</v>
      </c>
      <c r="AR2261">
        <v>-256</v>
      </c>
      <c r="AZ2261">
        <v>1200</v>
      </c>
      <c r="BA2261">
        <v>1</v>
      </c>
      <c r="BB2261" t="str">
        <f t="shared" si="659"/>
        <v xml:space="preserve">N733KP  </v>
      </c>
      <c r="BC2261">
        <v>1</v>
      </c>
      <c r="BE2261">
        <v>0</v>
      </c>
      <c r="BF2261">
        <v>0</v>
      </c>
      <c r="BG2261">
        <v>0</v>
      </c>
      <c r="BH2261">
        <v>3250</v>
      </c>
      <c r="BI2261">
        <v>1</v>
      </c>
      <c r="BJ2261">
        <v>1</v>
      </c>
      <c r="BK2261">
        <v>0</v>
      </c>
      <c r="BL2261">
        <v>0</v>
      </c>
      <c r="BO2261">
        <v>0</v>
      </c>
      <c r="BP2261">
        <v>0</v>
      </c>
      <c r="BW2261" t="str">
        <f>"22:18:59.499"</f>
        <v>22:18:59.499</v>
      </c>
      <c r="CJ2261">
        <v>0</v>
      </c>
      <c r="CK2261">
        <v>2</v>
      </c>
      <c r="CL2261">
        <v>0</v>
      </c>
      <c r="CM2261">
        <v>2</v>
      </c>
      <c r="CN2261">
        <v>0</v>
      </c>
      <c r="CO2261">
        <v>5</v>
      </c>
      <c r="CP2261" t="s">
        <v>119</v>
      </c>
      <c r="CQ2261">
        <v>364</v>
      </c>
      <c r="CR2261">
        <v>0</v>
      </c>
      <c r="CW2261">
        <v>1450879</v>
      </c>
      <c r="CY2261">
        <v>1</v>
      </c>
      <c r="CZ2261">
        <v>0</v>
      </c>
      <c r="DA2261">
        <v>0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>"03/24/2022 22:18:59.663"</f>
        <v>03/24/2022 22:18:59.663</v>
      </c>
      <c r="C2262" t="str">
        <f t="shared" ref="C2262:C2325" si="677">"FFDFD3C0"</f>
        <v>FFDFD3C0</v>
      </c>
      <c r="D2262" t="s">
        <v>123</v>
      </c>
      <c r="E2262">
        <v>8</v>
      </c>
      <c r="H2262">
        <v>31</v>
      </c>
      <c r="I2262" t="s">
        <v>124</v>
      </c>
      <c r="J2262" t="s">
        <v>125</v>
      </c>
      <c r="K2262">
        <v>0</v>
      </c>
      <c r="L2262">
        <v>3</v>
      </c>
      <c r="M2262">
        <v>0</v>
      </c>
      <c r="N2262">
        <v>2</v>
      </c>
      <c r="O2262">
        <v>0</v>
      </c>
      <c r="P2262">
        <v>1</v>
      </c>
      <c r="Q2262">
        <v>0</v>
      </c>
      <c r="S2262" t="str">
        <f t="shared" si="676"/>
        <v>22:18:59.000</v>
      </c>
      <c r="T2262" t="str">
        <f t="shared" si="676"/>
        <v>22:18:59.000</v>
      </c>
      <c r="U2262" t="str">
        <f t="shared" si="671"/>
        <v>A9D71F</v>
      </c>
      <c r="V2262">
        <v>0</v>
      </c>
      <c r="W2262">
        <v>0</v>
      </c>
      <c r="X2262">
        <v>2</v>
      </c>
      <c r="Z2262">
        <v>1</v>
      </c>
      <c r="AA2262">
        <v>7</v>
      </c>
      <c r="AB2262">
        <v>3</v>
      </c>
      <c r="AC2262">
        <v>0</v>
      </c>
      <c r="AD2262">
        <v>9</v>
      </c>
      <c r="AE2262">
        <v>0</v>
      </c>
      <c r="AF2262">
        <v>3</v>
      </c>
      <c r="AG2262">
        <v>1</v>
      </c>
      <c r="AH2262">
        <v>0</v>
      </c>
      <c r="AI2262" t="s">
        <v>1179</v>
      </c>
      <c r="AJ2262">
        <v>33.008400999999999</v>
      </c>
      <c r="AK2262" t="s">
        <v>1180</v>
      </c>
      <c r="AL2262">
        <v>-97.651741999999999</v>
      </c>
      <c r="AM2262">
        <v>25</v>
      </c>
      <c r="AN2262">
        <v>3200</v>
      </c>
      <c r="AO2262" t="s">
        <v>118</v>
      </c>
      <c r="AP2262">
        <v>-34</v>
      </c>
      <c r="AQ2262">
        <v>-70</v>
      </c>
      <c r="AR2262">
        <v>-256</v>
      </c>
      <c r="AZ2262">
        <v>1200</v>
      </c>
      <c r="BA2262">
        <v>1</v>
      </c>
      <c r="BB2262" t="str">
        <f t="shared" ref="BB2262:BB2325" si="678">"N733KP  "</f>
        <v xml:space="preserve">N733KP  </v>
      </c>
      <c r="BC2262">
        <v>1</v>
      </c>
      <c r="BE2262">
        <v>0</v>
      </c>
      <c r="BF2262">
        <v>0</v>
      </c>
      <c r="BG2262">
        <v>0</v>
      </c>
      <c r="BH2262">
        <v>3250</v>
      </c>
      <c r="BI2262">
        <v>1</v>
      </c>
      <c r="BJ2262">
        <v>1</v>
      </c>
      <c r="BK2262">
        <v>0</v>
      </c>
      <c r="BL2262">
        <v>0</v>
      </c>
      <c r="BO2262">
        <v>0</v>
      </c>
      <c r="BP2262">
        <v>0</v>
      </c>
      <c r="BW2262" t="str">
        <f>"22:18:59.499"</f>
        <v>22:18:59.499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5</v>
      </c>
      <c r="CP2262" t="s">
        <v>119</v>
      </c>
      <c r="CQ2262">
        <v>364</v>
      </c>
      <c r="CR2262">
        <v>0</v>
      </c>
      <c r="CW2262">
        <v>1450879</v>
      </c>
      <c r="CY2262">
        <v>1</v>
      </c>
      <c r="CZ2262">
        <v>0</v>
      </c>
      <c r="DA2262">
        <v>1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>"03/24/2022 22:18:59.726"</f>
        <v>03/24/2022 22:18:59.726</v>
      </c>
      <c r="C2263" t="str">
        <f t="shared" si="677"/>
        <v>FFDFD3C0</v>
      </c>
      <c r="D2263" t="s">
        <v>126</v>
      </c>
      <c r="E2263">
        <v>3</v>
      </c>
      <c r="H2263">
        <v>160</v>
      </c>
      <c r="I2263" t="s">
        <v>121</v>
      </c>
      <c r="J2263" t="s">
        <v>127</v>
      </c>
      <c r="K2263">
        <v>0</v>
      </c>
      <c r="L2263">
        <v>3</v>
      </c>
      <c r="M2263">
        <v>0</v>
      </c>
      <c r="N2263">
        <v>2</v>
      </c>
      <c r="O2263">
        <v>0</v>
      </c>
      <c r="P2263">
        <v>1</v>
      </c>
      <c r="Q2263">
        <v>0</v>
      </c>
      <c r="S2263" t="str">
        <f t="shared" si="676"/>
        <v>22:18:59.000</v>
      </c>
      <c r="T2263" t="str">
        <f t="shared" si="676"/>
        <v>22:18:59.000</v>
      </c>
      <c r="U2263" t="str">
        <f t="shared" si="671"/>
        <v>A9D71F</v>
      </c>
      <c r="V2263">
        <v>0</v>
      </c>
      <c r="W2263">
        <v>0</v>
      </c>
      <c r="X2263">
        <v>2</v>
      </c>
      <c r="Z2263">
        <v>1</v>
      </c>
      <c r="AA2263">
        <v>7</v>
      </c>
      <c r="AB2263">
        <v>3</v>
      </c>
      <c r="AC2263">
        <v>0</v>
      </c>
      <c r="AD2263">
        <v>9</v>
      </c>
      <c r="AE2263">
        <v>0</v>
      </c>
      <c r="AF2263">
        <v>3</v>
      </c>
      <c r="AG2263">
        <v>1</v>
      </c>
      <c r="AH2263">
        <v>0</v>
      </c>
      <c r="AI2263" t="s">
        <v>1179</v>
      </c>
      <c r="AJ2263">
        <v>33.008400999999999</v>
      </c>
      <c r="AK2263" t="s">
        <v>1180</v>
      </c>
      <c r="AL2263">
        <v>-97.651741999999999</v>
      </c>
      <c r="AM2263">
        <v>25</v>
      </c>
      <c r="AN2263">
        <v>3200</v>
      </c>
      <c r="AO2263" t="s">
        <v>118</v>
      </c>
      <c r="AP2263">
        <v>-34</v>
      </c>
      <c r="AQ2263">
        <v>-70</v>
      </c>
      <c r="AR2263">
        <v>-256</v>
      </c>
      <c r="AZ2263">
        <v>1200</v>
      </c>
      <c r="BA2263">
        <v>1</v>
      </c>
      <c r="BB2263" t="str">
        <f t="shared" si="678"/>
        <v xml:space="preserve">N733KP  </v>
      </c>
      <c r="BC2263">
        <v>1</v>
      </c>
      <c r="BE2263">
        <v>0</v>
      </c>
      <c r="BF2263">
        <v>0</v>
      </c>
      <c r="BG2263">
        <v>0</v>
      </c>
      <c r="BH2263">
        <v>3250</v>
      </c>
      <c r="BI2263">
        <v>1</v>
      </c>
      <c r="BJ2263">
        <v>1</v>
      </c>
      <c r="BK2263">
        <v>0</v>
      </c>
      <c r="BL2263">
        <v>0</v>
      </c>
      <c r="BO2263">
        <v>0</v>
      </c>
      <c r="BP2263">
        <v>0</v>
      </c>
      <c r="BW2263" t="str">
        <f>"22:18:59.499"</f>
        <v>22:18:59.499</v>
      </c>
      <c r="CJ2263">
        <v>0</v>
      </c>
      <c r="CK2263">
        <v>2</v>
      </c>
      <c r="CL2263">
        <v>0</v>
      </c>
      <c r="CM2263">
        <v>2</v>
      </c>
      <c r="CN2263">
        <v>0</v>
      </c>
      <c r="CO2263">
        <v>5</v>
      </c>
      <c r="CP2263" t="s">
        <v>119</v>
      </c>
      <c r="CQ2263">
        <v>364</v>
      </c>
      <c r="CR2263">
        <v>0</v>
      </c>
      <c r="CW2263">
        <v>1450879</v>
      </c>
      <c r="CY2263">
        <v>1</v>
      </c>
      <c r="CZ2263">
        <v>0</v>
      </c>
      <c r="DA2263">
        <v>1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>"03/24/2022 22:18:59.726"</f>
        <v>03/24/2022 22:18:59.726</v>
      </c>
      <c r="C2264" t="str">
        <f t="shared" si="677"/>
        <v>FFDFD3C0</v>
      </c>
      <c r="D2264" t="s">
        <v>120</v>
      </c>
      <c r="E2264">
        <v>14</v>
      </c>
      <c r="F2264">
        <v>1014</v>
      </c>
      <c r="G2264" t="s">
        <v>121</v>
      </c>
      <c r="J2264" t="s">
        <v>122</v>
      </c>
      <c r="K2264">
        <v>0</v>
      </c>
      <c r="L2264">
        <v>3</v>
      </c>
      <c r="M2264">
        <v>0</v>
      </c>
      <c r="N2264">
        <v>2</v>
      </c>
      <c r="O2264">
        <v>0</v>
      </c>
      <c r="P2264">
        <v>1</v>
      </c>
      <c r="Q2264">
        <v>0</v>
      </c>
      <c r="S2264" t="str">
        <f t="shared" si="676"/>
        <v>22:18:59.000</v>
      </c>
      <c r="T2264" t="str">
        <f t="shared" si="676"/>
        <v>22:18:59.000</v>
      </c>
      <c r="U2264" t="str">
        <f t="shared" si="671"/>
        <v>A9D71F</v>
      </c>
      <c r="V2264">
        <v>0</v>
      </c>
      <c r="W2264">
        <v>0</v>
      </c>
      <c r="X2264">
        <v>2</v>
      </c>
      <c r="Z2264">
        <v>1</v>
      </c>
      <c r="AA2264">
        <v>7</v>
      </c>
      <c r="AB2264">
        <v>3</v>
      </c>
      <c r="AC2264">
        <v>0</v>
      </c>
      <c r="AD2264">
        <v>9</v>
      </c>
      <c r="AE2264">
        <v>0</v>
      </c>
      <c r="AF2264">
        <v>3</v>
      </c>
      <c r="AG2264">
        <v>1</v>
      </c>
      <c r="AH2264">
        <v>0</v>
      </c>
      <c r="AI2264" t="s">
        <v>1179</v>
      </c>
      <c r="AJ2264">
        <v>33.008400999999999</v>
      </c>
      <c r="AK2264" t="s">
        <v>1180</v>
      </c>
      <c r="AL2264">
        <v>-97.651741999999999</v>
      </c>
      <c r="AM2264">
        <v>25</v>
      </c>
      <c r="AN2264">
        <v>3200</v>
      </c>
      <c r="AO2264" t="s">
        <v>118</v>
      </c>
      <c r="AP2264">
        <v>-34</v>
      </c>
      <c r="AQ2264">
        <v>-70</v>
      </c>
      <c r="AR2264">
        <v>-256</v>
      </c>
      <c r="AZ2264">
        <v>1200</v>
      </c>
      <c r="BA2264">
        <v>1</v>
      </c>
      <c r="BB2264" t="str">
        <f t="shared" si="678"/>
        <v xml:space="preserve">N733KP  </v>
      </c>
      <c r="BC2264">
        <v>1</v>
      </c>
      <c r="BE2264">
        <v>0</v>
      </c>
      <c r="BF2264">
        <v>0</v>
      </c>
      <c r="BG2264">
        <v>0</v>
      </c>
      <c r="BH2264">
        <v>3250</v>
      </c>
      <c r="BI2264">
        <v>1</v>
      </c>
      <c r="BJ2264">
        <v>1</v>
      </c>
      <c r="BK2264">
        <v>0</v>
      </c>
      <c r="BL2264">
        <v>0</v>
      </c>
      <c r="BO2264">
        <v>0</v>
      </c>
      <c r="BP2264">
        <v>0</v>
      </c>
      <c r="BW2264" t="str">
        <f>"22:18:59.499"</f>
        <v>22:18:59.499</v>
      </c>
      <c r="CJ2264">
        <v>0</v>
      </c>
      <c r="CK2264">
        <v>2</v>
      </c>
      <c r="CL2264">
        <v>0</v>
      </c>
      <c r="CM2264">
        <v>2</v>
      </c>
      <c r="CN2264">
        <v>0</v>
      </c>
      <c r="CO2264">
        <v>5</v>
      </c>
      <c r="CP2264" t="s">
        <v>119</v>
      </c>
      <c r="CQ2264">
        <v>364</v>
      </c>
      <c r="CR2264">
        <v>0</v>
      </c>
      <c r="CW2264">
        <v>1450879</v>
      </c>
      <c r="CY2264">
        <v>1</v>
      </c>
      <c r="CZ2264">
        <v>0</v>
      </c>
      <c r="DA2264">
        <v>1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>"03/24/2022 22:19:00.476"</f>
        <v>03/24/2022 22:19:00.476</v>
      </c>
      <c r="C2265" t="str">
        <f t="shared" si="677"/>
        <v>FFDFD3C0</v>
      </c>
      <c r="D2265" t="s">
        <v>123</v>
      </c>
      <c r="E2265">
        <v>8</v>
      </c>
      <c r="H2265">
        <v>31</v>
      </c>
      <c r="I2265" t="s">
        <v>124</v>
      </c>
      <c r="J2265" t="s">
        <v>125</v>
      </c>
      <c r="K2265">
        <v>0</v>
      </c>
      <c r="L2265">
        <v>3</v>
      </c>
      <c r="M2265">
        <v>0</v>
      </c>
      <c r="N2265">
        <v>2</v>
      </c>
      <c r="O2265">
        <v>0</v>
      </c>
      <c r="P2265">
        <v>1</v>
      </c>
      <c r="Q2265">
        <v>0</v>
      </c>
      <c r="S2265" t="str">
        <f t="shared" ref="S2265:T2268" si="679">"22:19:00.000"</f>
        <v>22:19:00.000</v>
      </c>
      <c r="T2265" t="str">
        <f t="shared" si="679"/>
        <v>22:19:00.000</v>
      </c>
      <c r="U2265" t="str">
        <f t="shared" si="671"/>
        <v>A9D71F</v>
      </c>
      <c r="V2265">
        <v>0</v>
      </c>
      <c r="W2265">
        <v>0</v>
      </c>
      <c r="X2265">
        <v>2</v>
      </c>
      <c r="Z2265">
        <v>1</v>
      </c>
      <c r="AA2265">
        <v>7</v>
      </c>
      <c r="AB2265">
        <v>3</v>
      </c>
      <c r="AC2265">
        <v>0</v>
      </c>
      <c r="AD2265">
        <v>9</v>
      </c>
      <c r="AE2265">
        <v>0</v>
      </c>
      <c r="AF2265">
        <v>3</v>
      </c>
      <c r="AG2265">
        <v>1</v>
      </c>
      <c r="AH2265">
        <v>0</v>
      </c>
      <c r="AI2265" t="s">
        <v>1181</v>
      </c>
      <c r="AJ2265">
        <v>33.00808</v>
      </c>
      <c r="AK2265" t="s">
        <v>1182</v>
      </c>
      <c r="AL2265">
        <v>-97.651934999999995</v>
      </c>
      <c r="AM2265">
        <v>25</v>
      </c>
      <c r="AN2265">
        <v>3200</v>
      </c>
      <c r="AO2265" t="s">
        <v>118</v>
      </c>
      <c r="AP2265">
        <v>-34</v>
      </c>
      <c r="AQ2265">
        <v>-70</v>
      </c>
      <c r="AR2265">
        <v>-192</v>
      </c>
      <c r="AZ2265">
        <v>1200</v>
      </c>
      <c r="BA2265">
        <v>1</v>
      </c>
      <c r="BB2265" t="str">
        <f t="shared" si="678"/>
        <v xml:space="preserve">N733KP  </v>
      </c>
      <c r="BC2265">
        <v>1</v>
      </c>
      <c r="BE2265">
        <v>0</v>
      </c>
      <c r="BF2265">
        <v>0</v>
      </c>
      <c r="BG2265">
        <v>0</v>
      </c>
      <c r="BH2265">
        <v>3225</v>
      </c>
      <c r="BI2265">
        <v>1</v>
      </c>
      <c r="BJ2265">
        <v>1</v>
      </c>
      <c r="BK2265">
        <v>0</v>
      </c>
      <c r="BL2265">
        <v>0</v>
      </c>
      <c r="BO2265">
        <v>0</v>
      </c>
      <c r="BP2265">
        <v>0</v>
      </c>
      <c r="BW2265" t="str">
        <f>"22:19:00.271"</f>
        <v>22:19:00.271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5</v>
      </c>
      <c r="CP2265" t="s">
        <v>119</v>
      </c>
      <c r="CQ2265">
        <v>364</v>
      </c>
      <c r="CR2265">
        <v>0</v>
      </c>
      <c r="CW2265">
        <v>1450954</v>
      </c>
      <c r="CY2265">
        <v>1</v>
      </c>
      <c r="CZ2265">
        <v>0</v>
      </c>
      <c r="DA2265">
        <v>0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>"03/24/2022 22:19:00.476"</f>
        <v>03/24/2022 22:19:00.476</v>
      </c>
      <c r="C2266" t="str">
        <f t="shared" si="677"/>
        <v>FFDFD3C0</v>
      </c>
      <c r="D2266" t="s">
        <v>126</v>
      </c>
      <c r="E2266">
        <v>3</v>
      </c>
      <c r="H2266">
        <v>160</v>
      </c>
      <c r="I2266" t="s">
        <v>121</v>
      </c>
      <c r="J2266" t="s">
        <v>127</v>
      </c>
      <c r="K2266">
        <v>0</v>
      </c>
      <c r="L2266">
        <v>3</v>
      </c>
      <c r="M2266">
        <v>0</v>
      </c>
      <c r="N2266">
        <v>2</v>
      </c>
      <c r="O2266">
        <v>0</v>
      </c>
      <c r="P2266">
        <v>1</v>
      </c>
      <c r="Q2266">
        <v>0</v>
      </c>
      <c r="S2266" t="str">
        <f t="shared" si="679"/>
        <v>22:19:00.000</v>
      </c>
      <c r="T2266" t="str">
        <f t="shared" si="679"/>
        <v>22:19:00.000</v>
      </c>
      <c r="U2266" t="str">
        <f t="shared" si="671"/>
        <v>A9D71F</v>
      </c>
      <c r="V2266">
        <v>0</v>
      </c>
      <c r="W2266">
        <v>0</v>
      </c>
      <c r="X2266">
        <v>2</v>
      </c>
      <c r="Z2266">
        <v>1</v>
      </c>
      <c r="AA2266">
        <v>7</v>
      </c>
      <c r="AB2266">
        <v>3</v>
      </c>
      <c r="AC2266">
        <v>0</v>
      </c>
      <c r="AD2266">
        <v>9</v>
      </c>
      <c r="AE2266">
        <v>0</v>
      </c>
      <c r="AF2266">
        <v>3</v>
      </c>
      <c r="AG2266">
        <v>1</v>
      </c>
      <c r="AH2266">
        <v>0</v>
      </c>
      <c r="AI2266" t="s">
        <v>1181</v>
      </c>
      <c r="AJ2266">
        <v>33.00808</v>
      </c>
      <c r="AK2266" t="s">
        <v>1182</v>
      </c>
      <c r="AL2266">
        <v>-97.651934999999995</v>
      </c>
      <c r="AM2266">
        <v>25</v>
      </c>
      <c r="AN2266">
        <v>3200</v>
      </c>
      <c r="AO2266" t="s">
        <v>118</v>
      </c>
      <c r="AP2266">
        <v>-34</v>
      </c>
      <c r="AQ2266">
        <v>-70</v>
      </c>
      <c r="AR2266">
        <v>-192</v>
      </c>
      <c r="AZ2266">
        <v>1200</v>
      </c>
      <c r="BA2266">
        <v>1</v>
      </c>
      <c r="BB2266" t="str">
        <f t="shared" si="678"/>
        <v xml:space="preserve">N733KP  </v>
      </c>
      <c r="BC2266">
        <v>1</v>
      </c>
      <c r="BE2266">
        <v>0</v>
      </c>
      <c r="BF2266">
        <v>0</v>
      </c>
      <c r="BG2266">
        <v>0</v>
      </c>
      <c r="BH2266">
        <v>3225</v>
      </c>
      <c r="BI2266">
        <v>1</v>
      </c>
      <c r="BJ2266">
        <v>1</v>
      </c>
      <c r="BK2266">
        <v>0</v>
      </c>
      <c r="BL2266">
        <v>0</v>
      </c>
      <c r="BO2266">
        <v>0</v>
      </c>
      <c r="BP2266">
        <v>0</v>
      </c>
      <c r="BW2266" t="str">
        <f>"22:19:00.271"</f>
        <v>22:19:00.271</v>
      </c>
      <c r="CJ2266">
        <v>0</v>
      </c>
      <c r="CK2266">
        <v>2</v>
      </c>
      <c r="CL2266">
        <v>0</v>
      </c>
      <c r="CM2266">
        <v>2</v>
      </c>
      <c r="CN2266">
        <v>0</v>
      </c>
      <c r="CO2266">
        <v>5</v>
      </c>
      <c r="CP2266" t="s">
        <v>119</v>
      </c>
      <c r="CQ2266">
        <v>364</v>
      </c>
      <c r="CR2266">
        <v>0</v>
      </c>
      <c r="CW2266">
        <v>1450954</v>
      </c>
      <c r="CY2266">
        <v>1</v>
      </c>
      <c r="CZ2266">
        <v>0</v>
      </c>
      <c r="DA2266">
        <v>1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>"03/24/2022 22:19:00.476"</f>
        <v>03/24/2022 22:19:00.476</v>
      </c>
      <c r="C2267" t="str">
        <f t="shared" si="677"/>
        <v>FFDFD3C0</v>
      </c>
      <c r="D2267" t="s">
        <v>120</v>
      </c>
      <c r="E2267">
        <v>14</v>
      </c>
      <c r="F2267">
        <v>1014</v>
      </c>
      <c r="G2267" t="s">
        <v>121</v>
      </c>
      <c r="J2267" t="s">
        <v>122</v>
      </c>
      <c r="K2267">
        <v>0</v>
      </c>
      <c r="L2267">
        <v>3</v>
      </c>
      <c r="M2267">
        <v>0</v>
      </c>
      <c r="N2267">
        <v>2</v>
      </c>
      <c r="O2267">
        <v>0</v>
      </c>
      <c r="P2267">
        <v>1</v>
      </c>
      <c r="Q2267">
        <v>0</v>
      </c>
      <c r="S2267" t="str">
        <f t="shared" si="679"/>
        <v>22:19:00.000</v>
      </c>
      <c r="T2267" t="str">
        <f t="shared" si="679"/>
        <v>22:19:00.000</v>
      </c>
      <c r="U2267" t="str">
        <f t="shared" si="671"/>
        <v>A9D71F</v>
      </c>
      <c r="V2267">
        <v>0</v>
      </c>
      <c r="W2267">
        <v>0</v>
      </c>
      <c r="X2267">
        <v>2</v>
      </c>
      <c r="Z2267">
        <v>1</v>
      </c>
      <c r="AA2267">
        <v>7</v>
      </c>
      <c r="AB2267">
        <v>3</v>
      </c>
      <c r="AC2267">
        <v>0</v>
      </c>
      <c r="AD2267">
        <v>9</v>
      </c>
      <c r="AE2267">
        <v>0</v>
      </c>
      <c r="AF2267">
        <v>3</v>
      </c>
      <c r="AG2267">
        <v>1</v>
      </c>
      <c r="AH2267">
        <v>0</v>
      </c>
      <c r="AI2267" t="s">
        <v>1181</v>
      </c>
      <c r="AJ2267">
        <v>33.00808</v>
      </c>
      <c r="AK2267" t="s">
        <v>1182</v>
      </c>
      <c r="AL2267">
        <v>-97.651934999999995</v>
      </c>
      <c r="AM2267">
        <v>25</v>
      </c>
      <c r="AN2267">
        <v>3200</v>
      </c>
      <c r="AO2267" t="s">
        <v>118</v>
      </c>
      <c r="AP2267">
        <v>-34</v>
      </c>
      <c r="AQ2267">
        <v>-70</v>
      </c>
      <c r="AR2267">
        <v>-192</v>
      </c>
      <c r="AZ2267">
        <v>1200</v>
      </c>
      <c r="BA2267">
        <v>1</v>
      </c>
      <c r="BB2267" t="str">
        <f t="shared" si="678"/>
        <v xml:space="preserve">N733KP  </v>
      </c>
      <c r="BC2267">
        <v>1</v>
      </c>
      <c r="BE2267">
        <v>0</v>
      </c>
      <c r="BF2267">
        <v>0</v>
      </c>
      <c r="BG2267">
        <v>0</v>
      </c>
      <c r="BH2267">
        <v>3225</v>
      </c>
      <c r="BI2267">
        <v>1</v>
      </c>
      <c r="BJ2267">
        <v>1</v>
      </c>
      <c r="BK2267">
        <v>0</v>
      </c>
      <c r="BL2267">
        <v>0</v>
      </c>
      <c r="BO2267">
        <v>0</v>
      </c>
      <c r="BP2267">
        <v>0</v>
      </c>
      <c r="BW2267" t="str">
        <f>"22:19:00.271"</f>
        <v>22:19:00.271</v>
      </c>
      <c r="CJ2267">
        <v>0</v>
      </c>
      <c r="CK2267">
        <v>2</v>
      </c>
      <c r="CL2267">
        <v>0</v>
      </c>
      <c r="CM2267">
        <v>2</v>
      </c>
      <c r="CN2267">
        <v>0</v>
      </c>
      <c r="CO2267">
        <v>5</v>
      </c>
      <c r="CP2267" t="s">
        <v>119</v>
      </c>
      <c r="CQ2267">
        <v>364</v>
      </c>
      <c r="CR2267">
        <v>0</v>
      </c>
      <c r="CW2267">
        <v>1450954</v>
      </c>
      <c r="CY2267">
        <v>1</v>
      </c>
      <c r="CZ2267">
        <v>0</v>
      </c>
      <c r="DA2267">
        <v>1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>"03/24/2022 22:19:00.476"</f>
        <v>03/24/2022 22:19:00.476</v>
      </c>
      <c r="C2268" t="str">
        <f t="shared" si="677"/>
        <v>FFDFD3C0</v>
      </c>
      <c r="D2268" t="s">
        <v>113</v>
      </c>
      <c r="E2268">
        <v>24</v>
      </c>
      <c r="F2268">
        <v>2024</v>
      </c>
      <c r="G2268" t="s">
        <v>114</v>
      </c>
      <c r="J2268" t="s">
        <v>115</v>
      </c>
      <c r="K2268">
        <v>0</v>
      </c>
      <c r="L2268">
        <v>3</v>
      </c>
      <c r="M2268">
        <v>0</v>
      </c>
      <c r="N2268">
        <v>2</v>
      </c>
      <c r="O2268">
        <v>0</v>
      </c>
      <c r="P2268">
        <v>1</v>
      </c>
      <c r="Q2268">
        <v>0</v>
      </c>
      <c r="S2268" t="str">
        <f t="shared" si="679"/>
        <v>22:19:00.000</v>
      </c>
      <c r="T2268" t="str">
        <f t="shared" si="679"/>
        <v>22:19:00.000</v>
      </c>
      <c r="U2268" t="str">
        <f t="shared" si="671"/>
        <v>A9D71F</v>
      </c>
      <c r="V2268">
        <v>0</v>
      </c>
      <c r="W2268">
        <v>0</v>
      </c>
      <c r="X2268">
        <v>2</v>
      </c>
      <c r="Z2268">
        <v>1</v>
      </c>
      <c r="AA2268">
        <v>7</v>
      </c>
      <c r="AB2268">
        <v>3</v>
      </c>
      <c r="AC2268">
        <v>0</v>
      </c>
      <c r="AD2268">
        <v>9</v>
      </c>
      <c r="AE2268">
        <v>0</v>
      </c>
      <c r="AF2268">
        <v>3</v>
      </c>
      <c r="AG2268">
        <v>1</v>
      </c>
      <c r="AH2268">
        <v>0</v>
      </c>
      <c r="AI2268" t="s">
        <v>1181</v>
      </c>
      <c r="AJ2268">
        <v>33.00808</v>
      </c>
      <c r="AK2268" t="s">
        <v>1182</v>
      </c>
      <c r="AL2268">
        <v>-97.651934999999995</v>
      </c>
      <c r="AM2268">
        <v>25</v>
      </c>
      <c r="AN2268">
        <v>3200</v>
      </c>
      <c r="AO2268" t="s">
        <v>118</v>
      </c>
      <c r="AP2268">
        <v>-34</v>
      </c>
      <c r="AQ2268">
        <v>-70</v>
      </c>
      <c r="AR2268">
        <v>-192</v>
      </c>
      <c r="AZ2268">
        <v>1200</v>
      </c>
      <c r="BA2268">
        <v>1</v>
      </c>
      <c r="BB2268" t="str">
        <f t="shared" si="678"/>
        <v xml:space="preserve">N733KP  </v>
      </c>
      <c r="BC2268">
        <v>1</v>
      </c>
      <c r="BE2268">
        <v>0</v>
      </c>
      <c r="BF2268">
        <v>0</v>
      </c>
      <c r="BG2268">
        <v>0</v>
      </c>
      <c r="BH2268">
        <v>3225</v>
      </c>
      <c r="BI2268">
        <v>1</v>
      </c>
      <c r="BJ2268">
        <v>1</v>
      </c>
      <c r="BK2268">
        <v>0</v>
      </c>
      <c r="BL2268">
        <v>0</v>
      </c>
      <c r="BO2268">
        <v>0</v>
      </c>
      <c r="BP2268">
        <v>0</v>
      </c>
      <c r="BW2268" t="str">
        <f>"22:19:00.271"</f>
        <v>22:19:00.271</v>
      </c>
      <c r="CJ2268">
        <v>0</v>
      </c>
      <c r="CK2268">
        <v>2</v>
      </c>
      <c r="CL2268">
        <v>0</v>
      </c>
      <c r="CM2268">
        <v>2</v>
      </c>
      <c r="CN2268">
        <v>0</v>
      </c>
      <c r="CO2268">
        <v>5</v>
      </c>
      <c r="CP2268" t="s">
        <v>119</v>
      </c>
      <c r="CQ2268">
        <v>364</v>
      </c>
      <c r="CR2268">
        <v>0</v>
      </c>
      <c r="CW2268">
        <v>1450954</v>
      </c>
      <c r="CY2268">
        <v>1</v>
      </c>
      <c r="CZ2268">
        <v>0</v>
      </c>
      <c r="DA2268">
        <v>1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>"03/24/2022 22:19:01.585"</f>
        <v>03/24/2022 22:19:01.585</v>
      </c>
      <c r="C2269" t="str">
        <f t="shared" si="677"/>
        <v>FFDFD3C0</v>
      </c>
      <c r="D2269" t="s">
        <v>123</v>
      </c>
      <c r="E2269">
        <v>8</v>
      </c>
      <c r="H2269">
        <v>31</v>
      </c>
      <c r="I2269" t="s">
        <v>124</v>
      </c>
      <c r="J2269" t="s">
        <v>125</v>
      </c>
      <c r="K2269">
        <v>0</v>
      </c>
      <c r="L2269">
        <v>3</v>
      </c>
      <c r="M2269">
        <v>0</v>
      </c>
      <c r="N2269">
        <v>2</v>
      </c>
      <c r="O2269">
        <v>0</v>
      </c>
      <c r="P2269">
        <v>1</v>
      </c>
      <c r="Q2269">
        <v>0</v>
      </c>
      <c r="S2269" t="str">
        <f t="shared" ref="S2269:T2272" si="680">"22:19:01.000"</f>
        <v>22:19:01.000</v>
      </c>
      <c r="T2269" t="str">
        <f t="shared" si="680"/>
        <v>22:19:01.000</v>
      </c>
      <c r="U2269" t="str">
        <f t="shared" si="671"/>
        <v>A9D71F</v>
      </c>
      <c r="V2269">
        <v>0</v>
      </c>
      <c r="W2269">
        <v>0</v>
      </c>
      <c r="X2269">
        <v>2</v>
      </c>
      <c r="Z2269">
        <v>1</v>
      </c>
      <c r="AA2269">
        <v>7</v>
      </c>
      <c r="AB2269">
        <v>3</v>
      </c>
      <c r="AC2269">
        <v>0</v>
      </c>
      <c r="AD2269">
        <v>9</v>
      </c>
      <c r="AE2269">
        <v>0</v>
      </c>
      <c r="AF2269">
        <v>3</v>
      </c>
      <c r="AG2269">
        <v>1</v>
      </c>
      <c r="AH2269">
        <v>0</v>
      </c>
      <c r="AI2269" t="s">
        <v>1183</v>
      </c>
      <c r="AJ2269">
        <v>33.007758000000003</v>
      </c>
      <c r="AK2269" t="s">
        <v>1125</v>
      </c>
      <c r="AL2269">
        <v>-97.652128000000005</v>
      </c>
      <c r="AM2269">
        <v>25</v>
      </c>
      <c r="AN2269">
        <v>3200</v>
      </c>
      <c r="AO2269" t="s">
        <v>118</v>
      </c>
      <c r="AP2269">
        <v>-36</v>
      </c>
      <c r="AQ2269">
        <v>-68</v>
      </c>
      <c r="AR2269">
        <v>-64</v>
      </c>
      <c r="AZ2269">
        <v>1200</v>
      </c>
      <c r="BA2269">
        <v>1</v>
      </c>
      <c r="BB2269" t="str">
        <f t="shared" si="678"/>
        <v xml:space="preserve">N733KP  </v>
      </c>
      <c r="BC2269">
        <v>1</v>
      </c>
      <c r="BE2269">
        <v>0</v>
      </c>
      <c r="BF2269">
        <v>0</v>
      </c>
      <c r="BG2269">
        <v>0</v>
      </c>
      <c r="BH2269">
        <v>3225</v>
      </c>
      <c r="BI2269">
        <v>1</v>
      </c>
      <c r="BJ2269">
        <v>1</v>
      </c>
      <c r="BK2269">
        <v>0</v>
      </c>
      <c r="BL2269">
        <v>0</v>
      </c>
      <c r="BO2269">
        <v>0</v>
      </c>
      <c r="BP2269">
        <v>0</v>
      </c>
      <c r="BW2269" t="str">
        <f>"22:19:01.429"</f>
        <v>22:19:01.429</v>
      </c>
      <c r="CJ2269">
        <v>0</v>
      </c>
      <c r="CK2269">
        <v>2</v>
      </c>
      <c r="CL2269">
        <v>0</v>
      </c>
      <c r="CM2269">
        <v>2</v>
      </c>
      <c r="CN2269">
        <v>0</v>
      </c>
      <c r="CO2269">
        <v>5</v>
      </c>
      <c r="CP2269" t="s">
        <v>119</v>
      </c>
      <c r="CQ2269">
        <v>364</v>
      </c>
      <c r="CR2269">
        <v>0</v>
      </c>
      <c r="CW2269">
        <v>1451087</v>
      </c>
      <c r="CY2269">
        <v>1</v>
      </c>
      <c r="CZ2269">
        <v>0</v>
      </c>
      <c r="DA2269">
        <v>0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>"03/24/2022 22:19:01.632"</f>
        <v>03/24/2022 22:19:01.632</v>
      </c>
      <c r="C2270" t="str">
        <f t="shared" si="677"/>
        <v>FFDFD3C0</v>
      </c>
      <c r="D2270" t="s">
        <v>126</v>
      </c>
      <c r="E2270">
        <v>3</v>
      </c>
      <c r="H2270">
        <v>160</v>
      </c>
      <c r="I2270" t="s">
        <v>121</v>
      </c>
      <c r="J2270" t="s">
        <v>127</v>
      </c>
      <c r="K2270">
        <v>0</v>
      </c>
      <c r="L2270">
        <v>3</v>
      </c>
      <c r="M2270">
        <v>0</v>
      </c>
      <c r="N2270">
        <v>2</v>
      </c>
      <c r="O2270">
        <v>0</v>
      </c>
      <c r="P2270">
        <v>1</v>
      </c>
      <c r="Q2270">
        <v>0</v>
      </c>
      <c r="S2270" t="str">
        <f t="shared" si="680"/>
        <v>22:19:01.000</v>
      </c>
      <c r="T2270" t="str">
        <f t="shared" si="680"/>
        <v>22:19:01.000</v>
      </c>
      <c r="U2270" t="str">
        <f t="shared" si="671"/>
        <v>A9D71F</v>
      </c>
      <c r="V2270">
        <v>0</v>
      </c>
      <c r="W2270">
        <v>0</v>
      </c>
      <c r="X2270">
        <v>2</v>
      </c>
      <c r="Z2270">
        <v>1</v>
      </c>
      <c r="AA2270">
        <v>7</v>
      </c>
      <c r="AB2270">
        <v>3</v>
      </c>
      <c r="AC2270">
        <v>0</v>
      </c>
      <c r="AD2270">
        <v>9</v>
      </c>
      <c r="AE2270">
        <v>0</v>
      </c>
      <c r="AF2270">
        <v>3</v>
      </c>
      <c r="AG2270">
        <v>1</v>
      </c>
      <c r="AH2270">
        <v>0</v>
      </c>
      <c r="AI2270" t="s">
        <v>1183</v>
      </c>
      <c r="AJ2270">
        <v>33.007758000000003</v>
      </c>
      <c r="AK2270" t="s">
        <v>1125</v>
      </c>
      <c r="AL2270">
        <v>-97.652128000000005</v>
      </c>
      <c r="AM2270">
        <v>25</v>
      </c>
      <c r="AN2270">
        <v>3200</v>
      </c>
      <c r="AO2270" t="s">
        <v>118</v>
      </c>
      <c r="AP2270">
        <v>-36</v>
      </c>
      <c r="AQ2270">
        <v>-68</v>
      </c>
      <c r="AR2270">
        <v>-64</v>
      </c>
      <c r="AZ2270">
        <v>1200</v>
      </c>
      <c r="BA2270">
        <v>1</v>
      </c>
      <c r="BB2270" t="str">
        <f t="shared" si="678"/>
        <v xml:space="preserve">N733KP  </v>
      </c>
      <c r="BC2270">
        <v>1</v>
      </c>
      <c r="BE2270">
        <v>0</v>
      </c>
      <c r="BF2270">
        <v>0</v>
      </c>
      <c r="BG2270">
        <v>0</v>
      </c>
      <c r="BH2270">
        <v>3225</v>
      </c>
      <c r="BI2270">
        <v>1</v>
      </c>
      <c r="BJ2270">
        <v>1</v>
      </c>
      <c r="BK2270">
        <v>0</v>
      </c>
      <c r="BL2270">
        <v>0</v>
      </c>
      <c r="BO2270">
        <v>0</v>
      </c>
      <c r="BP2270">
        <v>0</v>
      </c>
      <c r="BW2270" t="str">
        <f>"22:19:01.429"</f>
        <v>22:19:01.429</v>
      </c>
      <c r="CJ2270">
        <v>0</v>
      </c>
      <c r="CK2270">
        <v>2</v>
      </c>
      <c r="CL2270">
        <v>0</v>
      </c>
      <c r="CM2270">
        <v>2</v>
      </c>
      <c r="CN2270">
        <v>0</v>
      </c>
      <c r="CO2270">
        <v>5</v>
      </c>
      <c r="CP2270" t="s">
        <v>119</v>
      </c>
      <c r="CQ2270">
        <v>364</v>
      </c>
      <c r="CR2270">
        <v>0</v>
      </c>
      <c r="CW2270">
        <v>1451087</v>
      </c>
      <c r="CY2270">
        <v>1</v>
      </c>
      <c r="CZ2270">
        <v>0</v>
      </c>
      <c r="DA2270">
        <v>1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>"03/24/2022 22:19:01.632"</f>
        <v>03/24/2022 22:19:01.632</v>
      </c>
      <c r="C2271" t="str">
        <f t="shared" si="677"/>
        <v>FFDFD3C0</v>
      </c>
      <c r="D2271" t="s">
        <v>120</v>
      </c>
      <c r="E2271">
        <v>14</v>
      </c>
      <c r="F2271">
        <v>1014</v>
      </c>
      <c r="G2271" t="s">
        <v>121</v>
      </c>
      <c r="J2271" t="s">
        <v>122</v>
      </c>
      <c r="K2271">
        <v>0</v>
      </c>
      <c r="L2271">
        <v>3</v>
      </c>
      <c r="M2271">
        <v>0</v>
      </c>
      <c r="N2271">
        <v>2</v>
      </c>
      <c r="O2271">
        <v>0</v>
      </c>
      <c r="P2271">
        <v>1</v>
      </c>
      <c r="Q2271">
        <v>0</v>
      </c>
      <c r="S2271" t="str">
        <f t="shared" si="680"/>
        <v>22:19:01.000</v>
      </c>
      <c r="T2271" t="str">
        <f t="shared" si="680"/>
        <v>22:19:01.000</v>
      </c>
      <c r="U2271" t="str">
        <f t="shared" si="671"/>
        <v>A9D71F</v>
      </c>
      <c r="V2271">
        <v>0</v>
      </c>
      <c r="W2271">
        <v>0</v>
      </c>
      <c r="X2271">
        <v>2</v>
      </c>
      <c r="Z2271">
        <v>1</v>
      </c>
      <c r="AA2271">
        <v>7</v>
      </c>
      <c r="AB2271">
        <v>3</v>
      </c>
      <c r="AC2271">
        <v>0</v>
      </c>
      <c r="AD2271">
        <v>9</v>
      </c>
      <c r="AE2271">
        <v>0</v>
      </c>
      <c r="AF2271">
        <v>3</v>
      </c>
      <c r="AG2271">
        <v>1</v>
      </c>
      <c r="AH2271">
        <v>0</v>
      </c>
      <c r="AI2271" t="s">
        <v>1183</v>
      </c>
      <c r="AJ2271">
        <v>33.007758000000003</v>
      </c>
      <c r="AK2271" t="s">
        <v>1125</v>
      </c>
      <c r="AL2271">
        <v>-97.652128000000005</v>
      </c>
      <c r="AM2271">
        <v>25</v>
      </c>
      <c r="AN2271">
        <v>3200</v>
      </c>
      <c r="AO2271" t="s">
        <v>118</v>
      </c>
      <c r="AP2271">
        <v>-36</v>
      </c>
      <c r="AQ2271">
        <v>-68</v>
      </c>
      <c r="AR2271">
        <v>-64</v>
      </c>
      <c r="AZ2271">
        <v>1200</v>
      </c>
      <c r="BA2271">
        <v>1</v>
      </c>
      <c r="BB2271" t="str">
        <f t="shared" si="678"/>
        <v xml:space="preserve">N733KP  </v>
      </c>
      <c r="BC2271">
        <v>1</v>
      </c>
      <c r="BE2271">
        <v>0</v>
      </c>
      <c r="BF2271">
        <v>0</v>
      </c>
      <c r="BG2271">
        <v>0</v>
      </c>
      <c r="BH2271">
        <v>3225</v>
      </c>
      <c r="BI2271">
        <v>1</v>
      </c>
      <c r="BJ2271">
        <v>1</v>
      </c>
      <c r="BK2271">
        <v>0</v>
      </c>
      <c r="BL2271">
        <v>0</v>
      </c>
      <c r="BO2271">
        <v>0</v>
      </c>
      <c r="BP2271">
        <v>0</v>
      </c>
      <c r="BW2271" t="str">
        <f>"22:19:01.429"</f>
        <v>22:19:01.429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5</v>
      </c>
      <c r="CP2271" t="s">
        <v>119</v>
      </c>
      <c r="CQ2271">
        <v>364</v>
      </c>
      <c r="CR2271">
        <v>0</v>
      </c>
      <c r="CW2271">
        <v>1451087</v>
      </c>
      <c r="CY2271">
        <v>1</v>
      </c>
      <c r="CZ2271">
        <v>0</v>
      </c>
      <c r="DA2271">
        <v>1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>"03/24/2022 22:19:01.632"</f>
        <v>03/24/2022 22:19:01.632</v>
      </c>
      <c r="C2272" t="str">
        <f t="shared" si="677"/>
        <v>FFDFD3C0</v>
      </c>
      <c r="D2272" t="s">
        <v>113</v>
      </c>
      <c r="E2272">
        <v>24</v>
      </c>
      <c r="F2272">
        <v>2024</v>
      </c>
      <c r="G2272" t="s">
        <v>114</v>
      </c>
      <c r="J2272" t="s">
        <v>115</v>
      </c>
      <c r="K2272">
        <v>0</v>
      </c>
      <c r="L2272">
        <v>3</v>
      </c>
      <c r="M2272">
        <v>0</v>
      </c>
      <c r="N2272">
        <v>2</v>
      </c>
      <c r="O2272">
        <v>0</v>
      </c>
      <c r="P2272">
        <v>1</v>
      </c>
      <c r="Q2272">
        <v>0</v>
      </c>
      <c r="S2272" t="str">
        <f t="shared" si="680"/>
        <v>22:19:01.000</v>
      </c>
      <c r="T2272" t="str">
        <f t="shared" si="680"/>
        <v>22:19:01.000</v>
      </c>
      <c r="U2272" t="str">
        <f t="shared" si="671"/>
        <v>A9D71F</v>
      </c>
      <c r="V2272">
        <v>0</v>
      </c>
      <c r="W2272">
        <v>0</v>
      </c>
      <c r="X2272">
        <v>2</v>
      </c>
      <c r="Z2272">
        <v>1</v>
      </c>
      <c r="AA2272">
        <v>7</v>
      </c>
      <c r="AB2272">
        <v>3</v>
      </c>
      <c r="AC2272">
        <v>0</v>
      </c>
      <c r="AD2272">
        <v>9</v>
      </c>
      <c r="AE2272">
        <v>0</v>
      </c>
      <c r="AF2272">
        <v>3</v>
      </c>
      <c r="AG2272">
        <v>1</v>
      </c>
      <c r="AH2272">
        <v>0</v>
      </c>
      <c r="AI2272" t="s">
        <v>1183</v>
      </c>
      <c r="AJ2272">
        <v>33.007758000000003</v>
      </c>
      <c r="AK2272" t="s">
        <v>1125</v>
      </c>
      <c r="AL2272">
        <v>-97.652128000000005</v>
      </c>
      <c r="AM2272">
        <v>25</v>
      </c>
      <c r="AN2272">
        <v>3200</v>
      </c>
      <c r="AO2272" t="s">
        <v>118</v>
      </c>
      <c r="AP2272">
        <v>-36</v>
      </c>
      <c r="AQ2272">
        <v>-68</v>
      </c>
      <c r="AR2272">
        <v>-64</v>
      </c>
      <c r="AZ2272">
        <v>1200</v>
      </c>
      <c r="BA2272">
        <v>1</v>
      </c>
      <c r="BB2272" t="str">
        <f t="shared" si="678"/>
        <v xml:space="preserve">N733KP  </v>
      </c>
      <c r="BC2272">
        <v>1</v>
      </c>
      <c r="BE2272">
        <v>0</v>
      </c>
      <c r="BF2272">
        <v>0</v>
      </c>
      <c r="BG2272">
        <v>0</v>
      </c>
      <c r="BH2272">
        <v>3225</v>
      </c>
      <c r="BI2272">
        <v>1</v>
      </c>
      <c r="BJ2272">
        <v>1</v>
      </c>
      <c r="BK2272">
        <v>0</v>
      </c>
      <c r="BL2272">
        <v>0</v>
      </c>
      <c r="BO2272">
        <v>0</v>
      </c>
      <c r="BP2272">
        <v>0</v>
      </c>
      <c r="BW2272" t="str">
        <f>"22:19:01.429"</f>
        <v>22:19:01.429</v>
      </c>
      <c r="CJ2272">
        <v>0</v>
      </c>
      <c r="CK2272">
        <v>2</v>
      </c>
      <c r="CL2272">
        <v>0</v>
      </c>
      <c r="CM2272">
        <v>2</v>
      </c>
      <c r="CN2272">
        <v>0</v>
      </c>
      <c r="CO2272">
        <v>5</v>
      </c>
      <c r="CP2272" t="s">
        <v>119</v>
      </c>
      <c r="CQ2272">
        <v>364</v>
      </c>
      <c r="CR2272">
        <v>0</v>
      </c>
      <c r="CW2272">
        <v>1451087</v>
      </c>
      <c r="CY2272">
        <v>1</v>
      </c>
      <c r="CZ2272">
        <v>0</v>
      </c>
      <c r="DA2272">
        <v>1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>"03/24/2022 22:19:02.571"</f>
        <v>03/24/2022 22:19:02.571</v>
      </c>
      <c r="C2273" t="str">
        <f t="shared" si="677"/>
        <v>FFDFD3C0</v>
      </c>
      <c r="D2273" t="s">
        <v>126</v>
      </c>
      <c r="E2273">
        <v>3</v>
      </c>
      <c r="H2273">
        <v>160</v>
      </c>
      <c r="I2273" t="s">
        <v>121</v>
      </c>
      <c r="J2273" t="s">
        <v>127</v>
      </c>
      <c r="K2273">
        <v>0</v>
      </c>
      <c r="L2273">
        <v>3</v>
      </c>
      <c r="M2273">
        <v>0</v>
      </c>
      <c r="N2273">
        <v>2</v>
      </c>
      <c r="O2273">
        <v>0</v>
      </c>
      <c r="P2273">
        <v>1</v>
      </c>
      <c r="Q2273">
        <v>0</v>
      </c>
      <c r="S2273" t="str">
        <f t="shared" ref="S2273:T2276" si="681">"22:19:02.000"</f>
        <v>22:19:02.000</v>
      </c>
      <c r="T2273" t="str">
        <f t="shared" si="681"/>
        <v>22:19:02.000</v>
      </c>
      <c r="U2273" t="str">
        <f t="shared" si="671"/>
        <v>A9D71F</v>
      </c>
      <c r="V2273">
        <v>0</v>
      </c>
      <c r="W2273">
        <v>0</v>
      </c>
      <c r="X2273">
        <v>2</v>
      </c>
      <c r="Z2273">
        <v>1</v>
      </c>
      <c r="AA2273">
        <v>7</v>
      </c>
      <c r="AB2273">
        <v>3</v>
      </c>
      <c r="AC2273">
        <v>0</v>
      </c>
      <c r="AD2273">
        <v>9</v>
      </c>
      <c r="AE2273">
        <v>0</v>
      </c>
      <c r="AF2273">
        <v>3</v>
      </c>
      <c r="AG2273">
        <v>1</v>
      </c>
      <c r="AH2273">
        <v>0</v>
      </c>
      <c r="AI2273" t="s">
        <v>1184</v>
      </c>
      <c r="AJ2273">
        <v>33.007457000000002</v>
      </c>
      <c r="AK2273" t="s">
        <v>1185</v>
      </c>
      <c r="AL2273">
        <v>-97.652342000000004</v>
      </c>
      <c r="AM2273">
        <v>25</v>
      </c>
      <c r="AN2273">
        <v>3200</v>
      </c>
      <c r="AO2273" t="s">
        <v>118</v>
      </c>
      <c r="AP2273">
        <v>-36</v>
      </c>
      <c r="AQ2273">
        <v>-68</v>
      </c>
      <c r="AR2273">
        <v>-64</v>
      </c>
      <c r="AZ2273">
        <v>1200</v>
      </c>
      <c r="BA2273">
        <v>1</v>
      </c>
      <c r="BB2273" t="str">
        <f t="shared" si="678"/>
        <v xml:space="preserve">N733KP  </v>
      </c>
      <c r="BC2273">
        <v>1</v>
      </c>
      <c r="BE2273">
        <v>0</v>
      </c>
      <c r="BF2273">
        <v>0</v>
      </c>
      <c r="BG2273">
        <v>0</v>
      </c>
      <c r="BH2273">
        <v>3225</v>
      </c>
      <c r="BI2273">
        <v>1</v>
      </c>
      <c r="BJ2273">
        <v>1</v>
      </c>
      <c r="BK2273">
        <v>0</v>
      </c>
      <c r="BL2273">
        <v>0</v>
      </c>
      <c r="BO2273">
        <v>0</v>
      </c>
      <c r="BP2273">
        <v>0</v>
      </c>
      <c r="BW2273" t="str">
        <f>"22:19:02.394"</f>
        <v>22:19:02.394</v>
      </c>
      <c r="CJ2273">
        <v>0</v>
      </c>
      <c r="CK2273">
        <v>2</v>
      </c>
      <c r="CL2273">
        <v>0</v>
      </c>
      <c r="CM2273">
        <v>2</v>
      </c>
      <c r="CN2273">
        <v>0</v>
      </c>
      <c r="CO2273">
        <v>5</v>
      </c>
      <c r="CP2273" t="s">
        <v>119</v>
      </c>
      <c r="CQ2273">
        <v>364</v>
      </c>
      <c r="CR2273">
        <v>0</v>
      </c>
      <c r="CW2273">
        <v>1451194</v>
      </c>
      <c r="CY2273">
        <v>1</v>
      </c>
      <c r="CZ2273">
        <v>0</v>
      </c>
      <c r="DA2273">
        <v>0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>"03/24/2022 22:19:02.571"</f>
        <v>03/24/2022 22:19:02.571</v>
      </c>
      <c r="C2274" t="str">
        <f t="shared" si="677"/>
        <v>FFDFD3C0</v>
      </c>
      <c r="D2274" t="s">
        <v>120</v>
      </c>
      <c r="E2274">
        <v>14</v>
      </c>
      <c r="F2274">
        <v>1014</v>
      </c>
      <c r="G2274" t="s">
        <v>121</v>
      </c>
      <c r="J2274" t="s">
        <v>122</v>
      </c>
      <c r="K2274">
        <v>0</v>
      </c>
      <c r="L2274">
        <v>3</v>
      </c>
      <c r="M2274">
        <v>0</v>
      </c>
      <c r="N2274">
        <v>2</v>
      </c>
      <c r="O2274">
        <v>0</v>
      </c>
      <c r="P2274">
        <v>1</v>
      </c>
      <c r="Q2274">
        <v>0</v>
      </c>
      <c r="S2274" t="str">
        <f t="shared" si="681"/>
        <v>22:19:02.000</v>
      </c>
      <c r="T2274" t="str">
        <f t="shared" si="681"/>
        <v>22:19:02.000</v>
      </c>
      <c r="U2274" t="str">
        <f t="shared" si="671"/>
        <v>A9D71F</v>
      </c>
      <c r="V2274">
        <v>0</v>
      </c>
      <c r="W2274">
        <v>0</v>
      </c>
      <c r="X2274">
        <v>2</v>
      </c>
      <c r="Z2274">
        <v>1</v>
      </c>
      <c r="AA2274">
        <v>7</v>
      </c>
      <c r="AB2274">
        <v>3</v>
      </c>
      <c r="AC2274">
        <v>0</v>
      </c>
      <c r="AD2274">
        <v>9</v>
      </c>
      <c r="AE2274">
        <v>0</v>
      </c>
      <c r="AF2274">
        <v>3</v>
      </c>
      <c r="AG2274">
        <v>1</v>
      </c>
      <c r="AH2274">
        <v>0</v>
      </c>
      <c r="AI2274" t="s">
        <v>1184</v>
      </c>
      <c r="AJ2274">
        <v>33.007457000000002</v>
      </c>
      <c r="AK2274" t="s">
        <v>1185</v>
      </c>
      <c r="AL2274">
        <v>-97.652342000000004</v>
      </c>
      <c r="AM2274">
        <v>25</v>
      </c>
      <c r="AN2274">
        <v>3200</v>
      </c>
      <c r="AO2274" t="s">
        <v>118</v>
      </c>
      <c r="AP2274">
        <v>-36</v>
      </c>
      <c r="AQ2274">
        <v>-68</v>
      </c>
      <c r="AR2274">
        <v>-64</v>
      </c>
      <c r="AZ2274">
        <v>1200</v>
      </c>
      <c r="BA2274">
        <v>1</v>
      </c>
      <c r="BB2274" t="str">
        <f t="shared" si="678"/>
        <v xml:space="preserve">N733KP  </v>
      </c>
      <c r="BC2274">
        <v>1</v>
      </c>
      <c r="BE2274">
        <v>0</v>
      </c>
      <c r="BF2274">
        <v>0</v>
      </c>
      <c r="BG2274">
        <v>0</v>
      </c>
      <c r="BH2274">
        <v>3225</v>
      </c>
      <c r="BI2274">
        <v>1</v>
      </c>
      <c r="BJ2274">
        <v>1</v>
      </c>
      <c r="BK2274">
        <v>0</v>
      </c>
      <c r="BL2274">
        <v>0</v>
      </c>
      <c r="BO2274">
        <v>0</v>
      </c>
      <c r="BP2274">
        <v>0</v>
      </c>
      <c r="BW2274" t="str">
        <f>"22:19:02.394"</f>
        <v>22:19:02.394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5</v>
      </c>
      <c r="CP2274" t="s">
        <v>119</v>
      </c>
      <c r="CQ2274">
        <v>364</v>
      </c>
      <c r="CR2274">
        <v>0</v>
      </c>
      <c r="CW2274">
        <v>1451194</v>
      </c>
      <c r="CY2274">
        <v>1</v>
      </c>
      <c r="CZ2274">
        <v>0</v>
      </c>
      <c r="DA2274">
        <v>1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>"03/24/2022 22:19:02.633"</f>
        <v>03/24/2022 22:19:02.633</v>
      </c>
      <c r="C2275" t="str">
        <f t="shared" si="677"/>
        <v>FFDFD3C0</v>
      </c>
      <c r="D2275" t="s">
        <v>113</v>
      </c>
      <c r="E2275">
        <v>24</v>
      </c>
      <c r="F2275">
        <v>2024</v>
      </c>
      <c r="G2275" t="s">
        <v>114</v>
      </c>
      <c r="J2275" t="s">
        <v>115</v>
      </c>
      <c r="K2275">
        <v>0</v>
      </c>
      <c r="L2275">
        <v>3</v>
      </c>
      <c r="M2275">
        <v>0</v>
      </c>
      <c r="N2275">
        <v>2</v>
      </c>
      <c r="O2275">
        <v>0</v>
      </c>
      <c r="P2275">
        <v>1</v>
      </c>
      <c r="Q2275">
        <v>0</v>
      </c>
      <c r="S2275" t="str">
        <f t="shared" si="681"/>
        <v>22:19:02.000</v>
      </c>
      <c r="T2275" t="str">
        <f t="shared" si="681"/>
        <v>22:19:02.000</v>
      </c>
      <c r="U2275" t="str">
        <f t="shared" si="671"/>
        <v>A9D71F</v>
      </c>
      <c r="V2275">
        <v>0</v>
      </c>
      <c r="W2275">
        <v>0</v>
      </c>
      <c r="X2275">
        <v>2</v>
      </c>
      <c r="Z2275">
        <v>1</v>
      </c>
      <c r="AA2275">
        <v>7</v>
      </c>
      <c r="AB2275">
        <v>3</v>
      </c>
      <c r="AC2275">
        <v>0</v>
      </c>
      <c r="AD2275">
        <v>9</v>
      </c>
      <c r="AE2275">
        <v>0</v>
      </c>
      <c r="AF2275">
        <v>3</v>
      </c>
      <c r="AG2275">
        <v>1</v>
      </c>
      <c r="AH2275">
        <v>0</v>
      </c>
      <c r="AI2275" t="s">
        <v>1184</v>
      </c>
      <c r="AJ2275">
        <v>33.007457000000002</v>
      </c>
      <c r="AK2275" t="s">
        <v>1185</v>
      </c>
      <c r="AL2275">
        <v>-97.652342000000004</v>
      </c>
      <c r="AM2275">
        <v>25</v>
      </c>
      <c r="AN2275">
        <v>3200</v>
      </c>
      <c r="AO2275" t="s">
        <v>118</v>
      </c>
      <c r="AP2275">
        <v>-36</v>
      </c>
      <c r="AQ2275">
        <v>-68</v>
      </c>
      <c r="AR2275">
        <v>-64</v>
      </c>
      <c r="AZ2275">
        <v>1200</v>
      </c>
      <c r="BA2275">
        <v>1</v>
      </c>
      <c r="BB2275" t="str">
        <f t="shared" si="678"/>
        <v xml:space="preserve">N733KP  </v>
      </c>
      <c r="BC2275">
        <v>1</v>
      </c>
      <c r="BE2275">
        <v>0</v>
      </c>
      <c r="BF2275">
        <v>0</v>
      </c>
      <c r="BG2275">
        <v>0</v>
      </c>
      <c r="BH2275">
        <v>3225</v>
      </c>
      <c r="BI2275">
        <v>1</v>
      </c>
      <c r="BJ2275">
        <v>1</v>
      </c>
      <c r="BK2275">
        <v>0</v>
      </c>
      <c r="BL2275">
        <v>0</v>
      </c>
      <c r="BO2275">
        <v>0</v>
      </c>
      <c r="BP2275">
        <v>0</v>
      </c>
      <c r="BW2275" t="str">
        <f>"22:19:02.394"</f>
        <v>22:19:02.394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5</v>
      </c>
      <c r="CP2275" t="s">
        <v>119</v>
      </c>
      <c r="CQ2275">
        <v>364</v>
      </c>
      <c r="CR2275">
        <v>0</v>
      </c>
      <c r="CW2275">
        <v>1451194</v>
      </c>
      <c r="CY2275">
        <v>1</v>
      </c>
      <c r="CZ2275">
        <v>0</v>
      </c>
      <c r="DA2275">
        <v>1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>"03/24/2022 22:19:02.633"</f>
        <v>03/24/2022 22:19:02.633</v>
      </c>
      <c r="C2276" t="str">
        <f t="shared" si="677"/>
        <v>FFDFD3C0</v>
      </c>
      <c r="D2276" t="s">
        <v>123</v>
      </c>
      <c r="E2276">
        <v>8</v>
      </c>
      <c r="H2276">
        <v>31</v>
      </c>
      <c r="I2276" t="s">
        <v>124</v>
      </c>
      <c r="J2276" t="s">
        <v>125</v>
      </c>
      <c r="K2276">
        <v>0</v>
      </c>
      <c r="L2276">
        <v>3</v>
      </c>
      <c r="M2276">
        <v>0</v>
      </c>
      <c r="N2276">
        <v>2</v>
      </c>
      <c r="O2276">
        <v>0</v>
      </c>
      <c r="P2276">
        <v>1</v>
      </c>
      <c r="Q2276">
        <v>0</v>
      </c>
      <c r="S2276" t="str">
        <f t="shared" si="681"/>
        <v>22:19:02.000</v>
      </c>
      <c r="T2276" t="str">
        <f t="shared" si="681"/>
        <v>22:19:02.000</v>
      </c>
      <c r="U2276" t="str">
        <f t="shared" si="671"/>
        <v>A9D71F</v>
      </c>
      <c r="V2276">
        <v>0</v>
      </c>
      <c r="W2276">
        <v>0</v>
      </c>
      <c r="X2276">
        <v>2</v>
      </c>
      <c r="Z2276">
        <v>1</v>
      </c>
      <c r="AA2276">
        <v>7</v>
      </c>
      <c r="AB2276">
        <v>3</v>
      </c>
      <c r="AC2276">
        <v>0</v>
      </c>
      <c r="AD2276">
        <v>9</v>
      </c>
      <c r="AE2276">
        <v>0</v>
      </c>
      <c r="AF2276">
        <v>3</v>
      </c>
      <c r="AG2276">
        <v>1</v>
      </c>
      <c r="AH2276">
        <v>0</v>
      </c>
      <c r="AI2276" t="s">
        <v>1184</v>
      </c>
      <c r="AJ2276">
        <v>33.007457000000002</v>
      </c>
      <c r="AK2276" t="s">
        <v>1185</v>
      </c>
      <c r="AL2276">
        <v>-97.652342000000004</v>
      </c>
      <c r="AM2276">
        <v>25</v>
      </c>
      <c r="AN2276">
        <v>3200</v>
      </c>
      <c r="AO2276" t="s">
        <v>118</v>
      </c>
      <c r="AP2276">
        <v>-36</v>
      </c>
      <c r="AQ2276">
        <v>-68</v>
      </c>
      <c r="AR2276">
        <v>-64</v>
      </c>
      <c r="AZ2276">
        <v>1200</v>
      </c>
      <c r="BA2276">
        <v>1</v>
      </c>
      <c r="BB2276" t="str">
        <f t="shared" si="678"/>
        <v xml:space="preserve">N733KP  </v>
      </c>
      <c r="BC2276">
        <v>1</v>
      </c>
      <c r="BE2276">
        <v>0</v>
      </c>
      <c r="BF2276">
        <v>0</v>
      </c>
      <c r="BG2276">
        <v>0</v>
      </c>
      <c r="BH2276">
        <v>3225</v>
      </c>
      <c r="BI2276">
        <v>1</v>
      </c>
      <c r="BJ2276">
        <v>1</v>
      </c>
      <c r="BK2276">
        <v>0</v>
      </c>
      <c r="BL2276">
        <v>0</v>
      </c>
      <c r="BO2276">
        <v>0</v>
      </c>
      <c r="BP2276">
        <v>0</v>
      </c>
      <c r="BW2276" t="str">
        <f>"22:19:02.394"</f>
        <v>22:19:02.394</v>
      </c>
      <c r="CJ2276">
        <v>0</v>
      </c>
      <c r="CK2276">
        <v>2</v>
      </c>
      <c r="CL2276">
        <v>0</v>
      </c>
      <c r="CM2276">
        <v>2</v>
      </c>
      <c r="CN2276">
        <v>0</v>
      </c>
      <c r="CO2276">
        <v>5</v>
      </c>
      <c r="CP2276" t="s">
        <v>119</v>
      </c>
      <c r="CQ2276">
        <v>364</v>
      </c>
      <c r="CR2276">
        <v>0</v>
      </c>
      <c r="CW2276">
        <v>1451194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>"03/24/2022 22:19:03.729"</f>
        <v>03/24/2022 22:19:03.729</v>
      </c>
      <c r="C2277" t="str">
        <f t="shared" si="677"/>
        <v>FFDFD3C0</v>
      </c>
      <c r="D2277" t="s">
        <v>113</v>
      </c>
      <c r="E2277">
        <v>24</v>
      </c>
      <c r="F2277">
        <v>2024</v>
      </c>
      <c r="G2277" t="s">
        <v>114</v>
      </c>
      <c r="J2277" t="s">
        <v>115</v>
      </c>
      <c r="K2277">
        <v>0</v>
      </c>
      <c r="L2277">
        <v>3</v>
      </c>
      <c r="M2277">
        <v>0</v>
      </c>
      <c r="N2277">
        <v>2</v>
      </c>
      <c r="O2277">
        <v>0</v>
      </c>
      <c r="P2277">
        <v>1</v>
      </c>
      <c r="Q2277">
        <v>0</v>
      </c>
      <c r="S2277" t="str">
        <f t="shared" ref="S2277:T2280" si="682">"22:19:03.000"</f>
        <v>22:19:03.000</v>
      </c>
      <c r="T2277" t="str">
        <f t="shared" si="682"/>
        <v>22:19:03.000</v>
      </c>
      <c r="U2277" t="str">
        <f t="shared" si="671"/>
        <v>A9D71F</v>
      </c>
      <c r="V2277">
        <v>0</v>
      </c>
      <c r="W2277">
        <v>0</v>
      </c>
      <c r="X2277">
        <v>2</v>
      </c>
      <c r="Z2277">
        <v>1</v>
      </c>
      <c r="AA2277">
        <v>7</v>
      </c>
      <c r="AB2277">
        <v>3</v>
      </c>
      <c r="AC2277">
        <v>0</v>
      </c>
      <c r="AD2277">
        <v>9</v>
      </c>
      <c r="AE2277">
        <v>0</v>
      </c>
      <c r="AF2277">
        <v>3</v>
      </c>
      <c r="AG2277">
        <v>1</v>
      </c>
      <c r="AH2277">
        <v>0</v>
      </c>
      <c r="AI2277" t="s">
        <v>1186</v>
      </c>
      <c r="AJ2277">
        <v>33.007114000000001</v>
      </c>
      <c r="AK2277" t="s">
        <v>1187</v>
      </c>
      <c r="AL2277">
        <v>-97.652535</v>
      </c>
      <c r="AM2277">
        <v>25</v>
      </c>
      <c r="AN2277">
        <v>3200</v>
      </c>
      <c r="AO2277" t="s">
        <v>118</v>
      </c>
      <c r="AP2277">
        <v>-37</v>
      </c>
      <c r="AQ2277">
        <v>-66</v>
      </c>
      <c r="AR2277">
        <v>-64</v>
      </c>
      <c r="AZ2277">
        <v>1200</v>
      </c>
      <c r="BA2277">
        <v>1</v>
      </c>
      <c r="BB2277" t="str">
        <f t="shared" si="678"/>
        <v xml:space="preserve">N733KP  </v>
      </c>
      <c r="BC2277">
        <v>1</v>
      </c>
      <c r="BE2277">
        <v>0</v>
      </c>
      <c r="BF2277">
        <v>0</v>
      </c>
      <c r="BG2277">
        <v>0</v>
      </c>
      <c r="BH2277">
        <v>3225</v>
      </c>
      <c r="BI2277">
        <v>1</v>
      </c>
      <c r="BJ2277">
        <v>1</v>
      </c>
      <c r="BK2277">
        <v>0</v>
      </c>
      <c r="BL2277">
        <v>0</v>
      </c>
      <c r="BO2277">
        <v>0</v>
      </c>
      <c r="BP2277">
        <v>0</v>
      </c>
      <c r="BW2277" t="str">
        <f>"22:19:03.548"</f>
        <v>22:19:03.548</v>
      </c>
      <c r="CJ2277">
        <v>0</v>
      </c>
      <c r="CK2277">
        <v>2</v>
      </c>
      <c r="CL2277">
        <v>0</v>
      </c>
      <c r="CM2277">
        <v>2</v>
      </c>
      <c r="CN2277">
        <v>0</v>
      </c>
      <c r="CO2277">
        <v>5</v>
      </c>
      <c r="CP2277" t="s">
        <v>119</v>
      </c>
      <c r="CQ2277">
        <v>364</v>
      </c>
      <c r="CR2277">
        <v>0</v>
      </c>
      <c r="CW2277">
        <v>1451322</v>
      </c>
      <c r="CY2277">
        <v>1</v>
      </c>
      <c r="CZ2277">
        <v>0</v>
      </c>
      <c r="DA2277">
        <v>0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>"03/24/2022 22:19:03.745"</f>
        <v>03/24/2022 22:19:03.745</v>
      </c>
      <c r="C2278" t="str">
        <f t="shared" si="677"/>
        <v>FFDFD3C0</v>
      </c>
      <c r="D2278" t="s">
        <v>123</v>
      </c>
      <c r="E2278">
        <v>8</v>
      </c>
      <c r="H2278">
        <v>31</v>
      </c>
      <c r="I2278" t="s">
        <v>124</v>
      </c>
      <c r="J2278" t="s">
        <v>125</v>
      </c>
      <c r="K2278">
        <v>0</v>
      </c>
      <c r="L2278">
        <v>3</v>
      </c>
      <c r="M2278">
        <v>0</v>
      </c>
      <c r="N2278">
        <v>2</v>
      </c>
      <c r="O2278">
        <v>0</v>
      </c>
      <c r="P2278">
        <v>1</v>
      </c>
      <c r="Q2278">
        <v>0</v>
      </c>
      <c r="S2278" t="str">
        <f t="shared" si="682"/>
        <v>22:19:03.000</v>
      </c>
      <c r="T2278" t="str">
        <f t="shared" si="682"/>
        <v>22:19:03.000</v>
      </c>
      <c r="U2278" t="str">
        <f t="shared" si="671"/>
        <v>A9D71F</v>
      </c>
      <c r="V2278">
        <v>0</v>
      </c>
      <c r="W2278">
        <v>0</v>
      </c>
      <c r="X2278">
        <v>2</v>
      </c>
      <c r="Z2278">
        <v>1</v>
      </c>
      <c r="AA2278">
        <v>7</v>
      </c>
      <c r="AB2278">
        <v>3</v>
      </c>
      <c r="AC2278">
        <v>0</v>
      </c>
      <c r="AD2278">
        <v>9</v>
      </c>
      <c r="AE2278">
        <v>0</v>
      </c>
      <c r="AF2278">
        <v>3</v>
      </c>
      <c r="AG2278">
        <v>1</v>
      </c>
      <c r="AH2278">
        <v>0</v>
      </c>
      <c r="AI2278" t="s">
        <v>1186</v>
      </c>
      <c r="AJ2278">
        <v>33.007114000000001</v>
      </c>
      <c r="AK2278" t="s">
        <v>1187</v>
      </c>
      <c r="AL2278">
        <v>-97.652535</v>
      </c>
      <c r="AM2278">
        <v>25</v>
      </c>
      <c r="AN2278">
        <v>3200</v>
      </c>
      <c r="AO2278" t="s">
        <v>118</v>
      </c>
      <c r="AP2278">
        <v>-37</v>
      </c>
      <c r="AQ2278">
        <v>-66</v>
      </c>
      <c r="AR2278">
        <v>-64</v>
      </c>
      <c r="AZ2278">
        <v>1200</v>
      </c>
      <c r="BA2278">
        <v>1</v>
      </c>
      <c r="BB2278" t="str">
        <f t="shared" si="678"/>
        <v xml:space="preserve">N733KP  </v>
      </c>
      <c r="BC2278">
        <v>1</v>
      </c>
      <c r="BE2278">
        <v>0</v>
      </c>
      <c r="BF2278">
        <v>0</v>
      </c>
      <c r="BG2278">
        <v>0</v>
      </c>
      <c r="BH2278">
        <v>3225</v>
      </c>
      <c r="BI2278">
        <v>1</v>
      </c>
      <c r="BJ2278">
        <v>1</v>
      </c>
      <c r="BK2278">
        <v>0</v>
      </c>
      <c r="BL2278">
        <v>0</v>
      </c>
      <c r="BO2278">
        <v>0</v>
      </c>
      <c r="BP2278">
        <v>0</v>
      </c>
      <c r="BW2278" t="str">
        <f>"22:19:03.548"</f>
        <v>22:19:03.548</v>
      </c>
      <c r="CJ2278">
        <v>0</v>
      </c>
      <c r="CK2278">
        <v>2</v>
      </c>
      <c r="CL2278">
        <v>0</v>
      </c>
      <c r="CM2278">
        <v>2</v>
      </c>
      <c r="CN2278">
        <v>0</v>
      </c>
      <c r="CO2278">
        <v>5</v>
      </c>
      <c r="CP2278" t="s">
        <v>119</v>
      </c>
      <c r="CQ2278">
        <v>364</v>
      </c>
      <c r="CR2278">
        <v>0</v>
      </c>
      <c r="CW2278">
        <v>1451322</v>
      </c>
      <c r="CY2278">
        <v>1</v>
      </c>
      <c r="CZ2278">
        <v>0</v>
      </c>
      <c r="DA2278">
        <v>1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>"03/24/2022 22:19:03.745"</f>
        <v>03/24/2022 22:19:03.745</v>
      </c>
      <c r="C2279" t="str">
        <f t="shared" si="677"/>
        <v>FFDFD3C0</v>
      </c>
      <c r="D2279" t="s">
        <v>126</v>
      </c>
      <c r="E2279">
        <v>3</v>
      </c>
      <c r="H2279">
        <v>160</v>
      </c>
      <c r="I2279" t="s">
        <v>121</v>
      </c>
      <c r="J2279" t="s">
        <v>127</v>
      </c>
      <c r="K2279">
        <v>0</v>
      </c>
      <c r="L2279">
        <v>3</v>
      </c>
      <c r="M2279">
        <v>0</v>
      </c>
      <c r="N2279">
        <v>2</v>
      </c>
      <c r="O2279">
        <v>0</v>
      </c>
      <c r="P2279">
        <v>1</v>
      </c>
      <c r="Q2279">
        <v>0</v>
      </c>
      <c r="S2279" t="str">
        <f t="shared" si="682"/>
        <v>22:19:03.000</v>
      </c>
      <c r="T2279" t="str">
        <f t="shared" si="682"/>
        <v>22:19:03.000</v>
      </c>
      <c r="U2279" t="str">
        <f t="shared" si="671"/>
        <v>A9D71F</v>
      </c>
      <c r="V2279">
        <v>0</v>
      </c>
      <c r="W2279">
        <v>0</v>
      </c>
      <c r="X2279">
        <v>2</v>
      </c>
      <c r="Z2279">
        <v>1</v>
      </c>
      <c r="AA2279">
        <v>7</v>
      </c>
      <c r="AB2279">
        <v>3</v>
      </c>
      <c r="AC2279">
        <v>0</v>
      </c>
      <c r="AD2279">
        <v>9</v>
      </c>
      <c r="AE2279">
        <v>0</v>
      </c>
      <c r="AF2279">
        <v>3</v>
      </c>
      <c r="AG2279">
        <v>1</v>
      </c>
      <c r="AH2279">
        <v>0</v>
      </c>
      <c r="AI2279" t="s">
        <v>1186</v>
      </c>
      <c r="AJ2279">
        <v>33.007114000000001</v>
      </c>
      <c r="AK2279" t="s">
        <v>1187</v>
      </c>
      <c r="AL2279">
        <v>-97.652535</v>
      </c>
      <c r="AM2279">
        <v>25</v>
      </c>
      <c r="AN2279">
        <v>3200</v>
      </c>
      <c r="AO2279" t="s">
        <v>118</v>
      </c>
      <c r="AP2279">
        <v>-37</v>
      </c>
      <c r="AQ2279">
        <v>-66</v>
      </c>
      <c r="AR2279">
        <v>-64</v>
      </c>
      <c r="AZ2279">
        <v>1200</v>
      </c>
      <c r="BA2279">
        <v>1</v>
      </c>
      <c r="BB2279" t="str">
        <f t="shared" si="678"/>
        <v xml:space="preserve">N733KP  </v>
      </c>
      <c r="BC2279">
        <v>1</v>
      </c>
      <c r="BE2279">
        <v>0</v>
      </c>
      <c r="BF2279">
        <v>0</v>
      </c>
      <c r="BG2279">
        <v>0</v>
      </c>
      <c r="BH2279">
        <v>3225</v>
      </c>
      <c r="BI2279">
        <v>1</v>
      </c>
      <c r="BJ2279">
        <v>1</v>
      </c>
      <c r="BK2279">
        <v>0</v>
      </c>
      <c r="BL2279">
        <v>0</v>
      </c>
      <c r="BO2279">
        <v>0</v>
      </c>
      <c r="BP2279">
        <v>0</v>
      </c>
      <c r="BW2279" t="str">
        <f>"22:19:03.548"</f>
        <v>22:19:03.548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5</v>
      </c>
      <c r="CP2279" t="s">
        <v>119</v>
      </c>
      <c r="CQ2279">
        <v>364</v>
      </c>
      <c r="CR2279">
        <v>0</v>
      </c>
      <c r="CW2279">
        <v>1451322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>"03/24/2022 22:19:03.745"</f>
        <v>03/24/2022 22:19:03.745</v>
      </c>
      <c r="C2280" t="str">
        <f t="shared" si="677"/>
        <v>FFDFD3C0</v>
      </c>
      <c r="D2280" t="s">
        <v>120</v>
      </c>
      <c r="E2280">
        <v>14</v>
      </c>
      <c r="F2280">
        <v>1014</v>
      </c>
      <c r="G2280" t="s">
        <v>121</v>
      </c>
      <c r="J2280" t="s">
        <v>122</v>
      </c>
      <c r="K2280">
        <v>0</v>
      </c>
      <c r="L2280">
        <v>3</v>
      </c>
      <c r="M2280">
        <v>0</v>
      </c>
      <c r="N2280">
        <v>2</v>
      </c>
      <c r="O2280">
        <v>0</v>
      </c>
      <c r="P2280">
        <v>1</v>
      </c>
      <c r="Q2280">
        <v>0</v>
      </c>
      <c r="S2280" t="str">
        <f t="shared" si="682"/>
        <v>22:19:03.000</v>
      </c>
      <c r="T2280" t="str">
        <f t="shared" si="682"/>
        <v>22:19:03.000</v>
      </c>
      <c r="U2280" t="str">
        <f t="shared" si="671"/>
        <v>A9D71F</v>
      </c>
      <c r="V2280">
        <v>0</v>
      </c>
      <c r="W2280">
        <v>0</v>
      </c>
      <c r="X2280">
        <v>2</v>
      </c>
      <c r="Z2280">
        <v>1</v>
      </c>
      <c r="AA2280">
        <v>7</v>
      </c>
      <c r="AB2280">
        <v>3</v>
      </c>
      <c r="AC2280">
        <v>0</v>
      </c>
      <c r="AD2280">
        <v>9</v>
      </c>
      <c r="AE2280">
        <v>0</v>
      </c>
      <c r="AF2280">
        <v>3</v>
      </c>
      <c r="AG2280">
        <v>1</v>
      </c>
      <c r="AH2280">
        <v>0</v>
      </c>
      <c r="AI2280" t="s">
        <v>1186</v>
      </c>
      <c r="AJ2280">
        <v>33.007114000000001</v>
      </c>
      <c r="AK2280" t="s">
        <v>1187</v>
      </c>
      <c r="AL2280">
        <v>-97.652535</v>
      </c>
      <c r="AM2280">
        <v>25</v>
      </c>
      <c r="AN2280">
        <v>3200</v>
      </c>
      <c r="AO2280" t="s">
        <v>118</v>
      </c>
      <c r="AP2280">
        <v>-37</v>
      </c>
      <c r="AQ2280">
        <v>-66</v>
      </c>
      <c r="AR2280">
        <v>-64</v>
      </c>
      <c r="AZ2280">
        <v>1200</v>
      </c>
      <c r="BA2280">
        <v>1</v>
      </c>
      <c r="BB2280" t="str">
        <f t="shared" si="678"/>
        <v xml:space="preserve">N733KP  </v>
      </c>
      <c r="BC2280">
        <v>1</v>
      </c>
      <c r="BE2280">
        <v>0</v>
      </c>
      <c r="BF2280">
        <v>0</v>
      </c>
      <c r="BG2280">
        <v>0</v>
      </c>
      <c r="BH2280">
        <v>3225</v>
      </c>
      <c r="BI2280">
        <v>1</v>
      </c>
      <c r="BJ2280">
        <v>1</v>
      </c>
      <c r="BK2280">
        <v>0</v>
      </c>
      <c r="BL2280">
        <v>0</v>
      </c>
      <c r="BO2280">
        <v>0</v>
      </c>
      <c r="BP2280">
        <v>0</v>
      </c>
      <c r="BW2280" t="str">
        <f>"22:19:03.548"</f>
        <v>22:19:03.548</v>
      </c>
      <c r="CJ2280">
        <v>0</v>
      </c>
      <c r="CK2280">
        <v>2</v>
      </c>
      <c r="CL2280">
        <v>0</v>
      </c>
      <c r="CM2280">
        <v>2</v>
      </c>
      <c r="CN2280">
        <v>0</v>
      </c>
      <c r="CO2280">
        <v>5</v>
      </c>
      <c r="CP2280" t="s">
        <v>119</v>
      </c>
      <c r="CQ2280">
        <v>364</v>
      </c>
      <c r="CR2280">
        <v>0</v>
      </c>
      <c r="CW2280">
        <v>1451322</v>
      </c>
      <c r="CY2280">
        <v>1</v>
      </c>
      <c r="CZ2280">
        <v>0</v>
      </c>
      <c r="DA2280">
        <v>1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>"03/24/2022 22:19:04.855"</f>
        <v>03/24/2022 22:19:04.855</v>
      </c>
      <c r="C2281" t="str">
        <f t="shared" si="677"/>
        <v>FFDFD3C0</v>
      </c>
      <c r="D2281" t="s">
        <v>120</v>
      </c>
      <c r="E2281">
        <v>14</v>
      </c>
      <c r="F2281">
        <v>1014</v>
      </c>
      <c r="G2281" t="s">
        <v>121</v>
      </c>
      <c r="J2281" t="s">
        <v>122</v>
      </c>
      <c r="K2281">
        <v>0</v>
      </c>
      <c r="L2281">
        <v>3</v>
      </c>
      <c r="M2281">
        <v>0</v>
      </c>
      <c r="N2281">
        <v>2</v>
      </c>
      <c r="O2281">
        <v>0</v>
      </c>
      <c r="P2281">
        <v>1</v>
      </c>
      <c r="Q2281">
        <v>0</v>
      </c>
      <c r="S2281" t="str">
        <f t="shared" ref="S2281:T2284" si="683">"22:19:04.000"</f>
        <v>22:19:04.000</v>
      </c>
      <c r="T2281" t="str">
        <f t="shared" si="683"/>
        <v>22:19:04.000</v>
      </c>
      <c r="U2281" t="str">
        <f t="shared" si="671"/>
        <v>A9D71F</v>
      </c>
      <c r="V2281">
        <v>0</v>
      </c>
      <c r="W2281">
        <v>0</v>
      </c>
      <c r="X2281">
        <v>2</v>
      </c>
      <c r="Z2281">
        <v>1</v>
      </c>
      <c r="AA2281">
        <v>7</v>
      </c>
      <c r="AB2281">
        <v>3</v>
      </c>
      <c r="AC2281">
        <v>0</v>
      </c>
      <c r="AD2281">
        <v>9</v>
      </c>
      <c r="AE2281">
        <v>0</v>
      </c>
      <c r="AF2281">
        <v>3</v>
      </c>
      <c r="AG2281">
        <v>1</v>
      </c>
      <c r="AH2281">
        <v>0</v>
      </c>
      <c r="AI2281" t="s">
        <v>1188</v>
      </c>
      <c r="AJ2281">
        <v>33.006748999999999</v>
      </c>
      <c r="AK2281" t="s">
        <v>1189</v>
      </c>
      <c r="AL2281">
        <v>-97.652707000000007</v>
      </c>
      <c r="AM2281">
        <v>25</v>
      </c>
      <c r="AN2281">
        <v>3200</v>
      </c>
      <c r="AO2281" t="s">
        <v>118</v>
      </c>
      <c r="AP2281">
        <v>-36</v>
      </c>
      <c r="AQ2281">
        <v>-65</v>
      </c>
      <c r="AR2281">
        <v>-64</v>
      </c>
      <c r="AZ2281">
        <v>1200</v>
      </c>
      <c r="BA2281">
        <v>1</v>
      </c>
      <c r="BB2281" t="str">
        <f t="shared" si="678"/>
        <v xml:space="preserve">N733KP  </v>
      </c>
      <c r="BC2281">
        <v>1</v>
      </c>
      <c r="BE2281">
        <v>0</v>
      </c>
      <c r="BF2281">
        <v>0</v>
      </c>
      <c r="BG2281">
        <v>0</v>
      </c>
      <c r="BH2281">
        <v>3225</v>
      </c>
      <c r="BI2281">
        <v>1</v>
      </c>
      <c r="BJ2281">
        <v>1</v>
      </c>
      <c r="BK2281">
        <v>0</v>
      </c>
      <c r="BL2281">
        <v>0</v>
      </c>
      <c r="BO2281">
        <v>0</v>
      </c>
      <c r="BP2281">
        <v>0</v>
      </c>
      <c r="BW2281" t="str">
        <f>"22:19:04.704"</f>
        <v>22:19:04.704</v>
      </c>
      <c r="CJ2281">
        <v>0</v>
      </c>
      <c r="CK2281">
        <v>2</v>
      </c>
      <c r="CL2281">
        <v>0</v>
      </c>
      <c r="CM2281">
        <v>2</v>
      </c>
      <c r="CN2281">
        <v>0</v>
      </c>
      <c r="CO2281">
        <v>5</v>
      </c>
      <c r="CP2281" t="s">
        <v>119</v>
      </c>
      <c r="CQ2281">
        <v>364</v>
      </c>
      <c r="CR2281">
        <v>0</v>
      </c>
      <c r="CW2281">
        <v>1451461</v>
      </c>
      <c r="CY2281">
        <v>1</v>
      </c>
      <c r="CZ2281">
        <v>0</v>
      </c>
      <c r="DA2281">
        <v>0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>"03/24/2022 22:19:04.855"</f>
        <v>03/24/2022 22:19:04.855</v>
      </c>
      <c r="C2282" t="str">
        <f t="shared" si="677"/>
        <v>FFDFD3C0</v>
      </c>
      <c r="D2282" t="s">
        <v>113</v>
      </c>
      <c r="E2282">
        <v>24</v>
      </c>
      <c r="F2282">
        <v>2024</v>
      </c>
      <c r="G2282" t="s">
        <v>114</v>
      </c>
      <c r="J2282" t="s">
        <v>115</v>
      </c>
      <c r="K2282">
        <v>0</v>
      </c>
      <c r="L2282">
        <v>3</v>
      </c>
      <c r="M2282">
        <v>0</v>
      </c>
      <c r="N2282">
        <v>2</v>
      </c>
      <c r="O2282">
        <v>0</v>
      </c>
      <c r="P2282">
        <v>1</v>
      </c>
      <c r="Q2282">
        <v>0</v>
      </c>
      <c r="S2282" t="str">
        <f t="shared" si="683"/>
        <v>22:19:04.000</v>
      </c>
      <c r="T2282" t="str">
        <f t="shared" si="683"/>
        <v>22:19:04.000</v>
      </c>
      <c r="U2282" t="str">
        <f t="shared" si="671"/>
        <v>A9D71F</v>
      </c>
      <c r="V2282">
        <v>0</v>
      </c>
      <c r="W2282">
        <v>0</v>
      </c>
      <c r="X2282">
        <v>2</v>
      </c>
      <c r="Z2282">
        <v>1</v>
      </c>
      <c r="AA2282">
        <v>7</v>
      </c>
      <c r="AB2282">
        <v>3</v>
      </c>
      <c r="AC2282">
        <v>0</v>
      </c>
      <c r="AD2282">
        <v>9</v>
      </c>
      <c r="AE2282">
        <v>0</v>
      </c>
      <c r="AF2282">
        <v>3</v>
      </c>
      <c r="AG2282">
        <v>1</v>
      </c>
      <c r="AH2282">
        <v>0</v>
      </c>
      <c r="AI2282" t="s">
        <v>1188</v>
      </c>
      <c r="AJ2282">
        <v>33.006748999999999</v>
      </c>
      <c r="AK2282" t="s">
        <v>1189</v>
      </c>
      <c r="AL2282">
        <v>-97.652707000000007</v>
      </c>
      <c r="AM2282">
        <v>25</v>
      </c>
      <c r="AN2282">
        <v>3200</v>
      </c>
      <c r="AO2282" t="s">
        <v>118</v>
      </c>
      <c r="AP2282">
        <v>-36</v>
      </c>
      <c r="AQ2282">
        <v>-65</v>
      </c>
      <c r="AR2282">
        <v>-64</v>
      </c>
      <c r="AZ2282">
        <v>1200</v>
      </c>
      <c r="BA2282">
        <v>1</v>
      </c>
      <c r="BB2282" t="str">
        <f t="shared" si="678"/>
        <v xml:space="preserve">N733KP  </v>
      </c>
      <c r="BC2282">
        <v>1</v>
      </c>
      <c r="BE2282">
        <v>0</v>
      </c>
      <c r="BF2282">
        <v>0</v>
      </c>
      <c r="BG2282">
        <v>0</v>
      </c>
      <c r="BH2282">
        <v>3225</v>
      </c>
      <c r="BI2282">
        <v>1</v>
      </c>
      <c r="BJ2282">
        <v>1</v>
      </c>
      <c r="BK2282">
        <v>0</v>
      </c>
      <c r="BL2282">
        <v>0</v>
      </c>
      <c r="BO2282">
        <v>0</v>
      </c>
      <c r="BP2282">
        <v>0</v>
      </c>
      <c r="BW2282" t="str">
        <f>"22:19:04.704"</f>
        <v>22:19:04.704</v>
      </c>
      <c r="CJ2282">
        <v>0</v>
      </c>
      <c r="CK2282">
        <v>2</v>
      </c>
      <c r="CL2282">
        <v>0</v>
      </c>
      <c r="CM2282">
        <v>2</v>
      </c>
      <c r="CN2282">
        <v>0</v>
      </c>
      <c r="CO2282">
        <v>5</v>
      </c>
      <c r="CP2282" t="s">
        <v>119</v>
      </c>
      <c r="CQ2282">
        <v>364</v>
      </c>
      <c r="CR2282">
        <v>0</v>
      </c>
      <c r="CW2282">
        <v>1451461</v>
      </c>
      <c r="CY2282">
        <v>1</v>
      </c>
      <c r="CZ2282">
        <v>0</v>
      </c>
      <c r="DA2282">
        <v>1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>"03/24/2022 22:19:04.917"</f>
        <v>03/24/2022 22:19:04.917</v>
      </c>
      <c r="C2283" t="str">
        <f t="shared" si="677"/>
        <v>FFDFD3C0</v>
      </c>
      <c r="D2283" t="s">
        <v>123</v>
      </c>
      <c r="E2283">
        <v>8</v>
      </c>
      <c r="H2283">
        <v>31</v>
      </c>
      <c r="I2283" t="s">
        <v>124</v>
      </c>
      <c r="J2283" t="s">
        <v>125</v>
      </c>
      <c r="K2283">
        <v>0</v>
      </c>
      <c r="L2283">
        <v>3</v>
      </c>
      <c r="M2283">
        <v>0</v>
      </c>
      <c r="N2283">
        <v>2</v>
      </c>
      <c r="O2283">
        <v>0</v>
      </c>
      <c r="P2283">
        <v>1</v>
      </c>
      <c r="Q2283">
        <v>0</v>
      </c>
      <c r="S2283" t="str">
        <f t="shared" si="683"/>
        <v>22:19:04.000</v>
      </c>
      <c r="T2283" t="str">
        <f t="shared" si="683"/>
        <v>22:19:04.000</v>
      </c>
      <c r="U2283" t="str">
        <f t="shared" si="671"/>
        <v>A9D71F</v>
      </c>
      <c r="V2283">
        <v>0</v>
      </c>
      <c r="W2283">
        <v>0</v>
      </c>
      <c r="X2283">
        <v>2</v>
      </c>
      <c r="Z2283">
        <v>1</v>
      </c>
      <c r="AA2283">
        <v>7</v>
      </c>
      <c r="AB2283">
        <v>3</v>
      </c>
      <c r="AC2283">
        <v>0</v>
      </c>
      <c r="AD2283">
        <v>9</v>
      </c>
      <c r="AE2283">
        <v>0</v>
      </c>
      <c r="AF2283">
        <v>3</v>
      </c>
      <c r="AG2283">
        <v>1</v>
      </c>
      <c r="AH2283">
        <v>0</v>
      </c>
      <c r="AI2283" t="s">
        <v>1188</v>
      </c>
      <c r="AJ2283">
        <v>33.006748999999999</v>
      </c>
      <c r="AK2283" t="s">
        <v>1189</v>
      </c>
      <c r="AL2283">
        <v>-97.652707000000007</v>
      </c>
      <c r="AM2283">
        <v>25</v>
      </c>
      <c r="AN2283">
        <v>3200</v>
      </c>
      <c r="AO2283" t="s">
        <v>118</v>
      </c>
      <c r="AP2283">
        <v>-36</v>
      </c>
      <c r="AQ2283">
        <v>-65</v>
      </c>
      <c r="AR2283">
        <v>-64</v>
      </c>
      <c r="AZ2283">
        <v>1200</v>
      </c>
      <c r="BA2283">
        <v>1</v>
      </c>
      <c r="BB2283" t="str">
        <f t="shared" si="678"/>
        <v xml:space="preserve">N733KP  </v>
      </c>
      <c r="BC2283">
        <v>1</v>
      </c>
      <c r="BE2283">
        <v>0</v>
      </c>
      <c r="BF2283">
        <v>0</v>
      </c>
      <c r="BG2283">
        <v>0</v>
      </c>
      <c r="BH2283">
        <v>3225</v>
      </c>
      <c r="BI2283">
        <v>1</v>
      </c>
      <c r="BJ2283">
        <v>1</v>
      </c>
      <c r="BK2283">
        <v>0</v>
      </c>
      <c r="BL2283">
        <v>0</v>
      </c>
      <c r="BO2283">
        <v>0</v>
      </c>
      <c r="BP2283">
        <v>0</v>
      </c>
      <c r="BW2283" t="str">
        <f>"22:19:04.704"</f>
        <v>22:19:04.704</v>
      </c>
      <c r="CJ2283">
        <v>0</v>
      </c>
      <c r="CK2283">
        <v>2</v>
      </c>
      <c r="CL2283">
        <v>0</v>
      </c>
      <c r="CM2283">
        <v>2</v>
      </c>
      <c r="CN2283">
        <v>0</v>
      </c>
      <c r="CO2283">
        <v>5</v>
      </c>
      <c r="CP2283" t="s">
        <v>119</v>
      </c>
      <c r="CQ2283">
        <v>364</v>
      </c>
      <c r="CR2283">
        <v>0</v>
      </c>
      <c r="CW2283">
        <v>1451461</v>
      </c>
      <c r="CY2283">
        <v>1</v>
      </c>
      <c r="CZ2283">
        <v>0</v>
      </c>
      <c r="DA2283">
        <v>1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>"03/24/2022 22:19:04.917"</f>
        <v>03/24/2022 22:19:04.917</v>
      </c>
      <c r="C2284" t="str">
        <f t="shared" si="677"/>
        <v>FFDFD3C0</v>
      </c>
      <c r="D2284" t="s">
        <v>126</v>
      </c>
      <c r="E2284">
        <v>3</v>
      </c>
      <c r="H2284">
        <v>160</v>
      </c>
      <c r="I2284" t="s">
        <v>121</v>
      </c>
      <c r="J2284" t="s">
        <v>127</v>
      </c>
      <c r="K2284">
        <v>0</v>
      </c>
      <c r="L2284">
        <v>3</v>
      </c>
      <c r="M2284">
        <v>0</v>
      </c>
      <c r="N2284">
        <v>2</v>
      </c>
      <c r="O2284">
        <v>0</v>
      </c>
      <c r="P2284">
        <v>1</v>
      </c>
      <c r="Q2284">
        <v>0</v>
      </c>
      <c r="S2284" t="str">
        <f t="shared" si="683"/>
        <v>22:19:04.000</v>
      </c>
      <c r="T2284" t="str">
        <f t="shared" si="683"/>
        <v>22:19:04.000</v>
      </c>
      <c r="U2284" t="str">
        <f t="shared" si="671"/>
        <v>A9D71F</v>
      </c>
      <c r="V2284">
        <v>0</v>
      </c>
      <c r="W2284">
        <v>0</v>
      </c>
      <c r="X2284">
        <v>2</v>
      </c>
      <c r="Z2284">
        <v>1</v>
      </c>
      <c r="AA2284">
        <v>7</v>
      </c>
      <c r="AB2284">
        <v>3</v>
      </c>
      <c r="AC2284">
        <v>0</v>
      </c>
      <c r="AD2284">
        <v>9</v>
      </c>
      <c r="AE2284">
        <v>0</v>
      </c>
      <c r="AF2284">
        <v>3</v>
      </c>
      <c r="AG2284">
        <v>1</v>
      </c>
      <c r="AH2284">
        <v>0</v>
      </c>
      <c r="AI2284" t="s">
        <v>1188</v>
      </c>
      <c r="AJ2284">
        <v>33.006748999999999</v>
      </c>
      <c r="AK2284" t="s">
        <v>1189</v>
      </c>
      <c r="AL2284">
        <v>-97.652707000000007</v>
      </c>
      <c r="AM2284">
        <v>25</v>
      </c>
      <c r="AN2284">
        <v>3200</v>
      </c>
      <c r="AO2284" t="s">
        <v>118</v>
      </c>
      <c r="AP2284">
        <v>-36</v>
      </c>
      <c r="AQ2284">
        <v>-65</v>
      </c>
      <c r="AR2284">
        <v>-64</v>
      </c>
      <c r="AZ2284">
        <v>1200</v>
      </c>
      <c r="BA2284">
        <v>1</v>
      </c>
      <c r="BB2284" t="str">
        <f t="shared" si="678"/>
        <v xml:space="preserve">N733KP  </v>
      </c>
      <c r="BC2284">
        <v>1</v>
      </c>
      <c r="BE2284">
        <v>0</v>
      </c>
      <c r="BF2284">
        <v>0</v>
      </c>
      <c r="BG2284">
        <v>0</v>
      </c>
      <c r="BH2284">
        <v>3225</v>
      </c>
      <c r="BI2284">
        <v>1</v>
      </c>
      <c r="BJ2284">
        <v>1</v>
      </c>
      <c r="BK2284">
        <v>0</v>
      </c>
      <c r="BL2284">
        <v>0</v>
      </c>
      <c r="BO2284">
        <v>0</v>
      </c>
      <c r="BP2284">
        <v>0</v>
      </c>
      <c r="BW2284" t="str">
        <f>"22:19:04.704"</f>
        <v>22:19:04.704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5</v>
      </c>
      <c r="CP2284" t="s">
        <v>119</v>
      </c>
      <c r="CQ2284">
        <v>364</v>
      </c>
      <c r="CR2284">
        <v>0</v>
      </c>
      <c r="CW2284">
        <v>1451461</v>
      </c>
      <c r="CY2284">
        <v>1</v>
      </c>
      <c r="CZ2284">
        <v>0</v>
      </c>
      <c r="DA2284">
        <v>1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>"03/24/2022 22:19:05.823"</f>
        <v>03/24/2022 22:19:05.823</v>
      </c>
      <c r="C2285" t="str">
        <f t="shared" si="677"/>
        <v>FFDFD3C0</v>
      </c>
      <c r="D2285" t="s">
        <v>120</v>
      </c>
      <c r="E2285">
        <v>14</v>
      </c>
      <c r="F2285">
        <v>1014</v>
      </c>
      <c r="G2285" t="s">
        <v>121</v>
      </c>
      <c r="J2285" t="s">
        <v>122</v>
      </c>
      <c r="K2285">
        <v>0</v>
      </c>
      <c r="L2285">
        <v>3</v>
      </c>
      <c r="M2285">
        <v>0</v>
      </c>
      <c r="N2285">
        <v>2</v>
      </c>
      <c r="O2285">
        <v>0</v>
      </c>
      <c r="P2285">
        <v>1</v>
      </c>
      <c r="Q2285">
        <v>0</v>
      </c>
      <c r="S2285" t="str">
        <f t="shared" ref="S2285:T2288" si="684">"22:19:05.000"</f>
        <v>22:19:05.000</v>
      </c>
      <c r="T2285" t="str">
        <f t="shared" si="684"/>
        <v>22:19:05.000</v>
      </c>
      <c r="U2285" t="str">
        <f t="shared" si="671"/>
        <v>A9D71F</v>
      </c>
      <c r="V2285">
        <v>0</v>
      </c>
      <c r="W2285">
        <v>0</v>
      </c>
      <c r="X2285">
        <v>2</v>
      </c>
      <c r="Z2285">
        <v>1</v>
      </c>
      <c r="AA2285">
        <v>7</v>
      </c>
      <c r="AB2285">
        <v>3</v>
      </c>
      <c r="AC2285">
        <v>0</v>
      </c>
      <c r="AD2285">
        <v>9</v>
      </c>
      <c r="AE2285">
        <v>0</v>
      </c>
      <c r="AF2285">
        <v>3</v>
      </c>
      <c r="AG2285">
        <v>1</v>
      </c>
      <c r="AH2285">
        <v>0</v>
      </c>
      <c r="AI2285" t="s">
        <v>1190</v>
      </c>
      <c r="AJ2285">
        <v>33.00647</v>
      </c>
      <c r="AK2285" t="s">
        <v>1191</v>
      </c>
      <c r="AL2285">
        <v>-97.652942999999993</v>
      </c>
      <c r="AM2285">
        <v>25</v>
      </c>
      <c r="AN2285">
        <v>3200</v>
      </c>
      <c r="AO2285" t="s">
        <v>118</v>
      </c>
      <c r="AP2285">
        <v>-37</v>
      </c>
      <c r="AQ2285">
        <v>-63</v>
      </c>
      <c r="AR2285">
        <v>-128</v>
      </c>
      <c r="AZ2285">
        <v>1200</v>
      </c>
      <c r="BA2285">
        <v>1</v>
      </c>
      <c r="BB2285" t="str">
        <f t="shared" si="678"/>
        <v xml:space="preserve">N733KP  </v>
      </c>
      <c r="BC2285">
        <v>1</v>
      </c>
      <c r="BE2285">
        <v>0</v>
      </c>
      <c r="BF2285">
        <v>0</v>
      </c>
      <c r="BG2285">
        <v>0</v>
      </c>
      <c r="BH2285">
        <v>3200</v>
      </c>
      <c r="BI2285">
        <v>1</v>
      </c>
      <c r="BJ2285">
        <v>1</v>
      </c>
      <c r="BK2285">
        <v>0</v>
      </c>
      <c r="BL2285">
        <v>0</v>
      </c>
      <c r="BO2285">
        <v>0</v>
      </c>
      <c r="BP2285">
        <v>0</v>
      </c>
      <c r="BW2285" t="str">
        <f>"22:19:05.653"</f>
        <v>22:19:05.653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6</v>
      </c>
      <c r="CP2285" t="s">
        <v>119</v>
      </c>
      <c r="CQ2285">
        <v>364</v>
      </c>
      <c r="CR2285">
        <v>0</v>
      </c>
      <c r="CW2285">
        <v>1451582</v>
      </c>
      <c r="CY2285">
        <v>1</v>
      </c>
      <c r="CZ2285">
        <v>0</v>
      </c>
      <c r="DA2285">
        <v>0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>"03/24/2022 22:19:05.823"</f>
        <v>03/24/2022 22:19:05.823</v>
      </c>
      <c r="C2286" t="str">
        <f t="shared" si="677"/>
        <v>FFDFD3C0</v>
      </c>
      <c r="D2286" t="s">
        <v>113</v>
      </c>
      <c r="E2286">
        <v>24</v>
      </c>
      <c r="F2286">
        <v>2024</v>
      </c>
      <c r="G2286" t="s">
        <v>114</v>
      </c>
      <c r="J2286" t="s">
        <v>115</v>
      </c>
      <c r="K2286">
        <v>0</v>
      </c>
      <c r="L2286">
        <v>3</v>
      </c>
      <c r="M2286">
        <v>0</v>
      </c>
      <c r="N2286">
        <v>2</v>
      </c>
      <c r="O2286">
        <v>0</v>
      </c>
      <c r="P2286">
        <v>1</v>
      </c>
      <c r="Q2286">
        <v>0</v>
      </c>
      <c r="S2286" t="str">
        <f t="shared" si="684"/>
        <v>22:19:05.000</v>
      </c>
      <c r="T2286" t="str">
        <f t="shared" si="684"/>
        <v>22:19:05.000</v>
      </c>
      <c r="U2286" t="str">
        <f t="shared" si="671"/>
        <v>A9D71F</v>
      </c>
      <c r="V2286">
        <v>0</v>
      </c>
      <c r="W2286">
        <v>0</v>
      </c>
      <c r="X2286">
        <v>2</v>
      </c>
      <c r="Z2286">
        <v>1</v>
      </c>
      <c r="AA2286">
        <v>7</v>
      </c>
      <c r="AB2286">
        <v>3</v>
      </c>
      <c r="AC2286">
        <v>0</v>
      </c>
      <c r="AD2286">
        <v>9</v>
      </c>
      <c r="AE2286">
        <v>0</v>
      </c>
      <c r="AF2286">
        <v>3</v>
      </c>
      <c r="AG2286">
        <v>1</v>
      </c>
      <c r="AH2286">
        <v>0</v>
      </c>
      <c r="AI2286" t="s">
        <v>1190</v>
      </c>
      <c r="AJ2286">
        <v>33.00647</v>
      </c>
      <c r="AK2286" t="s">
        <v>1191</v>
      </c>
      <c r="AL2286">
        <v>-97.652942999999993</v>
      </c>
      <c r="AM2286">
        <v>25</v>
      </c>
      <c r="AN2286">
        <v>3200</v>
      </c>
      <c r="AO2286" t="s">
        <v>118</v>
      </c>
      <c r="AP2286">
        <v>-37</v>
      </c>
      <c r="AQ2286">
        <v>-63</v>
      </c>
      <c r="AR2286">
        <v>-128</v>
      </c>
      <c r="AZ2286">
        <v>1200</v>
      </c>
      <c r="BA2286">
        <v>1</v>
      </c>
      <c r="BB2286" t="str">
        <f t="shared" si="678"/>
        <v xml:space="preserve">N733KP  </v>
      </c>
      <c r="BC2286">
        <v>1</v>
      </c>
      <c r="BE2286">
        <v>0</v>
      </c>
      <c r="BF2286">
        <v>0</v>
      </c>
      <c r="BG2286">
        <v>0</v>
      </c>
      <c r="BH2286">
        <v>3200</v>
      </c>
      <c r="BI2286">
        <v>1</v>
      </c>
      <c r="BJ2286">
        <v>1</v>
      </c>
      <c r="BK2286">
        <v>0</v>
      </c>
      <c r="BL2286">
        <v>0</v>
      </c>
      <c r="BO2286">
        <v>0</v>
      </c>
      <c r="BP2286">
        <v>0</v>
      </c>
      <c r="BW2286" t="str">
        <f>"22:19:05.653"</f>
        <v>22:19:05.653</v>
      </c>
      <c r="CJ2286">
        <v>0</v>
      </c>
      <c r="CK2286">
        <v>2</v>
      </c>
      <c r="CL2286">
        <v>0</v>
      </c>
      <c r="CM2286">
        <v>2</v>
      </c>
      <c r="CN2286">
        <v>0</v>
      </c>
      <c r="CO2286">
        <v>6</v>
      </c>
      <c r="CP2286" t="s">
        <v>119</v>
      </c>
      <c r="CQ2286">
        <v>364</v>
      </c>
      <c r="CR2286">
        <v>0</v>
      </c>
      <c r="CW2286">
        <v>1451582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>"03/24/2022 22:19:05.823"</f>
        <v>03/24/2022 22:19:05.823</v>
      </c>
      <c r="C2287" t="str">
        <f t="shared" si="677"/>
        <v>FFDFD3C0</v>
      </c>
      <c r="D2287" t="s">
        <v>123</v>
      </c>
      <c r="E2287">
        <v>8</v>
      </c>
      <c r="H2287">
        <v>31</v>
      </c>
      <c r="I2287" t="s">
        <v>124</v>
      </c>
      <c r="J2287" t="s">
        <v>125</v>
      </c>
      <c r="K2287">
        <v>0</v>
      </c>
      <c r="L2287">
        <v>3</v>
      </c>
      <c r="M2287">
        <v>0</v>
      </c>
      <c r="N2287">
        <v>2</v>
      </c>
      <c r="O2287">
        <v>0</v>
      </c>
      <c r="P2287">
        <v>1</v>
      </c>
      <c r="Q2287">
        <v>0</v>
      </c>
      <c r="S2287" t="str">
        <f t="shared" si="684"/>
        <v>22:19:05.000</v>
      </c>
      <c r="T2287" t="str">
        <f t="shared" si="684"/>
        <v>22:19:05.000</v>
      </c>
      <c r="U2287" t="str">
        <f t="shared" si="671"/>
        <v>A9D71F</v>
      </c>
      <c r="V2287">
        <v>0</v>
      </c>
      <c r="W2287">
        <v>0</v>
      </c>
      <c r="X2287">
        <v>2</v>
      </c>
      <c r="Z2287">
        <v>1</v>
      </c>
      <c r="AA2287">
        <v>7</v>
      </c>
      <c r="AB2287">
        <v>3</v>
      </c>
      <c r="AC2287">
        <v>0</v>
      </c>
      <c r="AD2287">
        <v>9</v>
      </c>
      <c r="AE2287">
        <v>0</v>
      </c>
      <c r="AF2287">
        <v>3</v>
      </c>
      <c r="AG2287">
        <v>1</v>
      </c>
      <c r="AH2287">
        <v>0</v>
      </c>
      <c r="AI2287" t="s">
        <v>1190</v>
      </c>
      <c r="AJ2287">
        <v>33.00647</v>
      </c>
      <c r="AK2287" t="s">
        <v>1191</v>
      </c>
      <c r="AL2287">
        <v>-97.652942999999993</v>
      </c>
      <c r="AM2287">
        <v>25</v>
      </c>
      <c r="AN2287">
        <v>3200</v>
      </c>
      <c r="AO2287" t="s">
        <v>118</v>
      </c>
      <c r="AP2287">
        <v>-37</v>
      </c>
      <c r="AQ2287">
        <v>-63</v>
      </c>
      <c r="AR2287">
        <v>-128</v>
      </c>
      <c r="AZ2287">
        <v>1200</v>
      </c>
      <c r="BA2287">
        <v>1</v>
      </c>
      <c r="BB2287" t="str">
        <f t="shared" si="678"/>
        <v xml:space="preserve">N733KP  </v>
      </c>
      <c r="BC2287">
        <v>1</v>
      </c>
      <c r="BE2287">
        <v>0</v>
      </c>
      <c r="BF2287">
        <v>0</v>
      </c>
      <c r="BG2287">
        <v>0</v>
      </c>
      <c r="BH2287">
        <v>3200</v>
      </c>
      <c r="BI2287">
        <v>1</v>
      </c>
      <c r="BJ2287">
        <v>1</v>
      </c>
      <c r="BK2287">
        <v>0</v>
      </c>
      <c r="BL2287">
        <v>0</v>
      </c>
      <c r="BO2287">
        <v>0</v>
      </c>
      <c r="BP2287">
        <v>0</v>
      </c>
      <c r="BW2287" t="str">
        <f>"22:19:05.653"</f>
        <v>22:19:05.653</v>
      </c>
      <c r="CJ2287">
        <v>0</v>
      </c>
      <c r="CK2287">
        <v>2</v>
      </c>
      <c r="CL2287">
        <v>0</v>
      </c>
      <c r="CM2287">
        <v>2</v>
      </c>
      <c r="CN2287">
        <v>0</v>
      </c>
      <c r="CO2287">
        <v>6</v>
      </c>
      <c r="CP2287" t="s">
        <v>119</v>
      </c>
      <c r="CQ2287">
        <v>364</v>
      </c>
      <c r="CR2287">
        <v>0</v>
      </c>
      <c r="CW2287">
        <v>1451582</v>
      </c>
      <c r="CY2287">
        <v>1</v>
      </c>
      <c r="CZ2287">
        <v>0</v>
      </c>
      <c r="DA2287">
        <v>1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>"03/24/2022 22:19:05.855"</f>
        <v>03/24/2022 22:19:05.855</v>
      </c>
      <c r="C2288" t="str">
        <f t="shared" si="677"/>
        <v>FFDFD3C0</v>
      </c>
      <c r="D2288" t="s">
        <v>126</v>
      </c>
      <c r="E2288">
        <v>3</v>
      </c>
      <c r="H2288">
        <v>160</v>
      </c>
      <c r="I2288" t="s">
        <v>121</v>
      </c>
      <c r="J2288" t="s">
        <v>127</v>
      </c>
      <c r="K2288">
        <v>0</v>
      </c>
      <c r="L2288">
        <v>3</v>
      </c>
      <c r="M2288">
        <v>0</v>
      </c>
      <c r="N2288">
        <v>2</v>
      </c>
      <c r="O2288">
        <v>0</v>
      </c>
      <c r="P2288">
        <v>1</v>
      </c>
      <c r="Q2288">
        <v>0</v>
      </c>
      <c r="S2288" t="str">
        <f t="shared" si="684"/>
        <v>22:19:05.000</v>
      </c>
      <c r="T2288" t="str">
        <f t="shared" si="684"/>
        <v>22:19:05.000</v>
      </c>
      <c r="U2288" t="str">
        <f t="shared" si="671"/>
        <v>A9D71F</v>
      </c>
      <c r="V2288">
        <v>0</v>
      </c>
      <c r="W2288">
        <v>0</v>
      </c>
      <c r="X2288">
        <v>2</v>
      </c>
      <c r="Z2288">
        <v>1</v>
      </c>
      <c r="AA2288">
        <v>7</v>
      </c>
      <c r="AB2288">
        <v>3</v>
      </c>
      <c r="AC2288">
        <v>0</v>
      </c>
      <c r="AD2288">
        <v>9</v>
      </c>
      <c r="AE2288">
        <v>0</v>
      </c>
      <c r="AF2288">
        <v>3</v>
      </c>
      <c r="AG2288">
        <v>1</v>
      </c>
      <c r="AH2288">
        <v>0</v>
      </c>
      <c r="AI2288" t="s">
        <v>1190</v>
      </c>
      <c r="AJ2288">
        <v>33.00647</v>
      </c>
      <c r="AK2288" t="s">
        <v>1191</v>
      </c>
      <c r="AL2288">
        <v>-97.652942999999993</v>
      </c>
      <c r="AM2288">
        <v>25</v>
      </c>
      <c r="AN2288">
        <v>3200</v>
      </c>
      <c r="AO2288" t="s">
        <v>118</v>
      </c>
      <c r="AP2288">
        <v>-37</v>
      </c>
      <c r="AQ2288">
        <v>-63</v>
      </c>
      <c r="AR2288">
        <v>-128</v>
      </c>
      <c r="AZ2288">
        <v>1200</v>
      </c>
      <c r="BA2288">
        <v>1</v>
      </c>
      <c r="BB2288" t="str">
        <f t="shared" si="678"/>
        <v xml:space="preserve">N733KP  </v>
      </c>
      <c r="BC2288">
        <v>1</v>
      </c>
      <c r="BE2288">
        <v>0</v>
      </c>
      <c r="BF2288">
        <v>0</v>
      </c>
      <c r="BG2288">
        <v>0</v>
      </c>
      <c r="BH2288">
        <v>3200</v>
      </c>
      <c r="BI2288">
        <v>1</v>
      </c>
      <c r="BJ2288">
        <v>1</v>
      </c>
      <c r="BK2288">
        <v>0</v>
      </c>
      <c r="BL2288">
        <v>0</v>
      </c>
      <c r="BO2288">
        <v>0</v>
      </c>
      <c r="BP2288">
        <v>0</v>
      </c>
      <c r="BW2288" t="str">
        <f>"22:19:05.653"</f>
        <v>22:19:05.653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6</v>
      </c>
      <c r="CP2288" t="s">
        <v>119</v>
      </c>
      <c r="CQ2288">
        <v>364</v>
      </c>
      <c r="CR2288">
        <v>0</v>
      </c>
      <c r="CW2288">
        <v>1451582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>"03/24/2022 22:19:06.964"</f>
        <v>03/24/2022 22:19:06.964</v>
      </c>
      <c r="C2289" t="str">
        <f t="shared" si="677"/>
        <v>FFDFD3C0</v>
      </c>
      <c r="D2289" t="s">
        <v>126</v>
      </c>
      <c r="E2289">
        <v>3</v>
      </c>
      <c r="H2289">
        <v>160</v>
      </c>
      <c r="I2289" t="s">
        <v>121</v>
      </c>
      <c r="J2289" t="s">
        <v>127</v>
      </c>
      <c r="K2289">
        <v>0</v>
      </c>
      <c r="L2289">
        <v>3</v>
      </c>
      <c r="M2289">
        <v>0</v>
      </c>
      <c r="N2289">
        <v>2</v>
      </c>
      <c r="O2289">
        <v>0</v>
      </c>
      <c r="P2289">
        <v>1</v>
      </c>
      <c r="Q2289">
        <v>0</v>
      </c>
      <c r="S2289" t="str">
        <f t="shared" ref="S2289:T2292" si="685">"22:19:06.000"</f>
        <v>22:19:06.000</v>
      </c>
      <c r="T2289" t="str">
        <f t="shared" si="685"/>
        <v>22:19:06.000</v>
      </c>
      <c r="U2289" t="str">
        <f t="shared" si="671"/>
        <v>A9D71F</v>
      </c>
      <c r="V2289">
        <v>0</v>
      </c>
      <c r="W2289">
        <v>0</v>
      </c>
      <c r="X2289">
        <v>2</v>
      </c>
      <c r="Z2289">
        <v>1</v>
      </c>
      <c r="AA2289">
        <v>7</v>
      </c>
      <c r="AB2289">
        <v>3</v>
      </c>
      <c r="AC2289">
        <v>0</v>
      </c>
      <c r="AD2289">
        <v>9</v>
      </c>
      <c r="AE2289">
        <v>0</v>
      </c>
      <c r="AF2289">
        <v>3</v>
      </c>
      <c r="AG2289">
        <v>1</v>
      </c>
      <c r="AH2289">
        <v>0</v>
      </c>
      <c r="AI2289" t="s">
        <v>1192</v>
      </c>
      <c r="AJ2289">
        <v>33.006213000000002</v>
      </c>
      <c r="AK2289" t="s">
        <v>1193</v>
      </c>
      <c r="AL2289">
        <v>-97.653158000000005</v>
      </c>
      <c r="AM2289">
        <v>25</v>
      </c>
      <c r="AN2289">
        <v>3200</v>
      </c>
      <c r="AO2289" t="s">
        <v>118</v>
      </c>
      <c r="AP2289">
        <v>-37</v>
      </c>
      <c r="AQ2289">
        <v>-62</v>
      </c>
      <c r="AR2289">
        <v>-256</v>
      </c>
      <c r="AZ2289">
        <v>1200</v>
      </c>
      <c r="BA2289">
        <v>1</v>
      </c>
      <c r="BB2289" t="str">
        <f t="shared" si="678"/>
        <v xml:space="preserve">N733KP  </v>
      </c>
      <c r="BC2289">
        <v>1</v>
      </c>
      <c r="BE2289">
        <v>0</v>
      </c>
      <c r="BF2289">
        <v>0</v>
      </c>
      <c r="BG2289">
        <v>0</v>
      </c>
      <c r="BH2289">
        <v>3200</v>
      </c>
      <c r="BI2289">
        <v>1</v>
      </c>
      <c r="BJ2289">
        <v>1</v>
      </c>
      <c r="BK2289">
        <v>0</v>
      </c>
      <c r="BL2289">
        <v>0</v>
      </c>
      <c r="BO2289">
        <v>0</v>
      </c>
      <c r="BP2289">
        <v>0</v>
      </c>
      <c r="BW2289" t="str">
        <f>"22:19:06.803"</f>
        <v>22:19:06.803</v>
      </c>
      <c r="CJ2289">
        <v>0</v>
      </c>
      <c r="CK2289">
        <v>2</v>
      </c>
      <c r="CL2289">
        <v>0</v>
      </c>
      <c r="CM2289">
        <v>2</v>
      </c>
      <c r="CN2289">
        <v>0</v>
      </c>
      <c r="CO2289">
        <v>6</v>
      </c>
      <c r="CP2289" t="s">
        <v>119</v>
      </c>
      <c r="CQ2289">
        <v>365</v>
      </c>
      <c r="CR2289">
        <v>0</v>
      </c>
      <c r="CW2289">
        <v>11528600</v>
      </c>
      <c r="CY2289">
        <v>1</v>
      </c>
      <c r="CZ2289">
        <v>0</v>
      </c>
      <c r="DA2289">
        <v>0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>"03/24/2022 22:19:07.042"</f>
        <v>03/24/2022 22:19:07.042</v>
      </c>
      <c r="C2290" t="str">
        <f t="shared" si="677"/>
        <v>FFDFD3C0</v>
      </c>
      <c r="D2290" t="s">
        <v>120</v>
      </c>
      <c r="E2290">
        <v>14</v>
      </c>
      <c r="F2290">
        <v>1014</v>
      </c>
      <c r="G2290" t="s">
        <v>121</v>
      </c>
      <c r="J2290" t="s">
        <v>122</v>
      </c>
      <c r="K2290">
        <v>0</v>
      </c>
      <c r="L2290">
        <v>3</v>
      </c>
      <c r="M2290">
        <v>0</v>
      </c>
      <c r="N2290">
        <v>2</v>
      </c>
      <c r="O2290">
        <v>0</v>
      </c>
      <c r="P2290">
        <v>1</v>
      </c>
      <c r="Q2290">
        <v>0</v>
      </c>
      <c r="S2290" t="str">
        <f t="shared" si="685"/>
        <v>22:19:06.000</v>
      </c>
      <c r="T2290" t="str">
        <f t="shared" si="685"/>
        <v>22:19:06.000</v>
      </c>
      <c r="U2290" t="str">
        <f t="shared" si="671"/>
        <v>A9D71F</v>
      </c>
      <c r="V2290">
        <v>0</v>
      </c>
      <c r="W2290">
        <v>0</v>
      </c>
      <c r="X2290">
        <v>2</v>
      </c>
      <c r="Z2290">
        <v>1</v>
      </c>
      <c r="AA2290">
        <v>7</v>
      </c>
      <c r="AB2290">
        <v>3</v>
      </c>
      <c r="AC2290">
        <v>0</v>
      </c>
      <c r="AD2290">
        <v>9</v>
      </c>
      <c r="AE2290">
        <v>0</v>
      </c>
      <c r="AF2290">
        <v>3</v>
      </c>
      <c r="AG2290">
        <v>1</v>
      </c>
      <c r="AH2290">
        <v>0</v>
      </c>
      <c r="AI2290" t="s">
        <v>1192</v>
      </c>
      <c r="AJ2290">
        <v>33.006213000000002</v>
      </c>
      <c r="AK2290" t="s">
        <v>1193</v>
      </c>
      <c r="AL2290">
        <v>-97.653158000000005</v>
      </c>
      <c r="AM2290">
        <v>25</v>
      </c>
      <c r="AN2290">
        <v>3200</v>
      </c>
      <c r="AO2290" t="s">
        <v>118</v>
      </c>
      <c r="AP2290">
        <v>-37</v>
      </c>
      <c r="AQ2290">
        <v>-62</v>
      </c>
      <c r="AR2290">
        <v>-256</v>
      </c>
      <c r="AZ2290">
        <v>1200</v>
      </c>
      <c r="BA2290">
        <v>1</v>
      </c>
      <c r="BB2290" t="str">
        <f t="shared" si="678"/>
        <v xml:space="preserve">N733KP  </v>
      </c>
      <c r="BC2290">
        <v>1</v>
      </c>
      <c r="BE2290">
        <v>0</v>
      </c>
      <c r="BF2290">
        <v>0</v>
      </c>
      <c r="BG2290">
        <v>0</v>
      </c>
      <c r="BH2290">
        <v>3200</v>
      </c>
      <c r="BI2290">
        <v>1</v>
      </c>
      <c r="BJ2290">
        <v>1</v>
      </c>
      <c r="BK2290">
        <v>0</v>
      </c>
      <c r="BL2290">
        <v>0</v>
      </c>
      <c r="BO2290">
        <v>0</v>
      </c>
      <c r="BP2290">
        <v>0</v>
      </c>
      <c r="BW2290" t="str">
        <f>"22:19:06.803"</f>
        <v>22:19:06.803</v>
      </c>
      <c r="CJ2290">
        <v>0</v>
      </c>
      <c r="CK2290">
        <v>2</v>
      </c>
      <c r="CL2290">
        <v>0</v>
      </c>
      <c r="CM2290">
        <v>2</v>
      </c>
      <c r="CN2290">
        <v>0</v>
      </c>
      <c r="CO2290">
        <v>6</v>
      </c>
      <c r="CP2290" t="s">
        <v>119</v>
      </c>
      <c r="CQ2290">
        <v>365</v>
      </c>
      <c r="CR2290">
        <v>0</v>
      </c>
      <c r="CW2290">
        <v>11528600</v>
      </c>
      <c r="CY2290">
        <v>1</v>
      </c>
      <c r="CZ2290">
        <v>0</v>
      </c>
      <c r="DA2290">
        <v>1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>"03/24/2022 22:19:07.042"</f>
        <v>03/24/2022 22:19:07.042</v>
      </c>
      <c r="C2291" t="str">
        <f t="shared" si="677"/>
        <v>FFDFD3C0</v>
      </c>
      <c r="D2291" t="s">
        <v>113</v>
      </c>
      <c r="E2291">
        <v>24</v>
      </c>
      <c r="F2291">
        <v>2024</v>
      </c>
      <c r="G2291" t="s">
        <v>114</v>
      </c>
      <c r="J2291" t="s">
        <v>115</v>
      </c>
      <c r="K2291">
        <v>0</v>
      </c>
      <c r="L2291">
        <v>3</v>
      </c>
      <c r="M2291">
        <v>0</v>
      </c>
      <c r="N2291">
        <v>2</v>
      </c>
      <c r="O2291">
        <v>0</v>
      </c>
      <c r="P2291">
        <v>1</v>
      </c>
      <c r="Q2291">
        <v>0</v>
      </c>
      <c r="S2291" t="str">
        <f t="shared" si="685"/>
        <v>22:19:06.000</v>
      </c>
      <c r="T2291" t="str">
        <f t="shared" si="685"/>
        <v>22:19:06.000</v>
      </c>
      <c r="U2291" t="str">
        <f t="shared" si="671"/>
        <v>A9D71F</v>
      </c>
      <c r="V2291">
        <v>0</v>
      </c>
      <c r="W2291">
        <v>0</v>
      </c>
      <c r="X2291">
        <v>2</v>
      </c>
      <c r="Z2291">
        <v>1</v>
      </c>
      <c r="AA2291">
        <v>7</v>
      </c>
      <c r="AB2291">
        <v>3</v>
      </c>
      <c r="AC2291">
        <v>0</v>
      </c>
      <c r="AD2291">
        <v>9</v>
      </c>
      <c r="AE2291">
        <v>0</v>
      </c>
      <c r="AF2291">
        <v>3</v>
      </c>
      <c r="AG2291">
        <v>1</v>
      </c>
      <c r="AH2291">
        <v>0</v>
      </c>
      <c r="AI2291" t="s">
        <v>1192</v>
      </c>
      <c r="AJ2291">
        <v>33.006213000000002</v>
      </c>
      <c r="AK2291" t="s">
        <v>1193</v>
      </c>
      <c r="AL2291">
        <v>-97.653158000000005</v>
      </c>
      <c r="AM2291">
        <v>25</v>
      </c>
      <c r="AN2291">
        <v>3200</v>
      </c>
      <c r="AO2291" t="s">
        <v>118</v>
      </c>
      <c r="AP2291">
        <v>-37</v>
      </c>
      <c r="AQ2291">
        <v>-62</v>
      </c>
      <c r="AR2291">
        <v>-256</v>
      </c>
      <c r="AZ2291">
        <v>1200</v>
      </c>
      <c r="BA2291">
        <v>1</v>
      </c>
      <c r="BB2291" t="str">
        <f t="shared" si="678"/>
        <v xml:space="preserve">N733KP  </v>
      </c>
      <c r="BC2291">
        <v>1</v>
      </c>
      <c r="BE2291">
        <v>0</v>
      </c>
      <c r="BF2291">
        <v>0</v>
      </c>
      <c r="BG2291">
        <v>0</v>
      </c>
      <c r="BH2291">
        <v>3200</v>
      </c>
      <c r="BI2291">
        <v>1</v>
      </c>
      <c r="BJ2291">
        <v>1</v>
      </c>
      <c r="BK2291">
        <v>0</v>
      </c>
      <c r="BL2291">
        <v>0</v>
      </c>
      <c r="BO2291">
        <v>0</v>
      </c>
      <c r="BP2291">
        <v>0</v>
      </c>
      <c r="BW2291" t="str">
        <f>"22:19:06.803"</f>
        <v>22:19:06.803</v>
      </c>
      <c r="CJ2291">
        <v>0</v>
      </c>
      <c r="CK2291">
        <v>2</v>
      </c>
      <c r="CL2291">
        <v>0</v>
      </c>
      <c r="CM2291">
        <v>2</v>
      </c>
      <c r="CN2291">
        <v>0</v>
      </c>
      <c r="CO2291">
        <v>6</v>
      </c>
      <c r="CP2291" t="s">
        <v>119</v>
      </c>
      <c r="CQ2291">
        <v>365</v>
      </c>
      <c r="CR2291">
        <v>0</v>
      </c>
      <c r="CW2291">
        <v>11528600</v>
      </c>
      <c r="CY2291">
        <v>1</v>
      </c>
      <c r="CZ2291">
        <v>0</v>
      </c>
      <c r="DA2291">
        <v>1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>"03/24/2022 22:19:07.042"</f>
        <v>03/24/2022 22:19:07.042</v>
      </c>
      <c r="C2292" t="str">
        <f t="shared" si="677"/>
        <v>FFDFD3C0</v>
      </c>
      <c r="D2292" t="s">
        <v>123</v>
      </c>
      <c r="E2292">
        <v>8</v>
      </c>
      <c r="H2292">
        <v>31</v>
      </c>
      <c r="I2292" t="s">
        <v>124</v>
      </c>
      <c r="J2292" t="s">
        <v>125</v>
      </c>
      <c r="K2292">
        <v>0</v>
      </c>
      <c r="L2292">
        <v>3</v>
      </c>
      <c r="M2292">
        <v>0</v>
      </c>
      <c r="N2292">
        <v>2</v>
      </c>
      <c r="O2292">
        <v>0</v>
      </c>
      <c r="P2292">
        <v>1</v>
      </c>
      <c r="Q2292">
        <v>0</v>
      </c>
      <c r="S2292" t="str">
        <f t="shared" si="685"/>
        <v>22:19:06.000</v>
      </c>
      <c r="T2292" t="str">
        <f t="shared" si="685"/>
        <v>22:19:06.000</v>
      </c>
      <c r="U2292" t="str">
        <f t="shared" si="671"/>
        <v>A9D71F</v>
      </c>
      <c r="V2292">
        <v>0</v>
      </c>
      <c r="W2292">
        <v>0</v>
      </c>
      <c r="X2292">
        <v>2</v>
      </c>
      <c r="Z2292">
        <v>1</v>
      </c>
      <c r="AA2292">
        <v>7</v>
      </c>
      <c r="AB2292">
        <v>3</v>
      </c>
      <c r="AC2292">
        <v>0</v>
      </c>
      <c r="AD2292">
        <v>9</v>
      </c>
      <c r="AE2292">
        <v>0</v>
      </c>
      <c r="AF2292">
        <v>3</v>
      </c>
      <c r="AG2292">
        <v>1</v>
      </c>
      <c r="AH2292">
        <v>0</v>
      </c>
      <c r="AI2292" t="s">
        <v>1192</v>
      </c>
      <c r="AJ2292">
        <v>33.006213000000002</v>
      </c>
      <c r="AK2292" t="s">
        <v>1193</v>
      </c>
      <c r="AL2292">
        <v>-97.653158000000005</v>
      </c>
      <c r="AM2292">
        <v>25</v>
      </c>
      <c r="AN2292">
        <v>3200</v>
      </c>
      <c r="AO2292" t="s">
        <v>118</v>
      </c>
      <c r="AP2292">
        <v>-37</v>
      </c>
      <c r="AQ2292">
        <v>-62</v>
      </c>
      <c r="AR2292">
        <v>-256</v>
      </c>
      <c r="AZ2292">
        <v>1200</v>
      </c>
      <c r="BA2292">
        <v>1</v>
      </c>
      <c r="BB2292" t="str">
        <f t="shared" si="678"/>
        <v xml:space="preserve">N733KP  </v>
      </c>
      <c r="BC2292">
        <v>1</v>
      </c>
      <c r="BE2292">
        <v>0</v>
      </c>
      <c r="BF2292">
        <v>0</v>
      </c>
      <c r="BG2292">
        <v>0</v>
      </c>
      <c r="BH2292">
        <v>3200</v>
      </c>
      <c r="BI2292">
        <v>1</v>
      </c>
      <c r="BJ2292">
        <v>1</v>
      </c>
      <c r="BK2292">
        <v>0</v>
      </c>
      <c r="BL2292">
        <v>0</v>
      </c>
      <c r="BO2292">
        <v>0</v>
      </c>
      <c r="BP2292">
        <v>0</v>
      </c>
      <c r="BW2292" t="str">
        <f>"22:19:06.803"</f>
        <v>22:19:06.803</v>
      </c>
      <c r="CJ2292">
        <v>0</v>
      </c>
      <c r="CK2292">
        <v>2</v>
      </c>
      <c r="CL2292">
        <v>0</v>
      </c>
      <c r="CM2292">
        <v>2</v>
      </c>
      <c r="CN2292">
        <v>0</v>
      </c>
      <c r="CO2292">
        <v>6</v>
      </c>
      <c r="CP2292" t="s">
        <v>119</v>
      </c>
      <c r="CQ2292">
        <v>365</v>
      </c>
      <c r="CR2292">
        <v>0</v>
      </c>
      <c r="CW2292">
        <v>11528600</v>
      </c>
      <c r="CY2292">
        <v>1</v>
      </c>
      <c r="CZ2292">
        <v>0</v>
      </c>
      <c r="DA2292">
        <v>1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>"03/24/2022 22:19:07.934"</f>
        <v>03/24/2022 22:19:07.934</v>
      </c>
      <c r="C2293" t="str">
        <f t="shared" si="677"/>
        <v>FFDFD3C0</v>
      </c>
      <c r="D2293" t="s">
        <v>126</v>
      </c>
      <c r="E2293">
        <v>3</v>
      </c>
      <c r="H2293">
        <v>160</v>
      </c>
      <c r="I2293" t="s">
        <v>121</v>
      </c>
      <c r="J2293" t="s">
        <v>127</v>
      </c>
      <c r="K2293">
        <v>0</v>
      </c>
      <c r="L2293">
        <v>3</v>
      </c>
      <c r="M2293">
        <v>0</v>
      </c>
      <c r="N2293">
        <v>2</v>
      </c>
      <c r="O2293">
        <v>0</v>
      </c>
      <c r="P2293">
        <v>1</v>
      </c>
      <c r="Q2293">
        <v>0</v>
      </c>
      <c r="S2293" t="str">
        <f t="shared" ref="S2293:T2296" si="686">"22:19:07.000"</f>
        <v>22:19:07.000</v>
      </c>
      <c r="T2293" t="str">
        <f t="shared" si="686"/>
        <v>22:19:07.000</v>
      </c>
      <c r="U2293" t="str">
        <f t="shared" si="671"/>
        <v>A9D71F</v>
      </c>
      <c r="V2293">
        <v>0</v>
      </c>
      <c r="W2293">
        <v>0</v>
      </c>
      <c r="X2293">
        <v>2</v>
      </c>
      <c r="Z2293">
        <v>1</v>
      </c>
      <c r="AA2293">
        <v>7</v>
      </c>
      <c r="AB2293">
        <v>3</v>
      </c>
      <c r="AC2293">
        <v>0</v>
      </c>
      <c r="AD2293">
        <v>9</v>
      </c>
      <c r="AE2293">
        <v>0</v>
      </c>
      <c r="AF2293">
        <v>3</v>
      </c>
      <c r="AG2293">
        <v>1</v>
      </c>
      <c r="AH2293">
        <v>0</v>
      </c>
      <c r="AI2293" t="s">
        <v>1194</v>
      </c>
      <c r="AJ2293">
        <v>33.005890999999998</v>
      </c>
      <c r="AK2293" t="s">
        <v>1195</v>
      </c>
      <c r="AL2293">
        <v>-97.653351000000001</v>
      </c>
      <c r="AM2293">
        <v>25</v>
      </c>
      <c r="AN2293">
        <v>3200</v>
      </c>
      <c r="AO2293" t="s">
        <v>118</v>
      </c>
      <c r="AP2293">
        <v>-38</v>
      </c>
      <c r="AQ2293">
        <v>-60</v>
      </c>
      <c r="AR2293">
        <v>-320</v>
      </c>
      <c r="AZ2293">
        <v>1200</v>
      </c>
      <c r="BA2293">
        <v>1</v>
      </c>
      <c r="BB2293" t="str">
        <f t="shared" si="678"/>
        <v xml:space="preserve">N733KP  </v>
      </c>
      <c r="BC2293">
        <v>1</v>
      </c>
      <c r="BE2293">
        <v>0</v>
      </c>
      <c r="BF2293">
        <v>0</v>
      </c>
      <c r="BG2293">
        <v>0</v>
      </c>
      <c r="BH2293">
        <v>3200</v>
      </c>
      <c r="BI2293">
        <v>1</v>
      </c>
      <c r="BJ2293">
        <v>1</v>
      </c>
      <c r="BK2293">
        <v>0</v>
      </c>
      <c r="BL2293">
        <v>0</v>
      </c>
      <c r="BO2293">
        <v>0</v>
      </c>
      <c r="BP2293">
        <v>0</v>
      </c>
      <c r="BW2293" t="str">
        <f>"22:19:07.747"</f>
        <v>22:19:07.747</v>
      </c>
      <c r="CJ2293">
        <v>0</v>
      </c>
      <c r="CK2293">
        <v>2</v>
      </c>
      <c r="CL2293">
        <v>0</v>
      </c>
      <c r="CM2293">
        <v>2</v>
      </c>
      <c r="CN2293">
        <v>0</v>
      </c>
      <c r="CO2293">
        <v>5</v>
      </c>
      <c r="CP2293" t="s">
        <v>119</v>
      </c>
      <c r="CQ2293">
        <v>365</v>
      </c>
      <c r="CR2293">
        <v>0</v>
      </c>
      <c r="CW2293">
        <v>11528826</v>
      </c>
      <c r="CY2293">
        <v>1</v>
      </c>
      <c r="CZ2293">
        <v>0</v>
      </c>
      <c r="DA2293">
        <v>0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>"03/24/2022 22:19:07.981"</f>
        <v>03/24/2022 22:19:07.981</v>
      </c>
      <c r="C2294" t="str">
        <f t="shared" si="677"/>
        <v>FFDFD3C0</v>
      </c>
      <c r="D2294" t="s">
        <v>120</v>
      </c>
      <c r="E2294">
        <v>14</v>
      </c>
      <c r="F2294">
        <v>1014</v>
      </c>
      <c r="G2294" t="s">
        <v>121</v>
      </c>
      <c r="J2294" t="s">
        <v>122</v>
      </c>
      <c r="K2294">
        <v>0</v>
      </c>
      <c r="L2294">
        <v>3</v>
      </c>
      <c r="M2294">
        <v>0</v>
      </c>
      <c r="N2294">
        <v>2</v>
      </c>
      <c r="O2294">
        <v>0</v>
      </c>
      <c r="P2294">
        <v>1</v>
      </c>
      <c r="Q2294">
        <v>0</v>
      </c>
      <c r="S2294" t="str">
        <f t="shared" si="686"/>
        <v>22:19:07.000</v>
      </c>
      <c r="T2294" t="str">
        <f t="shared" si="686"/>
        <v>22:19:07.000</v>
      </c>
      <c r="U2294" t="str">
        <f t="shared" si="671"/>
        <v>A9D71F</v>
      </c>
      <c r="V2294">
        <v>0</v>
      </c>
      <c r="W2294">
        <v>0</v>
      </c>
      <c r="X2294">
        <v>2</v>
      </c>
      <c r="Z2294">
        <v>1</v>
      </c>
      <c r="AA2294">
        <v>7</v>
      </c>
      <c r="AB2294">
        <v>3</v>
      </c>
      <c r="AC2294">
        <v>0</v>
      </c>
      <c r="AD2294">
        <v>9</v>
      </c>
      <c r="AE2294">
        <v>0</v>
      </c>
      <c r="AF2294">
        <v>3</v>
      </c>
      <c r="AG2294">
        <v>1</v>
      </c>
      <c r="AH2294">
        <v>0</v>
      </c>
      <c r="AI2294" t="s">
        <v>1194</v>
      </c>
      <c r="AJ2294">
        <v>33.005890999999998</v>
      </c>
      <c r="AK2294" t="s">
        <v>1195</v>
      </c>
      <c r="AL2294">
        <v>-97.653351000000001</v>
      </c>
      <c r="AM2294">
        <v>25</v>
      </c>
      <c r="AN2294">
        <v>3200</v>
      </c>
      <c r="AO2294" t="s">
        <v>118</v>
      </c>
      <c r="AP2294">
        <v>-38</v>
      </c>
      <c r="AQ2294">
        <v>-60</v>
      </c>
      <c r="AR2294">
        <v>-320</v>
      </c>
      <c r="AZ2294">
        <v>1200</v>
      </c>
      <c r="BA2294">
        <v>1</v>
      </c>
      <c r="BB2294" t="str">
        <f t="shared" si="678"/>
        <v xml:space="preserve">N733KP  </v>
      </c>
      <c r="BC2294">
        <v>1</v>
      </c>
      <c r="BE2294">
        <v>0</v>
      </c>
      <c r="BF2294">
        <v>0</v>
      </c>
      <c r="BG2294">
        <v>0</v>
      </c>
      <c r="BH2294">
        <v>3200</v>
      </c>
      <c r="BI2294">
        <v>1</v>
      </c>
      <c r="BJ2294">
        <v>1</v>
      </c>
      <c r="BK2294">
        <v>0</v>
      </c>
      <c r="BL2294">
        <v>0</v>
      </c>
      <c r="BO2294">
        <v>0</v>
      </c>
      <c r="BP2294">
        <v>0</v>
      </c>
      <c r="BW2294" t="str">
        <f>"22:19:07.747"</f>
        <v>22:19:07.747</v>
      </c>
      <c r="CJ2294">
        <v>0</v>
      </c>
      <c r="CK2294">
        <v>2</v>
      </c>
      <c r="CL2294">
        <v>0</v>
      </c>
      <c r="CM2294">
        <v>2</v>
      </c>
      <c r="CN2294">
        <v>0</v>
      </c>
      <c r="CO2294">
        <v>5</v>
      </c>
      <c r="CP2294" t="s">
        <v>119</v>
      </c>
      <c r="CQ2294">
        <v>365</v>
      </c>
      <c r="CR2294">
        <v>0</v>
      </c>
      <c r="CW2294">
        <v>11528826</v>
      </c>
      <c r="CY2294">
        <v>1</v>
      </c>
      <c r="CZ2294">
        <v>0</v>
      </c>
      <c r="DA2294">
        <v>1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>"03/24/2022 22:19:07.996"</f>
        <v>03/24/2022 22:19:07.996</v>
      </c>
      <c r="C2295" t="str">
        <f t="shared" si="677"/>
        <v>FFDFD3C0</v>
      </c>
      <c r="D2295" t="s">
        <v>123</v>
      </c>
      <c r="E2295">
        <v>8</v>
      </c>
      <c r="H2295">
        <v>31</v>
      </c>
      <c r="I2295" t="s">
        <v>124</v>
      </c>
      <c r="J2295" t="s">
        <v>125</v>
      </c>
      <c r="K2295">
        <v>0</v>
      </c>
      <c r="L2295">
        <v>3</v>
      </c>
      <c r="M2295">
        <v>0</v>
      </c>
      <c r="N2295">
        <v>2</v>
      </c>
      <c r="O2295">
        <v>0</v>
      </c>
      <c r="P2295">
        <v>1</v>
      </c>
      <c r="Q2295">
        <v>0</v>
      </c>
      <c r="S2295" t="str">
        <f t="shared" si="686"/>
        <v>22:19:07.000</v>
      </c>
      <c r="T2295" t="str">
        <f t="shared" si="686"/>
        <v>22:19:07.000</v>
      </c>
      <c r="U2295" t="str">
        <f t="shared" si="671"/>
        <v>A9D71F</v>
      </c>
      <c r="V2295">
        <v>0</v>
      </c>
      <c r="W2295">
        <v>0</v>
      </c>
      <c r="X2295">
        <v>2</v>
      </c>
      <c r="Z2295">
        <v>1</v>
      </c>
      <c r="AA2295">
        <v>7</v>
      </c>
      <c r="AB2295">
        <v>3</v>
      </c>
      <c r="AC2295">
        <v>0</v>
      </c>
      <c r="AD2295">
        <v>9</v>
      </c>
      <c r="AE2295">
        <v>0</v>
      </c>
      <c r="AF2295">
        <v>3</v>
      </c>
      <c r="AG2295">
        <v>1</v>
      </c>
      <c r="AH2295">
        <v>0</v>
      </c>
      <c r="AI2295" t="s">
        <v>1194</v>
      </c>
      <c r="AJ2295">
        <v>33.005890999999998</v>
      </c>
      <c r="AK2295" t="s">
        <v>1195</v>
      </c>
      <c r="AL2295">
        <v>-97.653351000000001</v>
      </c>
      <c r="AM2295">
        <v>25</v>
      </c>
      <c r="AN2295">
        <v>3200</v>
      </c>
      <c r="AO2295" t="s">
        <v>118</v>
      </c>
      <c r="AP2295">
        <v>-38</v>
      </c>
      <c r="AQ2295">
        <v>-60</v>
      </c>
      <c r="AR2295">
        <v>-320</v>
      </c>
      <c r="AZ2295">
        <v>1200</v>
      </c>
      <c r="BA2295">
        <v>1</v>
      </c>
      <c r="BB2295" t="str">
        <f t="shared" si="678"/>
        <v xml:space="preserve">N733KP  </v>
      </c>
      <c r="BC2295">
        <v>1</v>
      </c>
      <c r="BE2295">
        <v>0</v>
      </c>
      <c r="BF2295">
        <v>0</v>
      </c>
      <c r="BG2295">
        <v>0</v>
      </c>
      <c r="BH2295">
        <v>3200</v>
      </c>
      <c r="BI2295">
        <v>1</v>
      </c>
      <c r="BJ2295">
        <v>1</v>
      </c>
      <c r="BK2295">
        <v>0</v>
      </c>
      <c r="BL2295">
        <v>0</v>
      </c>
      <c r="BO2295">
        <v>0</v>
      </c>
      <c r="BP2295">
        <v>0</v>
      </c>
      <c r="BW2295" t="str">
        <f>"22:19:07.747"</f>
        <v>22:19:07.747</v>
      </c>
      <c r="CJ2295">
        <v>0</v>
      </c>
      <c r="CK2295">
        <v>2</v>
      </c>
      <c r="CL2295">
        <v>0</v>
      </c>
      <c r="CM2295">
        <v>2</v>
      </c>
      <c r="CN2295">
        <v>0</v>
      </c>
      <c r="CO2295">
        <v>5</v>
      </c>
      <c r="CP2295" t="s">
        <v>119</v>
      </c>
      <c r="CQ2295">
        <v>365</v>
      </c>
      <c r="CR2295">
        <v>0</v>
      </c>
      <c r="CW2295">
        <v>11528826</v>
      </c>
      <c r="CY2295">
        <v>1</v>
      </c>
      <c r="CZ2295">
        <v>0</v>
      </c>
      <c r="DA2295">
        <v>1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>"03/24/2022 22:19:07.996"</f>
        <v>03/24/2022 22:19:07.996</v>
      </c>
      <c r="C2296" t="str">
        <f t="shared" si="677"/>
        <v>FFDFD3C0</v>
      </c>
      <c r="D2296" t="s">
        <v>113</v>
      </c>
      <c r="E2296">
        <v>24</v>
      </c>
      <c r="F2296">
        <v>2024</v>
      </c>
      <c r="G2296" t="s">
        <v>114</v>
      </c>
      <c r="J2296" t="s">
        <v>115</v>
      </c>
      <c r="K2296">
        <v>0</v>
      </c>
      <c r="L2296">
        <v>3</v>
      </c>
      <c r="M2296">
        <v>0</v>
      </c>
      <c r="N2296">
        <v>2</v>
      </c>
      <c r="O2296">
        <v>0</v>
      </c>
      <c r="P2296">
        <v>1</v>
      </c>
      <c r="Q2296">
        <v>0</v>
      </c>
      <c r="S2296" t="str">
        <f t="shared" si="686"/>
        <v>22:19:07.000</v>
      </c>
      <c r="T2296" t="str">
        <f t="shared" si="686"/>
        <v>22:19:07.000</v>
      </c>
      <c r="U2296" t="str">
        <f t="shared" si="671"/>
        <v>A9D71F</v>
      </c>
      <c r="V2296">
        <v>0</v>
      </c>
      <c r="W2296">
        <v>0</v>
      </c>
      <c r="X2296">
        <v>2</v>
      </c>
      <c r="Z2296">
        <v>1</v>
      </c>
      <c r="AA2296">
        <v>7</v>
      </c>
      <c r="AB2296">
        <v>3</v>
      </c>
      <c r="AC2296">
        <v>0</v>
      </c>
      <c r="AD2296">
        <v>9</v>
      </c>
      <c r="AE2296">
        <v>0</v>
      </c>
      <c r="AF2296">
        <v>3</v>
      </c>
      <c r="AG2296">
        <v>1</v>
      </c>
      <c r="AH2296">
        <v>0</v>
      </c>
      <c r="AI2296" t="s">
        <v>1194</v>
      </c>
      <c r="AJ2296">
        <v>33.005890999999998</v>
      </c>
      <c r="AK2296" t="s">
        <v>1195</v>
      </c>
      <c r="AL2296">
        <v>-97.653351000000001</v>
      </c>
      <c r="AM2296">
        <v>25</v>
      </c>
      <c r="AN2296">
        <v>3200</v>
      </c>
      <c r="AO2296" t="s">
        <v>118</v>
      </c>
      <c r="AP2296">
        <v>-38</v>
      </c>
      <c r="AQ2296">
        <v>-60</v>
      </c>
      <c r="AR2296">
        <v>-320</v>
      </c>
      <c r="AZ2296">
        <v>1200</v>
      </c>
      <c r="BA2296">
        <v>1</v>
      </c>
      <c r="BB2296" t="str">
        <f t="shared" si="678"/>
        <v xml:space="preserve">N733KP  </v>
      </c>
      <c r="BC2296">
        <v>1</v>
      </c>
      <c r="BE2296">
        <v>0</v>
      </c>
      <c r="BF2296">
        <v>0</v>
      </c>
      <c r="BG2296">
        <v>0</v>
      </c>
      <c r="BH2296">
        <v>3200</v>
      </c>
      <c r="BI2296">
        <v>1</v>
      </c>
      <c r="BJ2296">
        <v>1</v>
      </c>
      <c r="BK2296">
        <v>0</v>
      </c>
      <c r="BL2296">
        <v>0</v>
      </c>
      <c r="BO2296">
        <v>0</v>
      </c>
      <c r="BP2296">
        <v>0</v>
      </c>
      <c r="BW2296" t="str">
        <f>"22:19:07.747"</f>
        <v>22:19:07.747</v>
      </c>
      <c r="CJ2296">
        <v>0</v>
      </c>
      <c r="CK2296">
        <v>2</v>
      </c>
      <c r="CL2296">
        <v>0</v>
      </c>
      <c r="CM2296">
        <v>2</v>
      </c>
      <c r="CN2296">
        <v>0</v>
      </c>
      <c r="CO2296">
        <v>5</v>
      </c>
      <c r="CP2296" t="s">
        <v>119</v>
      </c>
      <c r="CQ2296">
        <v>365</v>
      </c>
      <c r="CR2296">
        <v>0</v>
      </c>
      <c r="CW2296">
        <v>11528826</v>
      </c>
      <c r="CY2296">
        <v>1</v>
      </c>
      <c r="CZ2296">
        <v>0</v>
      </c>
      <c r="DA2296">
        <v>1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>"03/24/2022 22:19:08.467"</f>
        <v>03/24/2022 22:19:08.467</v>
      </c>
      <c r="C2297" t="str">
        <f t="shared" si="677"/>
        <v>FFDFD3C0</v>
      </c>
      <c r="D2297" t="s">
        <v>126</v>
      </c>
      <c r="E2297">
        <v>3</v>
      </c>
      <c r="H2297">
        <v>160</v>
      </c>
      <c r="I2297" t="s">
        <v>121</v>
      </c>
      <c r="J2297" t="s">
        <v>127</v>
      </c>
      <c r="K2297">
        <v>0</v>
      </c>
      <c r="L2297">
        <v>3</v>
      </c>
      <c r="M2297">
        <v>0</v>
      </c>
      <c r="N2297">
        <v>2</v>
      </c>
      <c r="O2297">
        <v>0</v>
      </c>
      <c r="P2297">
        <v>1</v>
      </c>
      <c r="Q2297">
        <v>0</v>
      </c>
      <c r="S2297" t="str">
        <f t="shared" ref="S2297:T2300" si="687">"22:19:08.000"</f>
        <v>22:19:08.000</v>
      </c>
      <c r="T2297" t="str">
        <f t="shared" si="687"/>
        <v>22:19:08.000</v>
      </c>
      <c r="U2297" t="str">
        <f t="shared" si="671"/>
        <v>A9D71F</v>
      </c>
      <c r="V2297">
        <v>0</v>
      </c>
      <c r="W2297">
        <v>0</v>
      </c>
      <c r="X2297">
        <v>2</v>
      </c>
      <c r="Z2297">
        <v>1</v>
      </c>
      <c r="AA2297">
        <v>7</v>
      </c>
      <c r="AB2297">
        <v>3</v>
      </c>
      <c r="AC2297">
        <v>0</v>
      </c>
      <c r="AD2297">
        <v>9</v>
      </c>
      <c r="AE2297">
        <v>0</v>
      </c>
      <c r="AF2297">
        <v>3</v>
      </c>
      <c r="AG2297">
        <v>1</v>
      </c>
      <c r="AH2297">
        <v>0</v>
      </c>
      <c r="AI2297" t="s">
        <v>1196</v>
      </c>
      <c r="AJ2297">
        <v>33.005633000000003</v>
      </c>
      <c r="AK2297" t="s">
        <v>1197</v>
      </c>
      <c r="AL2297">
        <v>-97.653587000000002</v>
      </c>
      <c r="AM2297">
        <v>25</v>
      </c>
      <c r="AN2297">
        <v>3200</v>
      </c>
      <c r="AO2297" t="s">
        <v>118</v>
      </c>
      <c r="AP2297">
        <v>-39</v>
      </c>
      <c r="AQ2297">
        <v>-60</v>
      </c>
      <c r="AR2297">
        <v>-384</v>
      </c>
      <c r="AZ2297">
        <v>1200</v>
      </c>
      <c r="BA2297">
        <v>1</v>
      </c>
      <c r="BB2297" t="str">
        <f t="shared" si="678"/>
        <v xml:space="preserve">N733KP  </v>
      </c>
      <c r="BC2297">
        <v>1</v>
      </c>
      <c r="BE2297">
        <v>0</v>
      </c>
      <c r="BF2297">
        <v>0</v>
      </c>
      <c r="BG2297">
        <v>0</v>
      </c>
      <c r="BH2297">
        <v>3200</v>
      </c>
      <c r="BI2297">
        <v>1</v>
      </c>
      <c r="BJ2297">
        <v>1</v>
      </c>
      <c r="BK2297">
        <v>0</v>
      </c>
      <c r="BL2297">
        <v>0</v>
      </c>
      <c r="BO2297">
        <v>0</v>
      </c>
      <c r="BP2297">
        <v>0</v>
      </c>
      <c r="BW2297" t="str">
        <f>"22:19:08.290"</f>
        <v>22:19:08.290</v>
      </c>
      <c r="CJ2297">
        <v>0</v>
      </c>
      <c r="CK2297">
        <v>2</v>
      </c>
      <c r="CL2297">
        <v>0</v>
      </c>
      <c r="CM2297">
        <v>2</v>
      </c>
      <c r="CN2297">
        <v>0</v>
      </c>
      <c r="CO2297">
        <v>5</v>
      </c>
      <c r="CP2297" t="s">
        <v>119</v>
      </c>
      <c r="CQ2297">
        <v>364</v>
      </c>
      <c r="CR2297">
        <v>0</v>
      </c>
      <c r="CW2297">
        <v>1451897</v>
      </c>
      <c r="CY2297">
        <v>1</v>
      </c>
      <c r="CZ2297">
        <v>0</v>
      </c>
      <c r="DA2297">
        <v>0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>"03/24/2022 22:19:08.467"</f>
        <v>03/24/2022 22:19:08.467</v>
      </c>
      <c r="C2298" t="str">
        <f t="shared" si="677"/>
        <v>FFDFD3C0</v>
      </c>
      <c r="D2298" t="s">
        <v>120</v>
      </c>
      <c r="E2298">
        <v>14</v>
      </c>
      <c r="F2298">
        <v>1014</v>
      </c>
      <c r="G2298" t="s">
        <v>121</v>
      </c>
      <c r="J2298" t="s">
        <v>122</v>
      </c>
      <c r="K2298">
        <v>0</v>
      </c>
      <c r="L2298">
        <v>3</v>
      </c>
      <c r="M2298">
        <v>0</v>
      </c>
      <c r="N2298">
        <v>2</v>
      </c>
      <c r="O2298">
        <v>0</v>
      </c>
      <c r="P2298">
        <v>1</v>
      </c>
      <c r="Q2298">
        <v>0</v>
      </c>
      <c r="S2298" t="str">
        <f t="shared" si="687"/>
        <v>22:19:08.000</v>
      </c>
      <c r="T2298" t="str">
        <f t="shared" si="687"/>
        <v>22:19:08.000</v>
      </c>
      <c r="U2298" t="str">
        <f t="shared" si="671"/>
        <v>A9D71F</v>
      </c>
      <c r="V2298">
        <v>0</v>
      </c>
      <c r="W2298">
        <v>0</v>
      </c>
      <c r="X2298">
        <v>2</v>
      </c>
      <c r="Z2298">
        <v>1</v>
      </c>
      <c r="AA2298">
        <v>7</v>
      </c>
      <c r="AB2298">
        <v>3</v>
      </c>
      <c r="AC2298">
        <v>0</v>
      </c>
      <c r="AD2298">
        <v>9</v>
      </c>
      <c r="AE2298">
        <v>0</v>
      </c>
      <c r="AF2298">
        <v>3</v>
      </c>
      <c r="AG2298">
        <v>1</v>
      </c>
      <c r="AH2298">
        <v>0</v>
      </c>
      <c r="AI2298" t="s">
        <v>1196</v>
      </c>
      <c r="AJ2298">
        <v>33.005633000000003</v>
      </c>
      <c r="AK2298" t="s">
        <v>1197</v>
      </c>
      <c r="AL2298">
        <v>-97.653587000000002</v>
      </c>
      <c r="AM2298">
        <v>25</v>
      </c>
      <c r="AN2298">
        <v>3200</v>
      </c>
      <c r="AO2298" t="s">
        <v>118</v>
      </c>
      <c r="AP2298">
        <v>-39</v>
      </c>
      <c r="AQ2298">
        <v>-60</v>
      </c>
      <c r="AR2298">
        <v>-384</v>
      </c>
      <c r="AZ2298">
        <v>1200</v>
      </c>
      <c r="BA2298">
        <v>1</v>
      </c>
      <c r="BB2298" t="str">
        <f t="shared" si="678"/>
        <v xml:space="preserve">N733KP  </v>
      </c>
      <c r="BC2298">
        <v>1</v>
      </c>
      <c r="BE2298">
        <v>0</v>
      </c>
      <c r="BF2298">
        <v>0</v>
      </c>
      <c r="BG2298">
        <v>0</v>
      </c>
      <c r="BH2298">
        <v>3200</v>
      </c>
      <c r="BI2298">
        <v>1</v>
      </c>
      <c r="BJ2298">
        <v>1</v>
      </c>
      <c r="BK2298">
        <v>0</v>
      </c>
      <c r="BL2298">
        <v>0</v>
      </c>
      <c r="BO2298">
        <v>0</v>
      </c>
      <c r="BP2298">
        <v>0</v>
      </c>
      <c r="BW2298" t="str">
        <f>"22:19:08.290"</f>
        <v>22:19:08.290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5</v>
      </c>
      <c r="CP2298" t="s">
        <v>119</v>
      </c>
      <c r="CQ2298">
        <v>364</v>
      </c>
      <c r="CR2298">
        <v>0</v>
      </c>
      <c r="CW2298">
        <v>1451897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>"03/24/2022 22:19:08.467"</f>
        <v>03/24/2022 22:19:08.467</v>
      </c>
      <c r="C2299" t="str">
        <f t="shared" si="677"/>
        <v>FFDFD3C0</v>
      </c>
      <c r="D2299" t="s">
        <v>123</v>
      </c>
      <c r="E2299">
        <v>8</v>
      </c>
      <c r="H2299">
        <v>31</v>
      </c>
      <c r="I2299" t="s">
        <v>124</v>
      </c>
      <c r="J2299" t="s">
        <v>125</v>
      </c>
      <c r="K2299">
        <v>0</v>
      </c>
      <c r="L2299">
        <v>3</v>
      </c>
      <c r="M2299">
        <v>0</v>
      </c>
      <c r="N2299">
        <v>2</v>
      </c>
      <c r="O2299">
        <v>0</v>
      </c>
      <c r="P2299">
        <v>1</v>
      </c>
      <c r="Q2299">
        <v>0</v>
      </c>
      <c r="S2299" t="str">
        <f t="shared" si="687"/>
        <v>22:19:08.000</v>
      </c>
      <c r="T2299" t="str">
        <f t="shared" si="687"/>
        <v>22:19:08.000</v>
      </c>
      <c r="U2299" t="str">
        <f t="shared" si="671"/>
        <v>A9D71F</v>
      </c>
      <c r="V2299">
        <v>0</v>
      </c>
      <c r="W2299">
        <v>0</v>
      </c>
      <c r="X2299">
        <v>2</v>
      </c>
      <c r="Z2299">
        <v>1</v>
      </c>
      <c r="AA2299">
        <v>7</v>
      </c>
      <c r="AB2299">
        <v>3</v>
      </c>
      <c r="AC2299">
        <v>0</v>
      </c>
      <c r="AD2299">
        <v>9</v>
      </c>
      <c r="AE2299">
        <v>0</v>
      </c>
      <c r="AF2299">
        <v>3</v>
      </c>
      <c r="AG2299">
        <v>1</v>
      </c>
      <c r="AH2299">
        <v>0</v>
      </c>
      <c r="AI2299" t="s">
        <v>1196</v>
      </c>
      <c r="AJ2299">
        <v>33.005633000000003</v>
      </c>
      <c r="AK2299" t="s">
        <v>1197</v>
      </c>
      <c r="AL2299">
        <v>-97.653587000000002</v>
      </c>
      <c r="AM2299">
        <v>25</v>
      </c>
      <c r="AN2299">
        <v>3200</v>
      </c>
      <c r="AO2299" t="s">
        <v>118</v>
      </c>
      <c r="AP2299">
        <v>-39</v>
      </c>
      <c r="AQ2299">
        <v>-60</v>
      </c>
      <c r="AR2299">
        <v>-384</v>
      </c>
      <c r="AZ2299">
        <v>1200</v>
      </c>
      <c r="BA2299">
        <v>1</v>
      </c>
      <c r="BB2299" t="str">
        <f t="shared" si="678"/>
        <v xml:space="preserve">N733KP  </v>
      </c>
      <c r="BC2299">
        <v>1</v>
      </c>
      <c r="BE2299">
        <v>0</v>
      </c>
      <c r="BF2299">
        <v>0</v>
      </c>
      <c r="BG2299">
        <v>0</v>
      </c>
      <c r="BH2299">
        <v>3200</v>
      </c>
      <c r="BI2299">
        <v>1</v>
      </c>
      <c r="BJ2299">
        <v>1</v>
      </c>
      <c r="BK2299">
        <v>0</v>
      </c>
      <c r="BL2299">
        <v>0</v>
      </c>
      <c r="BO2299">
        <v>0</v>
      </c>
      <c r="BP2299">
        <v>0</v>
      </c>
      <c r="BW2299" t="str">
        <f>"22:19:08.290"</f>
        <v>22:19:08.290</v>
      </c>
      <c r="CJ2299">
        <v>0</v>
      </c>
      <c r="CK2299">
        <v>2</v>
      </c>
      <c r="CL2299">
        <v>0</v>
      </c>
      <c r="CM2299">
        <v>2</v>
      </c>
      <c r="CN2299">
        <v>0</v>
      </c>
      <c r="CO2299">
        <v>5</v>
      </c>
      <c r="CP2299" t="s">
        <v>119</v>
      </c>
      <c r="CQ2299">
        <v>364</v>
      </c>
      <c r="CR2299">
        <v>0</v>
      </c>
      <c r="CW2299">
        <v>1451897</v>
      </c>
      <c r="CY2299">
        <v>1</v>
      </c>
      <c r="CZ2299">
        <v>0</v>
      </c>
      <c r="DA2299">
        <v>1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>"03/24/2022 22:19:08.467"</f>
        <v>03/24/2022 22:19:08.467</v>
      </c>
      <c r="C2300" t="str">
        <f t="shared" si="677"/>
        <v>FFDFD3C0</v>
      </c>
      <c r="D2300" t="s">
        <v>113</v>
      </c>
      <c r="E2300">
        <v>24</v>
      </c>
      <c r="F2300">
        <v>2024</v>
      </c>
      <c r="G2300" t="s">
        <v>114</v>
      </c>
      <c r="J2300" t="s">
        <v>115</v>
      </c>
      <c r="K2300">
        <v>0</v>
      </c>
      <c r="L2300">
        <v>3</v>
      </c>
      <c r="M2300">
        <v>0</v>
      </c>
      <c r="N2300">
        <v>2</v>
      </c>
      <c r="O2300">
        <v>0</v>
      </c>
      <c r="P2300">
        <v>1</v>
      </c>
      <c r="Q2300">
        <v>0</v>
      </c>
      <c r="S2300" t="str">
        <f t="shared" si="687"/>
        <v>22:19:08.000</v>
      </c>
      <c r="T2300" t="str">
        <f t="shared" si="687"/>
        <v>22:19:08.000</v>
      </c>
      <c r="U2300" t="str">
        <f t="shared" si="671"/>
        <v>A9D71F</v>
      </c>
      <c r="V2300">
        <v>0</v>
      </c>
      <c r="W2300">
        <v>0</v>
      </c>
      <c r="X2300">
        <v>2</v>
      </c>
      <c r="Z2300">
        <v>1</v>
      </c>
      <c r="AA2300">
        <v>7</v>
      </c>
      <c r="AB2300">
        <v>3</v>
      </c>
      <c r="AC2300">
        <v>0</v>
      </c>
      <c r="AD2300">
        <v>9</v>
      </c>
      <c r="AE2300">
        <v>0</v>
      </c>
      <c r="AF2300">
        <v>3</v>
      </c>
      <c r="AG2300">
        <v>1</v>
      </c>
      <c r="AH2300">
        <v>0</v>
      </c>
      <c r="AI2300" t="s">
        <v>1196</v>
      </c>
      <c r="AJ2300">
        <v>33.005633000000003</v>
      </c>
      <c r="AK2300" t="s">
        <v>1197</v>
      </c>
      <c r="AL2300">
        <v>-97.653587000000002</v>
      </c>
      <c r="AM2300">
        <v>25</v>
      </c>
      <c r="AN2300">
        <v>3200</v>
      </c>
      <c r="AO2300" t="s">
        <v>118</v>
      </c>
      <c r="AP2300">
        <v>-39</v>
      </c>
      <c r="AQ2300">
        <v>-60</v>
      </c>
      <c r="AR2300">
        <v>-384</v>
      </c>
      <c r="AZ2300">
        <v>1200</v>
      </c>
      <c r="BA2300">
        <v>1</v>
      </c>
      <c r="BB2300" t="str">
        <f t="shared" si="678"/>
        <v xml:space="preserve">N733KP  </v>
      </c>
      <c r="BC2300">
        <v>1</v>
      </c>
      <c r="BE2300">
        <v>0</v>
      </c>
      <c r="BF2300">
        <v>0</v>
      </c>
      <c r="BG2300">
        <v>0</v>
      </c>
      <c r="BH2300">
        <v>3200</v>
      </c>
      <c r="BI2300">
        <v>1</v>
      </c>
      <c r="BJ2300">
        <v>1</v>
      </c>
      <c r="BK2300">
        <v>0</v>
      </c>
      <c r="BL2300">
        <v>0</v>
      </c>
      <c r="BO2300">
        <v>0</v>
      </c>
      <c r="BP2300">
        <v>0</v>
      </c>
      <c r="BW2300" t="str">
        <f>"22:19:08.290"</f>
        <v>22:19:08.290</v>
      </c>
      <c r="CJ2300">
        <v>0</v>
      </c>
      <c r="CK2300">
        <v>2</v>
      </c>
      <c r="CL2300">
        <v>0</v>
      </c>
      <c r="CM2300">
        <v>2</v>
      </c>
      <c r="CN2300">
        <v>0</v>
      </c>
      <c r="CO2300">
        <v>5</v>
      </c>
      <c r="CP2300" t="s">
        <v>119</v>
      </c>
      <c r="CQ2300">
        <v>364</v>
      </c>
      <c r="CR2300">
        <v>0</v>
      </c>
      <c r="CW2300">
        <v>1451897</v>
      </c>
      <c r="CY2300">
        <v>1</v>
      </c>
      <c r="CZ2300">
        <v>0</v>
      </c>
      <c r="DA2300">
        <v>1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>"03/24/2022 22:19:09.889"</f>
        <v>03/24/2022 22:19:09.889</v>
      </c>
      <c r="C2301" t="str">
        <f t="shared" si="677"/>
        <v>FFDFD3C0</v>
      </c>
      <c r="D2301" t="s">
        <v>126</v>
      </c>
      <c r="E2301">
        <v>3</v>
      </c>
      <c r="H2301">
        <v>160</v>
      </c>
      <c r="I2301" t="s">
        <v>121</v>
      </c>
      <c r="J2301" t="s">
        <v>127</v>
      </c>
      <c r="K2301">
        <v>0</v>
      </c>
      <c r="L2301">
        <v>3</v>
      </c>
      <c r="M2301">
        <v>0</v>
      </c>
      <c r="N2301">
        <v>2</v>
      </c>
      <c r="O2301">
        <v>0</v>
      </c>
      <c r="P2301">
        <v>1</v>
      </c>
      <c r="Q2301">
        <v>0</v>
      </c>
      <c r="S2301" t="str">
        <f t="shared" ref="S2301:T2304" si="688">"22:19:09.000"</f>
        <v>22:19:09.000</v>
      </c>
      <c r="T2301" t="str">
        <f t="shared" si="688"/>
        <v>22:19:09.000</v>
      </c>
      <c r="U2301" t="str">
        <f t="shared" si="671"/>
        <v>A9D71F</v>
      </c>
      <c r="V2301">
        <v>0</v>
      </c>
      <c r="W2301">
        <v>0</v>
      </c>
      <c r="X2301">
        <v>2</v>
      </c>
      <c r="Z2301">
        <v>1</v>
      </c>
      <c r="AA2301">
        <v>7</v>
      </c>
      <c r="AB2301">
        <v>3</v>
      </c>
      <c r="AC2301">
        <v>0</v>
      </c>
      <c r="AD2301">
        <v>9</v>
      </c>
      <c r="AE2301">
        <v>0</v>
      </c>
      <c r="AF2301">
        <v>3</v>
      </c>
      <c r="AG2301">
        <v>1</v>
      </c>
      <c r="AH2301">
        <v>0</v>
      </c>
      <c r="AI2301" t="s">
        <v>1198</v>
      </c>
      <c r="AJ2301">
        <v>33.005375999999998</v>
      </c>
      <c r="AK2301" t="s">
        <v>1105</v>
      </c>
      <c r="AL2301">
        <v>-97.653801000000001</v>
      </c>
      <c r="AM2301">
        <v>25</v>
      </c>
      <c r="AN2301">
        <v>3200</v>
      </c>
      <c r="AO2301" t="s">
        <v>118</v>
      </c>
      <c r="AP2301">
        <v>-40</v>
      </c>
      <c r="AQ2301">
        <v>-59</v>
      </c>
      <c r="AR2301">
        <v>-512</v>
      </c>
      <c r="AZ2301">
        <v>1200</v>
      </c>
      <c r="BA2301">
        <v>1</v>
      </c>
      <c r="BB2301" t="str">
        <f t="shared" si="678"/>
        <v xml:space="preserve">N733KP  </v>
      </c>
      <c r="BC2301">
        <v>1</v>
      </c>
      <c r="BE2301">
        <v>0</v>
      </c>
      <c r="BF2301">
        <v>0</v>
      </c>
      <c r="BG2301">
        <v>0</v>
      </c>
      <c r="BH2301">
        <v>3200</v>
      </c>
      <c r="BI2301">
        <v>1</v>
      </c>
      <c r="BJ2301">
        <v>1</v>
      </c>
      <c r="BK2301">
        <v>0</v>
      </c>
      <c r="BL2301">
        <v>0</v>
      </c>
      <c r="BO2301">
        <v>0</v>
      </c>
      <c r="BP2301">
        <v>0</v>
      </c>
      <c r="BW2301" t="str">
        <f>"22:19:09.629"</f>
        <v>22:19:09.629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5</v>
      </c>
      <c r="CP2301" t="s">
        <v>119</v>
      </c>
      <c r="CQ2301">
        <v>364</v>
      </c>
      <c r="CR2301">
        <v>0</v>
      </c>
      <c r="CW2301">
        <v>1452079</v>
      </c>
      <c r="CY2301">
        <v>1</v>
      </c>
      <c r="CZ2301">
        <v>0</v>
      </c>
      <c r="DA2301">
        <v>0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>"03/24/2022 22:19:09.905"</f>
        <v>03/24/2022 22:19:09.905</v>
      </c>
      <c r="C2302" t="str">
        <f t="shared" si="677"/>
        <v>FFDFD3C0</v>
      </c>
      <c r="D2302" t="s">
        <v>113</v>
      </c>
      <c r="E2302">
        <v>24</v>
      </c>
      <c r="F2302">
        <v>2024</v>
      </c>
      <c r="G2302" t="s">
        <v>114</v>
      </c>
      <c r="J2302" t="s">
        <v>115</v>
      </c>
      <c r="K2302">
        <v>0</v>
      </c>
      <c r="L2302">
        <v>3</v>
      </c>
      <c r="M2302">
        <v>0</v>
      </c>
      <c r="N2302">
        <v>2</v>
      </c>
      <c r="O2302">
        <v>0</v>
      </c>
      <c r="P2302">
        <v>1</v>
      </c>
      <c r="Q2302">
        <v>0</v>
      </c>
      <c r="S2302" t="str">
        <f t="shared" si="688"/>
        <v>22:19:09.000</v>
      </c>
      <c r="T2302" t="str">
        <f t="shared" si="688"/>
        <v>22:19:09.000</v>
      </c>
      <c r="U2302" t="str">
        <f t="shared" si="671"/>
        <v>A9D71F</v>
      </c>
      <c r="V2302">
        <v>0</v>
      </c>
      <c r="W2302">
        <v>0</v>
      </c>
      <c r="X2302">
        <v>2</v>
      </c>
      <c r="Z2302">
        <v>1</v>
      </c>
      <c r="AA2302">
        <v>7</v>
      </c>
      <c r="AB2302">
        <v>3</v>
      </c>
      <c r="AC2302">
        <v>0</v>
      </c>
      <c r="AD2302">
        <v>9</v>
      </c>
      <c r="AE2302">
        <v>0</v>
      </c>
      <c r="AF2302">
        <v>3</v>
      </c>
      <c r="AG2302">
        <v>1</v>
      </c>
      <c r="AH2302">
        <v>0</v>
      </c>
      <c r="AI2302" t="s">
        <v>1198</v>
      </c>
      <c r="AJ2302">
        <v>33.005375999999998</v>
      </c>
      <c r="AK2302" t="s">
        <v>1105</v>
      </c>
      <c r="AL2302">
        <v>-97.653801000000001</v>
      </c>
      <c r="AM2302">
        <v>25</v>
      </c>
      <c r="AN2302">
        <v>3200</v>
      </c>
      <c r="AO2302" t="s">
        <v>118</v>
      </c>
      <c r="AP2302">
        <v>-40</v>
      </c>
      <c r="AQ2302">
        <v>-59</v>
      </c>
      <c r="AR2302">
        <v>-512</v>
      </c>
      <c r="AZ2302">
        <v>1200</v>
      </c>
      <c r="BA2302">
        <v>1</v>
      </c>
      <c r="BB2302" t="str">
        <f t="shared" si="678"/>
        <v xml:space="preserve">N733KP  </v>
      </c>
      <c r="BC2302">
        <v>1</v>
      </c>
      <c r="BE2302">
        <v>0</v>
      </c>
      <c r="BF2302">
        <v>0</v>
      </c>
      <c r="BG2302">
        <v>0</v>
      </c>
      <c r="BH2302">
        <v>3200</v>
      </c>
      <c r="BI2302">
        <v>1</v>
      </c>
      <c r="BJ2302">
        <v>1</v>
      </c>
      <c r="BK2302">
        <v>0</v>
      </c>
      <c r="BL2302">
        <v>0</v>
      </c>
      <c r="BO2302">
        <v>0</v>
      </c>
      <c r="BP2302">
        <v>0</v>
      </c>
      <c r="BW2302" t="str">
        <f>"22:19:09.629"</f>
        <v>22:19:09.629</v>
      </c>
      <c r="CJ2302">
        <v>0</v>
      </c>
      <c r="CK2302">
        <v>2</v>
      </c>
      <c r="CL2302">
        <v>0</v>
      </c>
      <c r="CM2302">
        <v>2</v>
      </c>
      <c r="CN2302">
        <v>0</v>
      </c>
      <c r="CO2302">
        <v>5</v>
      </c>
      <c r="CP2302" t="s">
        <v>119</v>
      </c>
      <c r="CQ2302">
        <v>364</v>
      </c>
      <c r="CR2302">
        <v>0</v>
      </c>
      <c r="CW2302">
        <v>1452079</v>
      </c>
      <c r="CY2302">
        <v>1</v>
      </c>
      <c r="CZ2302">
        <v>0</v>
      </c>
      <c r="DA2302">
        <v>1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>"03/24/2022 22:19:09.905"</f>
        <v>03/24/2022 22:19:09.905</v>
      </c>
      <c r="C2303" t="str">
        <f t="shared" si="677"/>
        <v>FFDFD3C0</v>
      </c>
      <c r="D2303" t="s">
        <v>120</v>
      </c>
      <c r="E2303">
        <v>14</v>
      </c>
      <c r="F2303">
        <v>1014</v>
      </c>
      <c r="G2303" t="s">
        <v>121</v>
      </c>
      <c r="J2303" t="s">
        <v>122</v>
      </c>
      <c r="K2303">
        <v>0</v>
      </c>
      <c r="L2303">
        <v>3</v>
      </c>
      <c r="M2303">
        <v>0</v>
      </c>
      <c r="N2303">
        <v>2</v>
      </c>
      <c r="O2303">
        <v>0</v>
      </c>
      <c r="P2303">
        <v>1</v>
      </c>
      <c r="Q2303">
        <v>0</v>
      </c>
      <c r="S2303" t="str">
        <f t="shared" si="688"/>
        <v>22:19:09.000</v>
      </c>
      <c r="T2303" t="str">
        <f t="shared" si="688"/>
        <v>22:19:09.000</v>
      </c>
      <c r="U2303" t="str">
        <f t="shared" si="671"/>
        <v>A9D71F</v>
      </c>
      <c r="V2303">
        <v>0</v>
      </c>
      <c r="W2303">
        <v>0</v>
      </c>
      <c r="X2303">
        <v>2</v>
      </c>
      <c r="Z2303">
        <v>1</v>
      </c>
      <c r="AA2303">
        <v>7</v>
      </c>
      <c r="AB2303">
        <v>3</v>
      </c>
      <c r="AC2303">
        <v>0</v>
      </c>
      <c r="AD2303">
        <v>9</v>
      </c>
      <c r="AE2303">
        <v>0</v>
      </c>
      <c r="AF2303">
        <v>3</v>
      </c>
      <c r="AG2303">
        <v>1</v>
      </c>
      <c r="AH2303">
        <v>0</v>
      </c>
      <c r="AI2303" t="s">
        <v>1198</v>
      </c>
      <c r="AJ2303">
        <v>33.005375999999998</v>
      </c>
      <c r="AK2303" t="s">
        <v>1105</v>
      </c>
      <c r="AL2303">
        <v>-97.653801000000001</v>
      </c>
      <c r="AM2303">
        <v>25</v>
      </c>
      <c r="AN2303">
        <v>3200</v>
      </c>
      <c r="AO2303" t="s">
        <v>118</v>
      </c>
      <c r="AP2303">
        <v>-40</v>
      </c>
      <c r="AQ2303">
        <v>-59</v>
      </c>
      <c r="AR2303">
        <v>-512</v>
      </c>
      <c r="AZ2303">
        <v>1200</v>
      </c>
      <c r="BA2303">
        <v>1</v>
      </c>
      <c r="BB2303" t="str">
        <f t="shared" si="678"/>
        <v xml:space="preserve">N733KP  </v>
      </c>
      <c r="BC2303">
        <v>1</v>
      </c>
      <c r="BE2303">
        <v>0</v>
      </c>
      <c r="BF2303">
        <v>0</v>
      </c>
      <c r="BG2303">
        <v>0</v>
      </c>
      <c r="BH2303">
        <v>3200</v>
      </c>
      <c r="BI2303">
        <v>1</v>
      </c>
      <c r="BJ2303">
        <v>1</v>
      </c>
      <c r="BK2303">
        <v>0</v>
      </c>
      <c r="BL2303">
        <v>0</v>
      </c>
      <c r="BO2303">
        <v>0</v>
      </c>
      <c r="BP2303">
        <v>0</v>
      </c>
      <c r="BW2303" t="str">
        <f>"22:19:09.629"</f>
        <v>22:19:09.629</v>
      </c>
      <c r="CJ2303">
        <v>0</v>
      </c>
      <c r="CK2303">
        <v>2</v>
      </c>
      <c r="CL2303">
        <v>0</v>
      </c>
      <c r="CM2303">
        <v>2</v>
      </c>
      <c r="CN2303">
        <v>0</v>
      </c>
      <c r="CO2303">
        <v>5</v>
      </c>
      <c r="CP2303" t="s">
        <v>119</v>
      </c>
      <c r="CQ2303">
        <v>364</v>
      </c>
      <c r="CR2303">
        <v>0</v>
      </c>
      <c r="CW2303">
        <v>1452079</v>
      </c>
      <c r="CY2303">
        <v>1</v>
      </c>
      <c r="CZ2303">
        <v>0</v>
      </c>
      <c r="DA2303">
        <v>1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>"03/24/2022 22:19:09.905"</f>
        <v>03/24/2022 22:19:09.905</v>
      </c>
      <c r="C2304" t="str">
        <f t="shared" si="677"/>
        <v>FFDFD3C0</v>
      </c>
      <c r="D2304" t="s">
        <v>123</v>
      </c>
      <c r="E2304">
        <v>8</v>
      </c>
      <c r="H2304">
        <v>31</v>
      </c>
      <c r="I2304" t="s">
        <v>124</v>
      </c>
      <c r="J2304" t="s">
        <v>125</v>
      </c>
      <c r="K2304">
        <v>0</v>
      </c>
      <c r="L2304">
        <v>3</v>
      </c>
      <c r="M2304">
        <v>0</v>
      </c>
      <c r="N2304">
        <v>2</v>
      </c>
      <c r="O2304">
        <v>0</v>
      </c>
      <c r="P2304">
        <v>1</v>
      </c>
      <c r="Q2304">
        <v>0</v>
      </c>
      <c r="S2304" t="str">
        <f t="shared" si="688"/>
        <v>22:19:09.000</v>
      </c>
      <c r="T2304" t="str">
        <f t="shared" si="688"/>
        <v>22:19:09.000</v>
      </c>
      <c r="U2304" t="str">
        <f t="shared" si="671"/>
        <v>A9D71F</v>
      </c>
      <c r="V2304">
        <v>0</v>
      </c>
      <c r="W2304">
        <v>0</v>
      </c>
      <c r="X2304">
        <v>2</v>
      </c>
      <c r="Z2304">
        <v>1</v>
      </c>
      <c r="AA2304">
        <v>7</v>
      </c>
      <c r="AB2304">
        <v>3</v>
      </c>
      <c r="AC2304">
        <v>0</v>
      </c>
      <c r="AD2304">
        <v>9</v>
      </c>
      <c r="AE2304">
        <v>0</v>
      </c>
      <c r="AF2304">
        <v>3</v>
      </c>
      <c r="AG2304">
        <v>1</v>
      </c>
      <c r="AH2304">
        <v>0</v>
      </c>
      <c r="AI2304" t="s">
        <v>1198</v>
      </c>
      <c r="AJ2304">
        <v>33.005375999999998</v>
      </c>
      <c r="AK2304" t="s">
        <v>1105</v>
      </c>
      <c r="AL2304">
        <v>-97.653801000000001</v>
      </c>
      <c r="AM2304">
        <v>25</v>
      </c>
      <c r="AN2304">
        <v>3200</v>
      </c>
      <c r="AO2304" t="s">
        <v>118</v>
      </c>
      <c r="AP2304">
        <v>-40</v>
      </c>
      <c r="AQ2304">
        <v>-59</v>
      </c>
      <c r="AR2304">
        <v>-512</v>
      </c>
      <c r="AZ2304">
        <v>1200</v>
      </c>
      <c r="BA2304">
        <v>1</v>
      </c>
      <c r="BB2304" t="str">
        <f t="shared" si="678"/>
        <v xml:space="preserve">N733KP  </v>
      </c>
      <c r="BC2304">
        <v>1</v>
      </c>
      <c r="BE2304">
        <v>0</v>
      </c>
      <c r="BF2304">
        <v>0</v>
      </c>
      <c r="BG2304">
        <v>0</v>
      </c>
      <c r="BH2304">
        <v>3200</v>
      </c>
      <c r="BI2304">
        <v>1</v>
      </c>
      <c r="BJ2304">
        <v>1</v>
      </c>
      <c r="BK2304">
        <v>0</v>
      </c>
      <c r="BL2304">
        <v>0</v>
      </c>
      <c r="BO2304">
        <v>0</v>
      </c>
      <c r="BP2304">
        <v>0</v>
      </c>
      <c r="BW2304" t="str">
        <f>"22:19:09.629"</f>
        <v>22:19:09.629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5</v>
      </c>
      <c r="CP2304" t="s">
        <v>119</v>
      </c>
      <c r="CQ2304">
        <v>364</v>
      </c>
      <c r="CR2304">
        <v>0</v>
      </c>
      <c r="CW2304">
        <v>1452079</v>
      </c>
      <c r="CY2304">
        <v>1</v>
      </c>
      <c r="CZ2304">
        <v>0</v>
      </c>
      <c r="DA2304">
        <v>1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>"03/24/2022 22:19:10.593"</f>
        <v>03/24/2022 22:19:10.593</v>
      </c>
      <c r="C2305" t="str">
        <f t="shared" si="677"/>
        <v>FFDFD3C0</v>
      </c>
      <c r="D2305" t="s">
        <v>113</v>
      </c>
      <c r="E2305">
        <v>24</v>
      </c>
      <c r="F2305">
        <v>2024</v>
      </c>
      <c r="G2305" t="s">
        <v>114</v>
      </c>
      <c r="J2305" t="s">
        <v>115</v>
      </c>
      <c r="K2305">
        <v>0</v>
      </c>
      <c r="L2305">
        <v>3</v>
      </c>
      <c r="M2305">
        <v>0</v>
      </c>
      <c r="N2305">
        <v>2</v>
      </c>
      <c r="O2305">
        <v>0</v>
      </c>
      <c r="P2305">
        <v>1</v>
      </c>
      <c r="Q2305">
        <v>0</v>
      </c>
      <c r="S2305" t="str">
        <f t="shared" ref="S2305:T2308" si="689">"22:19:10.000"</f>
        <v>22:19:10.000</v>
      </c>
      <c r="T2305" t="str">
        <f t="shared" si="689"/>
        <v>22:19:10.000</v>
      </c>
      <c r="U2305" t="str">
        <f t="shared" si="671"/>
        <v>A9D71F</v>
      </c>
      <c r="V2305">
        <v>0</v>
      </c>
      <c r="W2305">
        <v>0</v>
      </c>
      <c r="X2305">
        <v>2</v>
      </c>
      <c r="Z2305">
        <v>1</v>
      </c>
      <c r="AA2305">
        <v>7</v>
      </c>
      <c r="AB2305">
        <v>3</v>
      </c>
      <c r="AC2305">
        <v>0</v>
      </c>
      <c r="AD2305">
        <v>9</v>
      </c>
      <c r="AE2305">
        <v>0</v>
      </c>
      <c r="AF2305">
        <v>3</v>
      </c>
      <c r="AG2305">
        <v>1</v>
      </c>
      <c r="AH2305">
        <v>0</v>
      </c>
      <c r="AI2305" t="s">
        <v>1199</v>
      </c>
      <c r="AJ2305">
        <v>33.005118000000003</v>
      </c>
      <c r="AK2305" t="s">
        <v>1200</v>
      </c>
      <c r="AL2305">
        <v>-97.654015999999999</v>
      </c>
      <c r="AM2305">
        <v>25</v>
      </c>
      <c r="AN2305">
        <v>3200</v>
      </c>
      <c r="AO2305" t="s">
        <v>118</v>
      </c>
      <c r="AP2305">
        <v>-40</v>
      </c>
      <c r="AQ2305">
        <v>-58</v>
      </c>
      <c r="AR2305">
        <v>-512</v>
      </c>
      <c r="AZ2305">
        <v>1200</v>
      </c>
      <c r="BA2305">
        <v>1</v>
      </c>
      <c r="BB2305" t="str">
        <f t="shared" si="678"/>
        <v xml:space="preserve">N733KP  </v>
      </c>
      <c r="BC2305">
        <v>1</v>
      </c>
      <c r="BE2305">
        <v>0</v>
      </c>
      <c r="BF2305">
        <v>0</v>
      </c>
      <c r="BG2305">
        <v>0</v>
      </c>
      <c r="BH2305">
        <v>3175</v>
      </c>
      <c r="BI2305">
        <v>1</v>
      </c>
      <c r="BJ2305">
        <v>1</v>
      </c>
      <c r="BK2305">
        <v>0</v>
      </c>
      <c r="BL2305">
        <v>0</v>
      </c>
      <c r="BO2305">
        <v>0</v>
      </c>
      <c r="BP2305">
        <v>0</v>
      </c>
      <c r="BW2305" t="str">
        <f>"22:19:10.367"</f>
        <v>22:19:10.367</v>
      </c>
      <c r="CJ2305">
        <v>0</v>
      </c>
      <c r="CK2305">
        <v>2</v>
      </c>
      <c r="CL2305">
        <v>0</v>
      </c>
      <c r="CM2305">
        <v>2</v>
      </c>
      <c r="CN2305">
        <v>0</v>
      </c>
      <c r="CO2305">
        <v>5</v>
      </c>
      <c r="CP2305" t="s">
        <v>119</v>
      </c>
      <c r="CQ2305">
        <v>364</v>
      </c>
      <c r="CR2305">
        <v>0</v>
      </c>
      <c r="CW2305">
        <v>1452168</v>
      </c>
      <c r="CY2305">
        <v>1</v>
      </c>
      <c r="CZ2305">
        <v>0</v>
      </c>
      <c r="DA2305">
        <v>0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>"03/24/2022 22:19:10.593"</f>
        <v>03/24/2022 22:19:10.593</v>
      </c>
      <c r="C2306" t="str">
        <f t="shared" si="677"/>
        <v>FFDFD3C0</v>
      </c>
      <c r="D2306" t="s">
        <v>123</v>
      </c>
      <c r="E2306">
        <v>8</v>
      </c>
      <c r="H2306">
        <v>31</v>
      </c>
      <c r="I2306" t="s">
        <v>124</v>
      </c>
      <c r="J2306" t="s">
        <v>125</v>
      </c>
      <c r="K2306">
        <v>0</v>
      </c>
      <c r="L2306">
        <v>3</v>
      </c>
      <c r="M2306">
        <v>0</v>
      </c>
      <c r="N2306">
        <v>2</v>
      </c>
      <c r="O2306">
        <v>0</v>
      </c>
      <c r="P2306">
        <v>1</v>
      </c>
      <c r="Q2306">
        <v>0</v>
      </c>
      <c r="S2306" t="str">
        <f t="shared" si="689"/>
        <v>22:19:10.000</v>
      </c>
      <c r="T2306" t="str">
        <f t="shared" si="689"/>
        <v>22:19:10.000</v>
      </c>
      <c r="U2306" t="str">
        <f t="shared" ref="U2306:U2369" si="690">"A9D71F"</f>
        <v>A9D71F</v>
      </c>
      <c r="V2306">
        <v>0</v>
      </c>
      <c r="W2306">
        <v>0</v>
      </c>
      <c r="X2306">
        <v>2</v>
      </c>
      <c r="Z2306">
        <v>1</v>
      </c>
      <c r="AA2306">
        <v>7</v>
      </c>
      <c r="AB2306">
        <v>3</v>
      </c>
      <c r="AC2306">
        <v>0</v>
      </c>
      <c r="AD2306">
        <v>9</v>
      </c>
      <c r="AE2306">
        <v>0</v>
      </c>
      <c r="AF2306">
        <v>3</v>
      </c>
      <c r="AG2306">
        <v>1</v>
      </c>
      <c r="AH2306">
        <v>0</v>
      </c>
      <c r="AI2306" t="s">
        <v>1199</v>
      </c>
      <c r="AJ2306">
        <v>33.005118000000003</v>
      </c>
      <c r="AK2306" t="s">
        <v>1200</v>
      </c>
      <c r="AL2306">
        <v>-97.654015999999999</v>
      </c>
      <c r="AM2306">
        <v>25</v>
      </c>
      <c r="AN2306">
        <v>3200</v>
      </c>
      <c r="AO2306" t="s">
        <v>118</v>
      </c>
      <c r="AP2306">
        <v>-40</v>
      </c>
      <c r="AQ2306">
        <v>-58</v>
      </c>
      <c r="AR2306">
        <v>-512</v>
      </c>
      <c r="AZ2306">
        <v>1200</v>
      </c>
      <c r="BA2306">
        <v>1</v>
      </c>
      <c r="BB2306" t="str">
        <f t="shared" si="678"/>
        <v xml:space="preserve">N733KP  </v>
      </c>
      <c r="BC2306">
        <v>1</v>
      </c>
      <c r="BE2306">
        <v>0</v>
      </c>
      <c r="BF2306">
        <v>0</v>
      </c>
      <c r="BG2306">
        <v>0</v>
      </c>
      <c r="BH2306">
        <v>3175</v>
      </c>
      <c r="BI2306">
        <v>1</v>
      </c>
      <c r="BJ2306">
        <v>1</v>
      </c>
      <c r="BK2306">
        <v>0</v>
      </c>
      <c r="BL2306">
        <v>0</v>
      </c>
      <c r="BO2306">
        <v>0</v>
      </c>
      <c r="BP2306">
        <v>0</v>
      </c>
      <c r="BW2306" t="str">
        <f>"22:19:10.367"</f>
        <v>22:19:10.367</v>
      </c>
      <c r="CJ2306">
        <v>0</v>
      </c>
      <c r="CK2306">
        <v>2</v>
      </c>
      <c r="CL2306">
        <v>0</v>
      </c>
      <c r="CM2306">
        <v>2</v>
      </c>
      <c r="CN2306">
        <v>0</v>
      </c>
      <c r="CO2306">
        <v>5</v>
      </c>
      <c r="CP2306" t="s">
        <v>119</v>
      </c>
      <c r="CQ2306">
        <v>364</v>
      </c>
      <c r="CR2306">
        <v>0</v>
      </c>
      <c r="CW2306">
        <v>1452168</v>
      </c>
      <c r="CY2306">
        <v>1</v>
      </c>
      <c r="CZ2306">
        <v>0</v>
      </c>
      <c r="DA2306">
        <v>1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>"03/24/2022 22:19:10.593"</f>
        <v>03/24/2022 22:19:10.593</v>
      </c>
      <c r="C2307" t="str">
        <f t="shared" si="677"/>
        <v>FFDFD3C0</v>
      </c>
      <c r="D2307" t="s">
        <v>120</v>
      </c>
      <c r="E2307">
        <v>14</v>
      </c>
      <c r="F2307">
        <v>1014</v>
      </c>
      <c r="G2307" t="s">
        <v>121</v>
      </c>
      <c r="J2307" t="s">
        <v>122</v>
      </c>
      <c r="K2307">
        <v>0</v>
      </c>
      <c r="L2307">
        <v>3</v>
      </c>
      <c r="M2307">
        <v>0</v>
      </c>
      <c r="N2307">
        <v>2</v>
      </c>
      <c r="O2307">
        <v>0</v>
      </c>
      <c r="P2307">
        <v>1</v>
      </c>
      <c r="Q2307">
        <v>0</v>
      </c>
      <c r="S2307" t="str">
        <f t="shared" si="689"/>
        <v>22:19:10.000</v>
      </c>
      <c r="T2307" t="str">
        <f t="shared" si="689"/>
        <v>22:19:10.000</v>
      </c>
      <c r="U2307" t="str">
        <f t="shared" si="690"/>
        <v>A9D71F</v>
      </c>
      <c r="V2307">
        <v>0</v>
      </c>
      <c r="W2307">
        <v>0</v>
      </c>
      <c r="X2307">
        <v>2</v>
      </c>
      <c r="Z2307">
        <v>1</v>
      </c>
      <c r="AA2307">
        <v>7</v>
      </c>
      <c r="AB2307">
        <v>3</v>
      </c>
      <c r="AC2307">
        <v>0</v>
      </c>
      <c r="AD2307">
        <v>9</v>
      </c>
      <c r="AE2307">
        <v>0</v>
      </c>
      <c r="AF2307">
        <v>3</v>
      </c>
      <c r="AG2307">
        <v>1</v>
      </c>
      <c r="AH2307">
        <v>0</v>
      </c>
      <c r="AI2307" t="s">
        <v>1199</v>
      </c>
      <c r="AJ2307">
        <v>33.005118000000003</v>
      </c>
      <c r="AK2307" t="s">
        <v>1200</v>
      </c>
      <c r="AL2307">
        <v>-97.654015999999999</v>
      </c>
      <c r="AM2307">
        <v>25</v>
      </c>
      <c r="AN2307">
        <v>3200</v>
      </c>
      <c r="AO2307" t="s">
        <v>118</v>
      </c>
      <c r="AP2307">
        <v>-40</v>
      </c>
      <c r="AQ2307">
        <v>-58</v>
      </c>
      <c r="AR2307">
        <v>-512</v>
      </c>
      <c r="AZ2307">
        <v>1200</v>
      </c>
      <c r="BA2307">
        <v>1</v>
      </c>
      <c r="BB2307" t="str">
        <f t="shared" si="678"/>
        <v xml:space="preserve">N733KP  </v>
      </c>
      <c r="BC2307">
        <v>1</v>
      </c>
      <c r="BE2307">
        <v>0</v>
      </c>
      <c r="BF2307">
        <v>0</v>
      </c>
      <c r="BG2307">
        <v>0</v>
      </c>
      <c r="BH2307">
        <v>3175</v>
      </c>
      <c r="BI2307">
        <v>1</v>
      </c>
      <c r="BJ2307">
        <v>1</v>
      </c>
      <c r="BK2307">
        <v>0</v>
      </c>
      <c r="BL2307">
        <v>0</v>
      </c>
      <c r="BO2307">
        <v>0</v>
      </c>
      <c r="BP2307">
        <v>0</v>
      </c>
      <c r="BW2307" t="str">
        <f>"22:19:10.367"</f>
        <v>22:19:10.367</v>
      </c>
      <c r="CJ2307">
        <v>0</v>
      </c>
      <c r="CK2307">
        <v>2</v>
      </c>
      <c r="CL2307">
        <v>0</v>
      </c>
      <c r="CM2307">
        <v>2</v>
      </c>
      <c r="CN2307">
        <v>0</v>
      </c>
      <c r="CO2307">
        <v>5</v>
      </c>
      <c r="CP2307" t="s">
        <v>119</v>
      </c>
      <c r="CQ2307">
        <v>364</v>
      </c>
      <c r="CR2307">
        <v>0</v>
      </c>
      <c r="CW2307">
        <v>1452168</v>
      </c>
      <c r="CY2307">
        <v>1</v>
      </c>
      <c r="CZ2307">
        <v>0</v>
      </c>
      <c r="DA2307">
        <v>1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>"03/24/2022 22:19:10.593"</f>
        <v>03/24/2022 22:19:10.593</v>
      </c>
      <c r="C2308" t="str">
        <f t="shared" si="677"/>
        <v>FFDFD3C0</v>
      </c>
      <c r="D2308" t="s">
        <v>126</v>
      </c>
      <c r="E2308">
        <v>3</v>
      </c>
      <c r="H2308">
        <v>160</v>
      </c>
      <c r="I2308" t="s">
        <v>121</v>
      </c>
      <c r="J2308" t="s">
        <v>127</v>
      </c>
      <c r="K2308">
        <v>0</v>
      </c>
      <c r="L2308">
        <v>3</v>
      </c>
      <c r="M2308">
        <v>0</v>
      </c>
      <c r="N2308">
        <v>2</v>
      </c>
      <c r="O2308">
        <v>0</v>
      </c>
      <c r="P2308">
        <v>1</v>
      </c>
      <c r="Q2308">
        <v>0</v>
      </c>
      <c r="S2308" t="str">
        <f t="shared" si="689"/>
        <v>22:19:10.000</v>
      </c>
      <c r="T2308" t="str">
        <f t="shared" si="689"/>
        <v>22:19:10.000</v>
      </c>
      <c r="U2308" t="str">
        <f t="shared" si="690"/>
        <v>A9D71F</v>
      </c>
      <c r="V2308">
        <v>0</v>
      </c>
      <c r="W2308">
        <v>0</v>
      </c>
      <c r="X2308">
        <v>2</v>
      </c>
      <c r="Z2308">
        <v>1</v>
      </c>
      <c r="AA2308">
        <v>7</v>
      </c>
      <c r="AB2308">
        <v>3</v>
      </c>
      <c r="AC2308">
        <v>0</v>
      </c>
      <c r="AD2308">
        <v>9</v>
      </c>
      <c r="AE2308">
        <v>0</v>
      </c>
      <c r="AF2308">
        <v>3</v>
      </c>
      <c r="AG2308">
        <v>1</v>
      </c>
      <c r="AH2308">
        <v>0</v>
      </c>
      <c r="AI2308" t="s">
        <v>1199</v>
      </c>
      <c r="AJ2308">
        <v>33.005118000000003</v>
      </c>
      <c r="AK2308" t="s">
        <v>1200</v>
      </c>
      <c r="AL2308">
        <v>-97.654015999999999</v>
      </c>
      <c r="AM2308">
        <v>25</v>
      </c>
      <c r="AN2308">
        <v>3200</v>
      </c>
      <c r="AO2308" t="s">
        <v>118</v>
      </c>
      <c r="AP2308">
        <v>-40</v>
      </c>
      <c r="AQ2308">
        <v>-58</v>
      </c>
      <c r="AR2308">
        <v>-512</v>
      </c>
      <c r="AZ2308">
        <v>1200</v>
      </c>
      <c r="BA2308">
        <v>1</v>
      </c>
      <c r="BB2308" t="str">
        <f t="shared" si="678"/>
        <v xml:space="preserve">N733KP  </v>
      </c>
      <c r="BC2308">
        <v>1</v>
      </c>
      <c r="BE2308">
        <v>0</v>
      </c>
      <c r="BF2308">
        <v>0</v>
      </c>
      <c r="BG2308">
        <v>0</v>
      </c>
      <c r="BH2308">
        <v>3175</v>
      </c>
      <c r="BI2308">
        <v>1</v>
      </c>
      <c r="BJ2308">
        <v>1</v>
      </c>
      <c r="BK2308">
        <v>0</v>
      </c>
      <c r="BL2308">
        <v>0</v>
      </c>
      <c r="BO2308">
        <v>0</v>
      </c>
      <c r="BP2308">
        <v>0</v>
      </c>
      <c r="BW2308" t="str">
        <f>"22:19:10.367"</f>
        <v>22:19:10.367</v>
      </c>
      <c r="CJ2308">
        <v>0</v>
      </c>
      <c r="CK2308">
        <v>2</v>
      </c>
      <c r="CL2308">
        <v>0</v>
      </c>
      <c r="CM2308">
        <v>2</v>
      </c>
      <c r="CN2308">
        <v>0</v>
      </c>
      <c r="CO2308">
        <v>5</v>
      </c>
      <c r="CP2308" t="s">
        <v>119</v>
      </c>
      <c r="CQ2308">
        <v>364</v>
      </c>
      <c r="CR2308">
        <v>0</v>
      </c>
      <c r="CW2308">
        <v>1452168</v>
      </c>
      <c r="CY2308">
        <v>1</v>
      </c>
      <c r="CZ2308">
        <v>0</v>
      </c>
      <c r="DA2308">
        <v>1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>"03/24/2022 22:19:12.046"</f>
        <v>03/24/2022 22:19:12.046</v>
      </c>
      <c r="C2309" t="str">
        <f t="shared" si="677"/>
        <v>FFDFD3C0</v>
      </c>
      <c r="D2309" t="s">
        <v>123</v>
      </c>
      <c r="E2309">
        <v>8</v>
      </c>
      <c r="H2309">
        <v>31</v>
      </c>
      <c r="I2309" t="s">
        <v>124</v>
      </c>
      <c r="J2309" t="s">
        <v>125</v>
      </c>
      <c r="K2309">
        <v>0</v>
      </c>
      <c r="L2309">
        <v>3</v>
      </c>
      <c r="M2309">
        <v>0</v>
      </c>
      <c r="N2309">
        <v>2</v>
      </c>
      <c r="O2309">
        <v>0</v>
      </c>
      <c r="P2309">
        <v>1</v>
      </c>
      <c r="Q2309">
        <v>0</v>
      </c>
      <c r="S2309" t="str">
        <f t="shared" ref="S2309:T2312" si="691">"22:19:11.000"</f>
        <v>22:19:11.000</v>
      </c>
      <c r="T2309" t="str">
        <f t="shared" si="691"/>
        <v>22:19:11.000</v>
      </c>
      <c r="U2309" t="str">
        <f t="shared" si="690"/>
        <v>A9D71F</v>
      </c>
      <c r="V2309">
        <v>0</v>
      </c>
      <c r="W2309">
        <v>0</v>
      </c>
      <c r="X2309">
        <v>2</v>
      </c>
      <c r="Z2309">
        <v>1</v>
      </c>
      <c r="AA2309">
        <v>7</v>
      </c>
      <c r="AB2309">
        <v>3</v>
      </c>
      <c r="AC2309">
        <v>0</v>
      </c>
      <c r="AD2309">
        <v>9</v>
      </c>
      <c r="AE2309">
        <v>0</v>
      </c>
      <c r="AF2309">
        <v>3</v>
      </c>
      <c r="AG2309">
        <v>1</v>
      </c>
      <c r="AH2309">
        <v>0</v>
      </c>
      <c r="AI2309" t="s">
        <v>1201</v>
      </c>
      <c r="AJ2309">
        <v>33.004818</v>
      </c>
      <c r="AK2309" t="s">
        <v>1202</v>
      </c>
      <c r="AL2309">
        <v>-97.654230999999996</v>
      </c>
      <c r="AM2309">
        <v>25</v>
      </c>
      <c r="AN2309">
        <v>3200</v>
      </c>
      <c r="AO2309" t="s">
        <v>118</v>
      </c>
      <c r="AP2309">
        <v>-42</v>
      </c>
      <c r="AQ2309">
        <v>-53</v>
      </c>
      <c r="AR2309">
        <v>-512</v>
      </c>
      <c r="AZ2309">
        <v>1200</v>
      </c>
      <c r="BA2309">
        <v>1</v>
      </c>
      <c r="BB2309" t="str">
        <f t="shared" si="678"/>
        <v xml:space="preserve">N733KP  </v>
      </c>
      <c r="BC2309">
        <v>1</v>
      </c>
      <c r="BE2309">
        <v>0</v>
      </c>
      <c r="BF2309">
        <v>0</v>
      </c>
      <c r="BG2309">
        <v>0</v>
      </c>
      <c r="BH2309">
        <v>3175</v>
      </c>
      <c r="BI2309">
        <v>1</v>
      </c>
      <c r="BJ2309">
        <v>1</v>
      </c>
      <c r="BK2309">
        <v>0</v>
      </c>
      <c r="BL2309">
        <v>0</v>
      </c>
      <c r="BO2309">
        <v>0</v>
      </c>
      <c r="BP2309">
        <v>0</v>
      </c>
      <c r="BW2309" t="str">
        <f>"22:19:11.900"</f>
        <v>22:19:11.900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5</v>
      </c>
      <c r="CP2309" t="s">
        <v>119</v>
      </c>
      <c r="CQ2309">
        <v>364</v>
      </c>
      <c r="CR2309">
        <v>0</v>
      </c>
      <c r="CW2309">
        <v>1452374</v>
      </c>
      <c r="CY2309">
        <v>1</v>
      </c>
      <c r="CZ2309">
        <v>0</v>
      </c>
      <c r="DA2309">
        <v>0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>"03/24/2022 22:19:12.046"</f>
        <v>03/24/2022 22:19:12.046</v>
      </c>
      <c r="C2310" t="str">
        <f t="shared" si="677"/>
        <v>FFDFD3C0</v>
      </c>
      <c r="D2310" t="s">
        <v>120</v>
      </c>
      <c r="E2310">
        <v>14</v>
      </c>
      <c r="F2310">
        <v>1014</v>
      </c>
      <c r="G2310" t="s">
        <v>121</v>
      </c>
      <c r="J2310" t="s">
        <v>122</v>
      </c>
      <c r="K2310">
        <v>0</v>
      </c>
      <c r="L2310">
        <v>3</v>
      </c>
      <c r="M2310">
        <v>0</v>
      </c>
      <c r="N2310">
        <v>2</v>
      </c>
      <c r="O2310">
        <v>0</v>
      </c>
      <c r="P2310">
        <v>1</v>
      </c>
      <c r="Q2310">
        <v>0</v>
      </c>
      <c r="S2310" t="str">
        <f t="shared" si="691"/>
        <v>22:19:11.000</v>
      </c>
      <c r="T2310" t="str">
        <f t="shared" si="691"/>
        <v>22:19:11.000</v>
      </c>
      <c r="U2310" t="str">
        <f t="shared" si="690"/>
        <v>A9D71F</v>
      </c>
      <c r="V2310">
        <v>0</v>
      </c>
      <c r="W2310">
        <v>0</v>
      </c>
      <c r="X2310">
        <v>2</v>
      </c>
      <c r="Z2310">
        <v>1</v>
      </c>
      <c r="AA2310">
        <v>7</v>
      </c>
      <c r="AB2310">
        <v>3</v>
      </c>
      <c r="AC2310">
        <v>0</v>
      </c>
      <c r="AD2310">
        <v>9</v>
      </c>
      <c r="AE2310">
        <v>0</v>
      </c>
      <c r="AF2310">
        <v>3</v>
      </c>
      <c r="AG2310">
        <v>1</v>
      </c>
      <c r="AH2310">
        <v>0</v>
      </c>
      <c r="AI2310" t="s">
        <v>1201</v>
      </c>
      <c r="AJ2310">
        <v>33.004818</v>
      </c>
      <c r="AK2310" t="s">
        <v>1202</v>
      </c>
      <c r="AL2310">
        <v>-97.654230999999996</v>
      </c>
      <c r="AM2310">
        <v>25</v>
      </c>
      <c r="AN2310">
        <v>3200</v>
      </c>
      <c r="AO2310" t="s">
        <v>118</v>
      </c>
      <c r="AP2310">
        <v>-42</v>
      </c>
      <c r="AQ2310">
        <v>-53</v>
      </c>
      <c r="AR2310">
        <v>-512</v>
      </c>
      <c r="AZ2310">
        <v>1200</v>
      </c>
      <c r="BA2310">
        <v>1</v>
      </c>
      <c r="BB2310" t="str">
        <f t="shared" si="678"/>
        <v xml:space="preserve">N733KP  </v>
      </c>
      <c r="BC2310">
        <v>1</v>
      </c>
      <c r="BE2310">
        <v>0</v>
      </c>
      <c r="BF2310">
        <v>0</v>
      </c>
      <c r="BG2310">
        <v>0</v>
      </c>
      <c r="BH2310">
        <v>3175</v>
      </c>
      <c r="BI2310">
        <v>1</v>
      </c>
      <c r="BJ2310">
        <v>1</v>
      </c>
      <c r="BK2310">
        <v>0</v>
      </c>
      <c r="BL2310">
        <v>0</v>
      </c>
      <c r="BO2310">
        <v>0</v>
      </c>
      <c r="BP2310">
        <v>0</v>
      </c>
      <c r="BW2310" t="str">
        <f>"22:19:11.900"</f>
        <v>22:19:11.900</v>
      </c>
      <c r="CJ2310">
        <v>0</v>
      </c>
      <c r="CK2310">
        <v>2</v>
      </c>
      <c r="CL2310">
        <v>0</v>
      </c>
      <c r="CM2310">
        <v>2</v>
      </c>
      <c r="CN2310">
        <v>0</v>
      </c>
      <c r="CO2310">
        <v>5</v>
      </c>
      <c r="CP2310" t="s">
        <v>119</v>
      </c>
      <c r="CQ2310">
        <v>364</v>
      </c>
      <c r="CR2310">
        <v>0</v>
      </c>
      <c r="CW2310">
        <v>1452374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>"03/24/2022 22:19:12.077"</f>
        <v>03/24/2022 22:19:12.077</v>
      </c>
      <c r="C2311" t="str">
        <f t="shared" si="677"/>
        <v>FFDFD3C0</v>
      </c>
      <c r="D2311" t="s">
        <v>126</v>
      </c>
      <c r="E2311">
        <v>3</v>
      </c>
      <c r="H2311">
        <v>160</v>
      </c>
      <c r="I2311" t="s">
        <v>121</v>
      </c>
      <c r="J2311" t="s">
        <v>127</v>
      </c>
      <c r="K2311">
        <v>0</v>
      </c>
      <c r="L2311">
        <v>3</v>
      </c>
      <c r="M2311">
        <v>0</v>
      </c>
      <c r="N2311">
        <v>2</v>
      </c>
      <c r="O2311">
        <v>0</v>
      </c>
      <c r="P2311">
        <v>1</v>
      </c>
      <c r="Q2311">
        <v>0</v>
      </c>
      <c r="S2311" t="str">
        <f t="shared" si="691"/>
        <v>22:19:11.000</v>
      </c>
      <c r="T2311" t="str">
        <f t="shared" si="691"/>
        <v>22:19:11.000</v>
      </c>
      <c r="U2311" t="str">
        <f t="shared" si="690"/>
        <v>A9D71F</v>
      </c>
      <c r="V2311">
        <v>0</v>
      </c>
      <c r="W2311">
        <v>0</v>
      </c>
      <c r="X2311">
        <v>2</v>
      </c>
      <c r="Z2311">
        <v>1</v>
      </c>
      <c r="AA2311">
        <v>7</v>
      </c>
      <c r="AB2311">
        <v>3</v>
      </c>
      <c r="AC2311">
        <v>0</v>
      </c>
      <c r="AD2311">
        <v>9</v>
      </c>
      <c r="AE2311">
        <v>0</v>
      </c>
      <c r="AF2311">
        <v>3</v>
      </c>
      <c r="AG2311">
        <v>1</v>
      </c>
      <c r="AH2311">
        <v>0</v>
      </c>
      <c r="AI2311" t="s">
        <v>1201</v>
      </c>
      <c r="AJ2311">
        <v>33.004818</v>
      </c>
      <c r="AK2311" t="s">
        <v>1202</v>
      </c>
      <c r="AL2311">
        <v>-97.654230999999996</v>
      </c>
      <c r="AM2311">
        <v>25</v>
      </c>
      <c r="AN2311">
        <v>3200</v>
      </c>
      <c r="AO2311" t="s">
        <v>118</v>
      </c>
      <c r="AP2311">
        <v>-42</v>
      </c>
      <c r="AQ2311">
        <v>-53</v>
      </c>
      <c r="AR2311">
        <v>-512</v>
      </c>
      <c r="AZ2311">
        <v>1200</v>
      </c>
      <c r="BA2311">
        <v>1</v>
      </c>
      <c r="BB2311" t="str">
        <f t="shared" si="678"/>
        <v xml:space="preserve">N733KP  </v>
      </c>
      <c r="BC2311">
        <v>1</v>
      </c>
      <c r="BE2311">
        <v>0</v>
      </c>
      <c r="BF2311">
        <v>0</v>
      </c>
      <c r="BG2311">
        <v>0</v>
      </c>
      <c r="BH2311">
        <v>3175</v>
      </c>
      <c r="BI2311">
        <v>1</v>
      </c>
      <c r="BJ2311">
        <v>1</v>
      </c>
      <c r="BK2311">
        <v>0</v>
      </c>
      <c r="BL2311">
        <v>0</v>
      </c>
      <c r="BO2311">
        <v>0</v>
      </c>
      <c r="BP2311">
        <v>0</v>
      </c>
      <c r="BW2311" t="str">
        <f>"22:19:11.900"</f>
        <v>22:19:11.900</v>
      </c>
      <c r="CJ2311">
        <v>0</v>
      </c>
      <c r="CK2311">
        <v>2</v>
      </c>
      <c r="CL2311">
        <v>0</v>
      </c>
      <c r="CM2311">
        <v>2</v>
      </c>
      <c r="CN2311">
        <v>0</v>
      </c>
      <c r="CO2311">
        <v>5</v>
      </c>
      <c r="CP2311" t="s">
        <v>119</v>
      </c>
      <c r="CQ2311">
        <v>364</v>
      </c>
      <c r="CR2311">
        <v>0</v>
      </c>
      <c r="CW2311">
        <v>1452374</v>
      </c>
      <c r="CY2311">
        <v>1</v>
      </c>
      <c r="CZ2311">
        <v>0</v>
      </c>
      <c r="DA2311">
        <v>1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>"03/24/2022 22:19:12.094"</f>
        <v>03/24/2022 22:19:12.094</v>
      </c>
      <c r="C2312" t="str">
        <f t="shared" si="677"/>
        <v>FFDFD3C0</v>
      </c>
      <c r="D2312" t="s">
        <v>113</v>
      </c>
      <c r="E2312">
        <v>24</v>
      </c>
      <c r="F2312">
        <v>2024</v>
      </c>
      <c r="G2312" t="s">
        <v>114</v>
      </c>
      <c r="J2312" t="s">
        <v>115</v>
      </c>
      <c r="K2312">
        <v>0</v>
      </c>
      <c r="L2312">
        <v>3</v>
      </c>
      <c r="M2312">
        <v>0</v>
      </c>
      <c r="N2312">
        <v>2</v>
      </c>
      <c r="O2312">
        <v>0</v>
      </c>
      <c r="P2312">
        <v>1</v>
      </c>
      <c r="Q2312">
        <v>0</v>
      </c>
      <c r="S2312" t="str">
        <f t="shared" si="691"/>
        <v>22:19:11.000</v>
      </c>
      <c r="T2312" t="str">
        <f t="shared" si="691"/>
        <v>22:19:11.000</v>
      </c>
      <c r="U2312" t="str">
        <f t="shared" si="690"/>
        <v>A9D71F</v>
      </c>
      <c r="V2312">
        <v>0</v>
      </c>
      <c r="W2312">
        <v>0</v>
      </c>
      <c r="X2312">
        <v>2</v>
      </c>
      <c r="Z2312">
        <v>1</v>
      </c>
      <c r="AA2312">
        <v>7</v>
      </c>
      <c r="AB2312">
        <v>3</v>
      </c>
      <c r="AC2312">
        <v>0</v>
      </c>
      <c r="AD2312">
        <v>9</v>
      </c>
      <c r="AE2312">
        <v>0</v>
      </c>
      <c r="AF2312">
        <v>3</v>
      </c>
      <c r="AG2312">
        <v>1</v>
      </c>
      <c r="AH2312">
        <v>0</v>
      </c>
      <c r="AI2312" t="s">
        <v>1201</v>
      </c>
      <c r="AJ2312">
        <v>33.004818</v>
      </c>
      <c r="AK2312" t="s">
        <v>1202</v>
      </c>
      <c r="AL2312">
        <v>-97.654230999999996</v>
      </c>
      <c r="AM2312">
        <v>25</v>
      </c>
      <c r="AN2312">
        <v>3200</v>
      </c>
      <c r="AO2312" t="s">
        <v>118</v>
      </c>
      <c r="AP2312">
        <v>-42</v>
      </c>
      <c r="AQ2312">
        <v>-53</v>
      </c>
      <c r="AR2312">
        <v>-512</v>
      </c>
      <c r="AZ2312">
        <v>1200</v>
      </c>
      <c r="BA2312">
        <v>1</v>
      </c>
      <c r="BB2312" t="str">
        <f t="shared" si="678"/>
        <v xml:space="preserve">N733KP  </v>
      </c>
      <c r="BC2312">
        <v>1</v>
      </c>
      <c r="BE2312">
        <v>0</v>
      </c>
      <c r="BF2312">
        <v>0</v>
      </c>
      <c r="BG2312">
        <v>0</v>
      </c>
      <c r="BH2312">
        <v>3175</v>
      </c>
      <c r="BI2312">
        <v>1</v>
      </c>
      <c r="BJ2312">
        <v>1</v>
      </c>
      <c r="BK2312">
        <v>0</v>
      </c>
      <c r="BL2312">
        <v>0</v>
      </c>
      <c r="BO2312">
        <v>0</v>
      </c>
      <c r="BP2312">
        <v>0</v>
      </c>
      <c r="BW2312" t="str">
        <f>"22:19:11.900"</f>
        <v>22:19:11.900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5</v>
      </c>
      <c r="CP2312" t="s">
        <v>119</v>
      </c>
      <c r="CQ2312">
        <v>364</v>
      </c>
      <c r="CR2312">
        <v>0</v>
      </c>
      <c r="CW2312">
        <v>1452374</v>
      </c>
      <c r="CY2312">
        <v>1</v>
      </c>
      <c r="CZ2312">
        <v>0</v>
      </c>
      <c r="DA2312">
        <v>1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>"03/24/2022 22:19:13.047"</f>
        <v>03/24/2022 22:19:13.047</v>
      </c>
      <c r="C2313" t="str">
        <f t="shared" si="677"/>
        <v>FFDFD3C0</v>
      </c>
      <c r="D2313" t="s">
        <v>126</v>
      </c>
      <c r="E2313">
        <v>3</v>
      </c>
      <c r="H2313">
        <v>160</v>
      </c>
      <c r="I2313" t="s">
        <v>121</v>
      </c>
      <c r="J2313" t="s">
        <v>127</v>
      </c>
      <c r="K2313">
        <v>0</v>
      </c>
      <c r="L2313">
        <v>3</v>
      </c>
      <c r="M2313">
        <v>0</v>
      </c>
      <c r="N2313">
        <v>2</v>
      </c>
      <c r="O2313">
        <v>0</v>
      </c>
      <c r="P2313">
        <v>1</v>
      </c>
      <c r="Q2313">
        <v>0</v>
      </c>
      <c r="S2313" t="str">
        <f t="shared" ref="S2313:T2316" si="692">"22:19:12.000"</f>
        <v>22:19:12.000</v>
      </c>
      <c r="T2313" t="str">
        <f t="shared" si="692"/>
        <v>22:19:12.000</v>
      </c>
      <c r="U2313" t="str">
        <f t="shared" si="690"/>
        <v>A9D71F</v>
      </c>
      <c r="V2313">
        <v>0</v>
      </c>
      <c r="W2313">
        <v>0</v>
      </c>
      <c r="X2313">
        <v>2</v>
      </c>
      <c r="Z2313">
        <v>1</v>
      </c>
      <c r="AA2313">
        <v>7</v>
      </c>
      <c r="AB2313">
        <v>3</v>
      </c>
      <c r="AC2313">
        <v>0</v>
      </c>
      <c r="AD2313">
        <v>9</v>
      </c>
      <c r="AE2313">
        <v>0</v>
      </c>
      <c r="AF2313">
        <v>3</v>
      </c>
      <c r="AG2313">
        <v>1</v>
      </c>
      <c r="AH2313">
        <v>0</v>
      </c>
      <c r="AI2313" t="s">
        <v>1203</v>
      </c>
      <c r="AJ2313">
        <v>33.004539000000001</v>
      </c>
      <c r="AK2313" t="s">
        <v>1204</v>
      </c>
      <c r="AL2313">
        <v>-97.654466999999997</v>
      </c>
      <c r="AM2313">
        <v>25</v>
      </c>
      <c r="AN2313">
        <v>3100</v>
      </c>
      <c r="AO2313" t="s">
        <v>118</v>
      </c>
      <c r="AP2313">
        <v>-43</v>
      </c>
      <c r="AQ2313">
        <v>-55</v>
      </c>
      <c r="AR2313">
        <v>-576</v>
      </c>
      <c r="AZ2313">
        <v>1200</v>
      </c>
      <c r="BA2313">
        <v>1</v>
      </c>
      <c r="BB2313" t="str">
        <f t="shared" si="678"/>
        <v xml:space="preserve">N733KP  </v>
      </c>
      <c r="BC2313">
        <v>1</v>
      </c>
      <c r="BE2313">
        <v>0</v>
      </c>
      <c r="BF2313">
        <v>0</v>
      </c>
      <c r="BG2313">
        <v>0</v>
      </c>
      <c r="BH2313">
        <v>3175</v>
      </c>
      <c r="BI2313">
        <v>1</v>
      </c>
      <c r="BJ2313">
        <v>1</v>
      </c>
      <c r="BK2313">
        <v>0</v>
      </c>
      <c r="BL2313">
        <v>0</v>
      </c>
      <c r="BO2313">
        <v>0</v>
      </c>
      <c r="BP2313">
        <v>0</v>
      </c>
      <c r="BW2313" t="str">
        <f>"22:19:12.831"</f>
        <v>22:19:12.831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2</v>
      </c>
      <c r="CP2313" t="s">
        <v>119</v>
      </c>
      <c r="CQ2313">
        <v>439</v>
      </c>
      <c r="CR2313">
        <v>0</v>
      </c>
      <c r="CW2313">
        <v>11508315</v>
      </c>
      <c r="CY2313">
        <v>1</v>
      </c>
      <c r="CZ2313">
        <v>0</v>
      </c>
      <c r="DA2313">
        <v>0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>"03/24/2022 22:19:13.047"</f>
        <v>03/24/2022 22:19:13.047</v>
      </c>
      <c r="C2314" t="str">
        <f t="shared" si="677"/>
        <v>FFDFD3C0</v>
      </c>
      <c r="D2314" t="s">
        <v>113</v>
      </c>
      <c r="E2314">
        <v>24</v>
      </c>
      <c r="F2314">
        <v>2024</v>
      </c>
      <c r="G2314" t="s">
        <v>114</v>
      </c>
      <c r="J2314" t="s">
        <v>115</v>
      </c>
      <c r="K2314">
        <v>0</v>
      </c>
      <c r="L2314">
        <v>3</v>
      </c>
      <c r="M2314">
        <v>0</v>
      </c>
      <c r="N2314">
        <v>2</v>
      </c>
      <c r="O2314">
        <v>0</v>
      </c>
      <c r="P2314">
        <v>1</v>
      </c>
      <c r="Q2314">
        <v>0</v>
      </c>
      <c r="S2314" t="str">
        <f t="shared" si="692"/>
        <v>22:19:12.000</v>
      </c>
      <c r="T2314" t="str">
        <f t="shared" si="692"/>
        <v>22:19:12.000</v>
      </c>
      <c r="U2314" t="str">
        <f t="shared" si="690"/>
        <v>A9D71F</v>
      </c>
      <c r="V2314">
        <v>0</v>
      </c>
      <c r="W2314">
        <v>0</v>
      </c>
      <c r="X2314">
        <v>2</v>
      </c>
      <c r="Z2314">
        <v>1</v>
      </c>
      <c r="AA2314">
        <v>7</v>
      </c>
      <c r="AB2314">
        <v>3</v>
      </c>
      <c r="AC2314">
        <v>0</v>
      </c>
      <c r="AD2314">
        <v>9</v>
      </c>
      <c r="AE2314">
        <v>0</v>
      </c>
      <c r="AF2314">
        <v>3</v>
      </c>
      <c r="AG2314">
        <v>1</v>
      </c>
      <c r="AH2314">
        <v>0</v>
      </c>
      <c r="AI2314" t="s">
        <v>1203</v>
      </c>
      <c r="AJ2314">
        <v>33.004539000000001</v>
      </c>
      <c r="AK2314" t="s">
        <v>1204</v>
      </c>
      <c r="AL2314">
        <v>-97.654466999999997</v>
      </c>
      <c r="AM2314">
        <v>25</v>
      </c>
      <c r="AN2314">
        <v>3100</v>
      </c>
      <c r="AO2314" t="s">
        <v>118</v>
      </c>
      <c r="AP2314">
        <v>-43</v>
      </c>
      <c r="AQ2314">
        <v>-55</v>
      </c>
      <c r="AR2314">
        <v>-576</v>
      </c>
      <c r="AZ2314">
        <v>1200</v>
      </c>
      <c r="BA2314">
        <v>1</v>
      </c>
      <c r="BB2314" t="str">
        <f t="shared" si="678"/>
        <v xml:space="preserve">N733KP  </v>
      </c>
      <c r="BC2314">
        <v>1</v>
      </c>
      <c r="BE2314">
        <v>0</v>
      </c>
      <c r="BF2314">
        <v>0</v>
      </c>
      <c r="BG2314">
        <v>0</v>
      </c>
      <c r="BH2314">
        <v>3175</v>
      </c>
      <c r="BI2314">
        <v>1</v>
      </c>
      <c r="BJ2314">
        <v>1</v>
      </c>
      <c r="BK2314">
        <v>0</v>
      </c>
      <c r="BL2314">
        <v>0</v>
      </c>
      <c r="BO2314">
        <v>0</v>
      </c>
      <c r="BP2314">
        <v>0</v>
      </c>
      <c r="BW2314" t="str">
        <f>"22:19:12.831"</f>
        <v>22:19:12.831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2</v>
      </c>
      <c r="CP2314" t="s">
        <v>119</v>
      </c>
      <c r="CQ2314">
        <v>439</v>
      </c>
      <c r="CR2314">
        <v>0</v>
      </c>
      <c r="CW2314">
        <v>11508315</v>
      </c>
      <c r="CY2314">
        <v>1</v>
      </c>
      <c r="CZ2314">
        <v>0</v>
      </c>
      <c r="DA2314">
        <v>1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>"03/24/2022 22:19:13.047"</f>
        <v>03/24/2022 22:19:13.047</v>
      </c>
      <c r="C2315" t="str">
        <f t="shared" si="677"/>
        <v>FFDFD3C0</v>
      </c>
      <c r="D2315" t="s">
        <v>123</v>
      </c>
      <c r="E2315">
        <v>8</v>
      </c>
      <c r="H2315">
        <v>31</v>
      </c>
      <c r="I2315" t="s">
        <v>124</v>
      </c>
      <c r="J2315" t="s">
        <v>125</v>
      </c>
      <c r="K2315">
        <v>0</v>
      </c>
      <c r="L2315">
        <v>3</v>
      </c>
      <c r="M2315">
        <v>0</v>
      </c>
      <c r="N2315">
        <v>2</v>
      </c>
      <c r="O2315">
        <v>0</v>
      </c>
      <c r="P2315">
        <v>1</v>
      </c>
      <c r="Q2315">
        <v>0</v>
      </c>
      <c r="S2315" t="str">
        <f t="shared" si="692"/>
        <v>22:19:12.000</v>
      </c>
      <c r="T2315" t="str">
        <f t="shared" si="692"/>
        <v>22:19:12.000</v>
      </c>
      <c r="U2315" t="str">
        <f t="shared" si="690"/>
        <v>A9D71F</v>
      </c>
      <c r="V2315">
        <v>0</v>
      </c>
      <c r="W2315">
        <v>0</v>
      </c>
      <c r="X2315">
        <v>2</v>
      </c>
      <c r="Z2315">
        <v>1</v>
      </c>
      <c r="AA2315">
        <v>7</v>
      </c>
      <c r="AB2315">
        <v>3</v>
      </c>
      <c r="AC2315">
        <v>0</v>
      </c>
      <c r="AD2315">
        <v>9</v>
      </c>
      <c r="AE2315">
        <v>0</v>
      </c>
      <c r="AF2315">
        <v>3</v>
      </c>
      <c r="AG2315">
        <v>1</v>
      </c>
      <c r="AH2315">
        <v>0</v>
      </c>
      <c r="AI2315" t="s">
        <v>1203</v>
      </c>
      <c r="AJ2315">
        <v>33.004539000000001</v>
      </c>
      <c r="AK2315" t="s">
        <v>1204</v>
      </c>
      <c r="AL2315">
        <v>-97.654466999999997</v>
      </c>
      <c r="AM2315">
        <v>25</v>
      </c>
      <c r="AN2315">
        <v>3100</v>
      </c>
      <c r="AO2315" t="s">
        <v>118</v>
      </c>
      <c r="AP2315">
        <v>-43</v>
      </c>
      <c r="AQ2315">
        <v>-55</v>
      </c>
      <c r="AR2315">
        <v>-576</v>
      </c>
      <c r="AZ2315">
        <v>1200</v>
      </c>
      <c r="BA2315">
        <v>1</v>
      </c>
      <c r="BB2315" t="str">
        <f t="shared" si="678"/>
        <v xml:space="preserve">N733KP  </v>
      </c>
      <c r="BC2315">
        <v>1</v>
      </c>
      <c r="BE2315">
        <v>0</v>
      </c>
      <c r="BF2315">
        <v>0</v>
      </c>
      <c r="BG2315">
        <v>0</v>
      </c>
      <c r="BH2315">
        <v>3175</v>
      </c>
      <c r="BI2315">
        <v>1</v>
      </c>
      <c r="BJ2315">
        <v>1</v>
      </c>
      <c r="BK2315">
        <v>0</v>
      </c>
      <c r="BL2315">
        <v>0</v>
      </c>
      <c r="BO2315">
        <v>0</v>
      </c>
      <c r="BP2315">
        <v>0</v>
      </c>
      <c r="BW2315" t="str">
        <f>"22:19:12.831"</f>
        <v>22:19:12.831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1</v>
      </c>
      <c r="CP2315" t="s">
        <v>119</v>
      </c>
      <c r="CQ2315">
        <v>352</v>
      </c>
      <c r="CR2315">
        <v>0</v>
      </c>
      <c r="CW2315">
        <v>11263749</v>
      </c>
      <c r="CY2315">
        <v>1</v>
      </c>
      <c r="CZ2315">
        <v>0</v>
      </c>
      <c r="DA2315">
        <v>1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>"03/24/2022 22:19:13.047"</f>
        <v>03/24/2022 22:19:13.047</v>
      </c>
      <c r="C2316" t="str">
        <f t="shared" si="677"/>
        <v>FFDFD3C0</v>
      </c>
      <c r="D2316" t="s">
        <v>120</v>
      </c>
      <c r="E2316">
        <v>14</v>
      </c>
      <c r="F2316">
        <v>1014</v>
      </c>
      <c r="G2316" t="s">
        <v>121</v>
      </c>
      <c r="J2316" t="s">
        <v>122</v>
      </c>
      <c r="K2316">
        <v>0</v>
      </c>
      <c r="L2316">
        <v>3</v>
      </c>
      <c r="M2316">
        <v>0</v>
      </c>
      <c r="N2316">
        <v>2</v>
      </c>
      <c r="O2316">
        <v>0</v>
      </c>
      <c r="P2316">
        <v>1</v>
      </c>
      <c r="Q2316">
        <v>0</v>
      </c>
      <c r="S2316" t="str">
        <f t="shared" si="692"/>
        <v>22:19:12.000</v>
      </c>
      <c r="T2316" t="str">
        <f t="shared" si="692"/>
        <v>22:19:12.000</v>
      </c>
      <c r="U2316" t="str">
        <f t="shared" si="690"/>
        <v>A9D71F</v>
      </c>
      <c r="V2316">
        <v>0</v>
      </c>
      <c r="W2316">
        <v>0</v>
      </c>
      <c r="X2316">
        <v>2</v>
      </c>
      <c r="Z2316">
        <v>1</v>
      </c>
      <c r="AA2316">
        <v>7</v>
      </c>
      <c r="AB2316">
        <v>3</v>
      </c>
      <c r="AC2316">
        <v>0</v>
      </c>
      <c r="AD2316">
        <v>9</v>
      </c>
      <c r="AE2316">
        <v>0</v>
      </c>
      <c r="AF2316">
        <v>3</v>
      </c>
      <c r="AG2316">
        <v>1</v>
      </c>
      <c r="AH2316">
        <v>0</v>
      </c>
      <c r="AI2316" t="s">
        <v>1203</v>
      </c>
      <c r="AJ2316">
        <v>33.004539000000001</v>
      </c>
      <c r="AK2316" t="s">
        <v>1204</v>
      </c>
      <c r="AL2316">
        <v>-97.654466999999997</v>
      </c>
      <c r="AM2316">
        <v>25</v>
      </c>
      <c r="AN2316">
        <v>3100</v>
      </c>
      <c r="AO2316" t="s">
        <v>118</v>
      </c>
      <c r="AP2316">
        <v>-43</v>
      </c>
      <c r="AQ2316">
        <v>-55</v>
      </c>
      <c r="AR2316">
        <v>-576</v>
      </c>
      <c r="AZ2316">
        <v>1200</v>
      </c>
      <c r="BA2316">
        <v>1</v>
      </c>
      <c r="BB2316" t="str">
        <f t="shared" si="678"/>
        <v xml:space="preserve">N733KP  </v>
      </c>
      <c r="BC2316">
        <v>1</v>
      </c>
      <c r="BE2316">
        <v>0</v>
      </c>
      <c r="BF2316">
        <v>0</v>
      </c>
      <c r="BG2316">
        <v>0</v>
      </c>
      <c r="BH2316">
        <v>3175</v>
      </c>
      <c r="BI2316">
        <v>1</v>
      </c>
      <c r="BJ2316">
        <v>1</v>
      </c>
      <c r="BK2316">
        <v>0</v>
      </c>
      <c r="BL2316">
        <v>0</v>
      </c>
      <c r="BO2316">
        <v>0</v>
      </c>
      <c r="BP2316">
        <v>0</v>
      </c>
      <c r="BW2316" t="str">
        <f>"22:19:12.831"</f>
        <v>22:19:12.831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2</v>
      </c>
      <c r="CP2316" t="s">
        <v>119</v>
      </c>
      <c r="CQ2316">
        <v>439</v>
      </c>
      <c r="CR2316">
        <v>0</v>
      </c>
      <c r="CW2316">
        <v>11508315</v>
      </c>
      <c r="CY2316">
        <v>1</v>
      </c>
      <c r="CZ2316">
        <v>0</v>
      </c>
      <c r="DA2316">
        <v>1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>"03/24/2022 22:19:14.237"</f>
        <v>03/24/2022 22:19:14.237</v>
      </c>
      <c r="C2317" t="str">
        <f t="shared" si="677"/>
        <v>FFDFD3C0</v>
      </c>
      <c r="D2317" t="s">
        <v>120</v>
      </c>
      <c r="E2317">
        <v>14</v>
      </c>
      <c r="F2317">
        <v>1014</v>
      </c>
      <c r="G2317" t="s">
        <v>121</v>
      </c>
      <c r="J2317" t="s">
        <v>122</v>
      </c>
      <c r="K2317">
        <v>0</v>
      </c>
      <c r="L2317">
        <v>3</v>
      </c>
      <c r="M2317">
        <v>0</v>
      </c>
      <c r="N2317">
        <v>2</v>
      </c>
      <c r="O2317">
        <v>0</v>
      </c>
      <c r="P2317">
        <v>1</v>
      </c>
      <c r="Q2317">
        <v>0</v>
      </c>
      <c r="S2317" t="str">
        <f t="shared" ref="S2317:T2320" si="693">"22:19:13.000"</f>
        <v>22:19:13.000</v>
      </c>
      <c r="T2317" t="str">
        <f t="shared" si="693"/>
        <v>22:19:13.000</v>
      </c>
      <c r="U2317" t="str">
        <f t="shared" si="690"/>
        <v>A9D71F</v>
      </c>
      <c r="V2317">
        <v>0</v>
      </c>
      <c r="W2317">
        <v>0</v>
      </c>
      <c r="X2317">
        <v>2</v>
      </c>
      <c r="Z2317">
        <v>1</v>
      </c>
      <c r="AA2317">
        <v>7</v>
      </c>
      <c r="AB2317">
        <v>3</v>
      </c>
      <c r="AC2317">
        <v>0</v>
      </c>
      <c r="AD2317">
        <v>9</v>
      </c>
      <c r="AE2317">
        <v>0</v>
      </c>
      <c r="AF2317">
        <v>3</v>
      </c>
      <c r="AG2317">
        <v>1</v>
      </c>
      <c r="AH2317">
        <v>0</v>
      </c>
      <c r="AI2317" t="s">
        <v>1205</v>
      </c>
      <c r="AJ2317">
        <v>33.004303</v>
      </c>
      <c r="AK2317" t="s">
        <v>1206</v>
      </c>
      <c r="AL2317">
        <v>-97.654702999999998</v>
      </c>
      <c r="AM2317">
        <v>25</v>
      </c>
      <c r="AN2317">
        <v>3100</v>
      </c>
      <c r="AO2317" t="s">
        <v>118</v>
      </c>
      <c r="AP2317">
        <v>-43</v>
      </c>
      <c r="AQ2317">
        <v>-54</v>
      </c>
      <c r="AR2317">
        <v>-640</v>
      </c>
      <c r="AZ2317">
        <v>1200</v>
      </c>
      <c r="BA2317">
        <v>1</v>
      </c>
      <c r="BB2317" t="str">
        <f t="shared" si="678"/>
        <v xml:space="preserve">N733KP  </v>
      </c>
      <c r="BC2317">
        <v>1</v>
      </c>
      <c r="BE2317">
        <v>0</v>
      </c>
      <c r="BF2317">
        <v>0</v>
      </c>
      <c r="BG2317">
        <v>0</v>
      </c>
      <c r="BH2317">
        <v>3150</v>
      </c>
      <c r="BI2317">
        <v>1</v>
      </c>
      <c r="BJ2317">
        <v>1</v>
      </c>
      <c r="BK2317">
        <v>0</v>
      </c>
      <c r="BL2317">
        <v>0</v>
      </c>
      <c r="BO2317">
        <v>0</v>
      </c>
      <c r="BP2317">
        <v>0</v>
      </c>
      <c r="BW2317" t="str">
        <f>"22:19:13.959"</f>
        <v>22:19:13.959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5</v>
      </c>
      <c r="CP2317" t="s">
        <v>119</v>
      </c>
      <c r="CQ2317">
        <v>364</v>
      </c>
      <c r="CR2317">
        <v>0</v>
      </c>
      <c r="CW2317">
        <v>1452616</v>
      </c>
      <c r="CY2317">
        <v>1</v>
      </c>
      <c r="CZ2317">
        <v>0</v>
      </c>
      <c r="DA2317">
        <v>0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>"03/24/2022 22:19:14.237"</f>
        <v>03/24/2022 22:19:14.237</v>
      </c>
      <c r="C2318" t="str">
        <f t="shared" si="677"/>
        <v>FFDFD3C0</v>
      </c>
      <c r="D2318" t="s">
        <v>126</v>
      </c>
      <c r="E2318">
        <v>3</v>
      </c>
      <c r="H2318">
        <v>160</v>
      </c>
      <c r="I2318" t="s">
        <v>121</v>
      </c>
      <c r="J2318" t="s">
        <v>127</v>
      </c>
      <c r="K2318">
        <v>0</v>
      </c>
      <c r="L2318">
        <v>3</v>
      </c>
      <c r="M2318">
        <v>0</v>
      </c>
      <c r="N2318">
        <v>2</v>
      </c>
      <c r="O2318">
        <v>0</v>
      </c>
      <c r="P2318">
        <v>1</v>
      </c>
      <c r="Q2318">
        <v>0</v>
      </c>
      <c r="S2318" t="str">
        <f t="shared" si="693"/>
        <v>22:19:13.000</v>
      </c>
      <c r="T2318" t="str">
        <f t="shared" si="693"/>
        <v>22:19:13.000</v>
      </c>
      <c r="U2318" t="str">
        <f t="shared" si="690"/>
        <v>A9D71F</v>
      </c>
      <c r="V2318">
        <v>0</v>
      </c>
      <c r="W2318">
        <v>0</v>
      </c>
      <c r="X2318">
        <v>2</v>
      </c>
      <c r="Z2318">
        <v>1</v>
      </c>
      <c r="AA2318">
        <v>7</v>
      </c>
      <c r="AB2318">
        <v>3</v>
      </c>
      <c r="AC2318">
        <v>0</v>
      </c>
      <c r="AD2318">
        <v>9</v>
      </c>
      <c r="AE2318">
        <v>0</v>
      </c>
      <c r="AF2318">
        <v>3</v>
      </c>
      <c r="AG2318">
        <v>1</v>
      </c>
      <c r="AH2318">
        <v>0</v>
      </c>
      <c r="AI2318" t="s">
        <v>1205</v>
      </c>
      <c r="AJ2318">
        <v>33.004303</v>
      </c>
      <c r="AK2318" t="s">
        <v>1206</v>
      </c>
      <c r="AL2318">
        <v>-97.654702999999998</v>
      </c>
      <c r="AM2318">
        <v>25</v>
      </c>
      <c r="AN2318">
        <v>3100</v>
      </c>
      <c r="AO2318" t="s">
        <v>118</v>
      </c>
      <c r="AP2318">
        <v>-43</v>
      </c>
      <c r="AQ2318">
        <v>-54</v>
      </c>
      <c r="AR2318">
        <v>-640</v>
      </c>
      <c r="AZ2318">
        <v>1200</v>
      </c>
      <c r="BA2318">
        <v>1</v>
      </c>
      <c r="BB2318" t="str">
        <f t="shared" si="678"/>
        <v xml:space="preserve">N733KP  </v>
      </c>
      <c r="BC2318">
        <v>1</v>
      </c>
      <c r="BE2318">
        <v>0</v>
      </c>
      <c r="BF2318">
        <v>0</v>
      </c>
      <c r="BG2318">
        <v>0</v>
      </c>
      <c r="BH2318">
        <v>3150</v>
      </c>
      <c r="BI2318">
        <v>1</v>
      </c>
      <c r="BJ2318">
        <v>1</v>
      </c>
      <c r="BK2318">
        <v>0</v>
      </c>
      <c r="BL2318">
        <v>0</v>
      </c>
      <c r="BO2318">
        <v>0</v>
      </c>
      <c r="BP2318">
        <v>0</v>
      </c>
      <c r="BW2318" t="str">
        <f>"22:19:13.959"</f>
        <v>22:19:13.959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5</v>
      </c>
      <c r="CP2318" t="s">
        <v>119</v>
      </c>
      <c r="CQ2318">
        <v>364</v>
      </c>
      <c r="CR2318">
        <v>0</v>
      </c>
      <c r="CW2318">
        <v>1452616</v>
      </c>
      <c r="CY2318">
        <v>1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>"03/24/2022 22:19:14.237"</f>
        <v>03/24/2022 22:19:14.237</v>
      </c>
      <c r="C2319" t="str">
        <f t="shared" si="677"/>
        <v>FFDFD3C0</v>
      </c>
      <c r="D2319" t="s">
        <v>113</v>
      </c>
      <c r="E2319">
        <v>24</v>
      </c>
      <c r="F2319">
        <v>2024</v>
      </c>
      <c r="G2319" t="s">
        <v>114</v>
      </c>
      <c r="J2319" t="s">
        <v>115</v>
      </c>
      <c r="K2319">
        <v>0</v>
      </c>
      <c r="L2319">
        <v>3</v>
      </c>
      <c r="M2319">
        <v>0</v>
      </c>
      <c r="N2319">
        <v>2</v>
      </c>
      <c r="O2319">
        <v>0</v>
      </c>
      <c r="P2319">
        <v>1</v>
      </c>
      <c r="Q2319">
        <v>0</v>
      </c>
      <c r="S2319" t="str">
        <f t="shared" si="693"/>
        <v>22:19:13.000</v>
      </c>
      <c r="T2319" t="str">
        <f t="shared" si="693"/>
        <v>22:19:13.000</v>
      </c>
      <c r="U2319" t="str">
        <f t="shared" si="690"/>
        <v>A9D71F</v>
      </c>
      <c r="V2319">
        <v>0</v>
      </c>
      <c r="W2319">
        <v>0</v>
      </c>
      <c r="X2319">
        <v>2</v>
      </c>
      <c r="Z2319">
        <v>1</v>
      </c>
      <c r="AA2319">
        <v>7</v>
      </c>
      <c r="AB2319">
        <v>3</v>
      </c>
      <c r="AC2319">
        <v>0</v>
      </c>
      <c r="AD2319">
        <v>9</v>
      </c>
      <c r="AE2319">
        <v>0</v>
      </c>
      <c r="AF2319">
        <v>3</v>
      </c>
      <c r="AG2319">
        <v>1</v>
      </c>
      <c r="AH2319">
        <v>0</v>
      </c>
      <c r="AI2319" t="s">
        <v>1205</v>
      </c>
      <c r="AJ2319">
        <v>33.004303</v>
      </c>
      <c r="AK2319" t="s">
        <v>1206</v>
      </c>
      <c r="AL2319">
        <v>-97.654702999999998</v>
      </c>
      <c r="AM2319">
        <v>25</v>
      </c>
      <c r="AN2319">
        <v>3100</v>
      </c>
      <c r="AO2319" t="s">
        <v>118</v>
      </c>
      <c r="AP2319">
        <v>-43</v>
      </c>
      <c r="AQ2319">
        <v>-54</v>
      </c>
      <c r="AR2319">
        <v>-640</v>
      </c>
      <c r="AZ2319">
        <v>1200</v>
      </c>
      <c r="BA2319">
        <v>1</v>
      </c>
      <c r="BB2319" t="str">
        <f t="shared" si="678"/>
        <v xml:space="preserve">N733KP  </v>
      </c>
      <c r="BC2319">
        <v>1</v>
      </c>
      <c r="BE2319">
        <v>0</v>
      </c>
      <c r="BF2319">
        <v>0</v>
      </c>
      <c r="BG2319">
        <v>0</v>
      </c>
      <c r="BH2319">
        <v>3150</v>
      </c>
      <c r="BI2319">
        <v>1</v>
      </c>
      <c r="BJ2319">
        <v>1</v>
      </c>
      <c r="BK2319">
        <v>0</v>
      </c>
      <c r="BL2319">
        <v>0</v>
      </c>
      <c r="BO2319">
        <v>0</v>
      </c>
      <c r="BP2319">
        <v>0</v>
      </c>
      <c r="BW2319" t="str">
        <f>"22:19:13.959"</f>
        <v>22:19:13.959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5</v>
      </c>
      <c r="CP2319" t="s">
        <v>119</v>
      </c>
      <c r="CQ2319">
        <v>364</v>
      </c>
      <c r="CR2319">
        <v>0</v>
      </c>
      <c r="CW2319">
        <v>1452616</v>
      </c>
      <c r="CY2319">
        <v>1</v>
      </c>
      <c r="CZ2319">
        <v>0</v>
      </c>
      <c r="DA2319">
        <v>1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>"03/24/2022 22:19:14.237"</f>
        <v>03/24/2022 22:19:14.237</v>
      </c>
      <c r="C2320" t="str">
        <f t="shared" si="677"/>
        <v>FFDFD3C0</v>
      </c>
      <c r="D2320" t="s">
        <v>123</v>
      </c>
      <c r="E2320">
        <v>8</v>
      </c>
      <c r="H2320">
        <v>31</v>
      </c>
      <c r="I2320" t="s">
        <v>124</v>
      </c>
      <c r="J2320" t="s">
        <v>125</v>
      </c>
      <c r="K2320">
        <v>0</v>
      </c>
      <c r="L2320">
        <v>3</v>
      </c>
      <c r="M2320">
        <v>0</v>
      </c>
      <c r="N2320">
        <v>2</v>
      </c>
      <c r="O2320">
        <v>0</v>
      </c>
      <c r="P2320">
        <v>1</v>
      </c>
      <c r="Q2320">
        <v>0</v>
      </c>
      <c r="S2320" t="str">
        <f t="shared" si="693"/>
        <v>22:19:13.000</v>
      </c>
      <c r="T2320" t="str">
        <f t="shared" si="693"/>
        <v>22:19:13.000</v>
      </c>
      <c r="U2320" t="str">
        <f t="shared" si="690"/>
        <v>A9D71F</v>
      </c>
      <c r="V2320">
        <v>0</v>
      </c>
      <c r="W2320">
        <v>0</v>
      </c>
      <c r="X2320">
        <v>2</v>
      </c>
      <c r="Z2320">
        <v>1</v>
      </c>
      <c r="AA2320">
        <v>7</v>
      </c>
      <c r="AB2320">
        <v>3</v>
      </c>
      <c r="AC2320">
        <v>0</v>
      </c>
      <c r="AD2320">
        <v>9</v>
      </c>
      <c r="AE2320">
        <v>0</v>
      </c>
      <c r="AF2320">
        <v>3</v>
      </c>
      <c r="AG2320">
        <v>1</v>
      </c>
      <c r="AH2320">
        <v>0</v>
      </c>
      <c r="AI2320" t="s">
        <v>1205</v>
      </c>
      <c r="AJ2320">
        <v>33.004303</v>
      </c>
      <c r="AK2320" t="s">
        <v>1206</v>
      </c>
      <c r="AL2320">
        <v>-97.654702999999998</v>
      </c>
      <c r="AM2320">
        <v>25</v>
      </c>
      <c r="AN2320">
        <v>3100</v>
      </c>
      <c r="AO2320" t="s">
        <v>118</v>
      </c>
      <c r="AP2320">
        <v>-43</v>
      </c>
      <c r="AQ2320">
        <v>-54</v>
      </c>
      <c r="AR2320">
        <v>-640</v>
      </c>
      <c r="AZ2320">
        <v>1200</v>
      </c>
      <c r="BA2320">
        <v>1</v>
      </c>
      <c r="BB2320" t="str">
        <f t="shared" si="678"/>
        <v xml:space="preserve">N733KP  </v>
      </c>
      <c r="BC2320">
        <v>1</v>
      </c>
      <c r="BE2320">
        <v>0</v>
      </c>
      <c r="BF2320">
        <v>0</v>
      </c>
      <c r="BG2320">
        <v>0</v>
      </c>
      <c r="BH2320">
        <v>3150</v>
      </c>
      <c r="BI2320">
        <v>1</v>
      </c>
      <c r="BJ2320">
        <v>1</v>
      </c>
      <c r="BK2320">
        <v>0</v>
      </c>
      <c r="BL2320">
        <v>0</v>
      </c>
      <c r="BO2320">
        <v>0</v>
      </c>
      <c r="BP2320">
        <v>0</v>
      </c>
      <c r="BW2320" t="str">
        <f>"22:19:13.959"</f>
        <v>22:19:13.959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5</v>
      </c>
      <c r="CP2320" t="s">
        <v>119</v>
      </c>
      <c r="CQ2320">
        <v>364</v>
      </c>
      <c r="CR2320">
        <v>0</v>
      </c>
      <c r="CW2320">
        <v>1452616</v>
      </c>
      <c r="CY2320">
        <v>1</v>
      </c>
      <c r="CZ2320">
        <v>0</v>
      </c>
      <c r="DA2320">
        <v>1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>"03/24/2022 22:19:15.068"</f>
        <v>03/24/2022 22:19:15.068</v>
      </c>
      <c r="C2321" t="str">
        <f t="shared" si="677"/>
        <v>FFDFD3C0</v>
      </c>
      <c r="D2321" t="s">
        <v>120</v>
      </c>
      <c r="E2321">
        <v>14</v>
      </c>
      <c r="F2321">
        <v>1014</v>
      </c>
      <c r="G2321" t="s">
        <v>121</v>
      </c>
      <c r="J2321" t="s">
        <v>122</v>
      </c>
      <c r="K2321">
        <v>0</v>
      </c>
      <c r="L2321">
        <v>3</v>
      </c>
      <c r="M2321">
        <v>0</v>
      </c>
      <c r="N2321">
        <v>2</v>
      </c>
      <c r="O2321">
        <v>0</v>
      </c>
      <c r="P2321">
        <v>1</v>
      </c>
      <c r="Q2321">
        <v>0</v>
      </c>
      <c r="S2321" t="str">
        <f t="shared" ref="S2321:T2324" si="694">"22:19:14.000"</f>
        <v>22:19:14.000</v>
      </c>
      <c r="T2321" t="str">
        <f t="shared" si="694"/>
        <v>22:19:14.000</v>
      </c>
      <c r="U2321" t="str">
        <f t="shared" si="690"/>
        <v>A9D71F</v>
      </c>
      <c r="V2321">
        <v>0</v>
      </c>
      <c r="W2321">
        <v>0</v>
      </c>
      <c r="X2321">
        <v>2</v>
      </c>
      <c r="Z2321">
        <v>1</v>
      </c>
      <c r="AA2321">
        <v>8</v>
      </c>
      <c r="AB2321">
        <v>3</v>
      </c>
      <c r="AC2321">
        <v>0</v>
      </c>
      <c r="AD2321">
        <v>9</v>
      </c>
      <c r="AE2321">
        <v>0</v>
      </c>
      <c r="AF2321">
        <v>3</v>
      </c>
      <c r="AG2321">
        <v>1</v>
      </c>
      <c r="AH2321">
        <v>0</v>
      </c>
      <c r="AI2321" t="s">
        <v>1207</v>
      </c>
      <c r="AJ2321">
        <v>33.004044999999998</v>
      </c>
      <c r="AK2321" t="s">
        <v>1208</v>
      </c>
      <c r="AL2321">
        <v>-97.654938999999999</v>
      </c>
      <c r="AM2321">
        <v>25</v>
      </c>
      <c r="AN2321">
        <v>3100</v>
      </c>
      <c r="AO2321" t="s">
        <v>118</v>
      </c>
      <c r="AP2321">
        <v>-44</v>
      </c>
      <c r="AQ2321">
        <v>-56</v>
      </c>
      <c r="AR2321">
        <v>-704</v>
      </c>
      <c r="AZ2321">
        <v>1200</v>
      </c>
      <c r="BA2321">
        <v>1</v>
      </c>
      <c r="BB2321" t="str">
        <f t="shared" si="678"/>
        <v xml:space="preserve">N733KP  </v>
      </c>
      <c r="BC2321">
        <v>1</v>
      </c>
      <c r="BE2321">
        <v>0</v>
      </c>
      <c r="BF2321">
        <v>0</v>
      </c>
      <c r="BG2321">
        <v>0</v>
      </c>
      <c r="BH2321">
        <v>3150</v>
      </c>
      <c r="BI2321">
        <v>1</v>
      </c>
      <c r="BJ2321">
        <v>1</v>
      </c>
      <c r="BK2321">
        <v>0</v>
      </c>
      <c r="BL2321">
        <v>0</v>
      </c>
      <c r="BO2321">
        <v>0</v>
      </c>
      <c r="BP2321">
        <v>0</v>
      </c>
      <c r="BW2321" t="str">
        <f>"22:19:14.884"</f>
        <v>22:19:14.884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6</v>
      </c>
      <c r="CP2321" t="s">
        <v>119</v>
      </c>
      <c r="CQ2321">
        <v>364</v>
      </c>
      <c r="CR2321">
        <v>0</v>
      </c>
      <c r="CW2321">
        <v>1452738</v>
      </c>
      <c r="CY2321">
        <v>1</v>
      </c>
      <c r="CZ2321">
        <v>0</v>
      </c>
      <c r="DA2321">
        <v>0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>"03/24/2022 22:19:15.068"</f>
        <v>03/24/2022 22:19:15.068</v>
      </c>
      <c r="C2322" t="str">
        <f t="shared" si="677"/>
        <v>FFDFD3C0</v>
      </c>
      <c r="D2322" t="s">
        <v>126</v>
      </c>
      <c r="E2322">
        <v>3</v>
      </c>
      <c r="H2322">
        <v>160</v>
      </c>
      <c r="I2322" t="s">
        <v>121</v>
      </c>
      <c r="J2322" t="s">
        <v>127</v>
      </c>
      <c r="K2322">
        <v>0</v>
      </c>
      <c r="L2322">
        <v>3</v>
      </c>
      <c r="M2322">
        <v>0</v>
      </c>
      <c r="N2322">
        <v>2</v>
      </c>
      <c r="O2322">
        <v>0</v>
      </c>
      <c r="P2322">
        <v>1</v>
      </c>
      <c r="Q2322">
        <v>0</v>
      </c>
      <c r="S2322" t="str">
        <f t="shared" si="694"/>
        <v>22:19:14.000</v>
      </c>
      <c r="T2322" t="str">
        <f t="shared" si="694"/>
        <v>22:19:14.000</v>
      </c>
      <c r="U2322" t="str">
        <f t="shared" si="690"/>
        <v>A9D71F</v>
      </c>
      <c r="V2322">
        <v>0</v>
      </c>
      <c r="W2322">
        <v>0</v>
      </c>
      <c r="X2322">
        <v>2</v>
      </c>
      <c r="Z2322">
        <v>1</v>
      </c>
      <c r="AA2322">
        <v>8</v>
      </c>
      <c r="AB2322">
        <v>3</v>
      </c>
      <c r="AC2322">
        <v>0</v>
      </c>
      <c r="AD2322">
        <v>9</v>
      </c>
      <c r="AE2322">
        <v>0</v>
      </c>
      <c r="AF2322">
        <v>3</v>
      </c>
      <c r="AG2322">
        <v>1</v>
      </c>
      <c r="AH2322">
        <v>0</v>
      </c>
      <c r="AI2322" t="s">
        <v>1207</v>
      </c>
      <c r="AJ2322">
        <v>33.004044999999998</v>
      </c>
      <c r="AK2322" t="s">
        <v>1208</v>
      </c>
      <c r="AL2322">
        <v>-97.654938999999999</v>
      </c>
      <c r="AM2322">
        <v>25</v>
      </c>
      <c r="AN2322">
        <v>3100</v>
      </c>
      <c r="AO2322" t="s">
        <v>118</v>
      </c>
      <c r="AP2322">
        <v>-44</v>
      </c>
      <c r="AQ2322">
        <v>-56</v>
      </c>
      <c r="AR2322">
        <v>-704</v>
      </c>
      <c r="AZ2322">
        <v>1200</v>
      </c>
      <c r="BA2322">
        <v>1</v>
      </c>
      <c r="BB2322" t="str">
        <f t="shared" si="678"/>
        <v xml:space="preserve">N733KP  </v>
      </c>
      <c r="BC2322">
        <v>1</v>
      </c>
      <c r="BE2322">
        <v>0</v>
      </c>
      <c r="BF2322">
        <v>0</v>
      </c>
      <c r="BG2322">
        <v>0</v>
      </c>
      <c r="BH2322">
        <v>3150</v>
      </c>
      <c r="BI2322">
        <v>1</v>
      </c>
      <c r="BJ2322">
        <v>1</v>
      </c>
      <c r="BK2322">
        <v>0</v>
      </c>
      <c r="BL2322">
        <v>0</v>
      </c>
      <c r="BO2322">
        <v>0</v>
      </c>
      <c r="BP2322">
        <v>0</v>
      </c>
      <c r="BW2322" t="str">
        <f>"22:19:14.884"</f>
        <v>22:19:14.884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6</v>
      </c>
      <c r="CP2322" t="s">
        <v>119</v>
      </c>
      <c r="CQ2322">
        <v>364</v>
      </c>
      <c r="CR2322">
        <v>0</v>
      </c>
      <c r="CW2322">
        <v>1452738</v>
      </c>
      <c r="CY2322">
        <v>1</v>
      </c>
      <c r="CZ2322">
        <v>0</v>
      </c>
      <c r="DA2322">
        <v>1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>"03/24/2022 22:19:15.099"</f>
        <v>03/24/2022 22:19:15.099</v>
      </c>
      <c r="C2323" t="str">
        <f t="shared" si="677"/>
        <v>FFDFD3C0</v>
      </c>
      <c r="D2323" t="s">
        <v>113</v>
      </c>
      <c r="E2323">
        <v>24</v>
      </c>
      <c r="F2323">
        <v>2024</v>
      </c>
      <c r="G2323" t="s">
        <v>114</v>
      </c>
      <c r="J2323" t="s">
        <v>115</v>
      </c>
      <c r="K2323">
        <v>0</v>
      </c>
      <c r="L2323">
        <v>3</v>
      </c>
      <c r="M2323">
        <v>0</v>
      </c>
      <c r="N2323">
        <v>2</v>
      </c>
      <c r="O2323">
        <v>0</v>
      </c>
      <c r="P2323">
        <v>1</v>
      </c>
      <c r="Q2323">
        <v>0</v>
      </c>
      <c r="S2323" t="str">
        <f t="shared" si="694"/>
        <v>22:19:14.000</v>
      </c>
      <c r="T2323" t="str">
        <f t="shared" si="694"/>
        <v>22:19:14.000</v>
      </c>
      <c r="U2323" t="str">
        <f t="shared" si="690"/>
        <v>A9D71F</v>
      </c>
      <c r="V2323">
        <v>0</v>
      </c>
      <c r="W2323">
        <v>0</v>
      </c>
      <c r="X2323">
        <v>2</v>
      </c>
      <c r="Z2323">
        <v>1</v>
      </c>
      <c r="AA2323">
        <v>8</v>
      </c>
      <c r="AB2323">
        <v>3</v>
      </c>
      <c r="AC2323">
        <v>0</v>
      </c>
      <c r="AD2323">
        <v>9</v>
      </c>
      <c r="AE2323">
        <v>0</v>
      </c>
      <c r="AF2323">
        <v>3</v>
      </c>
      <c r="AG2323">
        <v>1</v>
      </c>
      <c r="AH2323">
        <v>0</v>
      </c>
      <c r="AI2323" t="s">
        <v>1207</v>
      </c>
      <c r="AJ2323">
        <v>33.004044999999998</v>
      </c>
      <c r="AK2323" t="s">
        <v>1208</v>
      </c>
      <c r="AL2323">
        <v>-97.654938999999999</v>
      </c>
      <c r="AM2323">
        <v>25</v>
      </c>
      <c r="AN2323">
        <v>3100</v>
      </c>
      <c r="AO2323" t="s">
        <v>118</v>
      </c>
      <c r="AP2323">
        <v>-44</v>
      </c>
      <c r="AQ2323">
        <v>-56</v>
      </c>
      <c r="AR2323">
        <v>-704</v>
      </c>
      <c r="AZ2323">
        <v>1200</v>
      </c>
      <c r="BA2323">
        <v>1</v>
      </c>
      <c r="BB2323" t="str">
        <f t="shared" si="678"/>
        <v xml:space="preserve">N733KP  </v>
      </c>
      <c r="BC2323">
        <v>1</v>
      </c>
      <c r="BE2323">
        <v>0</v>
      </c>
      <c r="BF2323">
        <v>0</v>
      </c>
      <c r="BG2323">
        <v>0</v>
      </c>
      <c r="BH2323">
        <v>3150</v>
      </c>
      <c r="BI2323">
        <v>1</v>
      </c>
      <c r="BJ2323">
        <v>1</v>
      </c>
      <c r="BK2323">
        <v>0</v>
      </c>
      <c r="BL2323">
        <v>0</v>
      </c>
      <c r="BO2323">
        <v>0</v>
      </c>
      <c r="BP2323">
        <v>0</v>
      </c>
      <c r="BW2323" t="str">
        <f>"22:19:14.884"</f>
        <v>22:19:14.884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6</v>
      </c>
      <c r="CP2323" t="s">
        <v>119</v>
      </c>
      <c r="CQ2323">
        <v>364</v>
      </c>
      <c r="CR2323">
        <v>0</v>
      </c>
      <c r="CW2323">
        <v>1452738</v>
      </c>
      <c r="CY2323">
        <v>1</v>
      </c>
      <c r="CZ2323">
        <v>0</v>
      </c>
      <c r="DA2323">
        <v>1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>"03/24/2022 22:19:15.099"</f>
        <v>03/24/2022 22:19:15.099</v>
      </c>
      <c r="C2324" t="str">
        <f t="shared" si="677"/>
        <v>FFDFD3C0</v>
      </c>
      <c r="D2324" t="s">
        <v>123</v>
      </c>
      <c r="E2324">
        <v>8</v>
      </c>
      <c r="H2324">
        <v>31</v>
      </c>
      <c r="I2324" t="s">
        <v>124</v>
      </c>
      <c r="J2324" t="s">
        <v>125</v>
      </c>
      <c r="K2324">
        <v>0</v>
      </c>
      <c r="L2324">
        <v>3</v>
      </c>
      <c r="M2324">
        <v>0</v>
      </c>
      <c r="N2324">
        <v>2</v>
      </c>
      <c r="O2324">
        <v>0</v>
      </c>
      <c r="P2324">
        <v>1</v>
      </c>
      <c r="Q2324">
        <v>0</v>
      </c>
      <c r="S2324" t="str">
        <f t="shared" si="694"/>
        <v>22:19:14.000</v>
      </c>
      <c r="T2324" t="str">
        <f t="shared" si="694"/>
        <v>22:19:14.000</v>
      </c>
      <c r="U2324" t="str">
        <f t="shared" si="690"/>
        <v>A9D71F</v>
      </c>
      <c r="V2324">
        <v>0</v>
      </c>
      <c r="W2324">
        <v>0</v>
      </c>
      <c r="X2324">
        <v>2</v>
      </c>
      <c r="Z2324">
        <v>1</v>
      </c>
      <c r="AA2324">
        <v>8</v>
      </c>
      <c r="AB2324">
        <v>3</v>
      </c>
      <c r="AC2324">
        <v>0</v>
      </c>
      <c r="AD2324">
        <v>9</v>
      </c>
      <c r="AE2324">
        <v>0</v>
      </c>
      <c r="AF2324">
        <v>3</v>
      </c>
      <c r="AG2324">
        <v>1</v>
      </c>
      <c r="AH2324">
        <v>0</v>
      </c>
      <c r="AI2324" t="s">
        <v>1207</v>
      </c>
      <c r="AJ2324">
        <v>33.004044999999998</v>
      </c>
      <c r="AK2324" t="s">
        <v>1208</v>
      </c>
      <c r="AL2324">
        <v>-97.654938999999999</v>
      </c>
      <c r="AM2324">
        <v>25</v>
      </c>
      <c r="AN2324">
        <v>3100</v>
      </c>
      <c r="AO2324" t="s">
        <v>118</v>
      </c>
      <c r="AP2324">
        <v>-44</v>
      </c>
      <c r="AQ2324">
        <v>-56</v>
      </c>
      <c r="AR2324">
        <v>-704</v>
      </c>
      <c r="AZ2324">
        <v>1200</v>
      </c>
      <c r="BA2324">
        <v>1</v>
      </c>
      <c r="BB2324" t="str">
        <f t="shared" si="678"/>
        <v xml:space="preserve">N733KP  </v>
      </c>
      <c r="BC2324">
        <v>1</v>
      </c>
      <c r="BE2324">
        <v>0</v>
      </c>
      <c r="BF2324">
        <v>0</v>
      </c>
      <c r="BG2324">
        <v>0</v>
      </c>
      <c r="BH2324">
        <v>3150</v>
      </c>
      <c r="BI2324">
        <v>1</v>
      </c>
      <c r="BJ2324">
        <v>1</v>
      </c>
      <c r="BK2324">
        <v>0</v>
      </c>
      <c r="BL2324">
        <v>0</v>
      </c>
      <c r="BO2324">
        <v>0</v>
      </c>
      <c r="BP2324">
        <v>0</v>
      </c>
      <c r="BW2324" t="str">
        <f>"22:19:14.884"</f>
        <v>22:19:14.884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6</v>
      </c>
      <c r="CP2324" t="s">
        <v>119</v>
      </c>
      <c r="CQ2324">
        <v>364</v>
      </c>
      <c r="CR2324">
        <v>0</v>
      </c>
      <c r="CW2324">
        <v>1452738</v>
      </c>
      <c r="CY2324">
        <v>1</v>
      </c>
      <c r="CZ2324">
        <v>0</v>
      </c>
      <c r="DA2324">
        <v>1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>"03/24/2022 22:19:15.599"</f>
        <v>03/24/2022 22:19:15.599</v>
      </c>
      <c r="C2325" t="str">
        <f t="shared" si="677"/>
        <v>FFDFD3C0</v>
      </c>
      <c r="D2325" t="s">
        <v>113</v>
      </c>
      <c r="E2325">
        <v>24</v>
      </c>
      <c r="F2325">
        <v>2024</v>
      </c>
      <c r="G2325" t="s">
        <v>114</v>
      </c>
      <c r="J2325" t="s">
        <v>115</v>
      </c>
      <c r="K2325">
        <v>0</v>
      </c>
      <c r="L2325">
        <v>3</v>
      </c>
      <c r="M2325">
        <v>0</v>
      </c>
      <c r="N2325">
        <v>2</v>
      </c>
      <c r="O2325">
        <v>0</v>
      </c>
      <c r="P2325">
        <v>1</v>
      </c>
      <c r="Q2325">
        <v>0</v>
      </c>
      <c r="S2325" t="str">
        <f t="shared" ref="S2325:T2328" si="695">"22:19:15.000"</f>
        <v>22:19:15.000</v>
      </c>
      <c r="T2325" t="str">
        <f t="shared" si="695"/>
        <v>22:19:15.000</v>
      </c>
      <c r="U2325" t="str">
        <f t="shared" si="690"/>
        <v>A9D71F</v>
      </c>
      <c r="V2325">
        <v>0</v>
      </c>
      <c r="W2325">
        <v>0</v>
      </c>
      <c r="X2325">
        <v>2</v>
      </c>
      <c r="Z2325">
        <v>1</v>
      </c>
      <c r="AA2325">
        <v>8</v>
      </c>
      <c r="AB2325">
        <v>3</v>
      </c>
      <c r="AC2325">
        <v>0</v>
      </c>
      <c r="AD2325">
        <v>9</v>
      </c>
      <c r="AE2325">
        <v>0</v>
      </c>
      <c r="AF2325">
        <v>3</v>
      </c>
      <c r="AG2325">
        <v>1</v>
      </c>
      <c r="AH2325">
        <v>0</v>
      </c>
      <c r="AI2325" t="s">
        <v>1209</v>
      </c>
      <c r="AJ2325">
        <v>33.003767000000003</v>
      </c>
      <c r="AK2325" t="s">
        <v>1210</v>
      </c>
      <c r="AL2325">
        <v>-97.655196000000004</v>
      </c>
      <c r="AM2325">
        <v>25</v>
      </c>
      <c r="AN2325">
        <v>3100</v>
      </c>
      <c r="AO2325" t="s">
        <v>118</v>
      </c>
      <c r="AP2325">
        <v>-44</v>
      </c>
      <c r="AQ2325">
        <v>-51</v>
      </c>
      <c r="AR2325">
        <v>-704</v>
      </c>
      <c r="AZ2325">
        <v>1200</v>
      </c>
      <c r="BA2325">
        <v>1</v>
      </c>
      <c r="BB2325" t="str">
        <f t="shared" si="678"/>
        <v xml:space="preserve">N733KP  </v>
      </c>
      <c r="BC2325">
        <v>1</v>
      </c>
      <c r="BE2325">
        <v>0</v>
      </c>
      <c r="BF2325">
        <v>0</v>
      </c>
      <c r="BG2325">
        <v>0</v>
      </c>
      <c r="BH2325">
        <v>3150</v>
      </c>
      <c r="BI2325">
        <v>1</v>
      </c>
      <c r="BJ2325">
        <v>1</v>
      </c>
      <c r="BK2325">
        <v>0</v>
      </c>
      <c r="BL2325">
        <v>0</v>
      </c>
      <c r="BO2325">
        <v>0</v>
      </c>
      <c r="BP2325">
        <v>0</v>
      </c>
      <c r="BW2325" t="str">
        <f>"22:19:15.407"</f>
        <v>22:19:15.407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5</v>
      </c>
      <c r="CP2325" t="s">
        <v>119</v>
      </c>
      <c r="CQ2325">
        <v>364</v>
      </c>
      <c r="CR2325">
        <v>0</v>
      </c>
      <c r="CW2325">
        <v>1452805</v>
      </c>
      <c r="CY2325">
        <v>1</v>
      </c>
      <c r="CZ2325">
        <v>0</v>
      </c>
      <c r="DA2325">
        <v>0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>"03/24/2022 22:19:15.599"</f>
        <v>03/24/2022 22:19:15.599</v>
      </c>
      <c r="C2326" t="str">
        <f t="shared" ref="C2326:C2389" si="696">"FFDFD3C0"</f>
        <v>FFDFD3C0</v>
      </c>
      <c r="D2326" t="s">
        <v>123</v>
      </c>
      <c r="E2326">
        <v>8</v>
      </c>
      <c r="H2326">
        <v>31</v>
      </c>
      <c r="I2326" t="s">
        <v>124</v>
      </c>
      <c r="J2326" t="s">
        <v>125</v>
      </c>
      <c r="K2326">
        <v>0</v>
      </c>
      <c r="L2326">
        <v>3</v>
      </c>
      <c r="M2326">
        <v>0</v>
      </c>
      <c r="N2326">
        <v>2</v>
      </c>
      <c r="O2326">
        <v>0</v>
      </c>
      <c r="P2326">
        <v>1</v>
      </c>
      <c r="Q2326">
        <v>0</v>
      </c>
      <c r="S2326" t="str">
        <f t="shared" si="695"/>
        <v>22:19:15.000</v>
      </c>
      <c r="T2326" t="str">
        <f t="shared" si="695"/>
        <v>22:19:15.000</v>
      </c>
      <c r="U2326" t="str">
        <f t="shared" si="690"/>
        <v>A9D71F</v>
      </c>
      <c r="V2326">
        <v>0</v>
      </c>
      <c r="W2326">
        <v>0</v>
      </c>
      <c r="X2326">
        <v>2</v>
      </c>
      <c r="Z2326">
        <v>1</v>
      </c>
      <c r="AA2326">
        <v>8</v>
      </c>
      <c r="AB2326">
        <v>3</v>
      </c>
      <c r="AC2326">
        <v>0</v>
      </c>
      <c r="AD2326">
        <v>9</v>
      </c>
      <c r="AE2326">
        <v>0</v>
      </c>
      <c r="AF2326">
        <v>3</v>
      </c>
      <c r="AG2326">
        <v>1</v>
      </c>
      <c r="AH2326">
        <v>0</v>
      </c>
      <c r="AI2326" t="s">
        <v>1209</v>
      </c>
      <c r="AJ2326">
        <v>33.003767000000003</v>
      </c>
      <c r="AK2326" t="s">
        <v>1210</v>
      </c>
      <c r="AL2326">
        <v>-97.655196000000004</v>
      </c>
      <c r="AM2326">
        <v>25</v>
      </c>
      <c r="AN2326">
        <v>3100</v>
      </c>
      <c r="AO2326" t="s">
        <v>118</v>
      </c>
      <c r="AP2326">
        <v>-44</v>
      </c>
      <c r="AQ2326">
        <v>-51</v>
      </c>
      <c r="AR2326">
        <v>-704</v>
      </c>
      <c r="AZ2326">
        <v>1200</v>
      </c>
      <c r="BA2326">
        <v>1</v>
      </c>
      <c r="BB2326" t="str">
        <f t="shared" ref="BB2326:BB2389" si="697">"N733KP  "</f>
        <v xml:space="preserve">N733KP  </v>
      </c>
      <c r="BC2326">
        <v>1</v>
      </c>
      <c r="BE2326">
        <v>0</v>
      </c>
      <c r="BF2326">
        <v>0</v>
      </c>
      <c r="BG2326">
        <v>0</v>
      </c>
      <c r="BH2326">
        <v>3150</v>
      </c>
      <c r="BI2326">
        <v>1</v>
      </c>
      <c r="BJ2326">
        <v>1</v>
      </c>
      <c r="BK2326">
        <v>0</v>
      </c>
      <c r="BL2326">
        <v>0</v>
      </c>
      <c r="BO2326">
        <v>0</v>
      </c>
      <c r="BP2326">
        <v>0</v>
      </c>
      <c r="BW2326" t="str">
        <f>"22:19:15.407"</f>
        <v>22:19:15.407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5</v>
      </c>
      <c r="CP2326" t="s">
        <v>119</v>
      </c>
      <c r="CQ2326">
        <v>364</v>
      </c>
      <c r="CR2326">
        <v>0</v>
      </c>
      <c r="CW2326">
        <v>1452805</v>
      </c>
      <c r="CY2326">
        <v>1</v>
      </c>
      <c r="CZ2326">
        <v>0</v>
      </c>
      <c r="DA2326">
        <v>1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>"03/24/2022 22:19:15.599"</f>
        <v>03/24/2022 22:19:15.599</v>
      </c>
      <c r="C2327" t="str">
        <f t="shared" si="696"/>
        <v>FFDFD3C0</v>
      </c>
      <c r="D2327" t="s">
        <v>120</v>
      </c>
      <c r="E2327">
        <v>14</v>
      </c>
      <c r="F2327">
        <v>1014</v>
      </c>
      <c r="G2327" t="s">
        <v>121</v>
      </c>
      <c r="J2327" t="s">
        <v>122</v>
      </c>
      <c r="K2327">
        <v>0</v>
      </c>
      <c r="L2327">
        <v>3</v>
      </c>
      <c r="M2327">
        <v>0</v>
      </c>
      <c r="N2327">
        <v>2</v>
      </c>
      <c r="O2327">
        <v>0</v>
      </c>
      <c r="P2327">
        <v>1</v>
      </c>
      <c r="Q2327">
        <v>0</v>
      </c>
      <c r="S2327" t="str">
        <f t="shared" si="695"/>
        <v>22:19:15.000</v>
      </c>
      <c r="T2327" t="str">
        <f t="shared" si="695"/>
        <v>22:19:15.000</v>
      </c>
      <c r="U2327" t="str">
        <f t="shared" si="690"/>
        <v>A9D71F</v>
      </c>
      <c r="V2327">
        <v>0</v>
      </c>
      <c r="W2327">
        <v>0</v>
      </c>
      <c r="X2327">
        <v>2</v>
      </c>
      <c r="Z2327">
        <v>1</v>
      </c>
      <c r="AA2327">
        <v>8</v>
      </c>
      <c r="AB2327">
        <v>3</v>
      </c>
      <c r="AC2327">
        <v>0</v>
      </c>
      <c r="AD2327">
        <v>9</v>
      </c>
      <c r="AE2327">
        <v>0</v>
      </c>
      <c r="AF2327">
        <v>3</v>
      </c>
      <c r="AG2327">
        <v>1</v>
      </c>
      <c r="AH2327">
        <v>0</v>
      </c>
      <c r="AI2327" t="s">
        <v>1209</v>
      </c>
      <c r="AJ2327">
        <v>33.003767000000003</v>
      </c>
      <c r="AK2327" t="s">
        <v>1210</v>
      </c>
      <c r="AL2327">
        <v>-97.655196000000004</v>
      </c>
      <c r="AM2327">
        <v>25</v>
      </c>
      <c r="AN2327">
        <v>3100</v>
      </c>
      <c r="AO2327" t="s">
        <v>118</v>
      </c>
      <c r="AP2327">
        <v>-44</v>
      </c>
      <c r="AQ2327">
        <v>-51</v>
      </c>
      <c r="AR2327">
        <v>-704</v>
      </c>
      <c r="AZ2327">
        <v>1200</v>
      </c>
      <c r="BA2327">
        <v>1</v>
      </c>
      <c r="BB2327" t="str">
        <f t="shared" si="697"/>
        <v xml:space="preserve">N733KP  </v>
      </c>
      <c r="BC2327">
        <v>1</v>
      </c>
      <c r="BE2327">
        <v>0</v>
      </c>
      <c r="BF2327">
        <v>0</v>
      </c>
      <c r="BG2327">
        <v>0</v>
      </c>
      <c r="BH2327">
        <v>3150</v>
      </c>
      <c r="BI2327">
        <v>1</v>
      </c>
      <c r="BJ2327">
        <v>1</v>
      </c>
      <c r="BK2327">
        <v>0</v>
      </c>
      <c r="BL2327">
        <v>0</v>
      </c>
      <c r="BO2327">
        <v>0</v>
      </c>
      <c r="BP2327">
        <v>0</v>
      </c>
      <c r="BW2327" t="str">
        <f>"22:19:15.407"</f>
        <v>22:19:15.407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5</v>
      </c>
      <c r="CP2327" t="s">
        <v>119</v>
      </c>
      <c r="CQ2327">
        <v>364</v>
      </c>
      <c r="CR2327">
        <v>0</v>
      </c>
      <c r="CW2327">
        <v>1452805</v>
      </c>
      <c r="CY2327">
        <v>1</v>
      </c>
      <c r="CZ2327">
        <v>0</v>
      </c>
      <c r="DA2327">
        <v>1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>"03/24/2022 22:19:15.615"</f>
        <v>03/24/2022 22:19:15.615</v>
      </c>
      <c r="C2328" t="str">
        <f t="shared" si="696"/>
        <v>FFDFD3C0</v>
      </c>
      <c r="D2328" t="s">
        <v>126</v>
      </c>
      <c r="E2328">
        <v>3</v>
      </c>
      <c r="H2328">
        <v>160</v>
      </c>
      <c r="I2328" t="s">
        <v>121</v>
      </c>
      <c r="J2328" t="s">
        <v>127</v>
      </c>
      <c r="K2328">
        <v>0</v>
      </c>
      <c r="L2328">
        <v>3</v>
      </c>
      <c r="M2328">
        <v>0</v>
      </c>
      <c r="N2328">
        <v>2</v>
      </c>
      <c r="O2328">
        <v>0</v>
      </c>
      <c r="P2328">
        <v>1</v>
      </c>
      <c r="Q2328">
        <v>0</v>
      </c>
      <c r="S2328" t="str">
        <f t="shared" si="695"/>
        <v>22:19:15.000</v>
      </c>
      <c r="T2328" t="str">
        <f t="shared" si="695"/>
        <v>22:19:15.000</v>
      </c>
      <c r="U2328" t="str">
        <f t="shared" si="690"/>
        <v>A9D71F</v>
      </c>
      <c r="V2328">
        <v>0</v>
      </c>
      <c r="W2328">
        <v>0</v>
      </c>
      <c r="X2328">
        <v>2</v>
      </c>
      <c r="Z2328">
        <v>1</v>
      </c>
      <c r="AA2328">
        <v>8</v>
      </c>
      <c r="AB2328">
        <v>3</v>
      </c>
      <c r="AC2328">
        <v>0</v>
      </c>
      <c r="AD2328">
        <v>9</v>
      </c>
      <c r="AE2328">
        <v>0</v>
      </c>
      <c r="AF2328">
        <v>3</v>
      </c>
      <c r="AG2328">
        <v>1</v>
      </c>
      <c r="AH2328">
        <v>0</v>
      </c>
      <c r="AI2328" t="s">
        <v>1209</v>
      </c>
      <c r="AJ2328">
        <v>33.003767000000003</v>
      </c>
      <c r="AK2328" t="s">
        <v>1210</v>
      </c>
      <c r="AL2328">
        <v>-97.655196000000004</v>
      </c>
      <c r="AM2328">
        <v>25</v>
      </c>
      <c r="AN2328">
        <v>3100</v>
      </c>
      <c r="AO2328" t="s">
        <v>118</v>
      </c>
      <c r="AP2328">
        <v>-44</v>
      </c>
      <c r="AQ2328">
        <v>-51</v>
      </c>
      <c r="AR2328">
        <v>-704</v>
      </c>
      <c r="AZ2328">
        <v>1200</v>
      </c>
      <c r="BA2328">
        <v>1</v>
      </c>
      <c r="BB2328" t="str">
        <f t="shared" si="697"/>
        <v xml:space="preserve">N733KP  </v>
      </c>
      <c r="BC2328">
        <v>1</v>
      </c>
      <c r="BE2328">
        <v>0</v>
      </c>
      <c r="BF2328">
        <v>0</v>
      </c>
      <c r="BG2328">
        <v>0</v>
      </c>
      <c r="BH2328">
        <v>3150</v>
      </c>
      <c r="BI2328">
        <v>1</v>
      </c>
      <c r="BJ2328">
        <v>1</v>
      </c>
      <c r="BK2328">
        <v>0</v>
      </c>
      <c r="BL2328">
        <v>0</v>
      </c>
      <c r="BO2328">
        <v>0</v>
      </c>
      <c r="BP2328">
        <v>0</v>
      </c>
      <c r="BW2328" t="str">
        <f>"22:19:15.407"</f>
        <v>22:19:15.407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5</v>
      </c>
      <c r="CP2328" t="s">
        <v>119</v>
      </c>
      <c r="CQ2328">
        <v>364</v>
      </c>
      <c r="CR2328">
        <v>0</v>
      </c>
      <c r="CW2328">
        <v>1452805</v>
      </c>
      <c r="CY2328">
        <v>1</v>
      </c>
      <c r="CZ2328">
        <v>0</v>
      </c>
      <c r="DA2328">
        <v>1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>"03/24/2022 22:19:16.865"</f>
        <v>03/24/2022 22:19:16.865</v>
      </c>
      <c r="C2329" t="str">
        <f t="shared" si="696"/>
        <v>FFDFD3C0</v>
      </c>
      <c r="D2329" t="s">
        <v>126</v>
      </c>
      <c r="E2329">
        <v>3</v>
      </c>
      <c r="H2329">
        <v>160</v>
      </c>
      <c r="I2329" t="s">
        <v>121</v>
      </c>
      <c r="J2329" t="s">
        <v>127</v>
      </c>
      <c r="K2329">
        <v>0</v>
      </c>
      <c r="L2329">
        <v>3</v>
      </c>
      <c r="M2329">
        <v>0</v>
      </c>
      <c r="N2329">
        <v>2</v>
      </c>
      <c r="O2329">
        <v>0</v>
      </c>
      <c r="P2329">
        <v>1</v>
      </c>
      <c r="Q2329">
        <v>0</v>
      </c>
      <c r="S2329" t="str">
        <f t="shared" ref="S2329:T2332" si="698">"22:19:16.000"</f>
        <v>22:19:16.000</v>
      </c>
      <c r="T2329" t="str">
        <f t="shared" si="698"/>
        <v>22:19:16.000</v>
      </c>
      <c r="U2329" t="str">
        <f t="shared" si="690"/>
        <v>A9D71F</v>
      </c>
      <c r="V2329">
        <v>0</v>
      </c>
      <c r="W2329">
        <v>0</v>
      </c>
      <c r="X2329">
        <v>2</v>
      </c>
      <c r="Z2329">
        <v>1</v>
      </c>
      <c r="AA2329">
        <v>8</v>
      </c>
      <c r="AB2329">
        <v>3</v>
      </c>
      <c r="AC2329">
        <v>0</v>
      </c>
      <c r="AD2329">
        <v>9</v>
      </c>
      <c r="AE2329">
        <v>0</v>
      </c>
      <c r="AF2329">
        <v>3</v>
      </c>
      <c r="AG2329">
        <v>1</v>
      </c>
      <c r="AH2329">
        <v>0</v>
      </c>
      <c r="AI2329" t="s">
        <v>1211</v>
      </c>
      <c r="AJ2329">
        <v>33.003551999999999</v>
      </c>
      <c r="AK2329" t="s">
        <v>1212</v>
      </c>
      <c r="AL2329">
        <v>-97.655454000000006</v>
      </c>
      <c r="AM2329">
        <v>25</v>
      </c>
      <c r="AN2329">
        <v>3100</v>
      </c>
      <c r="AO2329" t="s">
        <v>118</v>
      </c>
      <c r="AP2329">
        <v>-45</v>
      </c>
      <c r="AQ2329">
        <v>-54</v>
      </c>
      <c r="AR2329">
        <v>-768</v>
      </c>
      <c r="AZ2329">
        <v>1200</v>
      </c>
      <c r="BA2329">
        <v>1</v>
      </c>
      <c r="BB2329" t="str">
        <f t="shared" si="697"/>
        <v xml:space="preserve">N733KP  </v>
      </c>
      <c r="BC2329">
        <v>1</v>
      </c>
      <c r="BE2329">
        <v>0</v>
      </c>
      <c r="BF2329">
        <v>0</v>
      </c>
      <c r="BG2329">
        <v>0</v>
      </c>
      <c r="BH2329">
        <v>3125</v>
      </c>
      <c r="BI2329">
        <v>1</v>
      </c>
      <c r="BJ2329">
        <v>1</v>
      </c>
      <c r="BK2329">
        <v>0</v>
      </c>
      <c r="BL2329">
        <v>0</v>
      </c>
      <c r="BO2329">
        <v>0</v>
      </c>
      <c r="BP2329">
        <v>0</v>
      </c>
      <c r="BW2329" t="str">
        <f>"22:19:16.726"</f>
        <v>22:19:16.726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6</v>
      </c>
      <c r="CP2329" t="s">
        <v>119</v>
      </c>
      <c r="CQ2329">
        <v>364</v>
      </c>
      <c r="CR2329">
        <v>0</v>
      </c>
      <c r="CW2329">
        <v>1452977</v>
      </c>
      <c r="CY2329">
        <v>1</v>
      </c>
      <c r="CZ2329">
        <v>0</v>
      </c>
      <c r="DA2329">
        <v>0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>"03/24/2022 22:19:16.865"</f>
        <v>03/24/2022 22:19:16.865</v>
      </c>
      <c r="C2330" t="str">
        <f t="shared" si="696"/>
        <v>FFDFD3C0</v>
      </c>
      <c r="D2330" t="s">
        <v>120</v>
      </c>
      <c r="E2330">
        <v>14</v>
      </c>
      <c r="F2330">
        <v>1014</v>
      </c>
      <c r="G2330" t="s">
        <v>121</v>
      </c>
      <c r="J2330" t="s">
        <v>122</v>
      </c>
      <c r="K2330">
        <v>0</v>
      </c>
      <c r="L2330">
        <v>3</v>
      </c>
      <c r="M2330">
        <v>0</v>
      </c>
      <c r="N2330">
        <v>2</v>
      </c>
      <c r="O2330">
        <v>0</v>
      </c>
      <c r="P2330">
        <v>1</v>
      </c>
      <c r="Q2330">
        <v>0</v>
      </c>
      <c r="S2330" t="str">
        <f t="shared" si="698"/>
        <v>22:19:16.000</v>
      </c>
      <c r="T2330" t="str">
        <f t="shared" si="698"/>
        <v>22:19:16.000</v>
      </c>
      <c r="U2330" t="str">
        <f t="shared" si="690"/>
        <v>A9D71F</v>
      </c>
      <c r="V2330">
        <v>0</v>
      </c>
      <c r="W2330">
        <v>0</v>
      </c>
      <c r="X2330">
        <v>2</v>
      </c>
      <c r="Z2330">
        <v>1</v>
      </c>
      <c r="AA2330">
        <v>8</v>
      </c>
      <c r="AB2330">
        <v>3</v>
      </c>
      <c r="AC2330">
        <v>0</v>
      </c>
      <c r="AD2330">
        <v>9</v>
      </c>
      <c r="AE2330">
        <v>0</v>
      </c>
      <c r="AF2330">
        <v>3</v>
      </c>
      <c r="AG2330">
        <v>1</v>
      </c>
      <c r="AH2330">
        <v>0</v>
      </c>
      <c r="AI2330" t="s">
        <v>1211</v>
      </c>
      <c r="AJ2330">
        <v>33.003551999999999</v>
      </c>
      <c r="AK2330" t="s">
        <v>1212</v>
      </c>
      <c r="AL2330">
        <v>-97.655454000000006</v>
      </c>
      <c r="AM2330">
        <v>25</v>
      </c>
      <c r="AN2330">
        <v>3100</v>
      </c>
      <c r="AO2330" t="s">
        <v>118</v>
      </c>
      <c r="AP2330">
        <v>-45</v>
      </c>
      <c r="AQ2330">
        <v>-54</v>
      </c>
      <c r="AR2330">
        <v>-768</v>
      </c>
      <c r="AZ2330">
        <v>1200</v>
      </c>
      <c r="BA2330">
        <v>1</v>
      </c>
      <c r="BB2330" t="str">
        <f t="shared" si="697"/>
        <v xml:space="preserve">N733KP  </v>
      </c>
      <c r="BC2330">
        <v>1</v>
      </c>
      <c r="BE2330">
        <v>0</v>
      </c>
      <c r="BF2330">
        <v>0</v>
      </c>
      <c r="BG2330">
        <v>0</v>
      </c>
      <c r="BH2330">
        <v>3125</v>
      </c>
      <c r="BI2330">
        <v>1</v>
      </c>
      <c r="BJ2330">
        <v>1</v>
      </c>
      <c r="BK2330">
        <v>0</v>
      </c>
      <c r="BL2330">
        <v>0</v>
      </c>
      <c r="BO2330">
        <v>0</v>
      </c>
      <c r="BP2330">
        <v>0</v>
      </c>
      <c r="BW2330" t="str">
        <f>"22:19:16.726"</f>
        <v>22:19:16.726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6</v>
      </c>
      <c r="CP2330" t="s">
        <v>119</v>
      </c>
      <c r="CQ2330">
        <v>364</v>
      </c>
      <c r="CR2330">
        <v>0</v>
      </c>
      <c r="CW2330">
        <v>1452977</v>
      </c>
      <c r="CY2330">
        <v>1</v>
      </c>
      <c r="CZ2330">
        <v>0</v>
      </c>
      <c r="DA2330">
        <v>1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>"03/24/2022 22:19:16.959"</f>
        <v>03/24/2022 22:19:16.959</v>
      </c>
      <c r="C2331" t="str">
        <f t="shared" si="696"/>
        <v>FFDFD3C0</v>
      </c>
      <c r="D2331" t="s">
        <v>123</v>
      </c>
      <c r="E2331">
        <v>8</v>
      </c>
      <c r="H2331">
        <v>31</v>
      </c>
      <c r="I2331" t="s">
        <v>124</v>
      </c>
      <c r="J2331" t="s">
        <v>125</v>
      </c>
      <c r="K2331">
        <v>0</v>
      </c>
      <c r="L2331">
        <v>3</v>
      </c>
      <c r="M2331">
        <v>0</v>
      </c>
      <c r="N2331">
        <v>2</v>
      </c>
      <c r="O2331">
        <v>0</v>
      </c>
      <c r="P2331">
        <v>1</v>
      </c>
      <c r="Q2331">
        <v>0</v>
      </c>
      <c r="S2331" t="str">
        <f t="shared" si="698"/>
        <v>22:19:16.000</v>
      </c>
      <c r="T2331" t="str">
        <f t="shared" si="698"/>
        <v>22:19:16.000</v>
      </c>
      <c r="U2331" t="str">
        <f t="shared" si="690"/>
        <v>A9D71F</v>
      </c>
      <c r="V2331">
        <v>0</v>
      </c>
      <c r="W2331">
        <v>0</v>
      </c>
      <c r="X2331">
        <v>2</v>
      </c>
      <c r="Z2331">
        <v>1</v>
      </c>
      <c r="AA2331">
        <v>8</v>
      </c>
      <c r="AB2331">
        <v>3</v>
      </c>
      <c r="AC2331">
        <v>0</v>
      </c>
      <c r="AD2331">
        <v>9</v>
      </c>
      <c r="AE2331">
        <v>0</v>
      </c>
      <c r="AF2331">
        <v>3</v>
      </c>
      <c r="AG2331">
        <v>1</v>
      </c>
      <c r="AH2331">
        <v>0</v>
      </c>
      <c r="AI2331" t="s">
        <v>1211</v>
      </c>
      <c r="AJ2331">
        <v>33.003551999999999</v>
      </c>
      <c r="AK2331" t="s">
        <v>1212</v>
      </c>
      <c r="AL2331">
        <v>-97.655454000000006</v>
      </c>
      <c r="AM2331">
        <v>25</v>
      </c>
      <c r="AN2331">
        <v>3100</v>
      </c>
      <c r="AO2331" t="s">
        <v>118</v>
      </c>
      <c r="AP2331">
        <v>-45</v>
      </c>
      <c r="AQ2331">
        <v>-54</v>
      </c>
      <c r="AR2331">
        <v>-768</v>
      </c>
      <c r="AZ2331">
        <v>1200</v>
      </c>
      <c r="BA2331">
        <v>1</v>
      </c>
      <c r="BB2331" t="str">
        <f t="shared" si="697"/>
        <v xml:space="preserve">N733KP  </v>
      </c>
      <c r="BC2331">
        <v>1</v>
      </c>
      <c r="BE2331">
        <v>0</v>
      </c>
      <c r="BF2331">
        <v>0</v>
      </c>
      <c r="BG2331">
        <v>0</v>
      </c>
      <c r="BH2331">
        <v>3125</v>
      </c>
      <c r="BI2331">
        <v>1</v>
      </c>
      <c r="BJ2331">
        <v>1</v>
      </c>
      <c r="BK2331">
        <v>0</v>
      </c>
      <c r="BL2331">
        <v>0</v>
      </c>
      <c r="BO2331">
        <v>0</v>
      </c>
      <c r="BP2331">
        <v>0</v>
      </c>
      <c r="BW2331" t="str">
        <f>"22:19:16.726"</f>
        <v>22:19:16.726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6</v>
      </c>
      <c r="CP2331" t="s">
        <v>119</v>
      </c>
      <c r="CQ2331">
        <v>364</v>
      </c>
      <c r="CR2331">
        <v>0</v>
      </c>
      <c r="CW2331">
        <v>1452977</v>
      </c>
      <c r="CY2331">
        <v>1</v>
      </c>
      <c r="CZ2331">
        <v>0</v>
      </c>
      <c r="DA2331">
        <v>1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>"03/24/2022 22:19:16.959"</f>
        <v>03/24/2022 22:19:16.959</v>
      </c>
      <c r="C2332" t="str">
        <f t="shared" si="696"/>
        <v>FFDFD3C0</v>
      </c>
      <c r="D2332" t="s">
        <v>113</v>
      </c>
      <c r="E2332">
        <v>24</v>
      </c>
      <c r="F2332">
        <v>2024</v>
      </c>
      <c r="G2332" t="s">
        <v>114</v>
      </c>
      <c r="J2332" t="s">
        <v>115</v>
      </c>
      <c r="K2332">
        <v>0</v>
      </c>
      <c r="L2332">
        <v>3</v>
      </c>
      <c r="M2332">
        <v>0</v>
      </c>
      <c r="N2332">
        <v>2</v>
      </c>
      <c r="O2332">
        <v>0</v>
      </c>
      <c r="P2332">
        <v>1</v>
      </c>
      <c r="Q2332">
        <v>0</v>
      </c>
      <c r="S2332" t="str">
        <f t="shared" si="698"/>
        <v>22:19:16.000</v>
      </c>
      <c r="T2332" t="str">
        <f t="shared" si="698"/>
        <v>22:19:16.000</v>
      </c>
      <c r="U2332" t="str">
        <f t="shared" si="690"/>
        <v>A9D71F</v>
      </c>
      <c r="V2332">
        <v>0</v>
      </c>
      <c r="W2332">
        <v>0</v>
      </c>
      <c r="X2332">
        <v>2</v>
      </c>
      <c r="Z2332">
        <v>1</v>
      </c>
      <c r="AA2332">
        <v>8</v>
      </c>
      <c r="AB2332">
        <v>3</v>
      </c>
      <c r="AC2332">
        <v>0</v>
      </c>
      <c r="AD2332">
        <v>9</v>
      </c>
      <c r="AE2332">
        <v>0</v>
      </c>
      <c r="AF2332">
        <v>3</v>
      </c>
      <c r="AG2332">
        <v>1</v>
      </c>
      <c r="AH2332">
        <v>0</v>
      </c>
      <c r="AI2332" t="s">
        <v>1211</v>
      </c>
      <c r="AJ2332">
        <v>33.003551999999999</v>
      </c>
      <c r="AK2332" t="s">
        <v>1212</v>
      </c>
      <c r="AL2332">
        <v>-97.655454000000006</v>
      </c>
      <c r="AM2332">
        <v>25</v>
      </c>
      <c r="AN2332">
        <v>3100</v>
      </c>
      <c r="AO2332" t="s">
        <v>118</v>
      </c>
      <c r="AP2332">
        <v>-45</v>
      </c>
      <c r="AQ2332">
        <v>-54</v>
      </c>
      <c r="AR2332">
        <v>-768</v>
      </c>
      <c r="AZ2332">
        <v>1200</v>
      </c>
      <c r="BA2332">
        <v>1</v>
      </c>
      <c r="BB2332" t="str">
        <f t="shared" si="697"/>
        <v xml:space="preserve">N733KP  </v>
      </c>
      <c r="BC2332">
        <v>1</v>
      </c>
      <c r="BE2332">
        <v>0</v>
      </c>
      <c r="BF2332">
        <v>0</v>
      </c>
      <c r="BG2332">
        <v>0</v>
      </c>
      <c r="BH2332">
        <v>3125</v>
      </c>
      <c r="BI2332">
        <v>1</v>
      </c>
      <c r="BJ2332">
        <v>1</v>
      </c>
      <c r="BK2332">
        <v>0</v>
      </c>
      <c r="BL2332">
        <v>0</v>
      </c>
      <c r="BO2332">
        <v>0</v>
      </c>
      <c r="BP2332">
        <v>0</v>
      </c>
      <c r="BW2332" t="str">
        <f>"22:19:16.726"</f>
        <v>22:19:16.726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6</v>
      </c>
      <c r="CP2332" t="s">
        <v>119</v>
      </c>
      <c r="CQ2332">
        <v>364</v>
      </c>
      <c r="CR2332">
        <v>0</v>
      </c>
      <c r="CW2332">
        <v>1452977</v>
      </c>
      <c r="CY2332">
        <v>1</v>
      </c>
      <c r="CZ2332">
        <v>0</v>
      </c>
      <c r="DA2332">
        <v>1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>"03/24/2022 22:19:17.991"</f>
        <v>03/24/2022 22:19:17.991</v>
      </c>
      <c r="C2333" t="str">
        <f t="shared" si="696"/>
        <v>FFDFD3C0</v>
      </c>
      <c r="D2333" t="s">
        <v>120</v>
      </c>
      <c r="E2333">
        <v>14</v>
      </c>
      <c r="F2333">
        <v>1014</v>
      </c>
      <c r="G2333" t="s">
        <v>121</v>
      </c>
      <c r="J2333" t="s">
        <v>122</v>
      </c>
      <c r="K2333">
        <v>0</v>
      </c>
      <c r="L2333">
        <v>3</v>
      </c>
      <c r="M2333">
        <v>0</v>
      </c>
      <c r="N2333">
        <v>2</v>
      </c>
      <c r="O2333">
        <v>0</v>
      </c>
      <c r="P2333">
        <v>1</v>
      </c>
      <c r="Q2333">
        <v>0</v>
      </c>
      <c r="S2333" t="str">
        <f t="shared" ref="S2333:T2336" si="699">"22:19:17.000"</f>
        <v>22:19:17.000</v>
      </c>
      <c r="T2333" t="str">
        <f t="shared" si="699"/>
        <v>22:19:17.000</v>
      </c>
      <c r="U2333" t="str">
        <f t="shared" si="690"/>
        <v>A9D71F</v>
      </c>
      <c r="V2333">
        <v>0</v>
      </c>
      <c r="W2333">
        <v>0</v>
      </c>
      <c r="X2333">
        <v>2</v>
      </c>
      <c r="Z2333">
        <v>1</v>
      </c>
      <c r="AA2333">
        <v>8</v>
      </c>
      <c r="AB2333">
        <v>3</v>
      </c>
      <c r="AC2333">
        <v>0</v>
      </c>
      <c r="AD2333">
        <v>9</v>
      </c>
      <c r="AE2333">
        <v>0</v>
      </c>
      <c r="AF2333">
        <v>3</v>
      </c>
      <c r="AG2333">
        <v>1</v>
      </c>
      <c r="AH2333">
        <v>0</v>
      </c>
      <c r="AI2333" t="s">
        <v>1213</v>
      </c>
      <c r="AJ2333">
        <v>33.003315999999998</v>
      </c>
      <c r="AK2333" t="s">
        <v>1214</v>
      </c>
      <c r="AL2333">
        <v>-97.655710999999997</v>
      </c>
      <c r="AM2333">
        <v>25</v>
      </c>
      <c r="AN2333">
        <v>3100</v>
      </c>
      <c r="AO2333" t="s">
        <v>118</v>
      </c>
      <c r="AP2333">
        <v>-47</v>
      </c>
      <c r="AQ2333">
        <v>-51</v>
      </c>
      <c r="AR2333">
        <v>-704</v>
      </c>
      <c r="AZ2333">
        <v>1200</v>
      </c>
      <c r="BA2333">
        <v>1</v>
      </c>
      <c r="BB2333" t="str">
        <f t="shared" si="697"/>
        <v xml:space="preserve">N733KP  </v>
      </c>
      <c r="BC2333">
        <v>1</v>
      </c>
      <c r="BE2333">
        <v>0</v>
      </c>
      <c r="BF2333">
        <v>0</v>
      </c>
      <c r="BG2333">
        <v>0</v>
      </c>
      <c r="BH2333">
        <v>3125</v>
      </c>
      <c r="BI2333">
        <v>1</v>
      </c>
      <c r="BJ2333">
        <v>1</v>
      </c>
      <c r="BK2333">
        <v>0</v>
      </c>
      <c r="BL2333">
        <v>0</v>
      </c>
      <c r="BO2333">
        <v>0</v>
      </c>
      <c r="BP2333">
        <v>0</v>
      </c>
      <c r="BW2333" t="str">
        <f>"22:19:17.843"</f>
        <v>22:19:17.843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5</v>
      </c>
      <c r="CP2333" t="s">
        <v>119</v>
      </c>
      <c r="CQ2333">
        <v>364</v>
      </c>
      <c r="CR2333">
        <v>0</v>
      </c>
      <c r="CW2333">
        <v>1453126</v>
      </c>
      <c r="CY2333">
        <v>1</v>
      </c>
      <c r="CZ2333">
        <v>0</v>
      </c>
      <c r="DA2333">
        <v>0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>"03/24/2022 22:19:18.054"</f>
        <v>03/24/2022 22:19:18.054</v>
      </c>
      <c r="C2334" t="str">
        <f t="shared" si="696"/>
        <v>FFDFD3C0</v>
      </c>
      <c r="D2334" t="s">
        <v>123</v>
      </c>
      <c r="E2334">
        <v>8</v>
      </c>
      <c r="H2334">
        <v>31</v>
      </c>
      <c r="I2334" t="s">
        <v>124</v>
      </c>
      <c r="J2334" t="s">
        <v>125</v>
      </c>
      <c r="K2334">
        <v>0</v>
      </c>
      <c r="L2334">
        <v>3</v>
      </c>
      <c r="M2334">
        <v>0</v>
      </c>
      <c r="N2334">
        <v>2</v>
      </c>
      <c r="O2334">
        <v>0</v>
      </c>
      <c r="P2334">
        <v>1</v>
      </c>
      <c r="Q2334">
        <v>0</v>
      </c>
      <c r="S2334" t="str">
        <f t="shared" si="699"/>
        <v>22:19:17.000</v>
      </c>
      <c r="T2334" t="str">
        <f t="shared" si="699"/>
        <v>22:19:17.000</v>
      </c>
      <c r="U2334" t="str">
        <f t="shared" si="690"/>
        <v>A9D71F</v>
      </c>
      <c r="V2334">
        <v>0</v>
      </c>
      <c r="W2334">
        <v>0</v>
      </c>
      <c r="X2334">
        <v>2</v>
      </c>
      <c r="Z2334">
        <v>1</v>
      </c>
      <c r="AA2334">
        <v>8</v>
      </c>
      <c r="AB2334">
        <v>3</v>
      </c>
      <c r="AC2334">
        <v>0</v>
      </c>
      <c r="AD2334">
        <v>9</v>
      </c>
      <c r="AE2334">
        <v>0</v>
      </c>
      <c r="AF2334">
        <v>3</v>
      </c>
      <c r="AG2334">
        <v>1</v>
      </c>
      <c r="AH2334">
        <v>0</v>
      </c>
      <c r="AI2334" t="s">
        <v>1213</v>
      </c>
      <c r="AJ2334">
        <v>33.003315999999998</v>
      </c>
      <c r="AK2334" t="s">
        <v>1214</v>
      </c>
      <c r="AL2334">
        <v>-97.655710999999997</v>
      </c>
      <c r="AM2334">
        <v>25</v>
      </c>
      <c r="AN2334">
        <v>3100</v>
      </c>
      <c r="AO2334" t="s">
        <v>118</v>
      </c>
      <c r="AP2334">
        <v>-47</v>
      </c>
      <c r="AQ2334">
        <v>-51</v>
      </c>
      <c r="AR2334">
        <v>-704</v>
      </c>
      <c r="AZ2334">
        <v>1200</v>
      </c>
      <c r="BA2334">
        <v>1</v>
      </c>
      <c r="BB2334" t="str">
        <f t="shared" si="697"/>
        <v xml:space="preserve">N733KP  </v>
      </c>
      <c r="BC2334">
        <v>1</v>
      </c>
      <c r="BE2334">
        <v>0</v>
      </c>
      <c r="BF2334">
        <v>0</v>
      </c>
      <c r="BG2334">
        <v>0</v>
      </c>
      <c r="BH2334">
        <v>3125</v>
      </c>
      <c r="BI2334">
        <v>1</v>
      </c>
      <c r="BJ2334">
        <v>1</v>
      </c>
      <c r="BK2334">
        <v>0</v>
      </c>
      <c r="BL2334">
        <v>0</v>
      </c>
      <c r="BO2334">
        <v>0</v>
      </c>
      <c r="BP2334">
        <v>0</v>
      </c>
      <c r="BW2334" t="str">
        <f>"22:19:17.843"</f>
        <v>22:19:17.843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5</v>
      </c>
      <c r="CP2334" t="s">
        <v>119</v>
      </c>
      <c r="CQ2334">
        <v>364</v>
      </c>
      <c r="CR2334">
        <v>0</v>
      </c>
      <c r="CW2334">
        <v>1453126</v>
      </c>
      <c r="CY2334">
        <v>1</v>
      </c>
      <c r="CZ2334">
        <v>0</v>
      </c>
      <c r="DA2334">
        <v>1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>"03/24/2022 22:19:18.054"</f>
        <v>03/24/2022 22:19:18.054</v>
      </c>
      <c r="C2335" t="str">
        <f t="shared" si="696"/>
        <v>FFDFD3C0</v>
      </c>
      <c r="D2335" t="s">
        <v>113</v>
      </c>
      <c r="E2335">
        <v>24</v>
      </c>
      <c r="F2335">
        <v>2024</v>
      </c>
      <c r="G2335" t="s">
        <v>114</v>
      </c>
      <c r="J2335" t="s">
        <v>115</v>
      </c>
      <c r="K2335">
        <v>0</v>
      </c>
      <c r="L2335">
        <v>3</v>
      </c>
      <c r="M2335">
        <v>0</v>
      </c>
      <c r="N2335">
        <v>2</v>
      </c>
      <c r="O2335">
        <v>0</v>
      </c>
      <c r="P2335">
        <v>1</v>
      </c>
      <c r="Q2335">
        <v>0</v>
      </c>
      <c r="S2335" t="str">
        <f t="shared" si="699"/>
        <v>22:19:17.000</v>
      </c>
      <c r="T2335" t="str">
        <f t="shared" si="699"/>
        <v>22:19:17.000</v>
      </c>
      <c r="U2335" t="str">
        <f t="shared" si="690"/>
        <v>A9D71F</v>
      </c>
      <c r="V2335">
        <v>0</v>
      </c>
      <c r="W2335">
        <v>0</v>
      </c>
      <c r="X2335">
        <v>2</v>
      </c>
      <c r="Z2335">
        <v>1</v>
      </c>
      <c r="AA2335">
        <v>8</v>
      </c>
      <c r="AB2335">
        <v>3</v>
      </c>
      <c r="AC2335">
        <v>0</v>
      </c>
      <c r="AD2335">
        <v>9</v>
      </c>
      <c r="AE2335">
        <v>0</v>
      </c>
      <c r="AF2335">
        <v>3</v>
      </c>
      <c r="AG2335">
        <v>1</v>
      </c>
      <c r="AH2335">
        <v>0</v>
      </c>
      <c r="AI2335" t="s">
        <v>1213</v>
      </c>
      <c r="AJ2335">
        <v>33.003315999999998</v>
      </c>
      <c r="AK2335" t="s">
        <v>1214</v>
      </c>
      <c r="AL2335">
        <v>-97.655710999999997</v>
      </c>
      <c r="AM2335">
        <v>25</v>
      </c>
      <c r="AN2335">
        <v>3100</v>
      </c>
      <c r="AO2335" t="s">
        <v>118</v>
      </c>
      <c r="AP2335">
        <v>-47</v>
      </c>
      <c r="AQ2335">
        <v>-51</v>
      </c>
      <c r="AR2335">
        <v>-704</v>
      </c>
      <c r="AZ2335">
        <v>1200</v>
      </c>
      <c r="BA2335">
        <v>1</v>
      </c>
      <c r="BB2335" t="str">
        <f t="shared" si="697"/>
        <v xml:space="preserve">N733KP  </v>
      </c>
      <c r="BC2335">
        <v>1</v>
      </c>
      <c r="BE2335">
        <v>0</v>
      </c>
      <c r="BF2335">
        <v>0</v>
      </c>
      <c r="BG2335">
        <v>0</v>
      </c>
      <c r="BH2335">
        <v>3125</v>
      </c>
      <c r="BI2335">
        <v>1</v>
      </c>
      <c r="BJ2335">
        <v>1</v>
      </c>
      <c r="BK2335">
        <v>0</v>
      </c>
      <c r="BL2335">
        <v>0</v>
      </c>
      <c r="BO2335">
        <v>0</v>
      </c>
      <c r="BP2335">
        <v>0</v>
      </c>
      <c r="BW2335" t="str">
        <f>"22:19:17.843"</f>
        <v>22:19:17.843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5</v>
      </c>
      <c r="CP2335" t="s">
        <v>119</v>
      </c>
      <c r="CQ2335">
        <v>364</v>
      </c>
      <c r="CR2335">
        <v>0</v>
      </c>
      <c r="CW2335">
        <v>1453126</v>
      </c>
      <c r="CY2335">
        <v>1</v>
      </c>
      <c r="CZ2335">
        <v>0</v>
      </c>
      <c r="DA2335">
        <v>1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>"03/24/2022 22:19:18.054"</f>
        <v>03/24/2022 22:19:18.054</v>
      </c>
      <c r="C2336" t="str">
        <f t="shared" si="696"/>
        <v>FFDFD3C0</v>
      </c>
      <c r="D2336" t="s">
        <v>126</v>
      </c>
      <c r="E2336">
        <v>3</v>
      </c>
      <c r="H2336">
        <v>160</v>
      </c>
      <c r="I2336" t="s">
        <v>121</v>
      </c>
      <c r="J2336" t="s">
        <v>127</v>
      </c>
      <c r="K2336">
        <v>0</v>
      </c>
      <c r="L2336">
        <v>3</v>
      </c>
      <c r="M2336">
        <v>0</v>
      </c>
      <c r="N2336">
        <v>2</v>
      </c>
      <c r="O2336">
        <v>0</v>
      </c>
      <c r="P2336">
        <v>1</v>
      </c>
      <c r="Q2336">
        <v>0</v>
      </c>
      <c r="S2336" t="str">
        <f t="shared" si="699"/>
        <v>22:19:17.000</v>
      </c>
      <c r="T2336" t="str">
        <f t="shared" si="699"/>
        <v>22:19:17.000</v>
      </c>
      <c r="U2336" t="str">
        <f t="shared" si="690"/>
        <v>A9D71F</v>
      </c>
      <c r="V2336">
        <v>0</v>
      </c>
      <c r="W2336">
        <v>0</v>
      </c>
      <c r="X2336">
        <v>2</v>
      </c>
      <c r="Z2336">
        <v>1</v>
      </c>
      <c r="AA2336">
        <v>8</v>
      </c>
      <c r="AB2336">
        <v>3</v>
      </c>
      <c r="AC2336">
        <v>0</v>
      </c>
      <c r="AD2336">
        <v>9</v>
      </c>
      <c r="AE2336">
        <v>0</v>
      </c>
      <c r="AF2336">
        <v>3</v>
      </c>
      <c r="AG2336">
        <v>1</v>
      </c>
      <c r="AH2336">
        <v>0</v>
      </c>
      <c r="AI2336" t="s">
        <v>1213</v>
      </c>
      <c r="AJ2336">
        <v>33.003315999999998</v>
      </c>
      <c r="AK2336" t="s">
        <v>1214</v>
      </c>
      <c r="AL2336">
        <v>-97.655710999999997</v>
      </c>
      <c r="AM2336">
        <v>25</v>
      </c>
      <c r="AN2336">
        <v>3100</v>
      </c>
      <c r="AO2336" t="s">
        <v>118</v>
      </c>
      <c r="AP2336">
        <v>-47</v>
      </c>
      <c r="AQ2336">
        <v>-51</v>
      </c>
      <c r="AR2336">
        <v>-704</v>
      </c>
      <c r="AZ2336">
        <v>1200</v>
      </c>
      <c r="BA2336">
        <v>1</v>
      </c>
      <c r="BB2336" t="str">
        <f t="shared" si="697"/>
        <v xml:space="preserve">N733KP  </v>
      </c>
      <c r="BC2336">
        <v>1</v>
      </c>
      <c r="BE2336">
        <v>0</v>
      </c>
      <c r="BF2336">
        <v>0</v>
      </c>
      <c r="BG2336">
        <v>0</v>
      </c>
      <c r="BH2336">
        <v>3125</v>
      </c>
      <c r="BI2336">
        <v>1</v>
      </c>
      <c r="BJ2336">
        <v>1</v>
      </c>
      <c r="BK2336">
        <v>0</v>
      </c>
      <c r="BL2336">
        <v>0</v>
      </c>
      <c r="BO2336">
        <v>0</v>
      </c>
      <c r="BP2336">
        <v>0</v>
      </c>
      <c r="BW2336" t="str">
        <f>"22:19:17.843"</f>
        <v>22:19:17.843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5</v>
      </c>
      <c r="CP2336" t="s">
        <v>119</v>
      </c>
      <c r="CQ2336">
        <v>364</v>
      </c>
      <c r="CR2336">
        <v>0</v>
      </c>
      <c r="CW2336">
        <v>1453126</v>
      </c>
      <c r="CY2336">
        <v>1</v>
      </c>
      <c r="CZ2336">
        <v>0</v>
      </c>
      <c r="DA2336">
        <v>1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>"03/24/2022 22:19:19.119"</f>
        <v>03/24/2022 22:19:19.119</v>
      </c>
      <c r="C2337" t="str">
        <f t="shared" si="696"/>
        <v>FFDFD3C0</v>
      </c>
      <c r="D2337" t="s">
        <v>123</v>
      </c>
      <c r="E2337">
        <v>8</v>
      </c>
      <c r="H2337">
        <v>31</v>
      </c>
      <c r="I2337" t="s">
        <v>124</v>
      </c>
      <c r="J2337" t="s">
        <v>125</v>
      </c>
      <c r="K2337">
        <v>0</v>
      </c>
      <c r="L2337">
        <v>3</v>
      </c>
      <c r="M2337">
        <v>0</v>
      </c>
      <c r="N2337">
        <v>2</v>
      </c>
      <c r="O2337">
        <v>0</v>
      </c>
      <c r="P2337">
        <v>1</v>
      </c>
      <c r="Q2337">
        <v>0</v>
      </c>
      <c r="S2337" t="str">
        <f t="shared" ref="S2337:T2340" si="700">"22:19:18.000"</f>
        <v>22:19:18.000</v>
      </c>
      <c r="T2337" t="str">
        <f t="shared" si="700"/>
        <v>22:19:18.000</v>
      </c>
      <c r="U2337" t="str">
        <f t="shared" si="690"/>
        <v>A9D71F</v>
      </c>
      <c r="V2337">
        <v>0</v>
      </c>
      <c r="W2337">
        <v>0</v>
      </c>
      <c r="X2337">
        <v>2</v>
      </c>
      <c r="Z2337">
        <v>1</v>
      </c>
      <c r="AA2337">
        <v>8</v>
      </c>
      <c r="AB2337">
        <v>3</v>
      </c>
      <c r="AC2337">
        <v>0</v>
      </c>
      <c r="AD2337">
        <v>9</v>
      </c>
      <c r="AE2337">
        <v>0</v>
      </c>
      <c r="AF2337">
        <v>3</v>
      </c>
      <c r="AG2337">
        <v>1</v>
      </c>
      <c r="AH2337">
        <v>0</v>
      </c>
      <c r="AI2337" t="s">
        <v>1215</v>
      </c>
      <c r="AJ2337">
        <v>33.003058000000003</v>
      </c>
      <c r="AK2337" t="s">
        <v>1216</v>
      </c>
      <c r="AL2337">
        <v>-97.655968999999999</v>
      </c>
      <c r="AM2337">
        <v>25</v>
      </c>
      <c r="AN2337">
        <v>3100</v>
      </c>
      <c r="AO2337" t="s">
        <v>118</v>
      </c>
      <c r="AP2337">
        <v>-48</v>
      </c>
      <c r="AQ2337">
        <v>-49</v>
      </c>
      <c r="AR2337">
        <v>-576</v>
      </c>
      <c r="AZ2337">
        <v>1200</v>
      </c>
      <c r="BA2337">
        <v>1</v>
      </c>
      <c r="BB2337" t="str">
        <f t="shared" si="697"/>
        <v xml:space="preserve">N733KP  </v>
      </c>
      <c r="BC2337">
        <v>1</v>
      </c>
      <c r="BE2337">
        <v>0</v>
      </c>
      <c r="BF2337">
        <v>0</v>
      </c>
      <c r="BG2337">
        <v>0</v>
      </c>
      <c r="BH2337">
        <v>3100</v>
      </c>
      <c r="BI2337">
        <v>1</v>
      </c>
      <c r="BJ2337">
        <v>1</v>
      </c>
      <c r="BK2337">
        <v>0</v>
      </c>
      <c r="BL2337">
        <v>0</v>
      </c>
      <c r="BO2337">
        <v>0</v>
      </c>
      <c r="BP2337">
        <v>0</v>
      </c>
      <c r="BW2337" t="str">
        <f>"22:19:18.956"</f>
        <v>22:19:18.956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5</v>
      </c>
      <c r="CP2337" t="s">
        <v>119</v>
      </c>
      <c r="CQ2337">
        <v>364</v>
      </c>
      <c r="CR2337">
        <v>0</v>
      </c>
      <c r="CW2337">
        <v>1453284</v>
      </c>
      <c r="CY2337">
        <v>1</v>
      </c>
      <c r="CZ2337">
        <v>0</v>
      </c>
      <c r="DA2337">
        <v>0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>"03/24/2022 22:19:19.181"</f>
        <v>03/24/2022 22:19:19.181</v>
      </c>
      <c r="C2338" t="str">
        <f t="shared" si="696"/>
        <v>FFDFD3C0</v>
      </c>
      <c r="D2338" t="s">
        <v>113</v>
      </c>
      <c r="E2338">
        <v>24</v>
      </c>
      <c r="F2338">
        <v>2024</v>
      </c>
      <c r="G2338" t="s">
        <v>114</v>
      </c>
      <c r="J2338" t="s">
        <v>115</v>
      </c>
      <c r="K2338">
        <v>0</v>
      </c>
      <c r="L2338">
        <v>3</v>
      </c>
      <c r="M2338">
        <v>0</v>
      </c>
      <c r="N2338">
        <v>2</v>
      </c>
      <c r="O2338">
        <v>0</v>
      </c>
      <c r="P2338">
        <v>1</v>
      </c>
      <c r="Q2338">
        <v>0</v>
      </c>
      <c r="S2338" t="str">
        <f t="shared" si="700"/>
        <v>22:19:18.000</v>
      </c>
      <c r="T2338" t="str">
        <f t="shared" si="700"/>
        <v>22:19:18.000</v>
      </c>
      <c r="U2338" t="str">
        <f t="shared" si="690"/>
        <v>A9D71F</v>
      </c>
      <c r="V2338">
        <v>0</v>
      </c>
      <c r="W2338">
        <v>0</v>
      </c>
      <c r="X2338">
        <v>2</v>
      </c>
      <c r="Z2338">
        <v>1</v>
      </c>
      <c r="AA2338">
        <v>8</v>
      </c>
      <c r="AB2338">
        <v>3</v>
      </c>
      <c r="AC2338">
        <v>0</v>
      </c>
      <c r="AD2338">
        <v>9</v>
      </c>
      <c r="AE2338">
        <v>0</v>
      </c>
      <c r="AF2338">
        <v>3</v>
      </c>
      <c r="AG2338">
        <v>1</v>
      </c>
      <c r="AH2338">
        <v>0</v>
      </c>
      <c r="AI2338" t="s">
        <v>1215</v>
      </c>
      <c r="AJ2338">
        <v>33.003058000000003</v>
      </c>
      <c r="AK2338" t="s">
        <v>1216</v>
      </c>
      <c r="AL2338">
        <v>-97.655968999999999</v>
      </c>
      <c r="AM2338">
        <v>25</v>
      </c>
      <c r="AN2338">
        <v>3100</v>
      </c>
      <c r="AO2338" t="s">
        <v>118</v>
      </c>
      <c r="AP2338">
        <v>-48</v>
      </c>
      <c r="AQ2338">
        <v>-49</v>
      </c>
      <c r="AR2338">
        <v>-576</v>
      </c>
      <c r="AZ2338">
        <v>1200</v>
      </c>
      <c r="BA2338">
        <v>1</v>
      </c>
      <c r="BB2338" t="str">
        <f t="shared" si="697"/>
        <v xml:space="preserve">N733KP  </v>
      </c>
      <c r="BC2338">
        <v>1</v>
      </c>
      <c r="BE2338">
        <v>0</v>
      </c>
      <c r="BF2338">
        <v>0</v>
      </c>
      <c r="BG2338">
        <v>0</v>
      </c>
      <c r="BH2338">
        <v>3100</v>
      </c>
      <c r="BI2338">
        <v>1</v>
      </c>
      <c r="BJ2338">
        <v>1</v>
      </c>
      <c r="BK2338">
        <v>0</v>
      </c>
      <c r="BL2338">
        <v>0</v>
      </c>
      <c r="BO2338">
        <v>0</v>
      </c>
      <c r="BP2338">
        <v>0</v>
      </c>
      <c r="BW2338" t="str">
        <f>"22:19:18.956"</f>
        <v>22:19:18.956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5</v>
      </c>
      <c r="CP2338" t="s">
        <v>119</v>
      </c>
      <c r="CQ2338">
        <v>364</v>
      </c>
      <c r="CR2338">
        <v>0</v>
      </c>
      <c r="CW2338">
        <v>1453284</v>
      </c>
      <c r="CY2338">
        <v>1</v>
      </c>
      <c r="CZ2338">
        <v>0</v>
      </c>
      <c r="DA2338">
        <v>1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>"03/24/2022 22:19:19.181"</f>
        <v>03/24/2022 22:19:19.181</v>
      </c>
      <c r="C2339" t="str">
        <f t="shared" si="696"/>
        <v>FFDFD3C0</v>
      </c>
      <c r="D2339" t="s">
        <v>126</v>
      </c>
      <c r="E2339">
        <v>3</v>
      </c>
      <c r="H2339">
        <v>160</v>
      </c>
      <c r="I2339" t="s">
        <v>121</v>
      </c>
      <c r="J2339" t="s">
        <v>127</v>
      </c>
      <c r="K2339">
        <v>0</v>
      </c>
      <c r="L2339">
        <v>3</v>
      </c>
      <c r="M2339">
        <v>0</v>
      </c>
      <c r="N2339">
        <v>2</v>
      </c>
      <c r="O2339">
        <v>0</v>
      </c>
      <c r="P2339">
        <v>1</v>
      </c>
      <c r="Q2339">
        <v>0</v>
      </c>
      <c r="S2339" t="str">
        <f t="shared" si="700"/>
        <v>22:19:18.000</v>
      </c>
      <c r="T2339" t="str">
        <f t="shared" si="700"/>
        <v>22:19:18.000</v>
      </c>
      <c r="U2339" t="str">
        <f t="shared" si="690"/>
        <v>A9D71F</v>
      </c>
      <c r="V2339">
        <v>0</v>
      </c>
      <c r="W2339">
        <v>0</v>
      </c>
      <c r="X2339">
        <v>2</v>
      </c>
      <c r="Z2339">
        <v>1</v>
      </c>
      <c r="AA2339">
        <v>8</v>
      </c>
      <c r="AB2339">
        <v>3</v>
      </c>
      <c r="AC2339">
        <v>0</v>
      </c>
      <c r="AD2339">
        <v>9</v>
      </c>
      <c r="AE2339">
        <v>0</v>
      </c>
      <c r="AF2339">
        <v>3</v>
      </c>
      <c r="AG2339">
        <v>1</v>
      </c>
      <c r="AH2339">
        <v>0</v>
      </c>
      <c r="AI2339" t="s">
        <v>1215</v>
      </c>
      <c r="AJ2339">
        <v>33.003058000000003</v>
      </c>
      <c r="AK2339" t="s">
        <v>1216</v>
      </c>
      <c r="AL2339">
        <v>-97.655968999999999</v>
      </c>
      <c r="AM2339">
        <v>25</v>
      </c>
      <c r="AN2339">
        <v>3100</v>
      </c>
      <c r="AO2339" t="s">
        <v>118</v>
      </c>
      <c r="AP2339">
        <v>-48</v>
      </c>
      <c r="AQ2339">
        <v>-49</v>
      </c>
      <c r="AR2339">
        <v>-576</v>
      </c>
      <c r="AZ2339">
        <v>1200</v>
      </c>
      <c r="BA2339">
        <v>1</v>
      </c>
      <c r="BB2339" t="str">
        <f t="shared" si="697"/>
        <v xml:space="preserve">N733KP  </v>
      </c>
      <c r="BC2339">
        <v>1</v>
      </c>
      <c r="BE2339">
        <v>0</v>
      </c>
      <c r="BF2339">
        <v>0</v>
      </c>
      <c r="BG2339">
        <v>0</v>
      </c>
      <c r="BH2339">
        <v>3100</v>
      </c>
      <c r="BI2339">
        <v>1</v>
      </c>
      <c r="BJ2339">
        <v>1</v>
      </c>
      <c r="BK2339">
        <v>0</v>
      </c>
      <c r="BL2339">
        <v>0</v>
      </c>
      <c r="BO2339">
        <v>0</v>
      </c>
      <c r="BP2339">
        <v>0</v>
      </c>
      <c r="BW2339" t="str">
        <f>"22:19:18.956"</f>
        <v>22:19:18.956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5</v>
      </c>
      <c r="CP2339" t="s">
        <v>119</v>
      </c>
      <c r="CQ2339">
        <v>364</v>
      </c>
      <c r="CR2339">
        <v>0</v>
      </c>
      <c r="CW2339">
        <v>1453284</v>
      </c>
      <c r="CY2339">
        <v>1</v>
      </c>
      <c r="CZ2339">
        <v>0</v>
      </c>
      <c r="DA2339">
        <v>1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>"03/24/2022 22:19:19.181"</f>
        <v>03/24/2022 22:19:19.181</v>
      </c>
      <c r="C2340" t="str">
        <f t="shared" si="696"/>
        <v>FFDFD3C0</v>
      </c>
      <c r="D2340" t="s">
        <v>120</v>
      </c>
      <c r="E2340">
        <v>14</v>
      </c>
      <c r="F2340">
        <v>1014</v>
      </c>
      <c r="G2340" t="s">
        <v>121</v>
      </c>
      <c r="J2340" t="s">
        <v>122</v>
      </c>
      <c r="K2340">
        <v>0</v>
      </c>
      <c r="L2340">
        <v>3</v>
      </c>
      <c r="M2340">
        <v>0</v>
      </c>
      <c r="N2340">
        <v>2</v>
      </c>
      <c r="O2340">
        <v>0</v>
      </c>
      <c r="P2340">
        <v>1</v>
      </c>
      <c r="Q2340">
        <v>0</v>
      </c>
      <c r="S2340" t="str">
        <f t="shared" si="700"/>
        <v>22:19:18.000</v>
      </c>
      <c r="T2340" t="str">
        <f t="shared" si="700"/>
        <v>22:19:18.000</v>
      </c>
      <c r="U2340" t="str">
        <f t="shared" si="690"/>
        <v>A9D71F</v>
      </c>
      <c r="V2340">
        <v>0</v>
      </c>
      <c r="W2340">
        <v>0</v>
      </c>
      <c r="X2340">
        <v>2</v>
      </c>
      <c r="Z2340">
        <v>1</v>
      </c>
      <c r="AA2340">
        <v>8</v>
      </c>
      <c r="AB2340">
        <v>3</v>
      </c>
      <c r="AC2340">
        <v>0</v>
      </c>
      <c r="AD2340">
        <v>9</v>
      </c>
      <c r="AE2340">
        <v>0</v>
      </c>
      <c r="AF2340">
        <v>3</v>
      </c>
      <c r="AG2340">
        <v>1</v>
      </c>
      <c r="AH2340">
        <v>0</v>
      </c>
      <c r="AI2340" t="s">
        <v>1215</v>
      </c>
      <c r="AJ2340">
        <v>33.003058000000003</v>
      </c>
      <c r="AK2340" t="s">
        <v>1216</v>
      </c>
      <c r="AL2340">
        <v>-97.655968999999999</v>
      </c>
      <c r="AM2340">
        <v>25</v>
      </c>
      <c r="AN2340">
        <v>3100</v>
      </c>
      <c r="AO2340" t="s">
        <v>118</v>
      </c>
      <c r="AP2340">
        <v>-48</v>
      </c>
      <c r="AQ2340">
        <v>-49</v>
      </c>
      <c r="AR2340">
        <v>-576</v>
      </c>
      <c r="AZ2340">
        <v>1200</v>
      </c>
      <c r="BA2340">
        <v>1</v>
      </c>
      <c r="BB2340" t="str">
        <f t="shared" si="697"/>
        <v xml:space="preserve">N733KP  </v>
      </c>
      <c r="BC2340">
        <v>1</v>
      </c>
      <c r="BE2340">
        <v>0</v>
      </c>
      <c r="BF2340">
        <v>0</v>
      </c>
      <c r="BG2340">
        <v>0</v>
      </c>
      <c r="BH2340">
        <v>3100</v>
      </c>
      <c r="BI2340">
        <v>1</v>
      </c>
      <c r="BJ2340">
        <v>1</v>
      </c>
      <c r="BK2340">
        <v>0</v>
      </c>
      <c r="BL2340">
        <v>0</v>
      </c>
      <c r="BO2340">
        <v>0</v>
      </c>
      <c r="BP2340">
        <v>0</v>
      </c>
      <c r="BW2340" t="str">
        <f>"22:19:18.956"</f>
        <v>22:19:18.956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5</v>
      </c>
      <c r="CP2340" t="s">
        <v>119</v>
      </c>
      <c r="CQ2340">
        <v>364</v>
      </c>
      <c r="CR2340">
        <v>0</v>
      </c>
      <c r="CW2340">
        <v>1453284</v>
      </c>
      <c r="CY2340">
        <v>1</v>
      </c>
      <c r="CZ2340">
        <v>0</v>
      </c>
      <c r="DA2340">
        <v>1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>"03/24/2022 22:19:19.462"</f>
        <v>03/24/2022 22:19:19.462</v>
      </c>
      <c r="C2341" t="str">
        <f t="shared" si="696"/>
        <v>FFDFD3C0</v>
      </c>
      <c r="D2341" t="s">
        <v>113</v>
      </c>
      <c r="E2341">
        <v>24</v>
      </c>
      <c r="F2341">
        <v>2024</v>
      </c>
      <c r="G2341" t="s">
        <v>114</v>
      </c>
      <c r="J2341" t="s">
        <v>115</v>
      </c>
      <c r="K2341">
        <v>0</v>
      </c>
      <c r="L2341">
        <v>3</v>
      </c>
      <c r="M2341">
        <v>0</v>
      </c>
      <c r="N2341">
        <v>2</v>
      </c>
      <c r="O2341">
        <v>0</v>
      </c>
      <c r="P2341">
        <v>1</v>
      </c>
      <c r="Q2341">
        <v>0</v>
      </c>
      <c r="S2341" t="str">
        <f t="shared" ref="S2341:T2344" si="701">"22:19:19.000"</f>
        <v>22:19:19.000</v>
      </c>
      <c r="T2341" t="str">
        <f t="shared" si="701"/>
        <v>22:19:19.000</v>
      </c>
      <c r="U2341" t="str">
        <f t="shared" si="690"/>
        <v>A9D71F</v>
      </c>
      <c r="V2341">
        <v>0</v>
      </c>
      <c r="W2341">
        <v>0</v>
      </c>
      <c r="X2341">
        <v>2</v>
      </c>
      <c r="Z2341">
        <v>1</v>
      </c>
      <c r="AA2341">
        <v>8</v>
      </c>
      <c r="AB2341">
        <v>3</v>
      </c>
      <c r="AC2341">
        <v>0</v>
      </c>
      <c r="AD2341">
        <v>9</v>
      </c>
      <c r="AE2341">
        <v>0</v>
      </c>
      <c r="AF2341">
        <v>3</v>
      </c>
      <c r="AG2341">
        <v>1</v>
      </c>
      <c r="AH2341">
        <v>0</v>
      </c>
      <c r="AI2341" t="s">
        <v>1217</v>
      </c>
      <c r="AJ2341">
        <v>33.002822000000002</v>
      </c>
      <c r="AK2341" t="s">
        <v>1218</v>
      </c>
      <c r="AL2341">
        <v>-97.656226000000004</v>
      </c>
      <c r="AM2341">
        <v>25</v>
      </c>
      <c r="AN2341">
        <v>3100</v>
      </c>
      <c r="AO2341" t="s">
        <v>118</v>
      </c>
      <c r="AP2341">
        <v>-48</v>
      </c>
      <c r="AQ2341">
        <v>-49</v>
      </c>
      <c r="AR2341">
        <v>-576</v>
      </c>
      <c r="AZ2341">
        <v>1200</v>
      </c>
      <c r="BA2341">
        <v>1</v>
      </c>
      <c r="BB2341" t="str">
        <f t="shared" si="697"/>
        <v xml:space="preserve">N733KP  </v>
      </c>
      <c r="BC2341">
        <v>1</v>
      </c>
      <c r="BE2341">
        <v>0</v>
      </c>
      <c r="BF2341">
        <v>0</v>
      </c>
      <c r="BG2341">
        <v>0</v>
      </c>
      <c r="BH2341">
        <v>3075</v>
      </c>
      <c r="BI2341">
        <v>1</v>
      </c>
      <c r="BJ2341">
        <v>1</v>
      </c>
      <c r="BK2341">
        <v>0</v>
      </c>
      <c r="BL2341">
        <v>0</v>
      </c>
      <c r="BO2341">
        <v>0</v>
      </c>
      <c r="BP2341">
        <v>0</v>
      </c>
      <c r="BW2341" t="str">
        <f>"22:19:19.266"</f>
        <v>22:19:19.266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5</v>
      </c>
      <c r="CP2341" t="s">
        <v>119</v>
      </c>
      <c r="CQ2341">
        <v>364</v>
      </c>
      <c r="CR2341">
        <v>0</v>
      </c>
      <c r="CW2341">
        <v>1453317</v>
      </c>
      <c r="CY2341">
        <v>1</v>
      </c>
      <c r="CZ2341">
        <v>0</v>
      </c>
      <c r="DA2341">
        <v>1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>"03/24/2022 22:19:19.462"</f>
        <v>03/24/2022 22:19:19.462</v>
      </c>
      <c r="C2342" t="str">
        <f t="shared" si="696"/>
        <v>FFDFD3C0</v>
      </c>
      <c r="D2342" t="s">
        <v>126</v>
      </c>
      <c r="E2342">
        <v>3</v>
      </c>
      <c r="H2342">
        <v>160</v>
      </c>
      <c r="I2342" t="s">
        <v>121</v>
      </c>
      <c r="J2342" t="s">
        <v>127</v>
      </c>
      <c r="K2342">
        <v>0</v>
      </c>
      <c r="L2342">
        <v>3</v>
      </c>
      <c r="M2342">
        <v>0</v>
      </c>
      <c r="N2342">
        <v>2</v>
      </c>
      <c r="O2342">
        <v>0</v>
      </c>
      <c r="P2342">
        <v>1</v>
      </c>
      <c r="Q2342">
        <v>0</v>
      </c>
      <c r="S2342" t="str">
        <f t="shared" si="701"/>
        <v>22:19:19.000</v>
      </c>
      <c r="T2342" t="str">
        <f t="shared" si="701"/>
        <v>22:19:19.000</v>
      </c>
      <c r="U2342" t="str">
        <f t="shared" si="690"/>
        <v>A9D71F</v>
      </c>
      <c r="V2342">
        <v>0</v>
      </c>
      <c r="W2342">
        <v>0</v>
      </c>
      <c r="X2342">
        <v>2</v>
      </c>
      <c r="Z2342">
        <v>1</v>
      </c>
      <c r="AA2342">
        <v>8</v>
      </c>
      <c r="AB2342">
        <v>3</v>
      </c>
      <c r="AC2342">
        <v>0</v>
      </c>
      <c r="AD2342">
        <v>9</v>
      </c>
      <c r="AE2342">
        <v>0</v>
      </c>
      <c r="AF2342">
        <v>3</v>
      </c>
      <c r="AG2342">
        <v>1</v>
      </c>
      <c r="AH2342">
        <v>0</v>
      </c>
      <c r="AI2342" t="s">
        <v>1217</v>
      </c>
      <c r="AJ2342">
        <v>33.002822000000002</v>
      </c>
      <c r="AK2342" t="s">
        <v>1218</v>
      </c>
      <c r="AL2342">
        <v>-97.656226000000004</v>
      </c>
      <c r="AM2342">
        <v>25</v>
      </c>
      <c r="AN2342">
        <v>3100</v>
      </c>
      <c r="AO2342" t="s">
        <v>118</v>
      </c>
      <c r="AP2342">
        <v>-48</v>
      </c>
      <c r="AQ2342">
        <v>-49</v>
      </c>
      <c r="AR2342">
        <v>-576</v>
      </c>
      <c r="AZ2342">
        <v>1200</v>
      </c>
      <c r="BA2342">
        <v>1</v>
      </c>
      <c r="BB2342" t="str">
        <f t="shared" si="697"/>
        <v xml:space="preserve">N733KP  </v>
      </c>
      <c r="BC2342">
        <v>1</v>
      </c>
      <c r="BE2342">
        <v>0</v>
      </c>
      <c r="BF2342">
        <v>0</v>
      </c>
      <c r="BG2342">
        <v>0</v>
      </c>
      <c r="BH2342">
        <v>3075</v>
      </c>
      <c r="BI2342">
        <v>1</v>
      </c>
      <c r="BJ2342">
        <v>1</v>
      </c>
      <c r="BK2342">
        <v>0</v>
      </c>
      <c r="BL2342">
        <v>0</v>
      </c>
      <c r="BO2342">
        <v>0</v>
      </c>
      <c r="BP2342">
        <v>0</v>
      </c>
      <c r="BW2342" t="str">
        <f>"22:19:19.266"</f>
        <v>22:19:19.266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5</v>
      </c>
      <c r="CP2342" t="s">
        <v>119</v>
      </c>
      <c r="CQ2342">
        <v>364</v>
      </c>
      <c r="CR2342">
        <v>0</v>
      </c>
      <c r="CW2342">
        <v>1453317</v>
      </c>
      <c r="CY2342">
        <v>1</v>
      </c>
      <c r="CZ2342">
        <v>0</v>
      </c>
      <c r="DA2342">
        <v>1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>"03/24/2022 22:19:19.462"</f>
        <v>03/24/2022 22:19:19.462</v>
      </c>
      <c r="C2343" t="str">
        <f t="shared" si="696"/>
        <v>FFDFD3C0</v>
      </c>
      <c r="D2343" t="s">
        <v>120</v>
      </c>
      <c r="E2343">
        <v>14</v>
      </c>
      <c r="F2343">
        <v>1014</v>
      </c>
      <c r="G2343" t="s">
        <v>121</v>
      </c>
      <c r="J2343" t="s">
        <v>122</v>
      </c>
      <c r="K2343">
        <v>0</v>
      </c>
      <c r="L2343">
        <v>3</v>
      </c>
      <c r="M2343">
        <v>0</v>
      </c>
      <c r="N2343">
        <v>2</v>
      </c>
      <c r="O2343">
        <v>0</v>
      </c>
      <c r="P2343">
        <v>1</v>
      </c>
      <c r="Q2343">
        <v>0</v>
      </c>
      <c r="S2343" t="str">
        <f t="shared" si="701"/>
        <v>22:19:19.000</v>
      </c>
      <c r="T2343" t="str">
        <f t="shared" si="701"/>
        <v>22:19:19.000</v>
      </c>
      <c r="U2343" t="str">
        <f t="shared" si="690"/>
        <v>A9D71F</v>
      </c>
      <c r="V2343">
        <v>0</v>
      </c>
      <c r="W2343">
        <v>0</v>
      </c>
      <c r="X2343">
        <v>2</v>
      </c>
      <c r="Z2343">
        <v>1</v>
      </c>
      <c r="AA2343">
        <v>8</v>
      </c>
      <c r="AB2343">
        <v>3</v>
      </c>
      <c r="AC2343">
        <v>0</v>
      </c>
      <c r="AD2343">
        <v>9</v>
      </c>
      <c r="AE2343">
        <v>0</v>
      </c>
      <c r="AF2343">
        <v>3</v>
      </c>
      <c r="AG2343">
        <v>1</v>
      </c>
      <c r="AH2343">
        <v>0</v>
      </c>
      <c r="AI2343" t="s">
        <v>1217</v>
      </c>
      <c r="AJ2343">
        <v>33.002822000000002</v>
      </c>
      <c r="AK2343" t="s">
        <v>1218</v>
      </c>
      <c r="AL2343">
        <v>-97.656226000000004</v>
      </c>
      <c r="AM2343">
        <v>25</v>
      </c>
      <c r="AN2343">
        <v>3100</v>
      </c>
      <c r="AO2343" t="s">
        <v>118</v>
      </c>
      <c r="AP2343">
        <v>-48</v>
      </c>
      <c r="AQ2343">
        <v>-49</v>
      </c>
      <c r="AR2343">
        <v>-576</v>
      </c>
      <c r="AZ2343">
        <v>1200</v>
      </c>
      <c r="BA2343">
        <v>1</v>
      </c>
      <c r="BB2343" t="str">
        <f t="shared" si="697"/>
        <v xml:space="preserve">N733KP  </v>
      </c>
      <c r="BC2343">
        <v>1</v>
      </c>
      <c r="BE2343">
        <v>0</v>
      </c>
      <c r="BF2343">
        <v>0</v>
      </c>
      <c r="BG2343">
        <v>0</v>
      </c>
      <c r="BH2343">
        <v>3075</v>
      </c>
      <c r="BI2343">
        <v>1</v>
      </c>
      <c r="BJ2343">
        <v>1</v>
      </c>
      <c r="BK2343">
        <v>0</v>
      </c>
      <c r="BL2343">
        <v>0</v>
      </c>
      <c r="BO2343">
        <v>0</v>
      </c>
      <c r="BP2343">
        <v>0</v>
      </c>
      <c r="BW2343" t="str">
        <f>"22:19:19.266"</f>
        <v>22:19:19.266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5</v>
      </c>
      <c r="CP2343" t="s">
        <v>119</v>
      </c>
      <c r="CQ2343">
        <v>364</v>
      </c>
      <c r="CR2343">
        <v>0</v>
      </c>
      <c r="CW2343">
        <v>1453317</v>
      </c>
      <c r="CY2343">
        <v>1</v>
      </c>
      <c r="CZ2343">
        <v>0</v>
      </c>
      <c r="DA2343">
        <v>1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>"03/24/2022 22:19:19.494"</f>
        <v>03/24/2022 22:19:19.494</v>
      </c>
      <c r="C2344" t="str">
        <f t="shared" si="696"/>
        <v>FFDFD3C0</v>
      </c>
      <c r="D2344" t="s">
        <v>123</v>
      </c>
      <c r="E2344">
        <v>8</v>
      </c>
      <c r="H2344">
        <v>31</v>
      </c>
      <c r="I2344" t="s">
        <v>124</v>
      </c>
      <c r="J2344" t="s">
        <v>125</v>
      </c>
      <c r="K2344">
        <v>0</v>
      </c>
      <c r="L2344">
        <v>3</v>
      </c>
      <c r="M2344">
        <v>0</v>
      </c>
      <c r="N2344">
        <v>2</v>
      </c>
      <c r="O2344">
        <v>0</v>
      </c>
      <c r="P2344">
        <v>1</v>
      </c>
      <c r="Q2344">
        <v>0</v>
      </c>
      <c r="S2344" t="str">
        <f t="shared" si="701"/>
        <v>22:19:19.000</v>
      </c>
      <c r="T2344" t="str">
        <f t="shared" si="701"/>
        <v>22:19:19.000</v>
      </c>
      <c r="U2344" t="str">
        <f t="shared" si="690"/>
        <v>A9D71F</v>
      </c>
      <c r="V2344">
        <v>0</v>
      </c>
      <c r="W2344">
        <v>0</v>
      </c>
      <c r="X2344">
        <v>2</v>
      </c>
      <c r="Z2344">
        <v>1</v>
      </c>
      <c r="AA2344">
        <v>8</v>
      </c>
      <c r="AB2344">
        <v>3</v>
      </c>
      <c r="AC2344">
        <v>0</v>
      </c>
      <c r="AD2344">
        <v>9</v>
      </c>
      <c r="AE2344">
        <v>0</v>
      </c>
      <c r="AF2344">
        <v>3</v>
      </c>
      <c r="AG2344">
        <v>1</v>
      </c>
      <c r="AH2344">
        <v>0</v>
      </c>
      <c r="AI2344" t="s">
        <v>1217</v>
      </c>
      <c r="AJ2344">
        <v>33.002822000000002</v>
      </c>
      <c r="AK2344" t="s">
        <v>1218</v>
      </c>
      <c r="AL2344">
        <v>-97.656226000000004</v>
      </c>
      <c r="AM2344">
        <v>25</v>
      </c>
      <c r="AN2344">
        <v>3100</v>
      </c>
      <c r="AO2344" t="s">
        <v>118</v>
      </c>
      <c r="AP2344">
        <v>-48</v>
      </c>
      <c r="AQ2344">
        <v>-49</v>
      </c>
      <c r="AR2344">
        <v>-576</v>
      </c>
      <c r="AZ2344">
        <v>1200</v>
      </c>
      <c r="BA2344">
        <v>1</v>
      </c>
      <c r="BB2344" t="str">
        <f t="shared" si="697"/>
        <v xml:space="preserve">N733KP  </v>
      </c>
      <c r="BC2344">
        <v>1</v>
      </c>
      <c r="BE2344">
        <v>0</v>
      </c>
      <c r="BF2344">
        <v>0</v>
      </c>
      <c r="BG2344">
        <v>0</v>
      </c>
      <c r="BH2344">
        <v>3075</v>
      </c>
      <c r="BI2344">
        <v>1</v>
      </c>
      <c r="BJ2344">
        <v>1</v>
      </c>
      <c r="BK2344">
        <v>0</v>
      </c>
      <c r="BL2344">
        <v>0</v>
      </c>
      <c r="BO2344">
        <v>0</v>
      </c>
      <c r="BP2344">
        <v>0</v>
      </c>
      <c r="BW2344" t="str">
        <f>"22:19:19.266"</f>
        <v>22:19:19.266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5</v>
      </c>
      <c r="CP2344" t="s">
        <v>119</v>
      </c>
      <c r="CQ2344">
        <v>364</v>
      </c>
      <c r="CR2344">
        <v>0</v>
      </c>
      <c r="CW2344">
        <v>1453317</v>
      </c>
      <c r="CY2344">
        <v>1</v>
      </c>
      <c r="CZ2344">
        <v>0</v>
      </c>
      <c r="DA2344">
        <v>0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>"03/24/2022 22:19:21.150"</f>
        <v>03/24/2022 22:19:21.150</v>
      </c>
      <c r="C2345" t="str">
        <f t="shared" si="696"/>
        <v>FFDFD3C0</v>
      </c>
      <c r="D2345" t="s">
        <v>123</v>
      </c>
      <c r="E2345">
        <v>8</v>
      </c>
      <c r="H2345">
        <v>31</v>
      </c>
      <c r="I2345" t="s">
        <v>124</v>
      </c>
      <c r="J2345" t="s">
        <v>125</v>
      </c>
      <c r="K2345">
        <v>0</v>
      </c>
      <c r="L2345">
        <v>3</v>
      </c>
      <c r="M2345">
        <v>0</v>
      </c>
      <c r="N2345">
        <v>2</v>
      </c>
      <c r="O2345">
        <v>0</v>
      </c>
      <c r="P2345">
        <v>1</v>
      </c>
      <c r="Q2345">
        <v>0</v>
      </c>
      <c r="S2345" t="str">
        <f t="shared" ref="S2345:T2348" si="702">"22:19:20.000"</f>
        <v>22:19:20.000</v>
      </c>
      <c r="T2345" t="str">
        <f t="shared" si="702"/>
        <v>22:19:20.000</v>
      </c>
      <c r="U2345" t="str">
        <f t="shared" si="690"/>
        <v>A9D71F</v>
      </c>
      <c r="V2345">
        <v>0</v>
      </c>
      <c r="W2345">
        <v>0</v>
      </c>
      <c r="X2345">
        <v>2</v>
      </c>
      <c r="Z2345">
        <v>1</v>
      </c>
      <c r="AA2345">
        <v>8</v>
      </c>
      <c r="AB2345">
        <v>3</v>
      </c>
      <c r="AC2345">
        <v>0</v>
      </c>
      <c r="AD2345">
        <v>9</v>
      </c>
      <c r="AE2345">
        <v>0</v>
      </c>
      <c r="AF2345">
        <v>3</v>
      </c>
      <c r="AG2345">
        <v>1</v>
      </c>
      <c r="AH2345">
        <v>0</v>
      </c>
      <c r="AI2345" t="s">
        <v>1219</v>
      </c>
      <c r="AJ2345">
        <v>33.002586000000001</v>
      </c>
      <c r="AK2345" t="s">
        <v>1077</v>
      </c>
      <c r="AL2345">
        <v>-97.656484000000006</v>
      </c>
      <c r="AM2345">
        <v>25</v>
      </c>
      <c r="AN2345">
        <v>3000</v>
      </c>
      <c r="AO2345" t="s">
        <v>118</v>
      </c>
      <c r="AP2345">
        <v>-48</v>
      </c>
      <c r="AQ2345">
        <v>-46</v>
      </c>
      <c r="AR2345">
        <v>-448</v>
      </c>
      <c r="AZ2345">
        <v>1200</v>
      </c>
      <c r="BA2345">
        <v>1</v>
      </c>
      <c r="BB2345" t="str">
        <f t="shared" si="697"/>
        <v xml:space="preserve">N733KP  </v>
      </c>
      <c r="BC2345">
        <v>1</v>
      </c>
      <c r="BE2345">
        <v>0</v>
      </c>
      <c r="BF2345">
        <v>0</v>
      </c>
      <c r="BG2345">
        <v>0</v>
      </c>
      <c r="BH2345">
        <v>3075</v>
      </c>
      <c r="BI2345">
        <v>1</v>
      </c>
      <c r="BJ2345">
        <v>1</v>
      </c>
      <c r="BK2345">
        <v>0</v>
      </c>
      <c r="BL2345">
        <v>0</v>
      </c>
      <c r="BO2345">
        <v>0</v>
      </c>
      <c r="BP2345">
        <v>0</v>
      </c>
      <c r="BW2345" t="str">
        <f>"22:19:20.974"</f>
        <v>22:19:20.974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4</v>
      </c>
      <c r="CP2345" t="s">
        <v>119</v>
      </c>
      <c r="CQ2345">
        <v>364</v>
      </c>
      <c r="CR2345">
        <v>0</v>
      </c>
      <c r="CW2345">
        <v>1453541</v>
      </c>
      <c r="CY2345">
        <v>1</v>
      </c>
      <c r="CZ2345">
        <v>0</v>
      </c>
      <c r="DA2345">
        <v>0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>"03/24/2022 22:19:21.244"</f>
        <v>03/24/2022 22:19:21.244</v>
      </c>
      <c r="C2346" t="str">
        <f t="shared" si="696"/>
        <v>FFDFD3C0</v>
      </c>
      <c r="D2346" t="s">
        <v>113</v>
      </c>
      <c r="E2346">
        <v>24</v>
      </c>
      <c r="F2346">
        <v>2024</v>
      </c>
      <c r="G2346" t="s">
        <v>114</v>
      </c>
      <c r="J2346" t="s">
        <v>115</v>
      </c>
      <c r="K2346">
        <v>0</v>
      </c>
      <c r="L2346">
        <v>3</v>
      </c>
      <c r="M2346">
        <v>0</v>
      </c>
      <c r="N2346">
        <v>2</v>
      </c>
      <c r="O2346">
        <v>0</v>
      </c>
      <c r="P2346">
        <v>1</v>
      </c>
      <c r="Q2346">
        <v>0</v>
      </c>
      <c r="S2346" t="str">
        <f t="shared" si="702"/>
        <v>22:19:20.000</v>
      </c>
      <c r="T2346" t="str">
        <f t="shared" si="702"/>
        <v>22:19:20.000</v>
      </c>
      <c r="U2346" t="str">
        <f t="shared" si="690"/>
        <v>A9D71F</v>
      </c>
      <c r="V2346">
        <v>0</v>
      </c>
      <c r="W2346">
        <v>0</v>
      </c>
      <c r="X2346">
        <v>2</v>
      </c>
      <c r="Z2346">
        <v>1</v>
      </c>
      <c r="AA2346">
        <v>8</v>
      </c>
      <c r="AB2346">
        <v>3</v>
      </c>
      <c r="AC2346">
        <v>0</v>
      </c>
      <c r="AD2346">
        <v>9</v>
      </c>
      <c r="AE2346">
        <v>0</v>
      </c>
      <c r="AF2346">
        <v>3</v>
      </c>
      <c r="AG2346">
        <v>1</v>
      </c>
      <c r="AH2346">
        <v>0</v>
      </c>
      <c r="AI2346" t="s">
        <v>1219</v>
      </c>
      <c r="AJ2346">
        <v>33.002586000000001</v>
      </c>
      <c r="AK2346" t="s">
        <v>1077</v>
      </c>
      <c r="AL2346">
        <v>-97.656484000000006</v>
      </c>
      <c r="AM2346">
        <v>25</v>
      </c>
      <c r="AN2346">
        <v>3000</v>
      </c>
      <c r="AO2346" t="s">
        <v>118</v>
      </c>
      <c r="AP2346">
        <v>-48</v>
      </c>
      <c r="AQ2346">
        <v>-46</v>
      </c>
      <c r="AR2346">
        <v>-448</v>
      </c>
      <c r="AZ2346">
        <v>1200</v>
      </c>
      <c r="BA2346">
        <v>1</v>
      </c>
      <c r="BB2346" t="str">
        <f t="shared" si="697"/>
        <v xml:space="preserve">N733KP  </v>
      </c>
      <c r="BC2346">
        <v>1</v>
      </c>
      <c r="BE2346">
        <v>0</v>
      </c>
      <c r="BF2346">
        <v>0</v>
      </c>
      <c r="BG2346">
        <v>0</v>
      </c>
      <c r="BH2346">
        <v>3075</v>
      </c>
      <c r="BI2346">
        <v>1</v>
      </c>
      <c r="BJ2346">
        <v>1</v>
      </c>
      <c r="BK2346">
        <v>0</v>
      </c>
      <c r="BL2346">
        <v>0</v>
      </c>
      <c r="BO2346">
        <v>0</v>
      </c>
      <c r="BP2346">
        <v>0</v>
      </c>
      <c r="BW2346" t="str">
        <f>"22:19:20.974"</f>
        <v>22:19:20.974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4</v>
      </c>
      <c r="CP2346" t="s">
        <v>119</v>
      </c>
      <c r="CQ2346">
        <v>364</v>
      </c>
      <c r="CR2346">
        <v>0</v>
      </c>
      <c r="CW2346">
        <v>1453541</v>
      </c>
      <c r="CY2346">
        <v>1</v>
      </c>
      <c r="CZ2346">
        <v>0</v>
      </c>
      <c r="DA2346">
        <v>1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>"03/24/2022 22:19:21.244"</f>
        <v>03/24/2022 22:19:21.244</v>
      </c>
      <c r="C2347" t="str">
        <f t="shared" si="696"/>
        <v>FFDFD3C0</v>
      </c>
      <c r="D2347" t="s">
        <v>126</v>
      </c>
      <c r="E2347">
        <v>3</v>
      </c>
      <c r="H2347">
        <v>160</v>
      </c>
      <c r="I2347" t="s">
        <v>121</v>
      </c>
      <c r="J2347" t="s">
        <v>127</v>
      </c>
      <c r="K2347">
        <v>0</v>
      </c>
      <c r="L2347">
        <v>3</v>
      </c>
      <c r="M2347">
        <v>0</v>
      </c>
      <c r="N2347">
        <v>2</v>
      </c>
      <c r="O2347">
        <v>0</v>
      </c>
      <c r="P2347">
        <v>1</v>
      </c>
      <c r="Q2347">
        <v>0</v>
      </c>
      <c r="S2347" t="str">
        <f t="shared" si="702"/>
        <v>22:19:20.000</v>
      </c>
      <c r="T2347" t="str">
        <f t="shared" si="702"/>
        <v>22:19:20.000</v>
      </c>
      <c r="U2347" t="str">
        <f t="shared" si="690"/>
        <v>A9D71F</v>
      </c>
      <c r="V2347">
        <v>0</v>
      </c>
      <c r="W2347">
        <v>0</v>
      </c>
      <c r="X2347">
        <v>2</v>
      </c>
      <c r="Z2347">
        <v>1</v>
      </c>
      <c r="AA2347">
        <v>8</v>
      </c>
      <c r="AB2347">
        <v>3</v>
      </c>
      <c r="AC2347">
        <v>0</v>
      </c>
      <c r="AD2347">
        <v>9</v>
      </c>
      <c r="AE2347">
        <v>0</v>
      </c>
      <c r="AF2347">
        <v>3</v>
      </c>
      <c r="AG2347">
        <v>1</v>
      </c>
      <c r="AH2347">
        <v>0</v>
      </c>
      <c r="AI2347" t="s">
        <v>1219</v>
      </c>
      <c r="AJ2347">
        <v>33.002586000000001</v>
      </c>
      <c r="AK2347" t="s">
        <v>1077</v>
      </c>
      <c r="AL2347">
        <v>-97.656484000000006</v>
      </c>
      <c r="AM2347">
        <v>25</v>
      </c>
      <c r="AN2347">
        <v>3000</v>
      </c>
      <c r="AO2347" t="s">
        <v>118</v>
      </c>
      <c r="AP2347">
        <v>-48</v>
      </c>
      <c r="AQ2347">
        <v>-46</v>
      </c>
      <c r="AR2347">
        <v>-448</v>
      </c>
      <c r="AZ2347">
        <v>1200</v>
      </c>
      <c r="BA2347">
        <v>1</v>
      </c>
      <c r="BB2347" t="str">
        <f t="shared" si="697"/>
        <v xml:space="preserve">N733KP  </v>
      </c>
      <c r="BC2347">
        <v>1</v>
      </c>
      <c r="BE2347">
        <v>0</v>
      </c>
      <c r="BF2347">
        <v>0</v>
      </c>
      <c r="BG2347">
        <v>0</v>
      </c>
      <c r="BH2347">
        <v>3075</v>
      </c>
      <c r="BI2347">
        <v>1</v>
      </c>
      <c r="BJ2347">
        <v>1</v>
      </c>
      <c r="BK2347">
        <v>0</v>
      </c>
      <c r="BL2347">
        <v>0</v>
      </c>
      <c r="BO2347">
        <v>0</v>
      </c>
      <c r="BP2347">
        <v>0</v>
      </c>
      <c r="BW2347" t="str">
        <f>"22:19:20.974"</f>
        <v>22:19:20.974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4</v>
      </c>
      <c r="CP2347" t="s">
        <v>119</v>
      </c>
      <c r="CQ2347">
        <v>364</v>
      </c>
      <c r="CR2347">
        <v>0</v>
      </c>
      <c r="CW2347">
        <v>1453541</v>
      </c>
      <c r="CY2347">
        <v>1</v>
      </c>
      <c r="CZ2347">
        <v>0</v>
      </c>
      <c r="DA2347">
        <v>1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>"03/24/2022 22:19:21.244"</f>
        <v>03/24/2022 22:19:21.244</v>
      </c>
      <c r="C2348" t="str">
        <f t="shared" si="696"/>
        <v>FFDFD3C0</v>
      </c>
      <c r="D2348" t="s">
        <v>120</v>
      </c>
      <c r="E2348">
        <v>14</v>
      </c>
      <c r="F2348">
        <v>1014</v>
      </c>
      <c r="G2348" t="s">
        <v>121</v>
      </c>
      <c r="J2348" t="s">
        <v>122</v>
      </c>
      <c r="K2348">
        <v>0</v>
      </c>
      <c r="L2348">
        <v>3</v>
      </c>
      <c r="M2348">
        <v>0</v>
      </c>
      <c r="N2348">
        <v>2</v>
      </c>
      <c r="O2348">
        <v>0</v>
      </c>
      <c r="P2348">
        <v>1</v>
      </c>
      <c r="Q2348">
        <v>0</v>
      </c>
      <c r="S2348" t="str">
        <f t="shared" si="702"/>
        <v>22:19:20.000</v>
      </c>
      <c r="T2348" t="str">
        <f t="shared" si="702"/>
        <v>22:19:20.000</v>
      </c>
      <c r="U2348" t="str">
        <f t="shared" si="690"/>
        <v>A9D71F</v>
      </c>
      <c r="V2348">
        <v>0</v>
      </c>
      <c r="W2348">
        <v>0</v>
      </c>
      <c r="X2348">
        <v>2</v>
      </c>
      <c r="Z2348">
        <v>1</v>
      </c>
      <c r="AA2348">
        <v>8</v>
      </c>
      <c r="AB2348">
        <v>3</v>
      </c>
      <c r="AC2348">
        <v>0</v>
      </c>
      <c r="AD2348">
        <v>9</v>
      </c>
      <c r="AE2348">
        <v>0</v>
      </c>
      <c r="AF2348">
        <v>3</v>
      </c>
      <c r="AG2348">
        <v>1</v>
      </c>
      <c r="AH2348">
        <v>0</v>
      </c>
      <c r="AI2348" t="s">
        <v>1219</v>
      </c>
      <c r="AJ2348">
        <v>33.002586000000001</v>
      </c>
      <c r="AK2348" t="s">
        <v>1077</v>
      </c>
      <c r="AL2348">
        <v>-97.656484000000006</v>
      </c>
      <c r="AM2348">
        <v>25</v>
      </c>
      <c r="AN2348">
        <v>3000</v>
      </c>
      <c r="AO2348" t="s">
        <v>118</v>
      </c>
      <c r="AP2348">
        <v>-48</v>
      </c>
      <c r="AQ2348">
        <v>-46</v>
      </c>
      <c r="AR2348">
        <v>-448</v>
      </c>
      <c r="AZ2348">
        <v>1200</v>
      </c>
      <c r="BA2348">
        <v>1</v>
      </c>
      <c r="BB2348" t="str">
        <f t="shared" si="697"/>
        <v xml:space="preserve">N733KP  </v>
      </c>
      <c r="BC2348">
        <v>1</v>
      </c>
      <c r="BE2348">
        <v>0</v>
      </c>
      <c r="BF2348">
        <v>0</v>
      </c>
      <c r="BG2348">
        <v>0</v>
      </c>
      <c r="BH2348">
        <v>3075</v>
      </c>
      <c r="BI2348">
        <v>1</v>
      </c>
      <c r="BJ2348">
        <v>1</v>
      </c>
      <c r="BK2348">
        <v>0</v>
      </c>
      <c r="BL2348">
        <v>0</v>
      </c>
      <c r="BO2348">
        <v>0</v>
      </c>
      <c r="BP2348">
        <v>0</v>
      </c>
      <c r="BW2348" t="str">
        <f>"22:19:20.974"</f>
        <v>22:19:20.974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4</v>
      </c>
      <c r="CP2348" t="s">
        <v>119</v>
      </c>
      <c r="CQ2348">
        <v>364</v>
      </c>
      <c r="CR2348">
        <v>0</v>
      </c>
      <c r="CW2348">
        <v>1453541</v>
      </c>
      <c r="CY2348">
        <v>1</v>
      </c>
      <c r="CZ2348">
        <v>0</v>
      </c>
      <c r="DA2348">
        <v>1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>"03/24/2022 22:19:21.634"</f>
        <v>03/24/2022 22:19:21.634</v>
      </c>
      <c r="C2349" t="str">
        <f t="shared" si="696"/>
        <v>FFDFD3C0</v>
      </c>
      <c r="D2349" t="s">
        <v>126</v>
      </c>
      <c r="E2349">
        <v>3</v>
      </c>
      <c r="H2349">
        <v>160</v>
      </c>
      <c r="I2349" t="s">
        <v>121</v>
      </c>
      <c r="J2349" t="s">
        <v>127</v>
      </c>
      <c r="K2349">
        <v>0</v>
      </c>
      <c r="L2349">
        <v>3</v>
      </c>
      <c r="M2349">
        <v>0</v>
      </c>
      <c r="N2349">
        <v>2</v>
      </c>
      <c r="O2349">
        <v>0</v>
      </c>
      <c r="P2349">
        <v>1</v>
      </c>
      <c r="Q2349">
        <v>0</v>
      </c>
      <c r="S2349" t="str">
        <f t="shared" ref="S2349:T2352" si="703">"22:19:21.000"</f>
        <v>22:19:21.000</v>
      </c>
      <c r="T2349" t="str">
        <f t="shared" si="703"/>
        <v>22:19:21.000</v>
      </c>
      <c r="U2349" t="str">
        <f t="shared" si="690"/>
        <v>A9D71F</v>
      </c>
      <c r="V2349">
        <v>0</v>
      </c>
      <c r="W2349">
        <v>0</v>
      </c>
      <c r="X2349">
        <v>2</v>
      </c>
      <c r="Z2349">
        <v>1</v>
      </c>
      <c r="AA2349">
        <v>8</v>
      </c>
      <c r="AB2349">
        <v>3</v>
      </c>
      <c r="AC2349">
        <v>0</v>
      </c>
      <c r="AD2349">
        <v>9</v>
      </c>
      <c r="AE2349">
        <v>0</v>
      </c>
      <c r="AF2349">
        <v>3</v>
      </c>
      <c r="AG2349">
        <v>1</v>
      </c>
      <c r="AH2349">
        <v>0</v>
      </c>
      <c r="AI2349" t="s">
        <v>1220</v>
      </c>
      <c r="AJ2349">
        <v>33.002372000000001</v>
      </c>
      <c r="AK2349" t="s">
        <v>1221</v>
      </c>
      <c r="AL2349">
        <v>-97.656762999999998</v>
      </c>
      <c r="AM2349">
        <v>25</v>
      </c>
      <c r="AN2349">
        <v>3000</v>
      </c>
      <c r="AO2349" t="s">
        <v>118</v>
      </c>
      <c r="AP2349">
        <v>-48</v>
      </c>
      <c r="AQ2349">
        <v>-47</v>
      </c>
      <c r="AR2349">
        <v>-448</v>
      </c>
      <c r="AZ2349">
        <v>1200</v>
      </c>
      <c r="BA2349">
        <v>1</v>
      </c>
      <c r="BB2349" t="str">
        <f t="shared" si="697"/>
        <v xml:space="preserve">N733KP  </v>
      </c>
      <c r="BC2349">
        <v>1</v>
      </c>
      <c r="BE2349">
        <v>0</v>
      </c>
      <c r="BF2349">
        <v>0</v>
      </c>
      <c r="BG2349">
        <v>0</v>
      </c>
      <c r="BH2349">
        <v>3075</v>
      </c>
      <c r="BI2349">
        <v>1</v>
      </c>
      <c r="BJ2349">
        <v>1</v>
      </c>
      <c r="BK2349">
        <v>0</v>
      </c>
      <c r="BL2349">
        <v>0</v>
      </c>
      <c r="BO2349">
        <v>0</v>
      </c>
      <c r="BP2349">
        <v>0</v>
      </c>
      <c r="BW2349" t="str">
        <f>"22:19:21.479"</f>
        <v>22:19:21.479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5</v>
      </c>
      <c r="CP2349" t="s">
        <v>119</v>
      </c>
      <c r="CQ2349">
        <v>364</v>
      </c>
      <c r="CR2349">
        <v>0</v>
      </c>
      <c r="CW2349">
        <v>1453610</v>
      </c>
      <c r="CY2349">
        <v>1</v>
      </c>
      <c r="CZ2349">
        <v>0</v>
      </c>
      <c r="DA2349">
        <v>0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>"03/24/2022 22:19:21.634"</f>
        <v>03/24/2022 22:19:21.634</v>
      </c>
      <c r="C2350" t="str">
        <f t="shared" si="696"/>
        <v>FFDFD3C0</v>
      </c>
      <c r="D2350" t="s">
        <v>120</v>
      </c>
      <c r="E2350">
        <v>14</v>
      </c>
      <c r="F2350">
        <v>1014</v>
      </c>
      <c r="G2350" t="s">
        <v>121</v>
      </c>
      <c r="J2350" t="s">
        <v>122</v>
      </c>
      <c r="K2350">
        <v>0</v>
      </c>
      <c r="L2350">
        <v>3</v>
      </c>
      <c r="M2350">
        <v>0</v>
      </c>
      <c r="N2350">
        <v>2</v>
      </c>
      <c r="O2350">
        <v>0</v>
      </c>
      <c r="P2350">
        <v>1</v>
      </c>
      <c r="Q2350">
        <v>0</v>
      </c>
      <c r="S2350" t="str">
        <f t="shared" si="703"/>
        <v>22:19:21.000</v>
      </c>
      <c r="T2350" t="str">
        <f t="shared" si="703"/>
        <v>22:19:21.000</v>
      </c>
      <c r="U2350" t="str">
        <f t="shared" si="690"/>
        <v>A9D71F</v>
      </c>
      <c r="V2350">
        <v>0</v>
      </c>
      <c r="W2350">
        <v>0</v>
      </c>
      <c r="X2350">
        <v>2</v>
      </c>
      <c r="Z2350">
        <v>1</v>
      </c>
      <c r="AA2350">
        <v>8</v>
      </c>
      <c r="AB2350">
        <v>3</v>
      </c>
      <c r="AC2350">
        <v>0</v>
      </c>
      <c r="AD2350">
        <v>9</v>
      </c>
      <c r="AE2350">
        <v>0</v>
      </c>
      <c r="AF2350">
        <v>3</v>
      </c>
      <c r="AG2350">
        <v>1</v>
      </c>
      <c r="AH2350">
        <v>0</v>
      </c>
      <c r="AI2350" t="s">
        <v>1220</v>
      </c>
      <c r="AJ2350">
        <v>33.002372000000001</v>
      </c>
      <c r="AK2350" t="s">
        <v>1221</v>
      </c>
      <c r="AL2350">
        <v>-97.656762999999998</v>
      </c>
      <c r="AM2350">
        <v>25</v>
      </c>
      <c r="AN2350">
        <v>3000</v>
      </c>
      <c r="AO2350" t="s">
        <v>118</v>
      </c>
      <c r="AP2350">
        <v>-48</v>
      </c>
      <c r="AQ2350">
        <v>-47</v>
      </c>
      <c r="AR2350">
        <v>-448</v>
      </c>
      <c r="AZ2350">
        <v>1200</v>
      </c>
      <c r="BA2350">
        <v>1</v>
      </c>
      <c r="BB2350" t="str">
        <f t="shared" si="697"/>
        <v xml:space="preserve">N733KP  </v>
      </c>
      <c r="BC2350">
        <v>1</v>
      </c>
      <c r="BE2350">
        <v>0</v>
      </c>
      <c r="BF2350">
        <v>0</v>
      </c>
      <c r="BG2350">
        <v>0</v>
      </c>
      <c r="BH2350">
        <v>3075</v>
      </c>
      <c r="BI2350">
        <v>1</v>
      </c>
      <c r="BJ2350">
        <v>1</v>
      </c>
      <c r="BK2350">
        <v>0</v>
      </c>
      <c r="BL2350">
        <v>0</v>
      </c>
      <c r="BO2350">
        <v>0</v>
      </c>
      <c r="BP2350">
        <v>0</v>
      </c>
      <c r="BW2350" t="str">
        <f>"22:19:21.479"</f>
        <v>22:19:21.479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5</v>
      </c>
      <c r="CP2350" t="s">
        <v>119</v>
      </c>
      <c r="CQ2350">
        <v>364</v>
      </c>
      <c r="CR2350">
        <v>0</v>
      </c>
      <c r="CW2350">
        <v>1453610</v>
      </c>
      <c r="CY2350">
        <v>1</v>
      </c>
      <c r="CZ2350">
        <v>0</v>
      </c>
      <c r="DA2350">
        <v>1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>"03/24/2022 22:19:21.650"</f>
        <v>03/24/2022 22:19:21.650</v>
      </c>
      <c r="C2351" t="str">
        <f t="shared" si="696"/>
        <v>FFDFD3C0</v>
      </c>
      <c r="D2351" t="s">
        <v>123</v>
      </c>
      <c r="E2351">
        <v>8</v>
      </c>
      <c r="H2351">
        <v>31</v>
      </c>
      <c r="I2351" t="s">
        <v>124</v>
      </c>
      <c r="J2351" t="s">
        <v>125</v>
      </c>
      <c r="K2351">
        <v>0</v>
      </c>
      <c r="L2351">
        <v>3</v>
      </c>
      <c r="M2351">
        <v>0</v>
      </c>
      <c r="N2351">
        <v>2</v>
      </c>
      <c r="O2351">
        <v>0</v>
      </c>
      <c r="P2351">
        <v>1</v>
      </c>
      <c r="Q2351">
        <v>0</v>
      </c>
      <c r="S2351" t="str">
        <f t="shared" si="703"/>
        <v>22:19:21.000</v>
      </c>
      <c r="T2351" t="str">
        <f t="shared" si="703"/>
        <v>22:19:21.000</v>
      </c>
      <c r="U2351" t="str">
        <f t="shared" si="690"/>
        <v>A9D71F</v>
      </c>
      <c r="V2351">
        <v>0</v>
      </c>
      <c r="W2351">
        <v>0</v>
      </c>
      <c r="X2351">
        <v>2</v>
      </c>
      <c r="Z2351">
        <v>1</v>
      </c>
      <c r="AA2351">
        <v>8</v>
      </c>
      <c r="AB2351">
        <v>3</v>
      </c>
      <c r="AC2351">
        <v>0</v>
      </c>
      <c r="AD2351">
        <v>9</v>
      </c>
      <c r="AE2351">
        <v>0</v>
      </c>
      <c r="AF2351">
        <v>3</v>
      </c>
      <c r="AG2351">
        <v>1</v>
      </c>
      <c r="AH2351">
        <v>0</v>
      </c>
      <c r="AI2351" t="s">
        <v>1220</v>
      </c>
      <c r="AJ2351">
        <v>33.002372000000001</v>
      </c>
      <c r="AK2351" t="s">
        <v>1221</v>
      </c>
      <c r="AL2351">
        <v>-97.656762999999998</v>
      </c>
      <c r="AM2351">
        <v>25</v>
      </c>
      <c r="AN2351">
        <v>3000</v>
      </c>
      <c r="AO2351" t="s">
        <v>118</v>
      </c>
      <c r="AP2351">
        <v>-48</v>
      </c>
      <c r="AQ2351">
        <v>-47</v>
      </c>
      <c r="AR2351">
        <v>-448</v>
      </c>
      <c r="AZ2351">
        <v>1200</v>
      </c>
      <c r="BA2351">
        <v>1</v>
      </c>
      <c r="BB2351" t="str">
        <f t="shared" si="697"/>
        <v xml:space="preserve">N733KP  </v>
      </c>
      <c r="BC2351">
        <v>1</v>
      </c>
      <c r="BE2351">
        <v>0</v>
      </c>
      <c r="BF2351">
        <v>0</v>
      </c>
      <c r="BG2351">
        <v>0</v>
      </c>
      <c r="BH2351">
        <v>3075</v>
      </c>
      <c r="BI2351">
        <v>1</v>
      </c>
      <c r="BJ2351">
        <v>1</v>
      </c>
      <c r="BK2351">
        <v>0</v>
      </c>
      <c r="BL2351">
        <v>0</v>
      </c>
      <c r="BO2351">
        <v>0</v>
      </c>
      <c r="BP2351">
        <v>0</v>
      </c>
      <c r="BW2351" t="str">
        <f>"22:19:21.479"</f>
        <v>22:19:21.479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5</v>
      </c>
      <c r="CP2351" t="s">
        <v>119</v>
      </c>
      <c r="CQ2351">
        <v>364</v>
      </c>
      <c r="CR2351">
        <v>0</v>
      </c>
      <c r="CW2351">
        <v>1453610</v>
      </c>
      <c r="CY2351">
        <v>1</v>
      </c>
      <c r="CZ2351">
        <v>0</v>
      </c>
      <c r="DA2351">
        <v>1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>"03/24/2022 22:19:21.666"</f>
        <v>03/24/2022 22:19:21.666</v>
      </c>
      <c r="C2352" t="str">
        <f t="shared" si="696"/>
        <v>FFDFD3C0</v>
      </c>
      <c r="D2352" t="s">
        <v>113</v>
      </c>
      <c r="E2352">
        <v>24</v>
      </c>
      <c r="F2352">
        <v>2024</v>
      </c>
      <c r="G2352" t="s">
        <v>114</v>
      </c>
      <c r="J2352" t="s">
        <v>115</v>
      </c>
      <c r="K2352">
        <v>0</v>
      </c>
      <c r="L2352">
        <v>3</v>
      </c>
      <c r="M2352">
        <v>0</v>
      </c>
      <c r="N2352">
        <v>2</v>
      </c>
      <c r="O2352">
        <v>0</v>
      </c>
      <c r="P2352">
        <v>1</v>
      </c>
      <c r="Q2352">
        <v>0</v>
      </c>
      <c r="S2352" t="str">
        <f t="shared" si="703"/>
        <v>22:19:21.000</v>
      </c>
      <c r="T2352" t="str">
        <f t="shared" si="703"/>
        <v>22:19:21.000</v>
      </c>
      <c r="U2352" t="str">
        <f t="shared" si="690"/>
        <v>A9D71F</v>
      </c>
      <c r="V2352">
        <v>0</v>
      </c>
      <c r="W2352">
        <v>0</v>
      </c>
      <c r="X2352">
        <v>2</v>
      </c>
      <c r="Z2352">
        <v>1</v>
      </c>
      <c r="AA2352">
        <v>8</v>
      </c>
      <c r="AB2352">
        <v>3</v>
      </c>
      <c r="AC2352">
        <v>0</v>
      </c>
      <c r="AD2352">
        <v>9</v>
      </c>
      <c r="AE2352">
        <v>0</v>
      </c>
      <c r="AF2352">
        <v>3</v>
      </c>
      <c r="AG2352">
        <v>1</v>
      </c>
      <c r="AH2352">
        <v>0</v>
      </c>
      <c r="AI2352" t="s">
        <v>1220</v>
      </c>
      <c r="AJ2352">
        <v>33.002372000000001</v>
      </c>
      <c r="AK2352" t="s">
        <v>1221</v>
      </c>
      <c r="AL2352">
        <v>-97.656762999999998</v>
      </c>
      <c r="AM2352">
        <v>25</v>
      </c>
      <c r="AN2352">
        <v>3000</v>
      </c>
      <c r="AO2352" t="s">
        <v>118</v>
      </c>
      <c r="AP2352">
        <v>-48</v>
      </c>
      <c r="AQ2352">
        <v>-47</v>
      </c>
      <c r="AR2352">
        <v>-448</v>
      </c>
      <c r="AZ2352">
        <v>1200</v>
      </c>
      <c r="BA2352">
        <v>1</v>
      </c>
      <c r="BB2352" t="str">
        <f t="shared" si="697"/>
        <v xml:space="preserve">N733KP  </v>
      </c>
      <c r="BC2352">
        <v>1</v>
      </c>
      <c r="BE2352">
        <v>0</v>
      </c>
      <c r="BF2352">
        <v>0</v>
      </c>
      <c r="BG2352">
        <v>0</v>
      </c>
      <c r="BH2352">
        <v>3075</v>
      </c>
      <c r="BI2352">
        <v>1</v>
      </c>
      <c r="BJ2352">
        <v>1</v>
      </c>
      <c r="BK2352">
        <v>0</v>
      </c>
      <c r="BL2352">
        <v>0</v>
      </c>
      <c r="BO2352">
        <v>0</v>
      </c>
      <c r="BP2352">
        <v>0</v>
      </c>
      <c r="BW2352" t="str">
        <f>"22:19:21.479"</f>
        <v>22:19:21.479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5</v>
      </c>
      <c r="CP2352" t="s">
        <v>119</v>
      </c>
      <c r="CQ2352">
        <v>364</v>
      </c>
      <c r="CR2352">
        <v>0</v>
      </c>
      <c r="CW2352">
        <v>1453610</v>
      </c>
      <c r="CY2352">
        <v>1</v>
      </c>
      <c r="CZ2352">
        <v>0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>"03/24/2022 22:19:22.886"</f>
        <v>03/24/2022 22:19:22.886</v>
      </c>
      <c r="C2353" t="str">
        <f t="shared" si="696"/>
        <v>FFDFD3C0</v>
      </c>
      <c r="D2353" t="s">
        <v>113</v>
      </c>
      <c r="E2353">
        <v>24</v>
      </c>
      <c r="F2353">
        <v>2024</v>
      </c>
      <c r="G2353" t="s">
        <v>114</v>
      </c>
      <c r="J2353" t="s">
        <v>115</v>
      </c>
      <c r="K2353">
        <v>0</v>
      </c>
      <c r="L2353">
        <v>3</v>
      </c>
      <c r="M2353">
        <v>0</v>
      </c>
      <c r="N2353">
        <v>2</v>
      </c>
      <c r="O2353">
        <v>0</v>
      </c>
      <c r="P2353">
        <v>1</v>
      </c>
      <c r="Q2353">
        <v>0</v>
      </c>
      <c r="S2353" t="str">
        <f t="shared" ref="S2353:T2356" si="704">"22:19:22.000"</f>
        <v>22:19:22.000</v>
      </c>
      <c r="T2353" t="str">
        <f t="shared" si="704"/>
        <v>22:19:22.000</v>
      </c>
      <c r="U2353" t="str">
        <f t="shared" si="690"/>
        <v>A9D71F</v>
      </c>
      <c r="V2353">
        <v>0</v>
      </c>
      <c r="W2353">
        <v>0</v>
      </c>
      <c r="X2353">
        <v>2</v>
      </c>
      <c r="Z2353">
        <v>1</v>
      </c>
      <c r="AA2353">
        <v>8</v>
      </c>
      <c r="AB2353">
        <v>3</v>
      </c>
      <c r="AC2353">
        <v>0</v>
      </c>
      <c r="AD2353">
        <v>9</v>
      </c>
      <c r="AE2353">
        <v>0</v>
      </c>
      <c r="AF2353">
        <v>3</v>
      </c>
      <c r="AG2353">
        <v>1</v>
      </c>
      <c r="AH2353">
        <v>0</v>
      </c>
      <c r="AI2353" t="s">
        <v>1222</v>
      </c>
      <c r="AJ2353">
        <v>33.002156999999997</v>
      </c>
      <c r="AK2353" t="s">
        <v>1223</v>
      </c>
      <c r="AL2353">
        <v>-97.657020000000003</v>
      </c>
      <c r="AM2353">
        <v>25</v>
      </c>
      <c r="AN2353">
        <v>3000</v>
      </c>
      <c r="AO2353" t="s">
        <v>118</v>
      </c>
      <c r="AP2353">
        <v>-48</v>
      </c>
      <c r="AQ2353">
        <v>-42</v>
      </c>
      <c r="AR2353">
        <v>-448</v>
      </c>
      <c r="AZ2353">
        <v>1200</v>
      </c>
      <c r="BA2353">
        <v>1</v>
      </c>
      <c r="BB2353" t="str">
        <f t="shared" si="697"/>
        <v xml:space="preserve">N733KP  </v>
      </c>
      <c r="BC2353">
        <v>1</v>
      </c>
      <c r="BE2353">
        <v>0</v>
      </c>
      <c r="BF2353">
        <v>0</v>
      </c>
      <c r="BG2353">
        <v>0</v>
      </c>
      <c r="BH2353">
        <v>3075</v>
      </c>
      <c r="BI2353">
        <v>1</v>
      </c>
      <c r="BJ2353">
        <v>1</v>
      </c>
      <c r="BK2353">
        <v>0</v>
      </c>
      <c r="BL2353">
        <v>0</v>
      </c>
      <c r="BO2353">
        <v>0</v>
      </c>
      <c r="BP2353">
        <v>0</v>
      </c>
      <c r="BW2353" t="str">
        <f>"22:19:22.582"</f>
        <v>22:19:22.582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5</v>
      </c>
      <c r="CP2353" t="s">
        <v>119</v>
      </c>
      <c r="CQ2353">
        <v>364</v>
      </c>
      <c r="CR2353">
        <v>0</v>
      </c>
      <c r="CW2353">
        <v>1453748</v>
      </c>
      <c r="CY2353">
        <v>1</v>
      </c>
      <c r="CZ2353">
        <v>0</v>
      </c>
      <c r="DA2353">
        <v>0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>"03/24/2022 22:19:22.886"</f>
        <v>03/24/2022 22:19:22.886</v>
      </c>
      <c r="C2354" t="str">
        <f t="shared" si="696"/>
        <v>FFDFD3C0</v>
      </c>
      <c r="D2354" t="s">
        <v>126</v>
      </c>
      <c r="E2354">
        <v>3</v>
      </c>
      <c r="H2354">
        <v>160</v>
      </c>
      <c r="I2354" t="s">
        <v>121</v>
      </c>
      <c r="J2354" t="s">
        <v>127</v>
      </c>
      <c r="K2354">
        <v>0</v>
      </c>
      <c r="L2354">
        <v>3</v>
      </c>
      <c r="M2354">
        <v>0</v>
      </c>
      <c r="N2354">
        <v>2</v>
      </c>
      <c r="O2354">
        <v>0</v>
      </c>
      <c r="P2354">
        <v>1</v>
      </c>
      <c r="Q2354">
        <v>0</v>
      </c>
      <c r="S2354" t="str">
        <f t="shared" si="704"/>
        <v>22:19:22.000</v>
      </c>
      <c r="T2354" t="str">
        <f t="shared" si="704"/>
        <v>22:19:22.000</v>
      </c>
      <c r="U2354" t="str">
        <f t="shared" si="690"/>
        <v>A9D71F</v>
      </c>
      <c r="V2354">
        <v>0</v>
      </c>
      <c r="W2354">
        <v>0</v>
      </c>
      <c r="X2354">
        <v>2</v>
      </c>
      <c r="Z2354">
        <v>1</v>
      </c>
      <c r="AA2354">
        <v>8</v>
      </c>
      <c r="AB2354">
        <v>3</v>
      </c>
      <c r="AC2354">
        <v>0</v>
      </c>
      <c r="AD2354">
        <v>9</v>
      </c>
      <c r="AE2354">
        <v>0</v>
      </c>
      <c r="AF2354">
        <v>3</v>
      </c>
      <c r="AG2354">
        <v>1</v>
      </c>
      <c r="AH2354">
        <v>0</v>
      </c>
      <c r="AI2354" t="s">
        <v>1222</v>
      </c>
      <c r="AJ2354">
        <v>33.002156999999997</v>
      </c>
      <c r="AK2354" t="s">
        <v>1223</v>
      </c>
      <c r="AL2354">
        <v>-97.657020000000003</v>
      </c>
      <c r="AM2354">
        <v>25</v>
      </c>
      <c r="AN2354">
        <v>3000</v>
      </c>
      <c r="AO2354" t="s">
        <v>118</v>
      </c>
      <c r="AP2354">
        <v>-48</v>
      </c>
      <c r="AQ2354">
        <v>-42</v>
      </c>
      <c r="AR2354">
        <v>-448</v>
      </c>
      <c r="AZ2354">
        <v>1200</v>
      </c>
      <c r="BA2354">
        <v>1</v>
      </c>
      <c r="BB2354" t="str">
        <f t="shared" si="697"/>
        <v xml:space="preserve">N733KP  </v>
      </c>
      <c r="BC2354">
        <v>1</v>
      </c>
      <c r="BE2354">
        <v>0</v>
      </c>
      <c r="BF2354">
        <v>0</v>
      </c>
      <c r="BG2354">
        <v>0</v>
      </c>
      <c r="BH2354">
        <v>3075</v>
      </c>
      <c r="BI2354">
        <v>1</v>
      </c>
      <c r="BJ2354">
        <v>1</v>
      </c>
      <c r="BK2354">
        <v>0</v>
      </c>
      <c r="BL2354">
        <v>0</v>
      </c>
      <c r="BO2354">
        <v>0</v>
      </c>
      <c r="BP2354">
        <v>0</v>
      </c>
      <c r="BW2354" t="str">
        <f>"22:19:22.582"</f>
        <v>22:19:22.582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5</v>
      </c>
      <c r="CP2354" t="s">
        <v>119</v>
      </c>
      <c r="CQ2354">
        <v>364</v>
      </c>
      <c r="CR2354">
        <v>0</v>
      </c>
      <c r="CW2354">
        <v>1453748</v>
      </c>
      <c r="CY2354">
        <v>1</v>
      </c>
      <c r="CZ2354">
        <v>0</v>
      </c>
      <c r="DA2354">
        <v>1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>"03/24/2022 22:19:22.917"</f>
        <v>03/24/2022 22:19:22.917</v>
      </c>
      <c r="C2355" t="str">
        <f t="shared" si="696"/>
        <v>FFDFD3C0</v>
      </c>
      <c r="D2355" t="s">
        <v>120</v>
      </c>
      <c r="E2355">
        <v>14</v>
      </c>
      <c r="F2355">
        <v>1014</v>
      </c>
      <c r="G2355" t="s">
        <v>121</v>
      </c>
      <c r="J2355" t="s">
        <v>122</v>
      </c>
      <c r="K2355">
        <v>0</v>
      </c>
      <c r="L2355">
        <v>3</v>
      </c>
      <c r="M2355">
        <v>0</v>
      </c>
      <c r="N2355">
        <v>2</v>
      </c>
      <c r="O2355">
        <v>0</v>
      </c>
      <c r="P2355">
        <v>1</v>
      </c>
      <c r="Q2355">
        <v>0</v>
      </c>
      <c r="S2355" t="str">
        <f t="shared" si="704"/>
        <v>22:19:22.000</v>
      </c>
      <c r="T2355" t="str">
        <f t="shared" si="704"/>
        <v>22:19:22.000</v>
      </c>
      <c r="U2355" t="str">
        <f t="shared" si="690"/>
        <v>A9D71F</v>
      </c>
      <c r="V2355">
        <v>0</v>
      </c>
      <c r="W2355">
        <v>0</v>
      </c>
      <c r="X2355">
        <v>2</v>
      </c>
      <c r="Z2355">
        <v>1</v>
      </c>
      <c r="AA2355">
        <v>8</v>
      </c>
      <c r="AB2355">
        <v>3</v>
      </c>
      <c r="AC2355">
        <v>0</v>
      </c>
      <c r="AD2355">
        <v>9</v>
      </c>
      <c r="AE2355">
        <v>0</v>
      </c>
      <c r="AF2355">
        <v>3</v>
      </c>
      <c r="AG2355">
        <v>1</v>
      </c>
      <c r="AH2355">
        <v>0</v>
      </c>
      <c r="AI2355" t="s">
        <v>1222</v>
      </c>
      <c r="AJ2355">
        <v>33.002156999999997</v>
      </c>
      <c r="AK2355" t="s">
        <v>1223</v>
      </c>
      <c r="AL2355">
        <v>-97.657020000000003</v>
      </c>
      <c r="AM2355">
        <v>25</v>
      </c>
      <c r="AN2355">
        <v>3000</v>
      </c>
      <c r="AO2355" t="s">
        <v>118</v>
      </c>
      <c r="AP2355">
        <v>-48</v>
      </c>
      <c r="AQ2355">
        <v>-42</v>
      </c>
      <c r="AR2355">
        <v>-448</v>
      </c>
      <c r="AZ2355">
        <v>1200</v>
      </c>
      <c r="BA2355">
        <v>1</v>
      </c>
      <c r="BB2355" t="str">
        <f t="shared" si="697"/>
        <v xml:space="preserve">N733KP  </v>
      </c>
      <c r="BC2355">
        <v>1</v>
      </c>
      <c r="BE2355">
        <v>0</v>
      </c>
      <c r="BF2355">
        <v>0</v>
      </c>
      <c r="BG2355">
        <v>0</v>
      </c>
      <c r="BH2355">
        <v>3075</v>
      </c>
      <c r="BI2355">
        <v>1</v>
      </c>
      <c r="BJ2355">
        <v>1</v>
      </c>
      <c r="BK2355">
        <v>0</v>
      </c>
      <c r="BL2355">
        <v>0</v>
      </c>
      <c r="BO2355">
        <v>0</v>
      </c>
      <c r="BP2355">
        <v>0</v>
      </c>
      <c r="BW2355" t="str">
        <f>"22:19:22.582"</f>
        <v>22:19:22.582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5</v>
      </c>
      <c r="CP2355" t="s">
        <v>119</v>
      </c>
      <c r="CQ2355">
        <v>364</v>
      </c>
      <c r="CR2355">
        <v>0</v>
      </c>
      <c r="CW2355">
        <v>1453748</v>
      </c>
      <c r="CY2355">
        <v>1</v>
      </c>
      <c r="CZ2355">
        <v>0</v>
      </c>
      <c r="DA2355">
        <v>1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>"03/24/2022 22:19:22.917"</f>
        <v>03/24/2022 22:19:22.917</v>
      </c>
      <c r="C2356" t="str">
        <f t="shared" si="696"/>
        <v>FFDFD3C0</v>
      </c>
      <c r="D2356" t="s">
        <v>123</v>
      </c>
      <c r="E2356">
        <v>8</v>
      </c>
      <c r="H2356">
        <v>31</v>
      </c>
      <c r="I2356" t="s">
        <v>124</v>
      </c>
      <c r="J2356" t="s">
        <v>125</v>
      </c>
      <c r="K2356">
        <v>0</v>
      </c>
      <c r="L2356">
        <v>3</v>
      </c>
      <c r="M2356">
        <v>0</v>
      </c>
      <c r="N2356">
        <v>2</v>
      </c>
      <c r="O2356">
        <v>0</v>
      </c>
      <c r="P2356">
        <v>1</v>
      </c>
      <c r="Q2356">
        <v>0</v>
      </c>
      <c r="S2356" t="str">
        <f t="shared" si="704"/>
        <v>22:19:22.000</v>
      </c>
      <c r="T2356" t="str">
        <f t="shared" si="704"/>
        <v>22:19:22.000</v>
      </c>
      <c r="U2356" t="str">
        <f t="shared" si="690"/>
        <v>A9D71F</v>
      </c>
      <c r="V2356">
        <v>0</v>
      </c>
      <c r="W2356">
        <v>0</v>
      </c>
      <c r="X2356">
        <v>2</v>
      </c>
      <c r="Z2356">
        <v>1</v>
      </c>
      <c r="AA2356">
        <v>8</v>
      </c>
      <c r="AB2356">
        <v>3</v>
      </c>
      <c r="AC2356">
        <v>0</v>
      </c>
      <c r="AD2356">
        <v>9</v>
      </c>
      <c r="AE2356">
        <v>0</v>
      </c>
      <c r="AF2356">
        <v>3</v>
      </c>
      <c r="AG2356">
        <v>1</v>
      </c>
      <c r="AH2356">
        <v>0</v>
      </c>
      <c r="AI2356" t="s">
        <v>1222</v>
      </c>
      <c r="AJ2356">
        <v>33.002156999999997</v>
      </c>
      <c r="AK2356" t="s">
        <v>1223</v>
      </c>
      <c r="AL2356">
        <v>-97.657020000000003</v>
      </c>
      <c r="AM2356">
        <v>25</v>
      </c>
      <c r="AN2356">
        <v>3000</v>
      </c>
      <c r="AO2356" t="s">
        <v>118</v>
      </c>
      <c r="AP2356">
        <v>-48</v>
      </c>
      <c r="AQ2356">
        <v>-42</v>
      </c>
      <c r="AR2356">
        <v>-448</v>
      </c>
      <c r="AZ2356">
        <v>1200</v>
      </c>
      <c r="BA2356">
        <v>1</v>
      </c>
      <c r="BB2356" t="str">
        <f t="shared" si="697"/>
        <v xml:space="preserve">N733KP  </v>
      </c>
      <c r="BC2356">
        <v>1</v>
      </c>
      <c r="BE2356">
        <v>0</v>
      </c>
      <c r="BF2356">
        <v>0</v>
      </c>
      <c r="BG2356">
        <v>0</v>
      </c>
      <c r="BH2356">
        <v>3075</v>
      </c>
      <c r="BI2356">
        <v>1</v>
      </c>
      <c r="BJ2356">
        <v>1</v>
      </c>
      <c r="BK2356">
        <v>0</v>
      </c>
      <c r="BL2356">
        <v>0</v>
      </c>
      <c r="BO2356">
        <v>0</v>
      </c>
      <c r="BP2356">
        <v>0</v>
      </c>
      <c r="BW2356" t="str">
        <f>"22:19:22.582"</f>
        <v>22:19:22.582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5</v>
      </c>
      <c r="CP2356" t="s">
        <v>119</v>
      </c>
      <c r="CQ2356">
        <v>364</v>
      </c>
      <c r="CR2356">
        <v>0</v>
      </c>
      <c r="CW2356">
        <v>1453748</v>
      </c>
      <c r="CY2356">
        <v>1</v>
      </c>
      <c r="CZ2356">
        <v>0</v>
      </c>
      <c r="DA2356">
        <v>1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>"03/24/2022 22:19:23.481"</f>
        <v>03/24/2022 22:19:23.481</v>
      </c>
      <c r="C2357" t="str">
        <f t="shared" si="696"/>
        <v>FFDFD3C0</v>
      </c>
      <c r="D2357" t="s">
        <v>113</v>
      </c>
      <c r="E2357">
        <v>24</v>
      </c>
      <c r="F2357">
        <v>2024</v>
      </c>
      <c r="G2357" t="s">
        <v>114</v>
      </c>
      <c r="J2357" t="s">
        <v>115</v>
      </c>
      <c r="K2357">
        <v>0</v>
      </c>
      <c r="L2357">
        <v>3</v>
      </c>
      <c r="M2357">
        <v>0</v>
      </c>
      <c r="N2357">
        <v>2</v>
      </c>
      <c r="O2357">
        <v>0</v>
      </c>
      <c r="P2357">
        <v>1</v>
      </c>
      <c r="Q2357">
        <v>0</v>
      </c>
      <c r="S2357" t="str">
        <f t="shared" ref="S2357:T2360" si="705">"22:19:23.000"</f>
        <v>22:19:23.000</v>
      </c>
      <c r="T2357" t="str">
        <f t="shared" si="705"/>
        <v>22:19:23.000</v>
      </c>
      <c r="U2357" t="str">
        <f t="shared" si="690"/>
        <v>A9D71F</v>
      </c>
      <c r="V2357">
        <v>0</v>
      </c>
      <c r="W2357">
        <v>0</v>
      </c>
      <c r="X2357">
        <v>2</v>
      </c>
      <c r="Z2357">
        <v>1</v>
      </c>
      <c r="AA2357">
        <v>8</v>
      </c>
      <c r="AB2357">
        <v>3</v>
      </c>
      <c r="AC2357">
        <v>0</v>
      </c>
      <c r="AD2357">
        <v>9</v>
      </c>
      <c r="AE2357">
        <v>0</v>
      </c>
      <c r="AF2357">
        <v>3</v>
      </c>
      <c r="AG2357">
        <v>1</v>
      </c>
      <c r="AH2357">
        <v>0</v>
      </c>
      <c r="AI2357" t="s">
        <v>1224</v>
      </c>
      <c r="AJ2357">
        <v>33.001964000000001</v>
      </c>
      <c r="AK2357" t="s">
        <v>1225</v>
      </c>
      <c r="AL2357">
        <v>-97.657298999999995</v>
      </c>
      <c r="AM2357">
        <v>25</v>
      </c>
      <c r="AN2357">
        <v>3000</v>
      </c>
      <c r="AO2357" t="s">
        <v>118</v>
      </c>
      <c r="AP2357">
        <v>-49</v>
      </c>
      <c r="AQ2357">
        <v>-41</v>
      </c>
      <c r="AR2357">
        <v>-384</v>
      </c>
      <c r="AZ2357">
        <v>1200</v>
      </c>
      <c r="BA2357">
        <v>1</v>
      </c>
      <c r="BB2357" t="str">
        <f t="shared" si="697"/>
        <v xml:space="preserve">N733KP  </v>
      </c>
      <c r="BC2357">
        <v>1</v>
      </c>
      <c r="BE2357">
        <v>0</v>
      </c>
      <c r="BF2357">
        <v>0</v>
      </c>
      <c r="BG2357">
        <v>0</v>
      </c>
      <c r="BH2357">
        <v>3075</v>
      </c>
      <c r="BI2357">
        <v>1</v>
      </c>
      <c r="BJ2357">
        <v>1</v>
      </c>
      <c r="BK2357">
        <v>0</v>
      </c>
      <c r="BL2357">
        <v>0</v>
      </c>
      <c r="BO2357">
        <v>0</v>
      </c>
      <c r="BP2357">
        <v>0</v>
      </c>
      <c r="BW2357" t="str">
        <f>"22:19:23.280"</f>
        <v>22:19:23.280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5</v>
      </c>
      <c r="CP2357" t="s">
        <v>119</v>
      </c>
      <c r="CQ2357">
        <v>364</v>
      </c>
      <c r="CR2357">
        <v>0</v>
      </c>
      <c r="CW2357">
        <v>1453845</v>
      </c>
      <c r="CY2357">
        <v>1</v>
      </c>
      <c r="CZ2357">
        <v>0</v>
      </c>
      <c r="DA2357">
        <v>0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>"03/24/2022 22:19:23.481"</f>
        <v>03/24/2022 22:19:23.481</v>
      </c>
      <c r="C2358" t="str">
        <f t="shared" si="696"/>
        <v>FFDFD3C0</v>
      </c>
      <c r="D2358" t="s">
        <v>123</v>
      </c>
      <c r="E2358">
        <v>8</v>
      </c>
      <c r="H2358">
        <v>31</v>
      </c>
      <c r="I2358" t="s">
        <v>124</v>
      </c>
      <c r="J2358" t="s">
        <v>125</v>
      </c>
      <c r="K2358">
        <v>0</v>
      </c>
      <c r="L2358">
        <v>3</v>
      </c>
      <c r="M2358">
        <v>0</v>
      </c>
      <c r="N2358">
        <v>2</v>
      </c>
      <c r="O2358">
        <v>0</v>
      </c>
      <c r="P2358">
        <v>1</v>
      </c>
      <c r="Q2358">
        <v>0</v>
      </c>
      <c r="S2358" t="str">
        <f t="shared" si="705"/>
        <v>22:19:23.000</v>
      </c>
      <c r="T2358" t="str">
        <f t="shared" si="705"/>
        <v>22:19:23.000</v>
      </c>
      <c r="U2358" t="str">
        <f t="shared" si="690"/>
        <v>A9D71F</v>
      </c>
      <c r="V2358">
        <v>0</v>
      </c>
      <c r="W2358">
        <v>0</v>
      </c>
      <c r="X2358">
        <v>2</v>
      </c>
      <c r="Z2358">
        <v>1</v>
      </c>
      <c r="AA2358">
        <v>8</v>
      </c>
      <c r="AB2358">
        <v>3</v>
      </c>
      <c r="AC2358">
        <v>0</v>
      </c>
      <c r="AD2358">
        <v>9</v>
      </c>
      <c r="AE2358">
        <v>0</v>
      </c>
      <c r="AF2358">
        <v>3</v>
      </c>
      <c r="AG2358">
        <v>1</v>
      </c>
      <c r="AH2358">
        <v>0</v>
      </c>
      <c r="AI2358" t="s">
        <v>1224</v>
      </c>
      <c r="AJ2358">
        <v>33.001964000000001</v>
      </c>
      <c r="AK2358" t="s">
        <v>1225</v>
      </c>
      <c r="AL2358">
        <v>-97.657298999999995</v>
      </c>
      <c r="AM2358">
        <v>25</v>
      </c>
      <c r="AN2358">
        <v>3000</v>
      </c>
      <c r="AO2358" t="s">
        <v>118</v>
      </c>
      <c r="AP2358">
        <v>-49</v>
      </c>
      <c r="AQ2358">
        <v>-41</v>
      </c>
      <c r="AR2358">
        <v>-384</v>
      </c>
      <c r="AZ2358">
        <v>1200</v>
      </c>
      <c r="BA2358">
        <v>1</v>
      </c>
      <c r="BB2358" t="str">
        <f t="shared" si="697"/>
        <v xml:space="preserve">N733KP  </v>
      </c>
      <c r="BC2358">
        <v>1</v>
      </c>
      <c r="BE2358">
        <v>0</v>
      </c>
      <c r="BF2358">
        <v>0</v>
      </c>
      <c r="BG2358">
        <v>0</v>
      </c>
      <c r="BH2358">
        <v>3075</v>
      </c>
      <c r="BI2358">
        <v>1</v>
      </c>
      <c r="BJ2358">
        <v>1</v>
      </c>
      <c r="BK2358">
        <v>0</v>
      </c>
      <c r="BL2358">
        <v>0</v>
      </c>
      <c r="BO2358">
        <v>0</v>
      </c>
      <c r="BP2358">
        <v>0</v>
      </c>
      <c r="BW2358" t="str">
        <f>"22:19:23.280"</f>
        <v>22:19:23.280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5</v>
      </c>
      <c r="CP2358" t="s">
        <v>119</v>
      </c>
      <c r="CQ2358">
        <v>364</v>
      </c>
      <c r="CR2358">
        <v>0</v>
      </c>
      <c r="CW2358">
        <v>1453845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>"03/24/2022 22:19:23.481"</f>
        <v>03/24/2022 22:19:23.481</v>
      </c>
      <c r="C2359" t="str">
        <f t="shared" si="696"/>
        <v>FFDFD3C0</v>
      </c>
      <c r="D2359" t="s">
        <v>126</v>
      </c>
      <c r="E2359">
        <v>3</v>
      </c>
      <c r="H2359">
        <v>160</v>
      </c>
      <c r="I2359" t="s">
        <v>121</v>
      </c>
      <c r="J2359" t="s">
        <v>127</v>
      </c>
      <c r="K2359">
        <v>0</v>
      </c>
      <c r="L2359">
        <v>3</v>
      </c>
      <c r="M2359">
        <v>0</v>
      </c>
      <c r="N2359">
        <v>2</v>
      </c>
      <c r="O2359">
        <v>0</v>
      </c>
      <c r="P2359">
        <v>1</v>
      </c>
      <c r="Q2359">
        <v>0</v>
      </c>
      <c r="S2359" t="str">
        <f t="shared" si="705"/>
        <v>22:19:23.000</v>
      </c>
      <c r="T2359" t="str">
        <f t="shared" si="705"/>
        <v>22:19:23.000</v>
      </c>
      <c r="U2359" t="str">
        <f t="shared" si="690"/>
        <v>A9D71F</v>
      </c>
      <c r="V2359">
        <v>0</v>
      </c>
      <c r="W2359">
        <v>0</v>
      </c>
      <c r="X2359">
        <v>2</v>
      </c>
      <c r="Z2359">
        <v>1</v>
      </c>
      <c r="AA2359">
        <v>8</v>
      </c>
      <c r="AB2359">
        <v>3</v>
      </c>
      <c r="AC2359">
        <v>0</v>
      </c>
      <c r="AD2359">
        <v>9</v>
      </c>
      <c r="AE2359">
        <v>0</v>
      </c>
      <c r="AF2359">
        <v>3</v>
      </c>
      <c r="AG2359">
        <v>1</v>
      </c>
      <c r="AH2359">
        <v>0</v>
      </c>
      <c r="AI2359" t="s">
        <v>1224</v>
      </c>
      <c r="AJ2359">
        <v>33.001964000000001</v>
      </c>
      <c r="AK2359" t="s">
        <v>1225</v>
      </c>
      <c r="AL2359">
        <v>-97.657298999999995</v>
      </c>
      <c r="AM2359">
        <v>25</v>
      </c>
      <c r="AN2359">
        <v>3000</v>
      </c>
      <c r="AO2359" t="s">
        <v>118</v>
      </c>
      <c r="AP2359">
        <v>-49</v>
      </c>
      <c r="AQ2359">
        <v>-41</v>
      </c>
      <c r="AR2359">
        <v>-384</v>
      </c>
      <c r="AZ2359">
        <v>1200</v>
      </c>
      <c r="BA2359">
        <v>1</v>
      </c>
      <c r="BB2359" t="str">
        <f t="shared" si="697"/>
        <v xml:space="preserve">N733KP  </v>
      </c>
      <c r="BC2359">
        <v>1</v>
      </c>
      <c r="BE2359">
        <v>0</v>
      </c>
      <c r="BF2359">
        <v>0</v>
      </c>
      <c r="BG2359">
        <v>0</v>
      </c>
      <c r="BH2359">
        <v>3075</v>
      </c>
      <c r="BI2359">
        <v>1</v>
      </c>
      <c r="BJ2359">
        <v>1</v>
      </c>
      <c r="BK2359">
        <v>0</v>
      </c>
      <c r="BL2359">
        <v>0</v>
      </c>
      <c r="BO2359">
        <v>0</v>
      </c>
      <c r="BP2359">
        <v>0</v>
      </c>
      <c r="BW2359" t="str">
        <f>"22:19:23.280"</f>
        <v>22:19:23.280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5</v>
      </c>
      <c r="CP2359" t="s">
        <v>119</v>
      </c>
      <c r="CQ2359">
        <v>364</v>
      </c>
      <c r="CR2359">
        <v>0</v>
      </c>
      <c r="CW2359">
        <v>1453845</v>
      </c>
      <c r="CY2359">
        <v>1</v>
      </c>
      <c r="CZ2359">
        <v>0</v>
      </c>
      <c r="DA2359">
        <v>1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>"03/24/2022 22:19:23.481"</f>
        <v>03/24/2022 22:19:23.481</v>
      </c>
      <c r="C2360" t="str">
        <f t="shared" si="696"/>
        <v>FFDFD3C0</v>
      </c>
      <c r="D2360" t="s">
        <v>120</v>
      </c>
      <c r="E2360">
        <v>14</v>
      </c>
      <c r="F2360">
        <v>1014</v>
      </c>
      <c r="G2360" t="s">
        <v>121</v>
      </c>
      <c r="J2360" t="s">
        <v>122</v>
      </c>
      <c r="K2360">
        <v>0</v>
      </c>
      <c r="L2360">
        <v>3</v>
      </c>
      <c r="M2360">
        <v>0</v>
      </c>
      <c r="N2360">
        <v>2</v>
      </c>
      <c r="O2360">
        <v>0</v>
      </c>
      <c r="P2360">
        <v>1</v>
      </c>
      <c r="Q2360">
        <v>0</v>
      </c>
      <c r="S2360" t="str">
        <f t="shared" si="705"/>
        <v>22:19:23.000</v>
      </c>
      <c r="T2360" t="str">
        <f t="shared" si="705"/>
        <v>22:19:23.000</v>
      </c>
      <c r="U2360" t="str">
        <f t="shared" si="690"/>
        <v>A9D71F</v>
      </c>
      <c r="V2360">
        <v>0</v>
      </c>
      <c r="W2360">
        <v>0</v>
      </c>
      <c r="X2360">
        <v>2</v>
      </c>
      <c r="Z2360">
        <v>1</v>
      </c>
      <c r="AA2360">
        <v>8</v>
      </c>
      <c r="AB2360">
        <v>3</v>
      </c>
      <c r="AC2360">
        <v>0</v>
      </c>
      <c r="AD2360">
        <v>9</v>
      </c>
      <c r="AE2360">
        <v>0</v>
      </c>
      <c r="AF2360">
        <v>3</v>
      </c>
      <c r="AG2360">
        <v>1</v>
      </c>
      <c r="AH2360">
        <v>0</v>
      </c>
      <c r="AI2360" t="s">
        <v>1224</v>
      </c>
      <c r="AJ2360">
        <v>33.001964000000001</v>
      </c>
      <c r="AK2360" t="s">
        <v>1225</v>
      </c>
      <c r="AL2360">
        <v>-97.657298999999995</v>
      </c>
      <c r="AM2360">
        <v>25</v>
      </c>
      <c r="AN2360">
        <v>3000</v>
      </c>
      <c r="AO2360" t="s">
        <v>118</v>
      </c>
      <c r="AP2360">
        <v>-49</v>
      </c>
      <c r="AQ2360">
        <v>-41</v>
      </c>
      <c r="AR2360">
        <v>-384</v>
      </c>
      <c r="AZ2360">
        <v>1200</v>
      </c>
      <c r="BA2360">
        <v>1</v>
      </c>
      <c r="BB2360" t="str">
        <f t="shared" si="697"/>
        <v xml:space="preserve">N733KP  </v>
      </c>
      <c r="BC2360">
        <v>1</v>
      </c>
      <c r="BE2360">
        <v>0</v>
      </c>
      <c r="BF2360">
        <v>0</v>
      </c>
      <c r="BG2360">
        <v>0</v>
      </c>
      <c r="BH2360">
        <v>3075</v>
      </c>
      <c r="BI2360">
        <v>1</v>
      </c>
      <c r="BJ2360">
        <v>1</v>
      </c>
      <c r="BK2360">
        <v>0</v>
      </c>
      <c r="BL2360">
        <v>0</v>
      </c>
      <c r="BO2360">
        <v>0</v>
      </c>
      <c r="BP2360">
        <v>0</v>
      </c>
      <c r="BW2360" t="str">
        <f>"22:19:23.280"</f>
        <v>22:19:23.280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5</v>
      </c>
      <c r="CP2360" t="s">
        <v>119</v>
      </c>
      <c r="CQ2360">
        <v>364</v>
      </c>
      <c r="CR2360">
        <v>0</v>
      </c>
      <c r="CW2360">
        <v>1453845</v>
      </c>
      <c r="CY2360">
        <v>1</v>
      </c>
      <c r="CZ2360">
        <v>0</v>
      </c>
      <c r="DA2360">
        <v>1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>"03/24/2022 22:19:24.544"</f>
        <v>03/24/2022 22:19:24.544</v>
      </c>
      <c r="C2361" t="str">
        <f t="shared" si="696"/>
        <v>FFDFD3C0</v>
      </c>
      <c r="D2361" t="s">
        <v>120</v>
      </c>
      <c r="E2361">
        <v>14</v>
      </c>
      <c r="F2361">
        <v>1014</v>
      </c>
      <c r="G2361" t="s">
        <v>121</v>
      </c>
      <c r="J2361" t="s">
        <v>122</v>
      </c>
      <c r="K2361">
        <v>0</v>
      </c>
      <c r="L2361">
        <v>3</v>
      </c>
      <c r="M2361">
        <v>0</v>
      </c>
      <c r="N2361">
        <v>2</v>
      </c>
      <c r="O2361">
        <v>0</v>
      </c>
      <c r="P2361">
        <v>1</v>
      </c>
      <c r="Q2361">
        <v>0</v>
      </c>
      <c r="S2361" t="str">
        <f t="shared" ref="S2361:T2364" si="706">"22:19:24.000"</f>
        <v>22:19:24.000</v>
      </c>
      <c r="T2361" t="str">
        <f t="shared" si="706"/>
        <v>22:19:24.000</v>
      </c>
      <c r="U2361" t="str">
        <f t="shared" si="690"/>
        <v>A9D71F</v>
      </c>
      <c r="V2361">
        <v>0</v>
      </c>
      <c r="W2361">
        <v>0</v>
      </c>
      <c r="X2361">
        <v>2</v>
      </c>
      <c r="Z2361">
        <v>1</v>
      </c>
      <c r="AA2361">
        <v>8</v>
      </c>
      <c r="AB2361">
        <v>3</v>
      </c>
      <c r="AC2361">
        <v>0</v>
      </c>
      <c r="AD2361">
        <v>9</v>
      </c>
      <c r="AE2361">
        <v>0</v>
      </c>
      <c r="AF2361">
        <v>3</v>
      </c>
      <c r="AG2361">
        <v>1</v>
      </c>
      <c r="AH2361">
        <v>0</v>
      </c>
      <c r="AI2361" t="s">
        <v>1226</v>
      </c>
      <c r="AJ2361">
        <v>33.001770999999998</v>
      </c>
      <c r="AK2361" t="s">
        <v>1227</v>
      </c>
      <c r="AL2361">
        <v>-97.657578000000001</v>
      </c>
      <c r="AM2361">
        <v>25</v>
      </c>
      <c r="AN2361">
        <v>3000</v>
      </c>
      <c r="AO2361" t="s">
        <v>118</v>
      </c>
      <c r="AP2361">
        <v>-49</v>
      </c>
      <c r="AQ2361">
        <v>-40</v>
      </c>
      <c r="AR2361">
        <v>-384</v>
      </c>
      <c r="AZ2361">
        <v>1200</v>
      </c>
      <c r="BA2361">
        <v>1</v>
      </c>
      <c r="BB2361" t="str">
        <f t="shared" si="697"/>
        <v xml:space="preserve">N733KP  </v>
      </c>
      <c r="BC2361">
        <v>1</v>
      </c>
      <c r="BE2361">
        <v>0</v>
      </c>
      <c r="BF2361">
        <v>0</v>
      </c>
      <c r="BG2361">
        <v>0</v>
      </c>
      <c r="BH2361">
        <v>3050</v>
      </c>
      <c r="BI2361">
        <v>1</v>
      </c>
      <c r="BJ2361">
        <v>1</v>
      </c>
      <c r="BK2361">
        <v>0</v>
      </c>
      <c r="BL2361">
        <v>0</v>
      </c>
      <c r="BO2361">
        <v>0</v>
      </c>
      <c r="BP2361">
        <v>0</v>
      </c>
      <c r="BW2361" t="str">
        <f>"22:19:24.378"</f>
        <v>22:19:24.378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4</v>
      </c>
      <c r="CP2361" t="s">
        <v>119</v>
      </c>
      <c r="CQ2361">
        <v>365</v>
      </c>
      <c r="CR2361">
        <v>0</v>
      </c>
      <c r="CW2361">
        <v>11532944</v>
      </c>
      <c r="CY2361">
        <v>1</v>
      </c>
      <c r="CZ2361">
        <v>0</v>
      </c>
      <c r="DA2361">
        <v>0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>"03/24/2022 22:19:24.544"</f>
        <v>03/24/2022 22:19:24.544</v>
      </c>
      <c r="C2362" t="str">
        <f t="shared" si="696"/>
        <v>FFDFD3C0</v>
      </c>
      <c r="D2362" t="s">
        <v>123</v>
      </c>
      <c r="E2362">
        <v>8</v>
      </c>
      <c r="H2362">
        <v>31</v>
      </c>
      <c r="I2362" t="s">
        <v>124</v>
      </c>
      <c r="J2362" t="s">
        <v>125</v>
      </c>
      <c r="K2362">
        <v>0</v>
      </c>
      <c r="L2362">
        <v>3</v>
      </c>
      <c r="M2362">
        <v>0</v>
      </c>
      <c r="N2362">
        <v>2</v>
      </c>
      <c r="O2362">
        <v>0</v>
      </c>
      <c r="P2362">
        <v>1</v>
      </c>
      <c r="Q2362">
        <v>0</v>
      </c>
      <c r="S2362" t="str">
        <f t="shared" si="706"/>
        <v>22:19:24.000</v>
      </c>
      <c r="T2362" t="str">
        <f t="shared" si="706"/>
        <v>22:19:24.000</v>
      </c>
      <c r="U2362" t="str">
        <f t="shared" si="690"/>
        <v>A9D71F</v>
      </c>
      <c r="V2362">
        <v>0</v>
      </c>
      <c r="W2362">
        <v>0</v>
      </c>
      <c r="X2362">
        <v>2</v>
      </c>
      <c r="Z2362">
        <v>1</v>
      </c>
      <c r="AA2362">
        <v>8</v>
      </c>
      <c r="AB2362">
        <v>3</v>
      </c>
      <c r="AC2362">
        <v>0</v>
      </c>
      <c r="AD2362">
        <v>9</v>
      </c>
      <c r="AE2362">
        <v>0</v>
      </c>
      <c r="AF2362">
        <v>3</v>
      </c>
      <c r="AG2362">
        <v>1</v>
      </c>
      <c r="AH2362">
        <v>0</v>
      </c>
      <c r="AI2362" t="s">
        <v>1226</v>
      </c>
      <c r="AJ2362">
        <v>33.001770999999998</v>
      </c>
      <c r="AK2362" t="s">
        <v>1227</v>
      </c>
      <c r="AL2362">
        <v>-97.657578000000001</v>
      </c>
      <c r="AM2362">
        <v>25</v>
      </c>
      <c r="AN2362">
        <v>3000</v>
      </c>
      <c r="AO2362" t="s">
        <v>118</v>
      </c>
      <c r="AP2362">
        <v>-49</v>
      </c>
      <c r="AQ2362">
        <v>-40</v>
      </c>
      <c r="AR2362">
        <v>-384</v>
      </c>
      <c r="AZ2362">
        <v>1200</v>
      </c>
      <c r="BA2362">
        <v>1</v>
      </c>
      <c r="BB2362" t="str">
        <f t="shared" si="697"/>
        <v xml:space="preserve">N733KP  </v>
      </c>
      <c r="BC2362">
        <v>1</v>
      </c>
      <c r="BE2362">
        <v>0</v>
      </c>
      <c r="BF2362">
        <v>0</v>
      </c>
      <c r="BG2362">
        <v>0</v>
      </c>
      <c r="BH2362">
        <v>3050</v>
      </c>
      <c r="BI2362">
        <v>1</v>
      </c>
      <c r="BJ2362">
        <v>1</v>
      </c>
      <c r="BK2362">
        <v>0</v>
      </c>
      <c r="BL2362">
        <v>0</v>
      </c>
      <c r="BO2362">
        <v>0</v>
      </c>
      <c r="BP2362">
        <v>0</v>
      </c>
      <c r="BW2362" t="str">
        <f>"22:19:24.378"</f>
        <v>22:19:24.378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4</v>
      </c>
      <c r="CP2362" t="s">
        <v>119</v>
      </c>
      <c r="CQ2362">
        <v>365</v>
      </c>
      <c r="CR2362">
        <v>0</v>
      </c>
      <c r="CW2362">
        <v>11532944</v>
      </c>
      <c r="CY2362">
        <v>1</v>
      </c>
      <c r="CZ2362">
        <v>0</v>
      </c>
      <c r="DA2362">
        <v>1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>"03/24/2022 22:19:24.544"</f>
        <v>03/24/2022 22:19:24.544</v>
      </c>
      <c r="C2363" t="str">
        <f t="shared" si="696"/>
        <v>FFDFD3C0</v>
      </c>
      <c r="D2363" t="s">
        <v>113</v>
      </c>
      <c r="E2363">
        <v>24</v>
      </c>
      <c r="F2363">
        <v>2024</v>
      </c>
      <c r="G2363" t="s">
        <v>114</v>
      </c>
      <c r="J2363" t="s">
        <v>115</v>
      </c>
      <c r="K2363">
        <v>0</v>
      </c>
      <c r="L2363">
        <v>3</v>
      </c>
      <c r="M2363">
        <v>0</v>
      </c>
      <c r="N2363">
        <v>2</v>
      </c>
      <c r="O2363">
        <v>0</v>
      </c>
      <c r="P2363">
        <v>1</v>
      </c>
      <c r="Q2363">
        <v>0</v>
      </c>
      <c r="S2363" t="str">
        <f t="shared" si="706"/>
        <v>22:19:24.000</v>
      </c>
      <c r="T2363" t="str">
        <f t="shared" si="706"/>
        <v>22:19:24.000</v>
      </c>
      <c r="U2363" t="str">
        <f t="shared" si="690"/>
        <v>A9D71F</v>
      </c>
      <c r="V2363">
        <v>0</v>
      </c>
      <c r="W2363">
        <v>0</v>
      </c>
      <c r="X2363">
        <v>2</v>
      </c>
      <c r="Z2363">
        <v>1</v>
      </c>
      <c r="AA2363">
        <v>8</v>
      </c>
      <c r="AB2363">
        <v>3</v>
      </c>
      <c r="AC2363">
        <v>0</v>
      </c>
      <c r="AD2363">
        <v>9</v>
      </c>
      <c r="AE2363">
        <v>0</v>
      </c>
      <c r="AF2363">
        <v>3</v>
      </c>
      <c r="AG2363">
        <v>1</v>
      </c>
      <c r="AH2363">
        <v>0</v>
      </c>
      <c r="AI2363" t="s">
        <v>1226</v>
      </c>
      <c r="AJ2363">
        <v>33.001770999999998</v>
      </c>
      <c r="AK2363" t="s">
        <v>1227</v>
      </c>
      <c r="AL2363">
        <v>-97.657578000000001</v>
      </c>
      <c r="AM2363">
        <v>25</v>
      </c>
      <c r="AN2363">
        <v>3000</v>
      </c>
      <c r="AO2363" t="s">
        <v>118</v>
      </c>
      <c r="AP2363">
        <v>-49</v>
      </c>
      <c r="AQ2363">
        <v>-40</v>
      </c>
      <c r="AR2363">
        <v>-384</v>
      </c>
      <c r="AZ2363">
        <v>1200</v>
      </c>
      <c r="BA2363">
        <v>1</v>
      </c>
      <c r="BB2363" t="str">
        <f t="shared" si="697"/>
        <v xml:space="preserve">N733KP  </v>
      </c>
      <c r="BC2363">
        <v>1</v>
      </c>
      <c r="BE2363">
        <v>0</v>
      </c>
      <c r="BF2363">
        <v>0</v>
      </c>
      <c r="BG2363">
        <v>0</v>
      </c>
      <c r="BH2363">
        <v>3050</v>
      </c>
      <c r="BI2363">
        <v>1</v>
      </c>
      <c r="BJ2363">
        <v>1</v>
      </c>
      <c r="BK2363">
        <v>0</v>
      </c>
      <c r="BL2363">
        <v>0</v>
      </c>
      <c r="BO2363">
        <v>0</v>
      </c>
      <c r="BP2363">
        <v>0</v>
      </c>
      <c r="BW2363" t="str">
        <f>"22:19:24.378"</f>
        <v>22:19:24.378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4</v>
      </c>
      <c r="CP2363" t="s">
        <v>119</v>
      </c>
      <c r="CQ2363">
        <v>365</v>
      </c>
      <c r="CR2363">
        <v>0</v>
      </c>
      <c r="CW2363">
        <v>11532944</v>
      </c>
      <c r="CY2363">
        <v>1</v>
      </c>
      <c r="CZ2363">
        <v>0</v>
      </c>
      <c r="DA2363">
        <v>1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>"03/24/2022 22:19:24.560"</f>
        <v>03/24/2022 22:19:24.560</v>
      </c>
      <c r="C2364" t="str">
        <f t="shared" si="696"/>
        <v>FFDFD3C0</v>
      </c>
      <c r="D2364" t="s">
        <v>126</v>
      </c>
      <c r="E2364">
        <v>3</v>
      </c>
      <c r="H2364">
        <v>160</v>
      </c>
      <c r="I2364" t="s">
        <v>121</v>
      </c>
      <c r="J2364" t="s">
        <v>127</v>
      </c>
      <c r="K2364">
        <v>0</v>
      </c>
      <c r="L2364">
        <v>3</v>
      </c>
      <c r="M2364">
        <v>0</v>
      </c>
      <c r="N2364">
        <v>2</v>
      </c>
      <c r="O2364">
        <v>0</v>
      </c>
      <c r="P2364">
        <v>1</v>
      </c>
      <c r="Q2364">
        <v>0</v>
      </c>
      <c r="S2364" t="str">
        <f t="shared" si="706"/>
        <v>22:19:24.000</v>
      </c>
      <c r="T2364" t="str">
        <f t="shared" si="706"/>
        <v>22:19:24.000</v>
      </c>
      <c r="U2364" t="str">
        <f t="shared" si="690"/>
        <v>A9D71F</v>
      </c>
      <c r="V2364">
        <v>0</v>
      </c>
      <c r="W2364">
        <v>0</v>
      </c>
      <c r="X2364">
        <v>2</v>
      </c>
      <c r="Z2364">
        <v>1</v>
      </c>
      <c r="AA2364">
        <v>8</v>
      </c>
      <c r="AB2364">
        <v>3</v>
      </c>
      <c r="AC2364">
        <v>0</v>
      </c>
      <c r="AD2364">
        <v>9</v>
      </c>
      <c r="AE2364">
        <v>0</v>
      </c>
      <c r="AF2364">
        <v>3</v>
      </c>
      <c r="AG2364">
        <v>1</v>
      </c>
      <c r="AH2364">
        <v>0</v>
      </c>
      <c r="AI2364" t="s">
        <v>1226</v>
      </c>
      <c r="AJ2364">
        <v>33.001770999999998</v>
      </c>
      <c r="AK2364" t="s">
        <v>1227</v>
      </c>
      <c r="AL2364">
        <v>-97.657578000000001</v>
      </c>
      <c r="AM2364">
        <v>25</v>
      </c>
      <c r="AN2364">
        <v>3000</v>
      </c>
      <c r="AO2364" t="s">
        <v>118</v>
      </c>
      <c r="AP2364">
        <v>-49</v>
      </c>
      <c r="AQ2364">
        <v>-40</v>
      </c>
      <c r="AR2364">
        <v>-384</v>
      </c>
      <c r="AZ2364">
        <v>1200</v>
      </c>
      <c r="BA2364">
        <v>1</v>
      </c>
      <c r="BB2364" t="str">
        <f t="shared" si="697"/>
        <v xml:space="preserve">N733KP  </v>
      </c>
      <c r="BC2364">
        <v>1</v>
      </c>
      <c r="BE2364">
        <v>0</v>
      </c>
      <c r="BF2364">
        <v>0</v>
      </c>
      <c r="BG2364">
        <v>0</v>
      </c>
      <c r="BH2364">
        <v>3050</v>
      </c>
      <c r="BI2364">
        <v>1</v>
      </c>
      <c r="BJ2364">
        <v>1</v>
      </c>
      <c r="BK2364">
        <v>0</v>
      </c>
      <c r="BL2364">
        <v>0</v>
      </c>
      <c r="BO2364">
        <v>0</v>
      </c>
      <c r="BP2364">
        <v>0</v>
      </c>
      <c r="BW2364" t="str">
        <f>"22:19:24.378"</f>
        <v>22:19:24.378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4</v>
      </c>
      <c r="CP2364" t="s">
        <v>119</v>
      </c>
      <c r="CQ2364">
        <v>365</v>
      </c>
      <c r="CR2364">
        <v>0</v>
      </c>
      <c r="CW2364">
        <v>11532944</v>
      </c>
      <c r="CY2364">
        <v>1</v>
      </c>
      <c r="CZ2364">
        <v>0</v>
      </c>
      <c r="DA2364">
        <v>1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>"03/24/2022 22:19:25.622"</f>
        <v>03/24/2022 22:19:25.622</v>
      </c>
      <c r="C2365" t="str">
        <f t="shared" si="696"/>
        <v>FFDFD3C0</v>
      </c>
      <c r="D2365" t="s">
        <v>126</v>
      </c>
      <c r="E2365">
        <v>3</v>
      </c>
      <c r="H2365">
        <v>160</v>
      </c>
      <c r="I2365" t="s">
        <v>121</v>
      </c>
      <c r="J2365" t="s">
        <v>127</v>
      </c>
      <c r="K2365">
        <v>0</v>
      </c>
      <c r="L2365">
        <v>3</v>
      </c>
      <c r="M2365">
        <v>0</v>
      </c>
      <c r="N2365">
        <v>2</v>
      </c>
      <c r="O2365">
        <v>0</v>
      </c>
      <c r="P2365">
        <v>1</v>
      </c>
      <c r="Q2365">
        <v>0</v>
      </c>
      <c r="S2365" t="str">
        <f t="shared" ref="S2365:T2368" si="707">"22:19:25.000"</f>
        <v>22:19:25.000</v>
      </c>
      <c r="T2365" t="str">
        <f t="shared" si="707"/>
        <v>22:19:25.000</v>
      </c>
      <c r="U2365" t="str">
        <f t="shared" si="690"/>
        <v>A9D71F</v>
      </c>
      <c r="V2365">
        <v>0</v>
      </c>
      <c r="W2365">
        <v>0</v>
      </c>
      <c r="X2365">
        <v>2</v>
      </c>
      <c r="Z2365">
        <v>1</v>
      </c>
      <c r="AA2365">
        <v>8</v>
      </c>
      <c r="AB2365">
        <v>3</v>
      </c>
      <c r="AC2365">
        <v>0</v>
      </c>
      <c r="AD2365">
        <v>9</v>
      </c>
      <c r="AE2365">
        <v>0</v>
      </c>
      <c r="AF2365">
        <v>3</v>
      </c>
      <c r="AG2365">
        <v>1</v>
      </c>
      <c r="AH2365">
        <v>0</v>
      </c>
      <c r="AI2365" t="s">
        <v>1228</v>
      </c>
      <c r="AJ2365">
        <v>33.001598999999999</v>
      </c>
      <c r="AK2365" t="s">
        <v>1229</v>
      </c>
      <c r="AL2365">
        <v>-97.657857000000007</v>
      </c>
      <c r="AM2365">
        <v>25</v>
      </c>
      <c r="AN2365">
        <v>3000</v>
      </c>
      <c r="AO2365" t="s">
        <v>118</v>
      </c>
      <c r="AP2365">
        <v>-49</v>
      </c>
      <c r="AQ2365">
        <v>-38</v>
      </c>
      <c r="AR2365">
        <v>-384</v>
      </c>
      <c r="AZ2365">
        <v>1200</v>
      </c>
      <c r="BA2365">
        <v>1</v>
      </c>
      <c r="BB2365" t="str">
        <f t="shared" si="697"/>
        <v xml:space="preserve">N733KP  </v>
      </c>
      <c r="BC2365">
        <v>1</v>
      </c>
      <c r="BE2365">
        <v>0</v>
      </c>
      <c r="BF2365">
        <v>0</v>
      </c>
      <c r="BG2365">
        <v>0</v>
      </c>
      <c r="BH2365">
        <v>3050</v>
      </c>
      <c r="BI2365">
        <v>1</v>
      </c>
      <c r="BJ2365">
        <v>1</v>
      </c>
      <c r="BK2365">
        <v>0</v>
      </c>
      <c r="BL2365">
        <v>0</v>
      </c>
      <c r="BO2365">
        <v>0</v>
      </c>
      <c r="BP2365">
        <v>0</v>
      </c>
      <c r="BW2365" t="str">
        <f>"22:19:25.470"</f>
        <v>22:19:25.470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5</v>
      </c>
      <c r="CP2365" t="s">
        <v>119</v>
      </c>
      <c r="CQ2365">
        <v>364</v>
      </c>
      <c r="CR2365">
        <v>0</v>
      </c>
      <c r="CW2365">
        <v>1454139</v>
      </c>
      <c r="CY2365">
        <v>1</v>
      </c>
      <c r="CZ2365">
        <v>0</v>
      </c>
      <c r="DA2365">
        <v>0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>"03/24/2022 22:19:25.654"</f>
        <v>03/24/2022 22:19:25.654</v>
      </c>
      <c r="C2366" t="str">
        <f t="shared" si="696"/>
        <v>FFDFD3C0</v>
      </c>
      <c r="D2366" t="s">
        <v>120</v>
      </c>
      <c r="E2366">
        <v>14</v>
      </c>
      <c r="F2366">
        <v>1014</v>
      </c>
      <c r="G2366" t="s">
        <v>121</v>
      </c>
      <c r="J2366" t="s">
        <v>122</v>
      </c>
      <c r="K2366">
        <v>0</v>
      </c>
      <c r="L2366">
        <v>3</v>
      </c>
      <c r="M2366">
        <v>0</v>
      </c>
      <c r="N2366">
        <v>2</v>
      </c>
      <c r="O2366">
        <v>0</v>
      </c>
      <c r="P2366">
        <v>1</v>
      </c>
      <c r="Q2366">
        <v>0</v>
      </c>
      <c r="S2366" t="str">
        <f t="shared" si="707"/>
        <v>22:19:25.000</v>
      </c>
      <c r="T2366" t="str">
        <f t="shared" si="707"/>
        <v>22:19:25.000</v>
      </c>
      <c r="U2366" t="str">
        <f t="shared" si="690"/>
        <v>A9D71F</v>
      </c>
      <c r="V2366">
        <v>0</v>
      </c>
      <c r="W2366">
        <v>0</v>
      </c>
      <c r="X2366">
        <v>2</v>
      </c>
      <c r="Z2366">
        <v>1</v>
      </c>
      <c r="AA2366">
        <v>8</v>
      </c>
      <c r="AB2366">
        <v>3</v>
      </c>
      <c r="AC2366">
        <v>0</v>
      </c>
      <c r="AD2366">
        <v>9</v>
      </c>
      <c r="AE2366">
        <v>0</v>
      </c>
      <c r="AF2366">
        <v>3</v>
      </c>
      <c r="AG2366">
        <v>1</v>
      </c>
      <c r="AH2366">
        <v>0</v>
      </c>
      <c r="AI2366" t="s">
        <v>1228</v>
      </c>
      <c r="AJ2366">
        <v>33.001598999999999</v>
      </c>
      <c r="AK2366" t="s">
        <v>1229</v>
      </c>
      <c r="AL2366">
        <v>-97.657857000000007</v>
      </c>
      <c r="AM2366">
        <v>25</v>
      </c>
      <c r="AN2366">
        <v>3000</v>
      </c>
      <c r="AO2366" t="s">
        <v>118</v>
      </c>
      <c r="AP2366">
        <v>-49</v>
      </c>
      <c r="AQ2366">
        <v>-38</v>
      </c>
      <c r="AR2366">
        <v>-384</v>
      </c>
      <c r="AZ2366">
        <v>1200</v>
      </c>
      <c r="BA2366">
        <v>1</v>
      </c>
      <c r="BB2366" t="str">
        <f t="shared" si="697"/>
        <v xml:space="preserve">N733KP  </v>
      </c>
      <c r="BC2366">
        <v>1</v>
      </c>
      <c r="BE2366">
        <v>0</v>
      </c>
      <c r="BF2366">
        <v>0</v>
      </c>
      <c r="BG2366">
        <v>0</v>
      </c>
      <c r="BH2366">
        <v>3050</v>
      </c>
      <c r="BI2366">
        <v>1</v>
      </c>
      <c r="BJ2366">
        <v>1</v>
      </c>
      <c r="BK2366">
        <v>0</v>
      </c>
      <c r="BL2366">
        <v>0</v>
      </c>
      <c r="BO2366">
        <v>0</v>
      </c>
      <c r="BP2366">
        <v>0</v>
      </c>
      <c r="BW2366" t="str">
        <f>"22:19:25.470"</f>
        <v>22:19:25.470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5</v>
      </c>
      <c r="CP2366" t="s">
        <v>119</v>
      </c>
      <c r="CQ2366">
        <v>364</v>
      </c>
      <c r="CR2366">
        <v>0</v>
      </c>
      <c r="CW2366">
        <v>1454139</v>
      </c>
      <c r="CY2366">
        <v>1</v>
      </c>
      <c r="CZ2366">
        <v>0</v>
      </c>
      <c r="DA2366">
        <v>1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>"03/24/2022 22:19:25.685"</f>
        <v>03/24/2022 22:19:25.685</v>
      </c>
      <c r="C2367" t="str">
        <f t="shared" si="696"/>
        <v>FFDFD3C0</v>
      </c>
      <c r="D2367" t="s">
        <v>123</v>
      </c>
      <c r="E2367">
        <v>8</v>
      </c>
      <c r="H2367">
        <v>31</v>
      </c>
      <c r="I2367" t="s">
        <v>124</v>
      </c>
      <c r="J2367" t="s">
        <v>125</v>
      </c>
      <c r="K2367">
        <v>0</v>
      </c>
      <c r="L2367">
        <v>3</v>
      </c>
      <c r="M2367">
        <v>0</v>
      </c>
      <c r="N2367">
        <v>2</v>
      </c>
      <c r="O2367">
        <v>0</v>
      </c>
      <c r="P2367">
        <v>1</v>
      </c>
      <c r="Q2367">
        <v>0</v>
      </c>
      <c r="S2367" t="str">
        <f t="shared" si="707"/>
        <v>22:19:25.000</v>
      </c>
      <c r="T2367" t="str">
        <f t="shared" si="707"/>
        <v>22:19:25.000</v>
      </c>
      <c r="U2367" t="str">
        <f t="shared" si="690"/>
        <v>A9D71F</v>
      </c>
      <c r="V2367">
        <v>0</v>
      </c>
      <c r="W2367">
        <v>0</v>
      </c>
      <c r="X2367">
        <v>2</v>
      </c>
      <c r="Z2367">
        <v>1</v>
      </c>
      <c r="AA2367">
        <v>8</v>
      </c>
      <c r="AB2367">
        <v>3</v>
      </c>
      <c r="AC2367">
        <v>0</v>
      </c>
      <c r="AD2367">
        <v>9</v>
      </c>
      <c r="AE2367">
        <v>0</v>
      </c>
      <c r="AF2367">
        <v>3</v>
      </c>
      <c r="AG2367">
        <v>1</v>
      </c>
      <c r="AH2367">
        <v>0</v>
      </c>
      <c r="AI2367" t="s">
        <v>1228</v>
      </c>
      <c r="AJ2367">
        <v>33.001598999999999</v>
      </c>
      <c r="AK2367" t="s">
        <v>1229</v>
      </c>
      <c r="AL2367">
        <v>-97.657857000000007</v>
      </c>
      <c r="AM2367">
        <v>25</v>
      </c>
      <c r="AN2367">
        <v>3000</v>
      </c>
      <c r="AO2367" t="s">
        <v>118</v>
      </c>
      <c r="AP2367">
        <v>-49</v>
      </c>
      <c r="AQ2367">
        <v>-38</v>
      </c>
      <c r="AR2367">
        <v>-384</v>
      </c>
      <c r="AZ2367">
        <v>1200</v>
      </c>
      <c r="BA2367">
        <v>1</v>
      </c>
      <c r="BB2367" t="str">
        <f t="shared" si="697"/>
        <v xml:space="preserve">N733KP  </v>
      </c>
      <c r="BC2367">
        <v>1</v>
      </c>
      <c r="BE2367">
        <v>0</v>
      </c>
      <c r="BF2367">
        <v>0</v>
      </c>
      <c r="BG2367">
        <v>0</v>
      </c>
      <c r="BH2367">
        <v>3050</v>
      </c>
      <c r="BI2367">
        <v>1</v>
      </c>
      <c r="BJ2367">
        <v>1</v>
      </c>
      <c r="BK2367">
        <v>0</v>
      </c>
      <c r="BL2367">
        <v>0</v>
      </c>
      <c r="BO2367">
        <v>0</v>
      </c>
      <c r="BP2367">
        <v>0</v>
      </c>
      <c r="BW2367" t="str">
        <f>"22:19:25.470"</f>
        <v>22:19:25.470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5</v>
      </c>
      <c r="CP2367" t="s">
        <v>119</v>
      </c>
      <c r="CQ2367">
        <v>364</v>
      </c>
      <c r="CR2367">
        <v>0</v>
      </c>
      <c r="CW2367">
        <v>1454139</v>
      </c>
      <c r="CY2367">
        <v>1</v>
      </c>
      <c r="CZ2367">
        <v>0</v>
      </c>
      <c r="DA2367">
        <v>1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>"03/24/2022 22:19:25.685"</f>
        <v>03/24/2022 22:19:25.685</v>
      </c>
      <c r="C2368" t="str">
        <f t="shared" si="696"/>
        <v>FFDFD3C0</v>
      </c>
      <c r="D2368" t="s">
        <v>113</v>
      </c>
      <c r="E2368">
        <v>24</v>
      </c>
      <c r="F2368">
        <v>2024</v>
      </c>
      <c r="G2368" t="s">
        <v>114</v>
      </c>
      <c r="J2368" t="s">
        <v>115</v>
      </c>
      <c r="K2368">
        <v>0</v>
      </c>
      <c r="L2368">
        <v>3</v>
      </c>
      <c r="M2368">
        <v>0</v>
      </c>
      <c r="N2368">
        <v>2</v>
      </c>
      <c r="O2368">
        <v>0</v>
      </c>
      <c r="P2368">
        <v>1</v>
      </c>
      <c r="Q2368">
        <v>0</v>
      </c>
      <c r="S2368" t="str">
        <f t="shared" si="707"/>
        <v>22:19:25.000</v>
      </c>
      <c r="T2368" t="str">
        <f t="shared" si="707"/>
        <v>22:19:25.000</v>
      </c>
      <c r="U2368" t="str">
        <f t="shared" si="690"/>
        <v>A9D71F</v>
      </c>
      <c r="V2368">
        <v>0</v>
      </c>
      <c r="W2368">
        <v>0</v>
      </c>
      <c r="X2368">
        <v>2</v>
      </c>
      <c r="Z2368">
        <v>1</v>
      </c>
      <c r="AA2368">
        <v>8</v>
      </c>
      <c r="AB2368">
        <v>3</v>
      </c>
      <c r="AC2368">
        <v>0</v>
      </c>
      <c r="AD2368">
        <v>9</v>
      </c>
      <c r="AE2368">
        <v>0</v>
      </c>
      <c r="AF2368">
        <v>3</v>
      </c>
      <c r="AG2368">
        <v>1</v>
      </c>
      <c r="AH2368">
        <v>0</v>
      </c>
      <c r="AI2368" t="s">
        <v>1228</v>
      </c>
      <c r="AJ2368">
        <v>33.001598999999999</v>
      </c>
      <c r="AK2368" t="s">
        <v>1229</v>
      </c>
      <c r="AL2368">
        <v>-97.657857000000007</v>
      </c>
      <c r="AM2368">
        <v>25</v>
      </c>
      <c r="AN2368">
        <v>3000</v>
      </c>
      <c r="AO2368" t="s">
        <v>118</v>
      </c>
      <c r="AP2368">
        <v>-49</v>
      </c>
      <c r="AQ2368">
        <v>-38</v>
      </c>
      <c r="AR2368">
        <v>-384</v>
      </c>
      <c r="AZ2368">
        <v>1200</v>
      </c>
      <c r="BA2368">
        <v>1</v>
      </c>
      <c r="BB2368" t="str">
        <f t="shared" si="697"/>
        <v xml:space="preserve">N733KP  </v>
      </c>
      <c r="BC2368">
        <v>1</v>
      </c>
      <c r="BE2368">
        <v>0</v>
      </c>
      <c r="BF2368">
        <v>0</v>
      </c>
      <c r="BG2368">
        <v>0</v>
      </c>
      <c r="BH2368">
        <v>3050</v>
      </c>
      <c r="BI2368">
        <v>1</v>
      </c>
      <c r="BJ2368">
        <v>1</v>
      </c>
      <c r="BK2368">
        <v>0</v>
      </c>
      <c r="BL2368">
        <v>0</v>
      </c>
      <c r="BO2368">
        <v>0</v>
      </c>
      <c r="BP2368">
        <v>0</v>
      </c>
      <c r="BW2368" t="str">
        <f>"22:19:25.470"</f>
        <v>22:19:25.470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5</v>
      </c>
      <c r="CP2368" t="s">
        <v>119</v>
      </c>
      <c r="CQ2368">
        <v>364</v>
      </c>
      <c r="CR2368">
        <v>0</v>
      </c>
      <c r="CW2368">
        <v>1454139</v>
      </c>
      <c r="CY2368">
        <v>1</v>
      </c>
      <c r="CZ2368">
        <v>0</v>
      </c>
      <c r="DA2368">
        <v>1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>"03/24/2022 22:19:26.732"</f>
        <v>03/24/2022 22:19:26.732</v>
      </c>
      <c r="C2369" t="str">
        <f t="shared" si="696"/>
        <v>FFDFD3C0</v>
      </c>
      <c r="D2369" t="s">
        <v>123</v>
      </c>
      <c r="E2369">
        <v>8</v>
      </c>
      <c r="H2369">
        <v>31</v>
      </c>
      <c r="I2369" t="s">
        <v>124</v>
      </c>
      <c r="J2369" t="s">
        <v>125</v>
      </c>
      <c r="K2369">
        <v>0</v>
      </c>
      <c r="L2369">
        <v>3</v>
      </c>
      <c r="M2369">
        <v>0</v>
      </c>
      <c r="N2369">
        <v>2</v>
      </c>
      <c r="O2369">
        <v>0</v>
      </c>
      <c r="P2369">
        <v>1</v>
      </c>
      <c r="Q2369">
        <v>0</v>
      </c>
      <c r="S2369" t="str">
        <f t="shared" ref="S2369:T2372" si="708">"22:19:26.000"</f>
        <v>22:19:26.000</v>
      </c>
      <c r="T2369" t="str">
        <f t="shared" si="708"/>
        <v>22:19:26.000</v>
      </c>
      <c r="U2369" t="str">
        <f t="shared" si="690"/>
        <v>A9D71F</v>
      </c>
      <c r="V2369">
        <v>0</v>
      </c>
      <c r="W2369">
        <v>0</v>
      </c>
      <c r="X2369">
        <v>2</v>
      </c>
      <c r="Z2369">
        <v>1</v>
      </c>
      <c r="AA2369">
        <v>8</v>
      </c>
      <c r="AB2369">
        <v>3</v>
      </c>
      <c r="AC2369">
        <v>0</v>
      </c>
      <c r="AD2369">
        <v>9</v>
      </c>
      <c r="AE2369">
        <v>0</v>
      </c>
      <c r="AF2369">
        <v>3</v>
      </c>
      <c r="AG2369">
        <v>1</v>
      </c>
      <c r="AH2369">
        <v>0</v>
      </c>
      <c r="AI2369" t="s">
        <v>1230</v>
      </c>
      <c r="AJ2369">
        <v>33.001406000000003</v>
      </c>
      <c r="AK2369" t="s">
        <v>1231</v>
      </c>
      <c r="AL2369">
        <v>-97.658113999999998</v>
      </c>
      <c r="AM2369">
        <v>25</v>
      </c>
      <c r="AN2369">
        <v>3000</v>
      </c>
      <c r="AO2369" t="s">
        <v>118</v>
      </c>
      <c r="AP2369">
        <v>-49</v>
      </c>
      <c r="AQ2369">
        <v>-37</v>
      </c>
      <c r="AR2369">
        <v>-448</v>
      </c>
      <c r="AZ2369">
        <v>1200</v>
      </c>
      <c r="BA2369">
        <v>1</v>
      </c>
      <c r="BB2369" t="str">
        <f t="shared" si="697"/>
        <v xml:space="preserve">N733KP  </v>
      </c>
      <c r="BC2369">
        <v>1</v>
      </c>
      <c r="BE2369">
        <v>0</v>
      </c>
      <c r="BF2369">
        <v>0</v>
      </c>
      <c r="BG2369">
        <v>0</v>
      </c>
      <c r="BH2369">
        <v>3025</v>
      </c>
      <c r="BI2369">
        <v>1</v>
      </c>
      <c r="BJ2369">
        <v>1</v>
      </c>
      <c r="BK2369">
        <v>0</v>
      </c>
      <c r="BL2369">
        <v>0</v>
      </c>
      <c r="BO2369">
        <v>0</v>
      </c>
      <c r="BP2369">
        <v>0</v>
      </c>
      <c r="BW2369" t="str">
        <f>"22:19:26.564"</f>
        <v>22:19:26.564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6</v>
      </c>
      <c r="CP2369" t="s">
        <v>119</v>
      </c>
      <c r="CQ2369">
        <v>364</v>
      </c>
      <c r="CR2369">
        <v>0</v>
      </c>
      <c r="CW2369">
        <v>1454294</v>
      </c>
      <c r="CY2369">
        <v>1</v>
      </c>
      <c r="CZ2369">
        <v>0</v>
      </c>
      <c r="DA2369">
        <v>0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>"03/24/2022 22:19:26.747"</f>
        <v>03/24/2022 22:19:26.747</v>
      </c>
      <c r="C2370" t="str">
        <f t="shared" si="696"/>
        <v>FFDFD3C0</v>
      </c>
      <c r="D2370" t="s">
        <v>113</v>
      </c>
      <c r="E2370">
        <v>24</v>
      </c>
      <c r="F2370">
        <v>2024</v>
      </c>
      <c r="G2370" t="s">
        <v>114</v>
      </c>
      <c r="J2370" t="s">
        <v>115</v>
      </c>
      <c r="K2370">
        <v>0</v>
      </c>
      <c r="L2370">
        <v>3</v>
      </c>
      <c r="M2370">
        <v>0</v>
      </c>
      <c r="N2370">
        <v>2</v>
      </c>
      <c r="O2370">
        <v>0</v>
      </c>
      <c r="P2370">
        <v>1</v>
      </c>
      <c r="Q2370">
        <v>0</v>
      </c>
      <c r="S2370" t="str">
        <f t="shared" si="708"/>
        <v>22:19:26.000</v>
      </c>
      <c r="T2370" t="str">
        <f t="shared" si="708"/>
        <v>22:19:26.000</v>
      </c>
      <c r="U2370" t="str">
        <f t="shared" ref="U2370:U2433" si="709">"A9D71F"</f>
        <v>A9D71F</v>
      </c>
      <c r="V2370">
        <v>0</v>
      </c>
      <c r="W2370">
        <v>0</v>
      </c>
      <c r="X2370">
        <v>2</v>
      </c>
      <c r="Z2370">
        <v>1</v>
      </c>
      <c r="AA2370">
        <v>8</v>
      </c>
      <c r="AB2370">
        <v>3</v>
      </c>
      <c r="AC2370">
        <v>0</v>
      </c>
      <c r="AD2370">
        <v>9</v>
      </c>
      <c r="AE2370">
        <v>0</v>
      </c>
      <c r="AF2370">
        <v>3</v>
      </c>
      <c r="AG2370">
        <v>1</v>
      </c>
      <c r="AH2370">
        <v>0</v>
      </c>
      <c r="AI2370" t="s">
        <v>1230</v>
      </c>
      <c r="AJ2370">
        <v>33.001406000000003</v>
      </c>
      <c r="AK2370" t="s">
        <v>1231</v>
      </c>
      <c r="AL2370">
        <v>-97.658113999999998</v>
      </c>
      <c r="AM2370">
        <v>25</v>
      </c>
      <c r="AN2370">
        <v>3000</v>
      </c>
      <c r="AO2370" t="s">
        <v>118</v>
      </c>
      <c r="AP2370">
        <v>-49</v>
      </c>
      <c r="AQ2370">
        <v>-37</v>
      </c>
      <c r="AR2370">
        <v>-448</v>
      </c>
      <c r="AZ2370">
        <v>1200</v>
      </c>
      <c r="BA2370">
        <v>1</v>
      </c>
      <c r="BB2370" t="str">
        <f t="shared" si="697"/>
        <v xml:space="preserve">N733KP  </v>
      </c>
      <c r="BC2370">
        <v>1</v>
      </c>
      <c r="BE2370">
        <v>0</v>
      </c>
      <c r="BF2370">
        <v>0</v>
      </c>
      <c r="BG2370">
        <v>0</v>
      </c>
      <c r="BH2370">
        <v>3025</v>
      </c>
      <c r="BI2370">
        <v>1</v>
      </c>
      <c r="BJ2370">
        <v>1</v>
      </c>
      <c r="BK2370">
        <v>0</v>
      </c>
      <c r="BL2370">
        <v>0</v>
      </c>
      <c r="BO2370">
        <v>0</v>
      </c>
      <c r="BP2370">
        <v>0</v>
      </c>
      <c r="BW2370" t="str">
        <f>"22:19:26.564"</f>
        <v>22:19:26.564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6</v>
      </c>
      <c r="CP2370" t="s">
        <v>119</v>
      </c>
      <c r="CQ2370">
        <v>364</v>
      </c>
      <c r="CR2370">
        <v>0</v>
      </c>
      <c r="CW2370">
        <v>1454294</v>
      </c>
      <c r="CY2370">
        <v>1</v>
      </c>
      <c r="CZ2370">
        <v>0</v>
      </c>
      <c r="DA2370">
        <v>1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>"03/24/2022 22:19:26.747"</f>
        <v>03/24/2022 22:19:26.747</v>
      </c>
      <c r="C2371" t="str">
        <f t="shared" si="696"/>
        <v>FFDFD3C0</v>
      </c>
      <c r="D2371" t="s">
        <v>126</v>
      </c>
      <c r="E2371">
        <v>3</v>
      </c>
      <c r="H2371">
        <v>160</v>
      </c>
      <c r="I2371" t="s">
        <v>121</v>
      </c>
      <c r="J2371" t="s">
        <v>127</v>
      </c>
      <c r="K2371">
        <v>0</v>
      </c>
      <c r="L2371">
        <v>3</v>
      </c>
      <c r="M2371">
        <v>0</v>
      </c>
      <c r="N2371">
        <v>2</v>
      </c>
      <c r="O2371">
        <v>0</v>
      </c>
      <c r="P2371">
        <v>1</v>
      </c>
      <c r="Q2371">
        <v>0</v>
      </c>
      <c r="S2371" t="str">
        <f t="shared" si="708"/>
        <v>22:19:26.000</v>
      </c>
      <c r="T2371" t="str">
        <f t="shared" si="708"/>
        <v>22:19:26.000</v>
      </c>
      <c r="U2371" t="str">
        <f t="shared" si="709"/>
        <v>A9D71F</v>
      </c>
      <c r="V2371">
        <v>0</v>
      </c>
      <c r="W2371">
        <v>0</v>
      </c>
      <c r="X2371">
        <v>2</v>
      </c>
      <c r="Z2371">
        <v>1</v>
      </c>
      <c r="AA2371">
        <v>8</v>
      </c>
      <c r="AB2371">
        <v>3</v>
      </c>
      <c r="AC2371">
        <v>0</v>
      </c>
      <c r="AD2371">
        <v>9</v>
      </c>
      <c r="AE2371">
        <v>0</v>
      </c>
      <c r="AF2371">
        <v>3</v>
      </c>
      <c r="AG2371">
        <v>1</v>
      </c>
      <c r="AH2371">
        <v>0</v>
      </c>
      <c r="AI2371" t="s">
        <v>1230</v>
      </c>
      <c r="AJ2371">
        <v>33.001406000000003</v>
      </c>
      <c r="AK2371" t="s">
        <v>1231</v>
      </c>
      <c r="AL2371">
        <v>-97.658113999999998</v>
      </c>
      <c r="AM2371">
        <v>25</v>
      </c>
      <c r="AN2371">
        <v>3000</v>
      </c>
      <c r="AO2371" t="s">
        <v>118</v>
      </c>
      <c r="AP2371">
        <v>-49</v>
      </c>
      <c r="AQ2371">
        <v>-37</v>
      </c>
      <c r="AR2371">
        <v>-448</v>
      </c>
      <c r="AZ2371">
        <v>1200</v>
      </c>
      <c r="BA2371">
        <v>1</v>
      </c>
      <c r="BB2371" t="str">
        <f t="shared" si="697"/>
        <v xml:space="preserve">N733KP  </v>
      </c>
      <c r="BC2371">
        <v>1</v>
      </c>
      <c r="BE2371">
        <v>0</v>
      </c>
      <c r="BF2371">
        <v>0</v>
      </c>
      <c r="BG2371">
        <v>0</v>
      </c>
      <c r="BH2371">
        <v>3025</v>
      </c>
      <c r="BI2371">
        <v>1</v>
      </c>
      <c r="BJ2371">
        <v>1</v>
      </c>
      <c r="BK2371">
        <v>0</v>
      </c>
      <c r="BL2371">
        <v>0</v>
      </c>
      <c r="BO2371">
        <v>0</v>
      </c>
      <c r="BP2371">
        <v>0</v>
      </c>
      <c r="BW2371" t="str">
        <f>"22:19:26.564"</f>
        <v>22:19:26.564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6</v>
      </c>
      <c r="CP2371" t="s">
        <v>119</v>
      </c>
      <c r="CQ2371">
        <v>364</v>
      </c>
      <c r="CR2371">
        <v>0</v>
      </c>
      <c r="CW2371">
        <v>1454294</v>
      </c>
      <c r="CY2371">
        <v>1</v>
      </c>
      <c r="CZ2371">
        <v>0</v>
      </c>
      <c r="DA2371">
        <v>1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>"03/24/2022 22:19:26.810"</f>
        <v>03/24/2022 22:19:26.810</v>
      </c>
      <c r="C2372" t="str">
        <f t="shared" si="696"/>
        <v>FFDFD3C0</v>
      </c>
      <c r="D2372" t="s">
        <v>120</v>
      </c>
      <c r="E2372">
        <v>14</v>
      </c>
      <c r="F2372">
        <v>1014</v>
      </c>
      <c r="G2372" t="s">
        <v>121</v>
      </c>
      <c r="J2372" t="s">
        <v>122</v>
      </c>
      <c r="K2372">
        <v>0</v>
      </c>
      <c r="L2372">
        <v>3</v>
      </c>
      <c r="M2372">
        <v>0</v>
      </c>
      <c r="N2372">
        <v>2</v>
      </c>
      <c r="O2372">
        <v>0</v>
      </c>
      <c r="P2372">
        <v>1</v>
      </c>
      <c r="Q2372">
        <v>0</v>
      </c>
      <c r="S2372" t="str">
        <f t="shared" si="708"/>
        <v>22:19:26.000</v>
      </c>
      <c r="T2372" t="str">
        <f t="shared" si="708"/>
        <v>22:19:26.000</v>
      </c>
      <c r="U2372" t="str">
        <f t="shared" si="709"/>
        <v>A9D71F</v>
      </c>
      <c r="V2372">
        <v>0</v>
      </c>
      <c r="W2372">
        <v>0</v>
      </c>
      <c r="X2372">
        <v>2</v>
      </c>
      <c r="Z2372">
        <v>1</v>
      </c>
      <c r="AA2372">
        <v>8</v>
      </c>
      <c r="AB2372">
        <v>3</v>
      </c>
      <c r="AC2372">
        <v>0</v>
      </c>
      <c r="AD2372">
        <v>9</v>
      </c>
      <c r="AE2372">
        <v>0</v>
      </c>
      <c r="AF2372">
        <v>3</v>
      </c>
      <c r="AG2372">
        <v>1</v>
      </c>
      <c r="AH2372">
        <v>0</v>
      </c>
      <c r="AI2372" t="s">
        <v>1230</v>
      </c>
      <c r="AJ2372">
        <v>33.001406000000003</v>
      </c>
      <c r="AK2372" t="s">
        <v>1231</v>
      </c>
      <c r="AL2372">
        <v>-97.658113999999998</v>
      </c>
      <c r="AM2372">
        <v>25</v>
      </c>
      <c r="AN2372">
        <v>3000</v>
      </c>
      <c r="AO2372" t="s">
        <v>118</v>
      </c>
      <c r="AP2372">
        <v>-49</v>
      </c>
      <c r="AQ2372">
        <v>-37</v>
      </c>
      <c r="AR2372">
        <v>-448</v>
      </c>
      <c r="AZ2372">
        <v>1200</v>
      </c>
      <c r="BA2372">
        <v>1</v>
      </c>
      <c r="BB2372" t="str">
        <f t="shared" si="697"/>
        <v xml:space="preserve">N733KP  </v>
      </c>
      <c r="BC2372">
        <v>1</v>
      </c>
      <c r="BE2372">
        <v>0</v>
      </c>
      <c r="BF2372">
        <v>0</v>
      </c>
      <c r="BG2372">
        <v>0</v>
      </c>
      <c r="BH2372">
        <v>3025</v>
      </c>
      <c r="BI2372">
        <v>1</v>
      </c>
      <c r="BJ2372">
        <v>1</v>
      </c>
      <c r="BK2372">
        <v>0</v>
      </c>
      <c r="BL2372">
        <v>0</v>
      </c>
      <c r="BO2372">
        <v>0</v>
      </c>
      <c r="BP2372">
        <v>0</v>
      </c>
      <c r="BW2372" t="str">
        <f>"22:19:26.564"</f>
        <v>22:19:26.564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6</v>
      </c>
      <c r="CP2372" t="s">
        <v>119</v>
      </c>
      <c r="CQ2372">
        <v>364</v>
      </c>
      <c r="CR2372">
        <v>0</v>
      </c>
      <c r="CW2372">
        <v>1454294</v>
      </c>
      <c r="CY2372">
        <v>1</v>
      </c>
      <c r="CZ2372">
        <v>0</v>
      </c>
      <c r="DA2372">
        <v>1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>"03/24/2022 22:19:27.389"</f>
        <v>03/24/2022 22:19:27.389</v>
      </c>
      <c r="C2373" t="str">
        <f t="shared" si="696"/>
        <v>FFDFD3C0</v>
      </c>
      <c r="D2373" t="s">
        <v>113</v>
      </c>
      <c r="E2373">
        <v>24</v>
      </c>
      <c r="F2373">
        <v>2024</v>
      </c>
      <c r="G2373" t="s">
        <v>114</v>
      </c>
      <c r="J2373" t="s">
        <v>115</v>
      </c>
      <c r="K2373">
        <v>0</v>
      </c>
      <c r="L2373">
        <v>3</v>
      </c>
      <c r="M2373">
        <v>0</v>
      </c>
      <c r="N2373">
        <v>2</v>
      </c>
      <c r="O2373">
        <v>0</v>
      </c>
      <c r="P2373">
        <v>1</v>
      </c>
      <c r="Q2373">
        <v>0</v>
      </c>
      <c r="S2373" t="str">
        <f t="shared" ref="S2373:T2376" si="710">"22:19:27.000"</f>
        <v>22:19:27.000</v>
      </c>
      <c r="T2373" t="str">
        <f t="shared" si="710"/>
        <v>22:19:27.000</v>
      </c>
      <c r="U2373" t="str">
        <f t="shared" si="709"/>
        <v>A9D71F</v>
      </c>
      <c r="V2373">
        <v>0</v>
      </c>
      <c r="W2373">
        <v>0</v>
      </c>
      <c r="X2373">
        <v>2</v>
      </c>
      <c r="Z2373">
        <v>1</v>
      </c>
      <c r="AA2373">
        <v>8</v>
      </c>
      <c r="AB2373">
        <v>3</v>
      </c>
      <c r="AC2373">
        <v>0</v>
      </c>
      <c r="AD2373">
        <v>9</v>
      </c>
      <c r="AE2373">
        <v>0</v>
      </c>
      <c r="AF2373">
        <v>3</v>
      </c>
      <c r="AG2373">
        <v>1</v>
      </c>
      <c r="AH2373">
        <v>0</v>
      </c>
      <c r="AI2373" t="s">
        <v>1232</v>
      </c>
      <c r="AJ2373">
        <v>33.001235000000001</v>
      </c>
      <c r="AK2373" t="s">
        <v>1233</v>
      </c>
      <c r="AL2373">
        <v>-97.658393000000004</v>
      </c>
      <c r="AM2373">
        <v>25</v>
      </c>
      <c r="AN2373">
        <v>3000</v>
      </c>
      <c r="AO2373" t="s">
        <v>118</v>
      </c>
      <c r="AP2373">
        <v>-49</v>
      </c>
      <c r="AQ2373">
        <v>-37</v>
      </c>
      <c r="AR2373">
        <v>-448</v>
      </c>
      <c r="AZ2373">
        <v>1200</v>
      </c>
      <c r="BA2373">
        <v>1</v>
      </c>
      <c r="BB2373" t="str">
        <f t="shared" si="697"/>
        <v xml:space="preserve">N733KP  </v>
      </c>
      <c r="BC2373">
        <v>1</v>
      </c>
      <c r="BE2373">
        <v>0</v>
      </c>
      <c r="BF2373">
        <v>0</v>
      </c>
      <c r="BG2373">
        <v>0</v>
      </c>
      <c r="BH2373">
        <v>3025</v>
      </c>
      <c r="BI2373">
        <v>1</v>
      </c>
      <c r="BJ2373">
        <v>1</v>
      </c>
      <c r="BK2373">
        <v>0</v>
      </c>
      <c r="BL2373">
        <v>0</v>
      </c>
      <c r="BO2373">
        <v>0</v>
      </c>
      <c r="BP2373">
        <v>0</v>
      </c>
      <c r="BW2373" t="str">
        <f>"22:19:27.249"</f>
        <v>22:19:27.249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5</v>
      </c>
      <c r="CP2373" t="s">
        <v>119</v>
      </c>
      <c r="CQ2373">
        <v>364</v>
      </c>
      <c r="CR2373">
        <v>0</v>
      </c>
      <c r="CW2373">
        <v>1454390</v>
      </c>
      <c r="CY2373">
        <v>1</v>
      </c>
      <c r="CZ2373">
        <v>0</v>
      </c>
      <c r="DA2373">
        <v>0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>"03/24/2022 22:19:27.389"</f>
        <v>03/24/2022 22:19:27.389</v>
      </c>
      <c r="C2374" t="str">
        <f t="shared" si="696"/>
        <v>FFDFD3C0</v>
      </c>
      <c r="D2374" t="s">
        <v>126</v>
      </c>
      <c r="E2374">
        <v>3</v>
      </c>
      <c r="H2374">
        <v>160</v>
      </c>
      <c r="I2374" t="s">
        <v>121</v>
      </c>
      <c r="J2374" t="s">
        <v>127</v>
      </c>
      <c r="K2374">
        <v>0</v>
      </c>
      <c r="L2374">
        <v>3</v>
      </c>
      <c r="M2374">
        <v>0</v>
      </c>
      <c r="N2374">
        <v>2</v>
      </c>
      <c r="O2374">
        <v>0</v>
      </c>
      <c r="P2374">
        <v>1</v>
      </c>
      <c r="Q2374">
        <v>0</v>
      </c>
      <c r="S2374" t="str">
        <f t="shared" si="710"/>
        <v>22:19:27.000</v>
      </c>
      <c r="T2374" t="str">
        <f t="shared" si="710"/>
        <v>22:19:27.000</v>
      </c>
      <c r="U2374" t="str">
        <f t="shared" si="709"/>
        <v>A9D71F</v>
      </c>
      <c r="V2374">
        <v>0</v>
      </c>
      <c r="W2374">
        <v>0</v>
      </c>
      <c r="X2374">
        <v>2</v>
      </c>
      <c r="Z2374">
        <v>1</v>
      </c>
      <c r="AA2374">
        <v>8</v>
      </c>
      <c r="AB2374">
        <v>3</v>
      </c>
      <c r="AC2374">
        <v>0</v>
      </c>
      <c r="AD2374">
        <v>9</v>
      </c>
      <c r="AE2374">
        <v>0</v>
      </c>
      <c r="AF2374">
        <v>3</v>
      </c>
      <c r="AG2374">
        <v>1</v>
      </c>
      <c r="AH2374">
        <v>0</v>
      </c>
      <c r="AI2374" t="s">
        <v>1232</v>
      </c>
      <c r="AJ2374">
        <v>33.001235000000001</v>
      </c>
      <c r="AK2374" t="s">
        <v>1233</v>
      </c>
      <c r="AL2374">
        <v>-97.658393000000004</v>
      </c>
      <c r="AM2374">
        <v>25</v>
      </c>
      <c r="AN2374">
        <v>3000</v>
      </c>
      <c r="AO2374" t="s">
        <v>118</v>
      </c>
      <c r="AP2374">
        <v>-49</v>
      </c>
      <c r="AQ2374">
        <v>-37</v>
      </c>
      <c r="AR2374">
        <v>-448</v>
      </c>
      <c r="AZ2374">
        <v>1200</v>
      </c>
      <c r="BA2374">
        <v>1</v>
      </c>
      <c r="BB2374" t="str">
        <f t="shared" si="697"/>
        <v xml:space="preserve">N733KP  </v>
      </c>
      <c r="BC2374">
        <v>1</v>
      </c>
      <c r="BE2374">
        <v>0</v>
      </c>
      <c r="BF2374">
        <v>0</v>
      </c>
      <c r="BG2374">
        <v>0</v>
      </c>
      <c r="BH2374">
        <v>3025</v>
      </c>
      <c r="BI2374">
        <v>1</v>
      </c>
      <c r="BJ2374">
        <v>1</v>
      </c>
      <c r="BK2374">
        <v>0</v>
      </c>
      <c r="BL2374">
        <v>0</v>
      </c>
      <c r="BO2374">
        <v>0</v>
      </c>
      <c r="BP2374">
        <v>0</v>
      </c>
      <c r="BW2374" t="str">
        <f>"22:19:27.249"</f>
        <v>22:19:27.249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5</v>
      </c>
      <c r="CP2374" t="s">
        <v>119</v>
      </c>
      <c r="CQ2374">
        <v>364</v>
      </c>
      <c r="CR2374">
        <v>0</v>
      </c>
      <c r="CW2374">
        <v>1454390</v>
      </c>
      <c r="CY2374">
        <v>1</v>
      </c>
      <c r="CZ2374">
        <v>0</v>
      </c>
      <c r="DA2374">
        <v>1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>"03/24/2022 22:19:27.452"</f>
        <v>03/24/2022 22:19:27.452</v>
      </c>
      <c r="C2375" t="str">
        <f t="shared" si="696"/>
        <v>FFDFD3C0</v>
      </c>
      <c r="D2375" t="s">
        <v>120</v>
      </c>
      <c r="E2375">
        <v>14</v>
      </c>
      <c r="F2375">
        <v>1014</v>
      </c>
      <c r="G2375" t="s">
        <v>121</v>
      </c>
      <c r="J2375" t="s">
        <v>122</v>
      </c>
      <c r="K2375">
        <v>0</v>
      </c>
      <c r="L2375">
        <v>3</v>
      </c>
      <c r="M2375">
        <v>0</v>
      </c>
      <c r="N2375">
        <v>2</v>
      </c>
      <c r="O2375">
        <v>0</v>
      </c>
      <c r="P2375">
        <v>1</v>
      </c>
      <c r="Q2375">
        <v>0</v>
      </c>
      <c r="S2375" t="str">
        <f t="shared" si="710"/>
        <v>22:19:27.000</v>
      </c>
      <c r="T2375" t="str">
        <f t="shared" si="710"/>
        <v>22:19:27.000</v>
      </c>
      <c r="U2375" t="str">
        <f t="shared" si="709"/>
        <v>A9D71F</v>
      </c>
      <c r="V2375">
        <v>0</v>
      </c>
      <c r="W2375">
        <v>0</v>
      </c>
      <c r="X2375">
        <v>2</v>
      </c>
      <c r="Z2375">
        <v>1</v>
      </c>
      <c r="AA2375">
        <v>8</v>
      </c>
      <c r="AB2375">
        <v>3</v>
      </c>
      <c r="AC2375">
        <v>0</v>
      </c>
      <c r="AD2375">
        <v>9</v>
      </c>
      <c r="AE2375">
        <v>0</v>
      </c>
      <c r="AF2375">
        <v>3</v>
      </c>
      <c r="AG2375">
        <v>1</v>
      </c>
      <c r="AH2375">
        <v>0</v>
      </c>
      <c r="AI2375" t="s">
        <v>1232</v>
      </c>
      <c r="AJ2375">
        <v>33.001235000000001</v>
      </c>
      <c r="AK2375" t="s">
        <v>1233</v>
      </c>
      <c r="AL2375">
        <v>-97.658393000000004</v>
      </c>
      <c r="AM2375">
        <v>25</v>
      </c>
      <c r="AN2375">
        <v>3000</v>
      </c>
      <c r="AO2375" t="s">
        <v>118</v>
      </c>
      <c r="AP2375">
        <v>-49</v>
      </c>
      <c r="AQ2375">
        <v>-37</v>
      </c>
      <c r="AR2375">
        <v>-448</v>
      </c>
      <c r="AZ2375">
        <v>1200</v>
      </c>
      <c r="BA2375">
        <v>1</v>
      </c>
      <c r="BB2375" t="str">
        <f t="shared" si="697"/>
        <v xml:space="preserve">N733KP  </v>
      </c>
      <c r="BC2375">
        <v>1</v>
      </c>
      <c r="BE2375">
        <v>0</v>
      </c>
      <c r="BF2375">
        <v>0</v>
      </c>
      <c r="BG2375">
        <v>0</v>
      </c>
      <c r="BH2375">
        <v>3025</v>
      </c>
      <c r="BI2375">
        <v>1</v>
      </c>
      <c r="BJ2375">
        <v>1</v>
      </c>
      <c r="BK2375">
        <v>0</v>
      </c>
      <c r="BL2375">
        <v>0</v>
      </c>
      <c r="BO2375">
        <v>0</v>
      </c>
      <c r="BP2375">
        <v>0</v>
      </c>
      <c r="BW2375" t="str">
        <f>"22:19:27.249"</f>
        <v>22:19:27.249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5</v>
      </c>
      <c r="CP2375" t="s">
        <v>119</v>
      </c>
      <c r="CQ2375">
        <v>364</v>
      </c>
      <c r="CR2375">
        <v>0</v>
      </c>
      <c r="CW2375">
        <v>1454390</v>
      </c>
      <c r="CY2375">
        <v>1</v>
      </c>
      <c r="CZ2375">
        <v>0</v>
      </c>
      <c r="DA2375">
        <v>1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>"03/24/2022 22:19:27.452"</f>
        <v>03/24/2022 22:19:27.452</v>
      </c>
      <c r="C2376" t="str">
        <f t="shared" si="696"/>
        <v>FFDFD3C0</v>
      </c>
      <c r="D2376" t="s">
        <v>123</v>
      </c>
      <c r="E2376">
        <v>8</v>
      </c>
      <c r="H2376">
        <v>31</v>
      </c>
      <c r="I2376" t="s">
        <v>124</v>
      </c>
      <c r="J2376" t="s">
        <v>125</v>
      </c>
      <c r="K2376">
        <v>0</v>
      </c>
      <c r="L2376">
        <v>3</v>
      </c>
      <c r="M2376">
        <v>0</v>
      </c>
      <c r="N2376">
        <v>2</v>
      </c>
      <c r="O2376">
        <v>0</v>
      </c>
      <c r="P2376">
        <v>1</v>
      </c>
      <c r="Q2376">
        <v>0</v>
      </c>
      <c r="S2376" t="str">
        <f t="shared" si="710"/>
        <v>22:19:27.000</v>
      </c>
      <c r="T2376" t="str">
        <f t="shared" si="710"/>
        <v>22:19:27.000</v>
      </c>
      <c r="U2376" t="str">
        <f t="shared" si="709"/>
        <v>A9D71F</v>
      </c>
      <c r="V2376">
        <v>0</v>
      </c>
      <c r="W2376">
        <v>0</v>
      </c>
      <c r="X2376">
        <v>2</v>
      </c>
      <c r="Z2376">
        <v>1</v>
      </c>
      <c r="AA2376">
        <v>8</v>
      </c>
      <c r="AB2376">
        <v>3</v>
      </c>
      <c r="AC2376">
        <v>0</v>
      </c>
      <c r="AD2376">
        <v>9</v>
      </c>
      <c r="AE2376">
        <v>0</v>
      </c>
      <c r="AF2376">
        <v>3</v>
      </c>
      <c r="AG2376">
        <v>1</v>
      </c>
      <c r="AH2376">
        <v>0</v>
      </c>
      <c r="AI2376" t="s">
        <v>1232</v>
      </c>
      <c r="AJ2376">
        <v>33.001235000000001</v>
      </c>
      <c r="AK2376" t="s">
        <v>1233</v>
      </c>
      <c r="AL2376">
        <v>-97.658393000000004</v>
      </c>
      <c r="AM2376">
        <v>25</v>
      </c>
      <c r="AN2376">
        <v>3000</v>
      </c>
      <c r="AO2376" t="s">
        <v>118</v>
      </c>
      <c r="AP2376">
        <v>-49</v>
      </c>
      <c r="AQ2376">
        <v>-37</v>
      </c>
      <c r="AR2376">
        <v>-448</v>
      </c>
      <c r="AZ2376">
        <v>1200</v>
      </c>
      <c r="BA2376">
        <v>1</v>
      </c>
      <c r="BB2376" t="str">
        <f t="shared" si="697"/>
        <v xml:space="preserve">N733KP  </v>
      </c>
      <c r="BC2376">
        <v>1</v>
      </c>
      <c r="BE2376">
        <v>0</v>
      </c>
      <c r="BF2376">
        <v>0</v>
      </c>
      <c r="BG2376">
        <v>0</v>
      </c>
      <c r="BH2376">
        <v>3025</v>
      </c>
      <c r="BI2376">
        <v>1</v>
      </c>
      <c r="BJ2376">
        <v>1</v>
      </c>
      <c r="BK2376">
        <v>0</v>
      </c>
      <c r="BL2376">
        <v>0</v>
      </c>
      <c r="BO2376">
        <v>0</v>
      </c>
      <c r="BP2376">
        <v>0</v>
      </c>
      <c r="BW2376" t="str">
        <f>"22:19:27.249"</f>
        <v>22:19:27.249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5</v>
      </c>
      <c r="CP2376" t="s">
        <v>119</v>
      </c>
      <c r="CQ2376">
        <v>364</v>
      </c>
      <c r="CR2376">
        <v>0</v>
      </c>
      <c r="CW2376">
        <v>1454390</v>
      </c>
      <c r="CY2376">
        <v>1</v>
      </c>
      <c r="CZ2376">
        <v>0</v>
      </c>
      <c r="DA2376">
        <v>1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>"03/24/2022 22:19:28.719"</f>
        <v>03/24/2022 22:19:28.719</v>
      </c>
      <c r="C2377" t="str">
        <f t="shared" si="696"/>
        <v>FFDFD3C0</v>
      </c>
      <c r="D2377" t="s">
        <v>113</v>
      </c>
      <c r="E2377">
        <v>24</v>
      </c>
      <c r="F2377">
        <v>2024</v>
      </c>
      <c r="G2377" t="s">
        <v>114</v>
      </c>
      <c r="J2377" t="s">
        <v>115</v>
      </c>
      <c r="K2377">
        <v>0</v>
      </c>
      <c r="L2377">
        <v>3</v>
      </c>
      <c r="M2377">
        <v>0</v>
      </c>
      <c r="N2377">
        <v>2</v>
      </c>
      <c r="O2377">
        <v>0</v>
      </c>
      <c r="P2377">
        <v>1</v>
      </c>
      <c r="Q2377">
        <v>0</v>
      </c>
      <c r="S2377" t="str">
        <f t="shared" ref="S2377:T2380" si="711">"22:19:28.000"</f>
        <v>22:19:28.000</v>
      </c>
      <c r="T2377" t="str">
        <f t="shared" si="711"/>
        <v>22:19:28.000</v>
      </c>
      <c r="U2377" t="str">
        <f t="shared" si="709"/>
        <v>A9D71F</v>
      </c>
      <c r="V2377">
        <v>0</v>
      </c>
      <c r="W2377">
        <v>0</v>
      </c>
      <c r="X2377">
        <v>2</v>
      </c>
      <c r="Z2377">
        <v>1</v>
      </c>
      <c r="AA2377">
        <v>8</v>
      </c>
      <c r="AB2377">
        <v>3</v>
      </c>
      <c r="AC2377">
        <v>0</v>
      </c>
      <c r="AD2377">
        <v>9</v>
      </c>
      <c r="AE2377">
        <v>0</v>
      </c>
      <c r="AF2377">
        <v>3</v>
      </c>
      <c r="AG2377">
        <v>1</v>
      </c>
      <c r="AH2377">
        <v>0</v>
      </c>
      <c r="AI2377" t="s">
        <v>1234</v>
      </c>
      <c r="AJ2377">
        <v>33.001041000000001</v>
      </c>
      <c r="AK2377" t="s">
        <v>1235</v>
      </c>
      <c r="AL2377">
        <v>-97.658651000000006</v>
      </c>
      <c r="AM2377">
        <v>25</v>
      </c>
      <c r="AN2377">
        <v>3000</v>
      </c>
      <c r="AO2377" t="s">
        <v>118</v>
      </c>
      <c r="AP2377">
        <v>-49</v>
      </c>
      <c r="AQ2377">
        <v>-35</v>
      </c>
      <c r="AR2377">
        <v>-576</v>
      </c>
      <c r="AZ2377">
        <v>1200</v>
      </c>
      <c r="BA2377">
        <v>1</v>
      </c>
      <c r="BB2377" t="str">
        <f t="shared" si="697"/>
        <v xml:space="preserve">N733KP  </v>
      </c>
      <c r="BC2377">
        <v>1</v>
      </c>
      <c r="BE2377">
        <v>0</v>
      </c>
      <c r="BF2377">
        <v>0</v>
      </c>
      <c r="BG2377">
        <v>0</v>
      </c>
      <c r="BH2377">
        <v>3025</v>
      </c>
      <c r="BI2377">
        <v>1</v>
      </c>
      <c r="BJ2377">
        <v>1</v>
      </c>
      <c r="BK2377">
        <v>0</v>
      </c>
      <c r="BL2377">
        <v>0</v>
      </c>
      <c r="BO2377">
        <v>0</v>
      </c>
      <c r="BP2377">
        <v>0</v>
      </c>
      <c r="BW2377" t="str">
        <f>"22:19:28.539"</f>
        <v>22:19:28.539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5</v>
      </c>
      <c r="CP2377" t="s">
        <v>119</v>
      </c>
      <c r="CQ2377">
        <v>364</v>
      </c>
      <c r="CR2377">
        <v>0</v>
      </c>
      <c r="CW2377">
        <v>1454565</v>
      </c>
      <c r="CY2377">
        <v>1</v>
      </c>
      <c r="CZ2377">
        <v>0</v>
      </c>
      <c r="DA2377">
        <v>0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>"03/24/2022 22:19:28.719"</f>
        <v>03/24/2022 22:19:28.719</v>
      </c>
      <c r="C2378" t="str">
        <f t="shared" si="696"/>
        <v>FFDFD3C0</v>
      </c>
      <c r="D2378" t="s">
        <v>126</v>
      </c>
      <c r="E2378">
        <v>3</v>
      </c>
      <c r="H2378">
        <v>160</v>
      </c>
      <c r="I2378" t="s">
        <v>121</v>
      </c>
      <c r="J2378" t="s">
        <v>127</v>
      </c>
      <c r="K2378">
        <v>0</v>
      </c>
      <c r="L2378">
        <v>3</v>
      </c>
      <c r="M2378">
        <v>0</v>
      </c>
      <c r="N2378">
        <v>2</v>
      </c>
      <c r="O2378">
        <v>0</v>
      </c>
      <c r="P2378">
        <v>1</v>
      </c>
      <c r="Q2378">
        <v>0</v>
      </c>
      <c r="S2378" t="str">
        <f t="shared" si="711"/>
        <v>22:19:28.000</v>
      </c>
      <c r="T2378" t="str">
        <f t="shared" si="711"/>
        <v>22:19:28.000</v>
      </c>
      <c r="U2378" t="str">
        <f t="shared" si="709"/>
        <v>A9D71F</v>
      </c>
      <c r="V2378">
        <v>0</v>
      </c>
      <c r="W2378">
        <v>0</v>
      </c>
      <c r="X2378">
        <v>2</v>
      </c>
      <c r="Z2378">
        <v>1</v>
      </c>
      <c r="AA2378">
        <v>8</v>
      </c>
      <c r="AB2378">
        <v>3</v>
      </c>
      <c r="AC2378">
        <v>0</v>
      </c>
      <c r="AD2378">
        <v>9</v>
      </c>
      <c r="AE2378">
        <v>0</v>
      </c>
      <c r="AF2378">
        <v>3</v>
      </c>
      <c r="AG2378">
        <v>1</v>
      </c>
      <c r="AH2378">
        <v>0</v>
      </c>
      <c r="AI2378" t="s">
        <v>1234</v>
      </c>
      <c r="AJ2378">
        <v>33.001041000000001</v>
      </c>
      <c r="AK2378" t="s">
        <v>1235</v>
      </c>
      <c r="AL2378">
        <v>-97.658651000000006</v>
      </c>
      <c r="AM2378">
        <v>25</v>
      </c>
      <c r="AN2378">
        <v>3000</v>
      </c>
      <c r="AO2378" t="s">
        <v>118</v>
      </c>
      <c r="AP2378">
        <v>-49</v>
      </c>
      <c r="AQ2378">
        <v>-35</v>
      </c>
      <c r="AR2378">
        <v>-576</v>
      </c>
      <c r="AZ2378">
        <v>1200</v>
      </c>
      <c r="BA2378">
        <v>1</v>
      </c>
      <c r="BB2378" t="str">
        <f t="shared" si="697"/>
        <v xml:space="preserve">N733KP  </v>
      </c>
      <c r="BC2378">
        <v>1</v>
      </c>
      <c r="BE2378">
        <v>0</v>
      </c>
      <c r="BF2378">
        <v>0</v>
      </c>
      <c r="BG2378">
        <v>0</v>
      </c>
      <c r="BH2378">
        <v>3025</v>
      </c>
      <c r="BI2378">
        <v>1</v>
      </c>
      <c r="BJ2378">
        <v>1</v>
      </c>
      <c r="BK2378">
        <v>0</v>
      </c>
      <c r="BL2378">
        <v>0</v>
      </c>
      <c r="BO2378">
        <v>0</v>
      </c>
      <c r="BP2378">
        <v>0</v>
      </c>
      <c r="BW2378" t="str">
        <f>"22:19:28.539"</f>
        <v>22:19:28.539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5</v>
      </c>
      <c r="CP2378" t="s">
        <v>119</v>
      </c>
      <c r="CQ2378">
        <v>364</v>
      </c>
      <c r="CR2378">
        <v>0</v>
      </c>
      <c r="CW2378">
        <v>1454565</v>
      </c>
      <c r="CY2378">
        <v>1</v>
      </c>
      <c r="CZ2378">
        <v>0</v>
      </c>
      <c r="DA2378">
        <v>1</v>
      </c>
      <c r="DB2378">
        <v>0</v>
      </c>
      <c r="DC2378">
        <v>0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>"03/24/2022 22:19:28.735"</f>
        <v>03/24/2022 22:19:28.735</v>
      </c>
      <c r="C2379" t="str">
        <f t="shared" si="696"/>
        <v>FFDFD3C0</v>
      </c>
      <c r="D2379" t="s">
        <v>120</v>
      </c>
      <c r="E2379">
        <v>14</v>
      </c>
      <c r="F2379">
        <v>1014</v>
      </c>
      <c r="G2379" t="s">
        <v>121</v>
      </c>
      <c r="J2379" t="s">
        <v>122</v>
      </c>
      <c r="K2379">
        <v>0</v>
      </c>
      <c r="L2379">
        <v>3</v>
      </c>
      <c r="M2379">
        <v>0</v>
      </c>
      <c r="N2379">
        <v>2</v>
      </c>
      <c r="O2379">
        <v>0</v>
      </c>
      <c r="P2379">
        <v>1</v>
      </c>
      <c r="Q2379">
        <v>0</v>
      </c>
      <c r="S2379" t="str">
        <f t="shared" si="711"/>
        <v>22:19:28.000</v>
      </c>
      <c r="T2379" t="str">
        <f t="shared" si="711"/>
        <v>22:19:28.000</v>
      </c>
      <c r="U2379" t="str">
        <f t="shared" si="709"/>
        <v>A9D71F</v>
      </c>
      <c r="V2379">
        <v>0</v>
      </c>
      <c r="W2379">
        <v>0</v>
      </c>
      <c r="X2379">
        <v>2</v>
      </c>
      <c r="Z2379">
        <v>1</v>
      </c>
      <c r="AA2379">
        <v>8</v>
      </c>
      <c r="AB2379">
        <v>3</v>
      </c>
      <c r="AC2379">
        <v>0</v>
      </c>
      <c r="AD2379">
        <v>9</v>
      </c>
      <c r="AE2379">
        <v>0</v>
      </c>
      <c r="AF2379">
        <v>3</v>
      </c>
      <c r="AG2379">
        <v>1</v>
      </c>
      <c r="AH2379">
        <v>0</v>
      </c>
      <c r="AI2379" t="s">
        <v>1234</v>
      </c>
      <c r="AJ2379">
        <v>33.001041000000001</v>
      </c>
      <c r="AK2379" t="s">
        <v>1235</v>
      </c>
      <c r="AL2379">
        <v>-97.658651000000006</v>
      </c>
      <c r="AM2379">
        <v>25</v>
      </c>
      <c r="AN2379">
        <v>3000</v>
      </c>
      <c r="AO2379" t="s">
        <v>118</v>
      </c>
      <c r="AP2379">
        <v>-49</v>
      </c>
      <c r="AQ2379">
        <v>-35</v>
      </c>
      <c r="AR2379">
        <v>-576</v>
      </c>
      <c r="AZ2379">
        <v>1200</v>
      </c>
      <c r="BA2379">
        <v>1</v>
      </c>
      <c r="BB2379" t="str">
        <f t="shared" si="697"/>
        <v xml:space="preserve">N733KP  </v>
      </c>
      <c r="BC2379">
        <v>1</v>
      </c>
      <c r="BE2379">
        <v>0</v>
      </c>
      <c r="BF2379">
        <v>0</v>
      </c>
      <c r="BG2379">
        <v>0</v>
      </c>
      <c r="BH2379">
        <v>3025</v>
      </c>
      <c r="BI2379">
        <v>1</v>
      </c>
      <c r="BJ2379">
        <v>1</v>
      </c>
      <c r="BK2379">
        <v>0</v>
      </c>
      <c r="BL2379">
        <v>0</v>
      </c>
      <c r="BO2379">
        <v>0</v>
      </c>
      <c r="BP2379">
        <v>0</v>
      </c>
      <c r="BW2379" t="str">
        <f>"22:19:28.539"</f>
        <v>22:19:28.539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5</v>
      </c>
      <c r="CP2379" t="s">
        <v>119</v>
      </c>
      <c r="CQ2379">
        <v>364</v>
      </c>
      <c r="CR2379">
        <v>0</v>
      </c>
      <c r="CW2379">
        <v>1454565</v>
      </c>
      <c r="CY2379">
        <v>1</v>
      </c>
      <c r="CZ2379">
        <v>0</v>
      </c>
      <c r="DA2379">
        <v>1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>"03/24/2022 22:19:28.735"</f>
        <v>03/24/2022 22:19:28.735</v>
      </c>
      <c r="C2380" t="str">
        <f t="shared" si="696"/>
        <v>FFDFD3C0</v>
      </c>
      <c r="D2380" t="s">
        <v>123</v>
      </c>
      <c r="E2380">
        <v>8</v>
      </c>
      <c r="H2380">
        <v>31</v>
      </c>
      <c r="I2380" t="s">
        <v>124</v>
      </c>
      <c r="J2380" t="s">
        <v>125</v>
      </c>
      <c r="K2380">
        <v>0</v>
      </c>
      <c r="L2380">
        <v>3</v>
      </c>
      <c r="M2380">
        <v>0</v>
      </c>
      <c r="N2380">
        <v>2</v>
      </c>
      <c r="O2380">
        <v>0</v>
      </c>
      <c r="P2380">
        <v>1</v>
      </c>
      <c r="Q2380">
        <v>0</v>
      </c>
      <c r="S2380" t="str">
        <f t="shared" si="711"/>
        <v>22:19:28.000</v>
      </c>
      <c r="T2380" t="str">
        <f t="shared" si="711"/>
        <v>22:19:28.000</v>
      </c>
      <c r="U2380" t="str">
        <f t="shared" si="709"/>
        <v>A9D71F</v>
      </c>
      <c r="V2380">
        <v>0</v>
      </c>
      <c r="W2380">
        <v>0</v>
      </c>
      <c r="X2380">
        <v>2</v>
      </c>
      <c r="Z2380">
        <v>1</v>
      </c>
      <c r="AA2380">
        <v>8</v>
      </c>
      <c r="AB2380">
        <v>3</v>
      </c>
      <c r="AC2380">
        <v>0</v>
      </c>
      <c r="AD2380">
        <v>9</v>
      </c>
      <c r="AE2380">
        <v>0</v>
      </c>
      <c r="AF2380">
        <v>3</v>
      </c>
      <c r="AG2380">
        <v>1</v>
      </c>
      <c r="AH2380">
        <v>0</v>
      </c>
      <c r="AI2380" t="s">
        <v>1234</v>
      </c>
      <c r="AJ2380">
        <v>33.001041000000001</v>
      </c>
      <c r="AK2380" t="s">
        <v>1235</v>
      </c>
      <c r="AL2380">
        <v>-97.658651000000006</v>
      </c>
      <c r="AM2380">
        <v>25</v>
      </c>
      <c r="AN2380">
        <v>3000</v>
      </c>
      <c r="AO2380" t="s">
        <v>118</v>
      </c>
      <c r="AP2380">
        <v>-49</v>
      </c>
      <c r="AQ2380">
        <v>-35</v>
      </c>
      <c r="AR2380">
        <v>-576</v>
      </c>
      <c r="AZ2380">
        <v>1200</v>
      </c>
      <c r="BA2380">
        <v>1</v>
      </c>
      <c r="BB2380" t="str">
        <f t="shared" si="697"/>
        <v xml:space="preserve">N733KP  </v>
      </c>
      <c r="BC2380">
        <v>1</v>
      </c>
      <c r="BE2380">
        <v>0</v>
      </c>
      <c r="BF2380">
        <v>0</v>
      </c>
      <c r="BG2380">
        <v>0</v>
      </c>
      <c r="BH2380">
        <v>3025</v>
      </c>
      <c r="BI2380">
        <v>1</v>
      </c>
      <c r="BJ2380">
        <v>1</v>
      </c>
      <c r="BK2380">
        <v>0</v>
      </c>
      <c r="BL2380">
        <v>0</v>
      </c>
      <c r="BO2380">
        <v>0</v>
      </c>
      <c r="BP2380">
        <v>0</v>
      </c>
      <c r="BW2380" t="str">
        <f>"22:19:28.539"</f>
        <v>22:19:28.539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5</v>
      </c>
      <c r="CP2380" t="s">
        <v>119</v>
      </c>
      <c r="CQ2380">
        <v>364</v>
      </c>
      <c r="CR2380">
        <v>0</v>
      </c>
      <c r="CW2380">
        <v>1454565</v>
      </c>
      <c r="CY2380">
        <v>1</v>
      </c>
      <c r="CZ2380">
        <v>0</v>
      </c>
      <c r="DA2380">
        <v>1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>"03/24/2022 22:19:29.610"</f>
        <v>03/24/2022 22:19:29.610</v>
      </c>
      <c r="C2381" t="str">
        <f t="shared" si="696"/>
        <v>FFDFD3C0</v>
      </c>
      <c r="D2381" t="s">
        <v>126</v>
      </c>
      <c r="E2381">
        <v>3</v>
      </c>
      <c r="H2381">
        <v>160</v>
      </c>
      <c r="I2381" t="s">
        <v>121</v>
      </c>
      <c r="J2381" t="s">
        <v>127</v>
      </c>
      <c r="K2381">
        <v>0</v>
      </c>
      <c r="L2381">
        <v>3</v>
      </c>
      <c r="M2381">
        <v>0</v>
      </c>
      <c r="N2381">
        <v>2</v>
      </c>
      <c r="O2381">
        <v>0</v>
      </c>
      <c r="P2381">
        <v>1</v>
      </c>
      <c r="Q2381">
        <v>0</v>
      </c>
      <c r="S2381" t="str">
        <f t="shared" ref="S2381:T2384" si="712">"22:19:29.000"</f>
        <v>22:19:29.000</v>
      </c>
      <c r="T2381" t="str">
        <f t="shared" si="712"/>
        <v>22:19:29.000</v>
      </c>
      <c r="U2381" t="str">
        <f t="shared" si="709"/>
        <v>A9D71F</v>
      </c>
      <c r="V2381">
        <v>0</v>
      </c>
      <c r="W2381">
        <v>0</v>
      </c>
      <c r="X2381">
        <v>2</v>
      </c>
      <c r="Z2381">
        <v>1</v>
      </c>
      <c r="AA2381">
        <v>8</v>
      </c>
      <c r="AB2381">
        <v>3</v>
      </c>
      <c r="AC2381">
        <v>0</v>
      </c>
      <c r="AD2381">
        <v>9</v>
      </c>
      <c r="AE2381">
        <v>0</v>
      </c>
      <c r="AF2381">
        <v>3</v>
      </c>
      <c r="AG2381">
        <v>1</v>
      </c>
      <c r="AH2381">
        <v>0</v>
      </c>
      <c r="AI2381" t="s">
        <v>1236</v>
      </c>
      <c r="AJ2381">
        <v>33.000912999999997</v>
      </c>
      <c r="AK2381" t="s">
        <v>1237</v>
      </c>
      <c r="AL2381">
        <v>-97.658951000000002</v>
      </c>
      <c r="AM2381">
        <v>25</v>
      </c>
      <c r="AN2381">
        <v>3000</v>
      </c>
      <c r="AO2381" t="s">
        <v>118</v>
      </c>
      <c r="AP2381">
        <v>-49</v>
      </c>
      <c r="AQ2381">
        <v>-33</v>
      </c>
      <c r="AR2381">
        <v>-576</v>
      </c>
      <c r="AZ2381">
        <v>1200</v>
      </c>
      <c r="BA2381">
        <v>1</v>
      </c>
      <c r="BB2381" t="str">
        <f t="shared" si="697"/>
        <v xml:space="preserve">N733KP  </v>
      </c>
      <c r="BC2381">
        <v>1</v>
      </c>
      <c r="BE2381">
        <v>0</v>
      </c>
      <c r="BF2381">
        <v>0</v>
      </c>
      <c r="BG2381">
        <v>0</v>
      </c>
      <c r="BH2381">
        <v>3000</v>
      </c>
      <c r="BI2381">
        <v>1</v>
      </c>
      <c r="BJ2381">
        <v>1</v>
      </c>
      <c r="BK2381">
        <v>0</v>
      </c>
      <c r="BL2381">
        <v>0</v>
      </c>
      <c r="BO2381">
        <v>0</v>
      </c>
      <c r="BP2381">
        <v>0</v>
      </c>
      <c r="BW2381" t="str">
        <f>"22:19:29.418"</f>
        <v>22:19:29.418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5</v>
      </c>
      <c r="CP2381" t="s">
        <v>119</v>
      </c>
      <c r="CQ2381">
        <v>364</v>
      </c>
      <c r="CR2381">
        <v>0</v>
      </c>
      <c r="CW2381">
        <v>1454654</v>
      </c>
      <c r="CY2381">
        <v>1</v>
      </c>
      <c r="CZ2381">
        <v>0</v>
      </c>
      <c r="DA2381">
        <v>0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>"03/24/2022 22:19:29.610"</f>
        <v>03/24/2022 22:19:29.610</v>
      </c>
      <c r="C2382" t="str">
        <f t="shared" si="696"/>
        <v>FFDFD3C0</v>
      </c>
      <c r="D2382" t="s">
        <v>113</v>
      </c>
      <c r="E2382">
        <v>24</v>
      </c>
      <c r="F2382">
        <v>2024</v>
      </c>
      <c r="G2382" t="s">
        <v>114</v>
      </c>
      <c r="J2382" t="s">
        <v>115</v>
      </c>
      <c r="K2382">
        <v>0</v>
      </c>
      <c r="L2382">
        <v>3</v>
      </c>
      <c r="M2382">
        <v>0</v>
      </c>
      <c r="N2382">
        <v>2</v>
      </c>
      <c r="O2382">
        <v>0</v>
      </c>
      <c r="P2382">
        <v>1</v>
      </c>
      <c r="Q2382">
        <v>0</v>
      </c>
      <c r="S2382" t="str">
        <f t="shared" si="712"/>
        <v>22:19:29.000</v>
      </c>
      <c r="T2382" t="str">
        <f t="shared" si="712"/>
        <v>22:19:29.000</v>
      </c>
      <c r="U2382" t="str">
        <f t="shared" si="709"/>
        <v>A9D71F</v>
      </c>
      <c r="V2382">
        <v>0</v>
      </c>
      <c r="W2382">
        <v>0</v>
      </c>
      <c r="X2382">
        <v>2</v>
      </c>
      <c r="Z2382">
        <v>1</v>
      </c>
      <c r="AA2382">
        <v>8</v>
      </c>
      <c r="AB2382">
        <v>3</v>
      </c>
      <c r="AC2382">
        <v>0</v>
      </c>
      <c r="AD2382">
        <v>9</v>
      </c>
      <c r="AE2382">
        <v>0</v>
      </c>
      <c r="AF2382">
        <v>3</v>
      </c>
      <c r="AG2382">
        <v>1</v>
      </c>
      <c r="AH2382">
        <v>0</v>
      </c>
      <c r="AI2382" t="s">
        <v>1236</v>
      </c>
      <c r="AJ2382">
        <v>33.000912999999997</v>
      </c>
      <c r="AK2382" t="s">
        <v>1237</v>
      </c>
      <c r="AL2382">
        <v>-97.658951000000002</v>
      </c>
      <c r="AM2382">
        <v>25</v>
      </c>
      <c r="AN2382">
        <v>3000</v>
      </c>
      <c r="AO2382" t="s">
        <v>118</v>
      </c>
      <c r="AP2382">
        <v>-49</v>
      </c>
      <c r="AQ2382">
        <v>-33</v>
      </c>
      <c r="AR2382">
        <v>-576</v>
      </c>
      <c r="AZ2382">
        <v>1200</v>
      </c>
      <c r="BA2382">
        <v>1</v>
      </c>
      <c r="BB2382" t="str">
        <f t="shared" si="697"/>
        <v xml:space="preserve">N733KP  </v>
      </c>
      <c r="BC2382">
        <v>1</v>
      </c>
      <c r="BE2382">
        <v>0</v>
      </c>
      <c r="BF2382">
        <v>0</v>
      </c>
      <c r="BG2382">
        <v>0</v>
      </c>
      <c r="BH2382">
        <v>3000</v>
      </c>
      <c r="BI2382">
        <v>1</v>
      </c>
      <c r="BJ2382">
        <v>1</v>
      </c>
      <c r="BK2382">
        <v>0</v>
      </c>
      <c r="BL2382">
        <v>0</v>
      </c>
      <c r="BO2382">
        <v>0</v>
      </c>
      <c r="BP2382">
        <v>0</v>
      </c>
      <c r="BW2382" t="str">
        <f>"22:19:29.418"</f>
        <v>22:19:29.418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5</v>
      </c>
      <c r="CP2382" t="s">
        <v>119</v>
      </c>
      <c r="CQ2382">
        <v>364</v>
      </c>
      <c r="CR2382">
        <v>0</v>
      </c>
      <c r="CW2382">
        <v>1454654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>"03/24/2022 22:19:29.751"</f>
        <v>03/24/2022 22:19:29.751</v>
      </c>
      <c r="C2383" t="str">
        <f t="shared" si="696"/>
        <v>FFDFD3C0</v>
      </c>
      <c r="D2383" t="s">
        <v>120</v>
      </c>
      <c r="E2383">
        <v>14</v>
      </c>
      <c r="F2383">
        <v>1014</v>
      </c>
      <c r="G2383" t="s">
        <v>121</v>
      </c>
      <c r="J2383" t="s">
        <v>122</v>
      </c>
      <c r="K2383">
        <v>0</v>
      </c>
      <c r="L2383">
        <v>3</v>
      </c>
      <c r="M2383">
        <v>0</v>
      </c>
      <c r="N2383">
        <v>2</v>
      </c>
      <c r="O2383">
        <v>0</v>
      </c>
      <c r="P2383">
        <v>1</v>
      </c>
      <c r="Q2383">
        <v>0</v>
      </c>
      <c r="S2383" t="str">
        <f t="shared" si="712"/>
        <v>22:19:29.000</v>
      </c>
      <c r="T2383" t="str">
        <f t="shared" si="712"/>
        <v>22:19:29.000</v>
      </c>
      <c r="U2383" t="str">
        <f t="shared" si="709"/>
        <v>A9D71F</v>
      </c>
      <c r="V2383">
        <v>0</v>
      </c>
      <c r="W2383">
        <v>0</v>
      </c>
      <c r="X2383">
        <v>2</v>
      </c>
      <c r="Z2383">
        <v>1</v>
      </c>
      <c r="AA2383">
        <v>8</v>
      </c>
      <c r="AB2383">
        <v>3</v>
      </c>
      <c r="AC2383">
        <v>0</v>
      </c>
      <c r="AD2383">
        <v>9</v>
      </c>
      <c r="AE2383">
        <v>0</v>
      </c>
      <c r="AF2383">
        <v>3</v>
      </c>
      <c r="AG2383">
        <v>1</v>
      </c>
      <c r="AH2383">
        <v>0</v>
      </c>
      <c r="AI2383" t="s">
        <v>1236</v>
      </c>
      <c r="AJ2383">
        <v>33.000912999999997</v>
      </c>
      <c r="AK2383" t="s">
        <v>1237</v>
      </c>
      <c r="AL2383">
        <v>-97.658951000000002</v>
      </c>
      <c r="AM2383">
        <v>25</v>
      </c>
      <c r="AN2383">
        <v>3000</v>
      </c>
      <c r="AO2383" t="s">
        <v>118</v>
      </c>
      <c r="AP2383">
        <v>-49</v>
      </c>
      <c r="AQ2383">
        <v>-33</v>
      </c>
      <c r="AR2383">
        <v>-576</v>
      </c>
      <c r="AZ2383">
        <v>1200</v>
      </c>
      <c r="BA2383">
        <v>1</v>
      </c>
      <c r="BB2383" t="str">
        <f t="shared" si="697"/>
        <v xml:space="preserve">N733KP  </v>
      </c>
      <c r="BC2383">
        <v>1</v>
      </c>
      <c r="BE2383">
        <v>0</v>
      </c>
      <c r="BF2383">
        <v>0</v>
      </c>
      <c r="BG2383">
        <v>0</v>
      </c>
      <c r="BH2383">
        <v>3000</v>
      </c>
      <c r="BI2383">
        <v>1</v>
      </c>
      <c r="BJ2383">
        <v>1</v>
      </c>
      <c r="BK2383">
        <v>0</v>
      </c>
      <c r="BL2383">
        <v>0</v>
      </c>
      <c r="BO2383">
        <v>0</v>
      </c>
      <c r="BP2383">
        <v>0</v>
      </c>
      <c r="BW2383" t="str">
        <f>"22:19:29.418"</f>
        <v>22:19:29.418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5</v>
      </c>
      <c r="CP2383" t="s">
        <v>119</v>
      </c>
      <c r="CQ2383">
        <v>364</v>
      </c>
      <c r="CR2383">
        <v>0</v>
      </c>
      <c r="CW2383">
        <v>1454654</v>
      </c>
      <c r="CY2383">
        <v>1</v>
      </c>
      <c r="CZ2383">
        <v>0</v>
      </c>
      <c r="DA2383">
        <v>1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>"03/24/2022 22:19:29.751"</f>
        <v>03/24/2022 22:19:29.751</v>
      </c>
      <c r="C2384" t="str">
        <f t="shared" si="696"/>
        <v>FFDFD3C0</v>
      </c>
      <c r="D2384" t="s">
        <v>123</v>
      </c>
      <c r="E2384">
        <v>8</v>
      </c>
      <c r="H2384">
        <v>31</v>
      </c>
      <c r="I2384" t="s">
        <v>124</v>
      </c>
      <c r="J2384" t="s">
        <v>125</v>
      </c>
      <c r="K2384">
        <v>0</v>
      </c>
      <c r="L2384">
        <v>3</v>
      </c>
      <c r="M2384">
        <v>0</v>
      </c>
      <c r="N2384">
        <v>2</v>
      </c>
      <c r="O2384">
        <v>0</v>
      </c>
      <c r="P2384">
        <v>1</v>
      </c>
      <c r="Q2384">
        <v>0</v>
      </c>
      <c r="S2384" t="str">
        <f t="shared" si="712"/>
        <v>22:19:29.000</v>
      </c>
      <c r="T2384" t="str">
        <f t="shared" si="712"/>
        <v>22:19:29.000</v>
      </c>
      <c r="U2384" t="str">
        <f t="shared" si="709"/>
        <v>A9D71F</v>
      </c>
      <c r="V2384">
        <v>0</v>
      </c>
      <c r="W2384">
        <v>0</v>
      </c>
      <c r="X2384">
        <v>2</v>
      </c>
      <c r="Z2384">
        <v>1</v>
      </c>
      <c r="AA2384">
        <v>8</v>
      </c>
      <c r="AB2384">
        <v>3</v>
      </c>
      <c r="AC2384">
        <v>0</v>
      </c>
      <c r="AD2384">
        <v>9</v>
      </c>
      <c r="AE2384">
        <v>0</v>
      </c>
      <c r="AF2384">
        <v>3</v>
      </c>
      <c r="AG2384">
        <v>1</v>
      </c>
      <c r="AH2384">
        <v>0</v>
      </c>
      <c r="AI2384" t="s">
        <v>1236</v>
      </c>
      <c r="AJ2384">
        <v>33.000912999999997</v>
      </c>
      <c r="AK2384" t="s">
        <v>1237</v>
      </c>
      <c r="AL2384">
        <v>-97.658951000000002</v>
      </c>
      <c r="AM2384">
        <v>25</v>
      </c>
      <c r="AN2384">
        <v>3000</v>
      </c>
      <c r="AO2384" t="s">
        <v>118</v>
      </c>
      <c r="AP2384">
        <v>-49</v>
      </c>
      <c r="AQ2384">
        <v>-33</v>
      </c>
      <c r="AR2384">
        <v>-576</v>
      </c>
      <c r="AZ2384">
        <v>1200</v>
      </c>
      <c r="BA2384">
        <v>1</v>
      </c>
      <c r="BB2384" t="str">
        <f t="shared" si="697"/>
        <v xml:space="preserve">N733KP  </v>
      </c>
      <c r="BC2384">
        <v>1</v>
      </c>
      <c r="BE2384">
        <v>0</v>
      </c>
      <c r="BF2384">
        <v>0</v>
      </c>
      <c r="BG2384">
        <v>0</v>
      </c>
      <c r="BH2384">
        <v>3000</v>
      </c>
      <c r="BI2384">
        <v>1</v>
      </c>
      <c r="BJ2384">
        <v>1</v>
      </c>
      <c r="BK2384">
        <v>0</v>
      </c>
      <c r="BL2384">
        <v>0</v>
      </c>
      <c r="BO2384">
        <v>0</v>
      </c>
      <c r="BP2384">
        <v>0</v>
      </c>
      <c r="BW2384" t="str">
        <f>"22:19:29.418"</f>
        <v>22:19:29.418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5</v>
      </c>
      <c r="CP2384" t="s">
        <v>119</v>
      </c>
      <c r="CQ2384">
        <v>364</v>
      </c>
      <c r="CR2384">
        <v>0</v>
      </c>
      <c r="CW2384">
        <v>1454654</v>
      </c>
      <c r="CY2384">
        <v>1</v>
      </c>
      <c r="CZ2384">
        <v>0</v>
      </c>
      <c r="DA2384">
        <v>1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>"03/24/2022 22:19:30.673"</f>
        <v>03/24/2022 22:19:30.673</v>
      </c>
      <c r="C2385" t="str">
        <f t="shared" si="696"/>
        <v>FFDFD3C0</v>
      </c>
      <c r="D2385" t="s">
        <v>120</v>
      </c>
      <c r="E2385">
        <v>14</v>
      </c>
      <c r="F2385">
        <v>1014</v>
      </c>
      <c r="G2385" t="s">
        <v>121</v>
      </c>
      <c r="J2385" t="s">
        <v>122</v>
      </c>
      <c r="K2385">
        <v>0</v>
      </c>
      <c r="L2385">
        <v>3</v>
      </c>
      <c r="M2385">
        <v>0</v>
      </c>
      <c r="N2385">
        <v>2</v>
      </c>
      <c r="O2385">
        <v>0</v>
      </c>
      <c r="P2385">
        <v>1</v>
      </c>
      <c r="Q2385">
        <v>0</v>
      </c>
      <c r="S2385" t="str">
        <f t="shared" ref="S2385:T2388" si="713">"22:19:30.000"</f>
        <v>22:19:30.000</v>
      </c>
      <c r="T2385" t="str">
        <f t="shared" si="713"/>
        <v>22:19:30.000</v>
      </c>
      <c r="U2385" t="str">
        <f t="shared" si="709"/>
        <v>A9D71F</v>
      </c>
      <c r="V2385">
        <v>0</v>
      </c>
      <c r="W2385">
        <v>0</v>
      </c>
      <c r="X2385">
        <v>2</v>
      </c>
      <c r="Z2385">
        <v>1</v>
      </c>
      <c r="AA2385">
        <v>8</v>
      </c>
      <c r="AB2385">
        <v>3</v>
      </c>
      <c r="AC2385">
        <v>0</v>
      </c>
      <c r="AD2385">
        <v>9</v>
      </c>
      <c r="AE2385">
        <v>0</v>
      </c>
      <c r="AF2385">
        <v>3</v>
      </c>
      <c r="AG2385">
        <v>1</v>
      </c>
      <c r="AH2385">
        <v>0</v>
      </c>
      <c r="AI2385" t="s">
        <v>1238</v>
      </c>
      <c r="AJ2385">
        <v>33.000740999999998</v>
      </c>
      <c r="AK2385" t="s">
        <v>1239</v>
      </c>
      <c r="AL2385">
        <v>-97.659209000000004</v>
      </c>
      <c r="AM2385">
        <v>25</v>
      </c>
      <c r="AN2385">
        <v>3000</v>
      </c>
      <c r="AO2385" t="s">
        <v>118</v>
      </c>
      <c r="AP2385">
        <v>-50</v>
      </c>
      <c r="AQ2385">
        <v>-31</v>
      </c>
      <c r="AR2385">
        <v>-640</v>
      </c>
      <c r="AZ2385">
        <v>1200</v>
      </c>
      <c r="BA2385">
        <v>1</v>
      </c>
      <c r="BB2385" t="str">
        <f t="shared" si="697"/>
        <v xml:space="preserve">N733KP  </v>
      </c>
      <c r="BC2385">
        <v>1</v>
      </c>
      <c r="BE2385">
        <v>0</v>
      </c>
      <c r="BF2385">
        <v>0</v>
      </c>
      <c r="BG2385">
        <v>0</v>
      </c>
      <c r="BH2385">
        <v>3000</v>
      </c>
      <c r="BI2385">
        <v>1</v>
      </c>
      <c r="BJ2385">
        <v>1</v>
      </c>
      <c r="BK2385">
        <v>0</v>
      </c>
      <c r="BL2385">
        <v>0</v>
      </c>
      <c r="BO2385">
        <v>0</v>
      </c>
      <c r="BP2385">
        <v>0</v>
      </c>
      <c r="BW2385" t="str">
        <f>"22:19:30.504"</f>
        <v>22:19:30.504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6</v>
      </c>
      <c r="CP2385" t="s">
        <v>119</v>
      </c>
      <c r="CQ2385">
        <v>364</v>
      </c>
      <c r="CR2385">
        <v>0</v>
      </c>
      <c r="CW2385">
        <v>1454780</v>
      </c>
      <c r="CY2385">
        <v>1</v>
      </c>
      <c r="CZ2385">
        <v>0</v>
      </c>
      <c r="DA2385">
        <v>0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>"03/24/2022 22:19:30.673"</f>
        <v>03/24/2022 22:19:30.673</v>
      </c>
      <c r="C2386" t="str">
        <f t="shared" si="696"/>
        <v>FFDFD3C0</v>
      </c>
      <c r="D2386" t="s">
        <v>123</v>
      </c>
      <c r="E2386">
        <v>8</v>
      </c>
      <c r="H2386">
        <v>31</v>
      </c>
      <c r="I2386" t="s">
        <v>124</v>
      </c>
      <c r="J2386" t="s">
        <v>125</v>
      </c>
      <c r="K2386">
        <v>0</v>
      </c>
      <c r="L2386">
        <v>3</v>
      </c>
      <c r="M2386">
        <v>0</v>
      </c>
      <c r="N2386">
        <v>2</v>
      </c>
      <c r="O2386">
        <v>0</v>
      </c>
      <c r="P2386">
        <v>1</v>
      </c>
      <c r="Q2386">
        <v>0</v>
      </c>
      <c r="S2386" t="str">
        <f t="shared" si="713"/>
        <v>22:19:30.000</v>
      </c>
      <c r="T2386" t="str">
        <f t="shared" si="713"/>
        <v>22:19:30.000</v>
      </c>
      <c r="U2386" t="str">
        <f t="shared" si="709"/>
        <v>A9D71F</v>
      </c>
      <c r="V2386">
        <v>0</v>
      </c>
      <c r="W2386">
        <v>0</v>
      </c>
      <c r="X2386">
        <v>2</v>
      </c>
      <c r="Z2386">
        <v>1</v>
      </c>
      <c r="AA2386">
        <v>8</v>
      </c>
      <c r="AB2386">
        <v>3</v>
      </c>
      <c r="AC2386">
        <v>0</v>
      </c>
      <c r="AD2386">
        <v>9</v>
      </c>
      <c r="AE2386">
        <v>0</v>
      </c>
      <c r="AF2386">
        <v>3</v>
      </c>
      <c r="AG2386">
        <v>1</v>
      </c>
      <c r="AH2386">
        <v>0</v>
      </c>
      <c r="AI2386" t="s">
        <v>1238</v>
      </c>
      <c r="AJ2386">
        <v>33.000740999999998</v>
      </c>
      <c r="AK2386" t="s">
        <v>1239</v>
      </c>
      <c r="AL2386">
        <v>-97.659209000000004</v>
      </c>
      <c r="AM2386">
        <v>25</v>
      </c>
      <c r="AN2386">
        <v>3000</v>
      </c>
      <c r="AO2386" t="s">
        <v>118</v>
      </c>
      <c r="AP2386">
        <v>-50</v>
      </c>
      <c r="AQ2386">
        <v>-31</v>
      </c>
      <c r="AR2386">
        <v>-640</v>
      </c>
      <c r="AZ2386">
        <v>1200</v>
      </c>
      <c r="BA2386">
        <v>1</v>
      </c>
      <c r="BB2386" t="str">
        <f t="shared" si="697"/>
        <v xml:space="preserve">N733KP  </v>
      </c>
      <c r="BC2386">
        <v>1</v>
      </c>
      <c r="BE2386">
        <v>0</v>
      </c>
      <c r="BF2386">
        <v>0</v>
      </c>
      <c r="BG2386">
        <v>0</v>
      </c>
      <c r="BH2386">
        <v>3000</v>
      </c>
      <c r="BI2386">
        <v>1</v>
      </c>
      <c r="BJ2386">
        <v>1</v>
      </c>
      <c r="BK2386">
        <v>0</v>
      </c>
      <c r="BL2386">
        <v>0</v>
      </c>
      <c r="BO2386">
        <v>0</v>
      </c>
      <c r="BP2386">
        <v>0</v>
      </c>
      <c r="BW2386" t="str">
        <f>"22:19:30.504"</f>
        <v>22:19:30.504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6</v>
      </c>
      <c r="CP2386" t="s">
        <v>119</v>
      </c>
      <c r="CQ2386">
        <v>364</v>
      </c>
      <c r="CR2386">
        <v>0</v>
      </c>
      <c r="CW2386">
        <v>1454780</v>
      </c>
      <c r="CY2386">
        <v>1</v>
      </c>
      <c r="CZ2386">
        <v>0</v>
      </c>
      <c r="DA2386">
        <v>1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>"03/24/2022 22:19:30.673"</f>
        <v>03/24/2022 22:19:30.673</v>
      </c>
      <c r="C2387" t="str">
        <f t="shared" si="696"/>
        <v>FFDFD3C0</v>
      </c>
      <c r="D2387" t="s">
        <v>126</v>
      </c>
      <c r="E2387">
        <v>3</v>
      </c>
      <c r="H2387">
        <v>160</v>
      </c>
      <c r="I2387" t="s">
        <v>121</v>
      </c>
      <c r="J2387" t="s">
        <v>127</v>
      </c>
      <c r="K2387">
        <v>0</v>
      </c>
      <c r="L2387">
        <v>3</v>
      </c>
      <c r="M2387">
        <v>0</v>
      </c>
      <c r="N2387">
        <v>2</v>
      </c>
      <c r="O2387">
        <v>0</v>
      </c>
      <c r="P2387">
        <v>1</v>
      </c>
      <c r="Q2387">
        <v>0</v>
      </c>
      <c r="S2387" t="str">
        <f t="shared" si="713"/>
        <v>22:19:30.000</v>
      </c>
      <c r="T2387" t="str">
        <f t="shared" si="713"/>
        <v>22:19:30.000</v>
      </c>
      <c r="U2387" t="str">
        <f t="shared" si="709"/>
        <v>A9D71F</v>
      </c>
      <c r="V2387">
        <v>0</v>
      </c>
      <c r="W2387">
        <v>0</v>
      </c>
      <c r="X2387">
        <v>2</v>
      </c>
      <c r="Z2387">
        <v>1</v>
      </c>
      <c r="AA2387">
        <v>8</v>
      </c>
      <c r="AB2387">
        <v>3</v>
      </c>
      <c r="AC2387">
        <v>0</v>
      </c>
      <c r="AD2387">
        <v>9</v>
      </c>
      <c r="AE2387">
        <v>0</v>
      </c>
      <c r="AF2387">
        <v>3</v>
      </c>
      <c r="AG2387">
        <v>1</v>
      </c>
      <c r="AH2387">
        <v>0</v>
      </c>
      <c r="AI2387" t="s">
        <v>1238</v>
      </c>
      <c r="AJ2387">
        <v>33.000740999999998</v>
      </c>
      <c r="AK2387" t="s">
        <v>1239</v>
      </c>
      <c r="AL2387">
        <v>-97.659209000000004</v>
      </c>
      <c r="AM2387">
        <v>25</v>
      </c>
      <c r="AN2387">
        <v>3000</v>
      </c>
      <c r="AO2387" t="s">
        <v>118</v>
      </c>
      <c r="AP2387">
        <v>-50</v>
      </c>
      <c r="AQ2387">
        <v>-31</v>
      </c>
      <c r="AR2387">
        <v>-640</v>
      </c>
      <c r="AZ2387">
        <v>1200</v>
      </c>
      <c r="BA2387">
        <v>1</v>
      </c>
      <c r="BB2387" t="str">
        <f t="shared" si="697"/>
        <v xml:space="preserve">N733KP  </v>
      </c>
      <c r="BC2387">
        <v>1</v>
      </c>
      <c r="BE2387">
        <v>0</v>
      </c>
      <c r="BF2387">
        <v>0</v>
      </c>
      <c r="BG2387">
        <v>0</v>
      </c>
      <c r="BH2387">
        <v>3000</v>
      </c>
      <c r="BI2387">
        <v>1</v>
      </c>
      <c r="BJ2387">
        <v>1</v>
      </c>
      <c r="BK2387">
        <v>0</v>
      </c>
      <c r="BL2387">
        <v>0</v>
      </c>
      <c r="BO2387">
        <v>0</v>
      </c>
      <c r="BP2387">
        <v>0</v>
      </c>
      <c r="BW2387" t="str">
        <f>"22:19:30.504"</f>
        <v>22:19:30.504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6</v>
      </c>
      <c r="CP2387" t="s">
        <v>119</v>
      </c>
      <c r="CQ2387">
        <v>364</v>
      </c>
      <c r="CR2387">
        <v>0</v>
      </c>
      <c r="CW2387">
        <v>1454780</v>
      </c>
      <c r="CY2387">
        <v>1</v>
      </c>
      <c r="CZ2387">
        <v>0</v>
      </c>
      <c r="DA2387">
        <v>1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>"03/24/2022 22:19:30.673"</f>
        <v>03/24/2022 22:19:30.673</v>
      </c>
      <c r="C2388" t="str">
        <f t="shared" si="696"/>
        <v>FFDFD3C0</v>
      </c>
      <c r="D2388" t="s">
        <v>113</v>
      </c>
      <c r="E2388">
        <v>24</v>
      </c>
      <c r="F2388">
        <v>2024</v>
      </c>
      <c r="G2388" t="s">
        <v>114</v>
      </c>
      <c r="J2388" t="s">
        <v>115</v>
      </c>
      <c r="K2388">
        <v>0</v>
      </c>
      <c r="L2388">
        <v>3</v>
      </c>
      <c r="M2388">
        <v>0</v>
      </c>
      <c r="N2388">
        <v>2</v>
      </c>
      <c r="O2388">
        <v>0</v>
      </c>
      <c r="P2388">
        <v>1</v>
      </c>
      <c r="Q2388">
        <v>0</v>
      </c>
      <c r="S2388" t="str">
        <f t="shared" si="713"/>
        <v>22:19:30.000</v>
      </c>
      <c r="T2388" t="str">
        <f t="shared" si="713"/>
        <v>22:19:30.000</v>
      </c>
      <c r="U2388" t="str">
        <f t="shared" si="709"/>
        <v>A9D71F</v>
      </c>
      <c r="V2388">
        <v>0</v>
      </c>
      <c r="W2388">
        <v>0</v>
      </c>
      <c r="X2388">
        <v>2</v>
      </c>
      <c r="Z2388">
        <v>1</v>
      </c>
      <c r="AA2388">
        <v>8</v>
      </c>
      <c r="AB2388">
        <v>3</v>
      </c>
      <c r="AC2388">
        <v>0</v>
      </c>
      <c r="AD2388">
        <v>9</v>
      </c>
      <c r="AE2388">
        <v>0</v>
      </c>
      <c r="AF2388">
        <v>3</v>
      </c>
      <c r="AG2388">
        <v>1</v>
      </c>
      <c r="AH2388">
        <v>0</v>
      </c>
      <c r="AI2388" t="s">
        <v>1238</v>
      </c>
      <c r="AJ2388">
        <v>33.000740999999998</v>
      </c>
      <c r="AK2388" t="s">
        <v>1239</v>
      </c>
      <c r="AL2388">
        <v>-97.659209000000004</v>
      </c>
      <c r="AM2388">
        <v>25</v>
      </c>
      <c r="AN2388">
        <v>3000</v>
      </c>
      <c r="AO2388" t="s">
        <v>118</v>
      </c>
      <c r="AP2388">
        <v>-50</v>
      </c>
      <c r="AQ2388">
        <v>-31</v>
      </c>
      <c r="AR2388">
        <v>-640</v>
      </c>
      <c r="AZ2388">
        <v>1200</v>
      </c>
      <c r="BA2388">
        <v>1</v>
      </c>
      <c r="BB2388" t="str">
        <f t="shared" si="697"/>
        <v xml:space="preserve">N733KP  </v>
      </c>
      <c r="BC2388">
        <v>1</v>
      </c>
      <c r="BE2388">
        <v>0</v>
      </c>
      <c r="BF2388">
        <v>0</v>
      </c>
      <c r="BG2388">
        <v>0</v>
      </c>
      <c r="BH2388">
        <v>3000</v>
      </c>
      <c r="BI2388">
        <v>1</v>
      </c>
      <c r="BJ2388">
        <v>1</v>
      </c>
      <c r="BK2388">
        <v>0</v>
      </c>
      <c r="BL2388">
        <v>0</v>
      </c>
      <c r="BO2388">
        <v>0</v>
      </c>
      <c r="BP2388">
        <v>0</v>
      </c>
      <c r="BW2388" t="str">
        <f>"22:19:30.504"</f>
        <v>22:19:30.504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6</v>
      </c>
      <c r="CP2388" t="s">
        <v>119</v>
      </c>
      <c r="CQ2388">
        <v>364</v>
      </c>
      <c r="CR2388">
        <v>0</v>
      </c>
      <c r="CW2388">
        <v>1454780</v>
      </c>
      <c r="CY2388">
        <v>1</v>
      </c>
      <c r="CZ2388">
        <v>0</v>
      </c>
      <c r="DA2388">
        <v>1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>"03/24/2022 22:19:31.735"</f>
        <v>03/24/2022 22:19:31.735</v>
      </c>
      <c r="C2389" t="str">
        <f t="shared" si="696"/>
        <v>FFDFD3C0</v>
      </c>
      <c r="D2389" t="s">
        <v>123</v>
      </c>
      <c r="E2389">
        <v>8</v>
      </c>
      <c r="H2389">
        <v>31</v>
      </c>
      <c r="I2389" t="s">
        <v>124</v>
      </c>
      <c r="J2389" t="s">
        <v>125</v>
      </c>
      <c r="K2389">
        <v>0</v>
      </c>
      <c r="L2389">
        <v>3</v>
      </c>
      <c r="M2389">
        <v>0</v>
      </c>
      <c r="N2389">
        <v>2</v>
      </c>
      <c r="O2389">
        <v>0</v>
      </c>
      <c r="P2389">
        <v>1</v>
      </c>
      <c r="Q2389">
        <v>0</v>
      </c>
      <c r="S2389" t="str">
        <f t="shared" ref="S2389:T2392" si="714">"22:19:31.000"</f>
        <v>22:19:31.000</v>
      </c>
      <c r="T2389" t="str">
        <f t="shared" si="714"/>
        <v>22:19:31.000</v>
      </c>
      <c r="U2389" t="str">
        <f t="shared" si="709"/>
        <v>A9D71F</v>
      </c>
      <c r="V2389">
        <v>0</v>
      </c>
      <c r="W2389">
        <v>0</v>
      </c>
      <c r="X2389">
        <v>2</v>
      </c>
      <c r="Z2389">
        <v>1</v>
      </c>
      <c r="AA2389">
        <v>8</v>
      </c>
      <c r="AB2389">
        <v>3</v>
      </c>
      <c r="AC2389">
        <v>0</v>
      </c>
      <c r="AD2389">
        <v>9</v>
      </c>
      <c r="AE2389">
        <v>0</v>
      </c>
      <c r="AF2389">
        <v>3</v>
      </c>
      <c r="AG2389">
        <v>1</v>
      </c>
      <c r="AH2389">
        <v>0</v>
      </c>
      <c r="AI2389" t="s">
        <v>1240</v>
      </c>
      <c r="AJ2389">
        <v>33.000591</v>
      </c>
      <c r="AK2389" t="s">
        <v>1241</v>
      </c>
      <c r="AL2389">
        <v>-97.659509</v>
      </c>
      <c r="AM2389">
        <v>25</v>
      </c>
      <c r="AN2389">
        <v>3000</v>
      </c>
      <c r="AO2389" t="s">
        <v>118</v>
      </c>
      <c r="AP2389">
        <v>-52</v>
      </c>
      <c r="AQ2389">
        <v>-28</v>
      </c>
      <c r="AR2389">
        <v>-640</v>
      </c>
      <c r="AZ2389">
        <v>1200</v>
      </c>
      <c r="BA2389">
        <v>1</v>
      </c>
      <c r="BB2389" t="str">
        <f t="shared" si="697"/>
        <v xml:space="preserve">N733KP  </v>
      </c>
      <c r="BC2389">
        <v>1</v>
      </c>
      <c r="BE2389">
        <v>0</v>
      </c>
      <c r="BF2389">
        <v>0</v>
      </c>
      <c r="BG2389">
        <v>0</v>
      </c>
      <c r="BH2389">
        <v>3000</v>
      </c>
      <c r="BI2389">
        <v>1</v>
      </c>
      <c r="BJ2389">
        <v>1</v>
      </c>
      <c r="BK2389">
        <v>0</v>
      </c>
      <c r="BL2389">
        <v>0</v>
      </c>
      <c r="BO2389">
        <v>0</v>
      </c>
      <c r="BP2389">
        <v>0</v>
      </c>
      <c r="BW2389" t="str">
        <f>"22:19:31.576"</f>
        <v>22:19:31.576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5</v>
      </c>
      <c r="CP2389" t="s">
        <v>119</v>
      </c>
      <c r="CQ2389">
        <v>364</v>
      </c>
      <c r="CR2389">
        <v>0</v>
      </c>
      <c r="CW2389">
        <v>1454912</v>
      </c>
      <c r="CY2389">
        <v>1</v>
      </c>
      <c r="CZ2389">
        <v>0</v>
      </c>
      <c r="DA2389">
        <v>0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>"03/24/2022 22:19:31.735"</f>
        <v>03/24/2022 22:19:31.735</v>
      </c>
      <c r="C2390" t="str">
        <f t="shared" ref="C2390:C2453" si="715">"FFDFD3C0"</f>
        <v>FFDFD3C0</v>
      </c>
      <c r="D2390" t="s">
        <v>120</v>
      </c>
      <c r="E2390">
        <v>14</v>
      </c>
      <c r="F2390">
        <v>1014</v>
      </c>
      <c r="G2390" t="s">
        <v>121</v>
      </c>
      <c r="J2390" t="s">
        <v>122</v>
      </c>
      <c r="K2390">
        <v>0</v>
      </c>
      <c r="L2390">
        <v>3</v>
      </c>
      <c r="M2390">
        <v>0</v>
      </c>
      <c r="N2390">
        <v>2</v>
      </c>
      <c r="O2390">
        <v>0</v>
      </c>
      <c r="P2390">
        <v>1</v>
      </c>
      <c r="Q2390">
        <v>0</v>
      </c>
      <c r="S2390" t="str">
        <f t="shared" si="714"/>
        <v>22:19:31.000</v>
      </c>
      <c r="T2390" t="str">
        <f t="shared" si="714"/>
        <v>22:19:31.000</v>
      </c>
      <c r="U2390" t="str">
        <f t="shared" si="709"/>
        <v>A9D71F</v>
      </c>
      <c r="V2390">
        <v>0</v>
      </c>
      <c r="W2390">
        <v>0</v>
      </c>
      <c r="X2390">
        <v>2</v>
      </c>
      <c r="Z2390">
        <v>1</v>
      </c>
      <c r="AA2390">
        <v>8</v>
      </c>
      <c r="AB2390">
        <v>3</v>
      </c>
      <c r="AC2390">
        <v>0</v>
      </c>
      <c r="AD2390">
        <v>9</v>
      </c>
      <c r="AE2390">
        <v>0</v>
      </c>
      <c r="AF2390">
        <v>3</v>
      </c>
      <c r="AG2390">
        <v>1</v>
      </c>
      <c r="AH2390">
        <v>0</v>
      </c>
      <c r="AI2390" t="s">
        <v>1240</v>
      </c>
      <c r="AJ2390">
        <v>33.000591</v>
      </c>
      <c r="AK2390" t="s">
        <v>1241</v>
      </c>
      <c r="AL2390">
        <v>-97.659509</v>
      </c>
      <c r="AM2390">
        <v>25</v>
      </c>
      <c r="AN2390">
        <v>3000</v>
      </c>
      <c r="AO2390" t="s">
        <v>118</v>
      </c>
      <c r="AP2390">
        <v>-52</v>
      </c>
      <c r="AQ2390">
        <v>-28</v>
      </c>
      <c r="AR2390">
        <v>-640</v>
      </c>
      <c r="AZ2390">
        <v>1200</v>
      </c>
      <c r="BA2390">
        <v>1</v>
      </c>
      <c r="BB2390" t="str">
        <f t="shared" ref="BB2390:BB2453" si="716">"N733KP  "</f>
        <v xml:space="preserve">N733KP  </v>
      </c>
      <c r="BC2390">
        <v>1</v>
      </c>
      <c r="BE2390">
        <v>0</v>
      </c>
      <c r="BF2390">
        <v>0</v>
      </c>
      <c r="BG2390">
        <v>0</v>
      </c>
      <c r="BH2390">
        <v>3000</v>
      </c>
      <c r="BI2390">
        <v>1</v>
      </c>
      <c r="BJ2390">
        <v>1</v>
      </c>
      <c r="BK2390">
        <v>0</v>
      </c>
      <c r="BL2390">
        <v>0</v>
      </c>
      <c r="BO2390">
        <v>0</v>
      </c>
      <c r="BP2390">
        <v>0</v>
      </c>
      <c r="BW2390" t="str">
        <f>"22:19:31.576"</f>
        <v>22:19:31.576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5</v>
      </c>
      <c r="CP2390" t="s">
        <v>119</v>
      </c>
      <c r="CQ2390">
        <v>364</v>
      </c>
      <c r="CR2390">
        <v>0</v>
      </c>
      <c r="CW2390">
        <v>1454912</v>
      </c>
      <c r="CY2390">
        <v>1</v>
      </c>
      <c r="CZ2390">
        <v>0</v>
      </c>
      <c r="DA2390">
        <v>1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>"03/24/2022 22:19:31.751"</f>
        <v>03/24/2022 22:19:31.751</v>
      </c>
      <c r="C2391" t="str">
        <f t="shared" si="715"/>
        <v>FFDFD3C0</v>
      </c>
      <c r="D2391" t="s">
        <v>126</v>
      </c>
      <c r="E2391">
        <v>3</v>
      </c>
      <c r="H2391">
        <v>160</v>
      </c>
      <c r="I2391" t="s">
        <v>121</v>
      </c>
      <c r="J2391" t="s">
        <v>127</v>
      </c>
      <c r="K2391">
        <v>0</v>
      </c>
      <c r="L2391">
        <v>3</v>
      </c>
      <c r="M2391">
        <v>0</v>
      </c>
      <c r="N2391">
        <v>2</v>
      </c>
      <c r="O2391">
        <v>0</v>
      </c>
      <c r="P2391">
        <v>1</v>
      </c>
      <c r="Q2391">
        <v>0</v>
      </c>
      <c r="S2391" t="str">
        <f t="shared" si="714"/>
        <v>22:19:31.000</v>
      </c>
      <c r="T2391" t="str">
        <f t="shared" si="714"/>
        <v>22:19:31.000</v>
      </c>
      <c r="U2391" t="str">
        <f t="shared" si="709"/>
        <v>A9D71F</v>
      </c>
      <c r="V2391">
        <v>0</v>
      </c>
      <c r="W2391">
        <v>0</v>
      </c>
      <c r="X2391">
        <v>2</v>
      </c>
      <c r="Z2391">
        <v>1</v>
      </c>
      <c r="AA2391">
        <v>8</v>
      </c>
      <c r="AB2391">
        <v>3</v>
      </c>
      <c r="AC2391">
        <v>0</v>
      </c>
      <c r="AD2391">
        <v>9</v>
      </c>
      <c r="AE2391">
        <v>0</v>
      </c>
      <c r="AF2391">
        <v>3</v>
      </c>
      <c r="AG2391">
        <v>1</v>
      </c>
      <c r="AH2391">
        <v>0</v>
      </c>
      <c r="AI2391" t="s">
        <v>1240</v>
      </c>
      <c r="AJ2391">
        <v>33.000591</v>
      </c>
      <c r="AK2391" t="s">
        <v>1241</v>
      </c>
      <c r="AL2391">
        <v>-97.659509</v>
      </c>
      <c r="AM2391">
        <v>25</v>
      </c>
      <c r="AN2391">
        <v>3000</v>
      </c>
      <c r="AO2391" t="s">
        <v>118</v>
      </c>
      <c r="AP2391">
        <v>-52</v>
      </c>
      <c r="AQ2391">
        <v>-28</v>
      </c>
      <c r="AR2391">
        <v>-640</v>
      </c>
      <c r="AZ2391">
        <v>1200</v>
      </c>
      <c r="BA2391">
        <v>1</v>
      </c>
      <c r="BB2391" t="str">
        <f t="shared" si="716"/>
        <v xml:space="preserve">N733KP  </v>
      </c>
      <c r="BC2391">
        <v>1</v>
      </c>
      <c r="BE2391">
        <v>0</v>
      </c>
      <c r="BF2391">
        <v>0</v>
      </c>
      <c r="BG2391">
        <v>0</v>
      </c>
      <c r="BH2391">
        <v>3000</v>
      </c>
      <c r="BI2391">
        <v>1</v>
      </c>
      <c r="BJ2391">
        <v>1</v>
      </c>
      <c r="BK2391">
        <v>0</v>
      </c>
      <c r="BL2391">
        <v>0</v>
      </c>
      <c r="BO2391">
        <v>0</v>
      </c>
      <c r="BP2391">
        <v>0</v>
      </c>
      <c r="BW2391" t="str">
        <f>"22:19:31.576"</f>
        <v>22:19:31.576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5</v>
      </c>
      <c r="CP2391" t="s">
        <v>119</v>
      </c>
      <c r="CQ2391">
        <v>364</v>
      </c>
      <c r="CR2391">
        <v>0</v>
      </c>
      <c r="CW2391">
        <v>1454912</v>
      </c>
      <c r="CY2391">
        <v>1</v>
      </c>
      <c r="CZ2391">
        <v>0</v>
      </c>
      <c r="DA2391">
        <v>1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>"03/24/2022 22:19:31.751"</f>
        <v>03/24/2022 22:19:31.751</v>
      </c>
      <c r="C2392" t="str">
        <f t="shared" si="715"/>
        <v>FFDFD3C0</v>
      </c>
      <c r="D2392" t="s">
        <v>113</v>
      </c>
      <c r="E2392">
        <v>24</v>
      </c>
      <c r="F2392">
        <v>2024</v>
      </c>
      <c r="G2392" t="s">
        <v>114</v>
      </c>
      <c r="J2392" t="s">
        <v>115</v>
      </c>
      <c r="K2392">
        <v>0</v>
      </c>
      <c r="L2392">
        <v>3</v>
      </c>
      <c r="M2392">
        <v>0</v>
      </c>
      <c r="N2392">
        <v>2</v>
      </c>
      <c r="O2392">
        <v>0</v>
      </c>
      <c r="P2392">
        <v>1</v>
      </c>
      <c r="Q2392">
        <v>0</v>
      </c>
      <c r="S2392" t="str">
        <f t="shared" si="714"/>
        <v>22:19:31.000</v>
      </c>
      <c r="T2392" t="str">
        <f t="shared" si="714"/>
        <v>22:19:31.000</v>
      </c>
      <c r="U2392" t="str">
        <f t="shared" si="709"/>
        <v>A9D71F</v>
      </c>
      <c r="V2392">
        <v>0</v>
      </c>
      <c r="W2392">
        <v>0</v>
      </c>
      <c r="X2392">
        <v>2</v>
      </c>
      <c r="Z2392">
        <v>1</v>
      </c>
      <c r="AA2392">
        <v>8</v>
      </c>
      <c r="AB2392">
        <v>3</v>
      </c>
      <c r="AC2392">
        <v>0</v>
      </c>
      <c r="AD2392">
        <v>9</v>
      </c>
      <c r="AE2392">
        <v>0</v>
      </c>
      <c r="AF2392">
        <v>3</v>
      </c>
      <c r="AG2392">
        <v>1</v>
      </c>
      <c r="AH2392">
        <v>0</v>
      </c>
      <c r="AI2392" t="s">
        <v>1240</v>
      </c>
      <c r="AJ2392">
        <v>33.000591</v>
      </c>
      <c r="AK2392" t="s">
        <v>1241</v>
      </c>
      <c r="AL2392">
        <v>-97.659509</v>
      </c>
      <c r="AM2392">
        <v>25</v>
      </c>
      <c r="AN2392">
        <v>3000</v>
      </c>
      <c r="AO2392" t="s">
        <v>118</v>
      </c>
      <c r="AP2392">
        <v>-52</v>
      </c>
      <c r="AQ2392">
        <v>-28</v>
      </c>
      <c r="AR2392">
        <v>-640</v>
      </c>
      <c r="AZ2392">
        <v>1200</v>
      </c>
      <c r="BA2392">
        <v>1</v>
      </c>
      <c r="BB2392" t="str">
        <f t="shared" si="716"/>
        <v xml:space="preserve">N733KP  </v>
      </c>
      <c r="BC2392">
        <v>1</v>
      </c>
      <c r="BE2392">
        <v>0</v>
      </c>
      <c r="BF2392">
        <v>0</v>
      </c>
      <c r="BG2392">
        <v>0</v>
      </c>
      <c r="BH2392">
        <v>3000</v>
      </c>
      <c r="BI2392">
        <v>1</v>
      </c>
      <c r="BJ2392">
        <v>1</v>
      </c>
      <c r="BK2392">
        <v>0</v>
      </c>
      <c r="BL2392">
        <v>0</v>
      </c>
      <c r="BO2392">
        <v>0</v>
      </c>
      <c r="BP2392">
        <v>0</v>
      </c>
      <c r="BW2392" t="str">
        <f>"22:19:31.576"</f>
        <v>22:19:31.576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5</v>
      </c>
      <c r="CP2392" t="s">
        <v>119</v>
      </c>
      <c r="CQ2392">
        <v>364</v>
      </c>
      <c r="CR2392">
        <v>0</v>
      </c>
      <c r="CW2392">
        <v>1454912</v>
      </c>
      <c r="CY2392">
        <v>1</v>
      </c>
      <c r="CZ2392">
        <v>0</v>
      </c>
      <c r="DA2392">
        <v>1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>"03/24/2022 22:19:32.611"</f>
        <v>03/24/2022 22:19:32.611</v>
      </c>
      <c r="C2393" t="str">
        <f t="shared" si="715"/>
        <v>FFDFD3C0</v>
      </c>
      <c r="D2393" t="s">
        <v>126</v>
      </c>
      <c r="E2393">
        <v>3</v>
      </c>
      <c r="H2393">
        <v>160</v>
      </c>
      <c r="I2393" t="s">
        <v>121</v>
      </c>
      <c r="J2393" t="s">
        <v>127</v>
      </c>
      <c r="K2393">
        <v>0</v>
      </c>
      <c r="L2393">
        <v>3</v>
      </c>
      <c r="M2393">
        <v>0</v>
      </c>
      <c r="N2393">
        <v>2</v>
      </c>
      <c r="O2393">
        <v>0</v>
      </c>
      <c r="P2393">
        <v>1</v>
      </c>
      <c r="Q2393">
        <v>0</v>
      </c>
      <c r="S2393" t="str">
        <f t="shared" ref="S2393:T2396" si="717">"22:19:32.000"</f>
        <v>22:19:32.000</v>
      </c>
      <c r="T2393" t="str">
        <f t="shared" si="717"/>
        <v>22:19:32.000</v>
      </c>
      <c r="U2393" t="str">
        <f t="shared" si="709"/>
        <v>A9D71F</v>
      </c>
      <c r="V2393">
        <v>0</v>
      </c>
      <c r="W2393">
        <v>0</v>
      </c>
      <c r="X2393">
        <v>2</v>
      </c>
      <c r="Z2393">
        <v>1</v>
      </c>
      <c r="AA2393">
        <v>8</v>
      </c>
      <c r="AB2393">
        <v>3</v>
      </c>
      <c r="AC2393">
        <v>0</v>
      </c>
      <c r="AD2393">
        <v>9</v>
      </c>
      <c r="AE2393">
        <v>0</v>
      </c>
      <c r="AF2393">
        <v>3</v>
      </c>
      <c r="AG2393">
        <v>1</v>
      </c>
      <c r="AH2393">
        <v>0</v>
      </c>
      <c r="AI2393" t="s">
        <v>1242</v>
      </c>
      <c r="AJ2393">
        <v>33.000484</v>
      </c>
      <c r="AK2393" t="s">
        <v>1243</v>
      </c>
      <c r="AL2393">
        <v>-97.659809999999993</v>
      </c>
      <c r="AM2393">
        <v>25</v>
      </c>
      <c r="AN2393">
        <v>2900</v>
      </c>
      <c r="AO2393" t="s">
        <v>118</v>
      </c>
      <c r="AP2393">
        <v>-52</v>
      </c>
      <c r="AQ2393">
        <v>-27</v>
      </c>
      <c r="AR2393">
        <v>-640</v>
      </c>
      <c r="AZ2393">
        <v>1200</v>
      </c>
      <c r="BA2393">
        <v>1</v>
      </c>
      <c r="BB2393" t="str">
        <f t="shared" si="716"/>
        <v xml:space="preserve">N733KP  </v>
      </c>
      <c r="BC2393">
        <v>1</v>
      </c>
      <c r="BE2393">
        <v>0</v>
      </c>
      <c r="BF2393">
        <v>0</v>
      </c>
      <c r="BG2393">
        <v>0</v>
      </c>
      <c r="BH2393">
        <v>2975</v>
      </c>
      <c r="BI2393">
        <v>1</v>
      </c>
      <c r="BJ2393">
        <v>1</v>
      </c>
      <c r="BK2393">
        <v>0</v>
      </c>
      <c r="BL2393">
        <v>0</v>
      </c>
      <c r="BO2393">
        <v>0</v>
      </c>
      <c r="BP2393">
        <v>0</v>
      </c>
      <c r="BW2393" t="str">
        <f>"22:19:32.460"</f>
        <v>22:19:32.460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6</v>
      </c>
      <c r="CP2393" t="s">
        <v>119</v>
      </c>
      <c r="CQ2393">
        <v>364</v>
      </c>
      <c r="CR2393">
        <v>0</v>
      </c>
      <c r="CW2393">
        <v>1455018</v>
      </c>
      <c r="CY2393">
        <v>1</v>
      </c>
      <c r="CZ2393">
        <v>0</v>
      </c>
      <c r="DA2393">
        <v>0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>"03/24/2022 22:19:32.611"</f>
        <v>03/24/2022 22:19:32.611</v>
      </c>
      <c r="C2394" t="str">
        <f t="shared" si="715"/>
        <v>FFDFD3C0</v>
      </c>
      <c r="D2394" t="s">
        <v>113</v>
      </c>
      <c r="E2394">
        <v>24</v>
      </c>
      <c r="F2394">
        <v>2024</v>
      </c>
      <c r="G2394" t="s">
        <v>114</v>
      </c>
      <c r="J2394" t="s">
        <v>115</v>
      </c>
      <c r="K2394">
        <v>0</v>
      </c>
      <c r="L2394">
        <v>3</v>
      </c>
      <c r="M2394">
        <v>0</v>
      </c>
      <c r="N2394">
        <v>2</v>
      </c>
      <c r="O2394">
        <v>0</v>
      </c>
      <c r="P2394">
        <v>1</v>
      </c>
      <c r="Q2394">
        <v>0</v>
      </c>
      <c r="S2394" t="str">
        <f t="shared" si="717"/>
        <v>22:19:32.000</v>
      </c>
      <c r="T2394" t="str">
        <f t="shared" si="717"/>
        <v>22:19:32.000</v>
      </c>
      <c r="U2394" t="str">
        <f t="shared" si="709"/>
        <v>A9D71F</v>
      </c>
      <c r="V2394">
        <v>0</v>
      </c>
      <c r="W2394">
        <v>0</v>
      </c>
      <c r="X2394">
        <v>2</v>
      </c>
      <c r="Z2394">
        <v>1</v>
      </c>
      <c r="AA2394">
        <v>8</v>
      </c>
      <c r="AB2394">
        <v>3</v>
      </c>
      <c r="AC2394">
        <v>0</v>
      </c>
      <c r="AD2394">
        <v>9</v>
      </c>
      <c r="AE2394">
        <v>0</v>
      </c>
      <c r="AF2394">
        <v>3</v>
      </c>
      <c r="AG2394">
        <v>1</v>
      </c>
      <c r="AH2394">
        <v>0</v>
      </c>
      <c r="AI2394" t="s">
        <v>1242</v>
      </c>
      <c r="AJ2394">
        <v>33.000484</v>
      </c>
      <c r="AK2394" t="s">
        <v>1243</v>
      </c>
      <c r="AL2394">
        <v>-97.659809999999993</v>
      </c>
      <c r="AM2394">
        <v>25</v>
      </c>
      <c r="AN2394">
        <v>2900</v>
      </c>
      <c r="AO2394" t="s">
        <v>118</v>
      </c>
      <c r="AP2394">
        <v>-52</v>
      </c>
      <c r="AQ2394">
        <v>-27</v>
      </c>
      <c r="AR2394">
        <v>-640</v>
      </c>
      <c r="AZ2394">
        <v>1200</v>
      </c>
      <c r="BA2394">
        <v>1</v>
      </c>
      <c r="BB2394" t="str">
        <f t="shared" si="716"/>
        <v xml:space="preserve">N733KP  </v>
      </c>
      <c r="BC2394">
        <v>1</v>
      </c>
      <c r="BE2394">
        <v>0</v>
      </c>
      <c r="BF2394">
        <v>0</v>
      </c>
      <c r="BG2394">
        <v>0</v>
      </c>
      <c r="BH2394">
        <v>2975</v>
      </c>
      <c r="BI2394">
        <v>1</v>
      </c>
      <c r="BJ2394">
        <v>1</v>
      </c>
      <c r="BK2394">
        <v>0</v>
      </c>
      <c r="BL2394">
        <v>0</v>
      </c>
      <c r="BO2394">
        <v>0</v>
      </c>
      <c r="BP2394">
        <v>0</v>
      </c>
      <c r="BW2394" t="str">
        <f>"22:19:32.460"</f>
        <v>22:19:32.460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6</v>
      </c>
      <c r="CP2394" t="s">
        <v>119</v>
      </c>
      <c r="CQ2394">
        <v>364</v>
      </c>
      <c r="CR2394">
        <v>0</v>
      </c>
      <c r="CW2394">
        <v>1455018</v>
      </c>
      <c r="CY2394">
        <v>1</v>
      </c>
      <c r="CZ2394">
        <v>0</v>
      </c>
      <c r="DA2394">
        <v>1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>"03/24/2022 22:19:32.643"</f>
        <v>03/24/2022 22:19:32.643</v>
      </c>
      <c r="C2395" t="str">
        <f t="shared" si="715"/>
        <v>FFDFD3C0</v>
      </c>
      <c r="D2395" t="s">
        <v>123</v>
      </c>
      <c r="E2395">
        <v>8</v>
      </c>
      <c r="H2395">
        <v>31</v>
      </c>
      <c r="I2395" t="s">
        <v>124</v>
      </c>
      <c r="J2395" t="s">
        <v>125</v>
      </c>
      <c r="K2395">
        <v>0</v>
      </c>
      <c r="L2395">
        <v>3</v>
      </c>
      <c r="M2395">
        <v>0</v>
      </c>
      <c r="N2395">
        <v>2</v>
      </c>
      <c r="O2395">
        <v>0</v>
      </c>
      <c r="P2395">
        <v>1</v>
      </c>
      <c r="Q2395">
        <v>0</v>
      </c>
      <c r="S2395" t="str">
        <f t="shared" si="717"/>
        <v>22:19:32.000</v>
      </c>
      <c r="T2395" t="str">
        <f t="shared" si="717"/>
        <v>22:19:32.000</v>
      </c>
      <c r="U2395" t="str">
        <f t="shared" si="709"/>
        <v>A9D71F</v>
      </c>
      <c r="V2395">
        <v>0</v>
      </c>
      <c r="W2395">
        <v>0</v>
      </c>
      <c r="X2395">
        <v>2</v>
      </c>
      <c r="Z2395">
        <v>1</v>
      </c>
      <c r="AA2395">
        <v>8</v>
      </c>
      <c r="AB2395">
        <v>3</v>
      </c>
      <c r="AC2395">
        <v>0</v>
      </c>
      <c r="AD2395">
        <v>9</v>
      </c>
      <c r="AE2395">
        <v>0</v>
      </c>
      <c r="AF2395">
        <v>3</v>
      </c>
      <c r="AG2395">
        <v>1</v>
      </c>
      <c r="AH2395">
        <v>0</v>
      </c>
      <c r="AI2395" t="s">
        <v>1242</v>
      </c>
      <c r="AJ2395">
        <v>33.000484</v>
      </c>
      <c r="AK2395" t="s">
        <v>1243</v>
      </c>
      <c r="AL2395">
        <v>-97.659809999999993</v>
      </c>
      <c r="AM2395">
        <v>25</v>
      </c>
      <c r="AN2395">
        <v>2900</v>
      </c>
      <c r="AO2395" t="s">
        <v>118</v>
      </c>
      <c r="AP2395">
        <v>-52</v>
      </c>
      <c r="AQ2395">
        <v>-27</v>
      </c>
      <c r="AR2395">
        <v>-640</v>
      </c>
      <c r="AZ2395">
        <v>1200</v>
      </c>
      <c r="BA2395">
        <v>1</v>
      </c>
      <c r="BB2395" t="str">
        <f t="shared" si="716"/>
        <v xml:space="preserve">N733KP  </v>
      </c>
      <c r="BC2395">
        <v>1</v>
      </c>
      <c r="BE2395">
        <v>0</v>
      </c>
      <c r="BF2395">
        <v>0</v>
      </c>
      <c r="BG2395">
        <v>0</v>
      </c>
      <c r="BH2395">
        <v>2975</v>
      </c>
      <c r="BI2395">
        <v>1</v>
      </c>
      <c r="BJ2395">
        <v>1</v>
      </c>
      <c r="BK2395">
        <v>0</v>
      </c>
      <c r="BL2395">
        <v>0</v>
      </c>
      <c r="BO2395">
        <v>0</v>
      </c>
      <c r="BP2395">
        <v>0</v>
      </c>
      <c r="BW2395" t="str">
        <f>"22:19:32.460"</f>
        <v>22:19:32.460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6</v>
      </c>
      <c r="CP2395" t="s">
        <v>119</v>
      </c>
      <c r="CQ2395">
        <v>364</v>
      </c>
      <c r="CR2395">
        <v>0</v>
      </c>
      <c r="CW2395">
        <v>1455018</v>
      </c>
      <c r="CY2395">
        <v>1</v>
      </c>
      <c r="CZ2395">
        <v>0</v>
      </c>
      <c r="DA2395">
        <v>1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>"03/24/2022 22:19:32.643"</f>
        <v>03/24/2022 22:19:32.643</v>
      </c>
      <c r="C2396" t="str">
        <f t="shared" si="715"/>
        <v>FFDFD3C0</v>
      </c>
      <c r="D2396" t="s">
        <v>120</v>
      </c>
      <c r="E2396">
        <v>14</v>
      </c>
      <c r="F2396">
        <v>1014</v>
      </c>
      <c r="G2396" t="s">
        <v>121</v>
      </c>
      <c r="J2396" t="s">
        <v>122</v>
      </c>
      <c r="K2396">
        <v>0</v>
      </c>
      <c r="L2396">
        <v>3</v>
      </c>
      <c r="M2396">
        <v>0</v>
      </c>
      <c r="N2396">
        <v>2</v>
      </c>
      <c r="O2396">
        <v>0</v>
      </c>
      <c r="P2396">
        <v>1</v>
      </c>
      <c r="Q2396">
        <v>0</v>
      </c>
      <c r="S2396" t="str">
        <f t="shared" si="717"/>
        <v>22:19:32.000</v>
      </c>
      <c r="T2396" t="str">
        <f t="shared" si="717"/>
        <v>22:19:32.000</v>
      </c>
      <c r="U2396" t="str">
        <f t="shared" si="709"/>
        <v>A9D71F</v>
      </c>
      <c r="V2396">
        <v>0</v>
      </c>
      <c r="W2396">
        <v>0</v>
      </c>
      <c r="X2396">
        <v>2</v>
      </c>
      <c r="Z2396">
        <v>1</v>
      </c>
      <c r="AA2396">
        <v>8</v>
      </c>
      <c r="AB2396">
        <v>3</v>
      </c>
      <c r="AC2396">
        <v>0</v>
      </c>
      <c r="AD2396">
        <v>9</v>
      </c>
      <c r="AE2396">
        <v>0</v>
      </c>
      <c r="AF2396">
        <v>3</v>
      </c>
      <c r="AG2396">
        <v>1</v>
      </c>
      <c r="AH2396">
        <v>0</v>
      </c>
      <c r="AI2396" t="s">
        <v>1242</v>
      </c>
      <c r="AJ2396">
        <v>33.000484</v>
      </c>
      <c r="AK2396" t="s">
        <v>1243</v>
      </c>
      <c r="AL2396">
        <v>-97.659809999999993</v>
      </c>
      <c r="AM2396">
        <v>25</v>
      </c>
      <c r="AN2396">
        <v>2900</v>
      </c>
      <c r="AO2396" t="s">
        <v>118</v>
      </c>
      <c r="AP2396">
        <v>-52</v>
      </c>
      <c r="AQ2396">
        <v>-27</v>
      </c>
      <c r="AR2396">
        <v>-640</v>
      </c>
      <c r="AZ2396">
        <v>1200</v>
      </c>
      <c r="BA2396">
        <v>1</v>
      </c>
      <c r="BB2396" t="str">
        <f t="shared" si="716"/>
        <v xml:space="preserve">N733KP  </v>
      </c>
      <c r="BC2396">
        <v>1</v>
      </c>
      <c r="BE2396">
        <v>0</v>
      </c>
      <c r="BF2396">
        <v>0</v>
      </c>
      <c r="BG2396">
        <v>0</v>
      </c>
      <c r="BH2396">
        <v>2975</v>
      </c>
      <c r="BI2396">
        <v>1</v>
      </c>
      <c r="BJ2396">
        <v>1</v>
      </c>
      <c r="BK2396">
        <v>0</v>
      </c>
      <c r="BL2396">
        <v>0</v>
      </c>
      <c r="BO2396">
        <v>0</v>
      </c>
      <c r="BP2396">
        <v>0</v>
      </c>
      <c r="BW2396" t="str">
        <f>"22:19:32.460"</f>
        <v>22:19:32.460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6</v>
      </c>
      <c r="CP2396" t="s">
        <v>119</v>
      </c>
      <c r="CQ2396">
        <v>364</v>
      </c>
      <c r="CR2396">
        <v>0</v>
      </c>
      <c r="CW2396">
        <v>1455018</v>
      </c>
      <c r="CY2396">
        <v>1</v>
      </c>
      <c r="CZ2396">
        <v>0</v>
      </c>
      <c r="DA2396">
        <v>1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>"03/24/2022 22:19:33.551"</f>
        <v>03/24/2022 22:19:33.551</v>
      </c>
      <c r="C2397" t="str">
        <f t="shared" si="715"/>
        <v>FFDFD3C0</v>
      </c>
      <c r="D2397" t="s">
        <v>123</v>
      </c>
      <c r="E2397">
        <v>8</v>
      </c>
      <c r="H2397">
        <v>31</v>
      </c>
      <c r="I2397" t="s">
        <v>124</v>
      </c>
      <c r="J2397" t="s">
        <v>125</v>
      </c>
      <c r="K2397">
        <v>0</v>
      </c>
      <c r="L2397">
        <v>3</v>
      </c>
      <c r="M2397">
        <v>0</v>
      </c>
      <c r="N2397">
        <v>2</v>
      </c>
      <c r="O2397">
        <v>0</v>
      </c>
      <c r="P2397">
        <v>1</v>
      </c>
      <c r="Q2397">
        <v>0</v>
      </c>
      <c r="S2397" t="str">
        <f t="shared" ref="S2397:T2400" si="718">"22:19:33.000"</f>
        <v>22:19:33.000</v>
      </c>
      <c r="T2397" t="str">
        <f t="shared" si="718"/>
        <v>22:19:33.000</v>
      </c>
      <c r="U2397" t="str">
        <f t="shared" si="709"/>
        <v>A9D71F</v>
      </c>
      <c r="V2397">
        <v>0</v>
      </c>
      <c r="W2397">
        <v>0</v>
      </c>
      <c r="X2397">
        <v>2</v>
      </c>
      <c r="Z2397">
        <v>1</v>
      </c>
      <c r="AA2397">
        <v>8</v>
      </c>
      <c r="AB2397">
        <v>3</v>
      </c>
      <c r="AC2397">
        <v>0</v>
      </c>
      <c r="AD2397">
        <v>9</v>
      </c>
      <c r="AE2397">
        <v>0</v>
      </c>
      <c r="AF2397">
        <v>3</v>
      </c>
      <c r="AG2397">
        <v>1</v>
      </c>
      <c r="AH2397">
        <v>0</v>
      </c>
      <c r="AI2397" t="s">
        <v>1244</v>
      </c>
      <c r="AJ2397">
        <v>33.000332999999998</v>
      </c>
      <c r="AK2397" t="s">
        <v>1245</v>
      </c>
      <c r="AL2397">
        <v>-97.660088999999999</v>
      </c>
      <c r="AM2397">
        <v>25</v>
      </c>
      <c r="AN2397">
        <v>2900</v>
      </c>
      <c r="AO2397" t="s">
        <v>118</v>
      </c>
      <c r="AP2397">
        <v>-53</v>
      </c>
      <c r="AQ2397">
        <v>-24</v>
      </c>
      <c r="AR2397">
        <v>-640</v>
      </c>
      <c r="AZ2397">
        <v>1200</v>
      </c>
      <c r="BA2397">
        <v>1</v>
      </c>
      <c r="BB2397" t="str">
        <f t="shared" si="716"/>
        <v xml:space="preserve">N733KP  </v>
      </c>
      <c r="BC2397">
        <v>1</v>
      </c>
      <c r="BE2397">
        <v>0</v>
      </c>
      <c r="BF2397">
        <v>0</v>
      </c>
      <c r="BG2397">
        <v>0</v>
      </c>
      <c r="BH2397">
        <v>2975</v>
      </c>
      <c r="BI2397">
        <v>1</v>
      </c>
      <c r="BJ2397">
        <v>1</v>
      </c>
      <c r="BK2397">
        <v>0</v>
      </c>
      <c r="BL2397">
        <v>0</v>
      </c>
      <c r="BO2397">
        <v>0</v>
      </c>
      <c r="BP2397">
        <v>0</v>
      </c>
      <c r="BW2397" t="str">
        <f>"22:19:33.325"</f>
        <v>22:19:33.325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6</v>
      </c>
      <c r="CP2397" t="s">
        <v>119</v>
      </c>
      <c r="CQ2397">
        <v>364</v>
      </c>
      <c r="CR2397">
        <v>0</v>
      </c>
      <c r="CW2397">
        <v>1455124</v>
      </c>
      <c r="CY2397">
        <v>1</v>
      </c>
      <c r="CZ2397">
        <v>0</v>
      </c>
      <c r="DA2397">
        <v>0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>"03/24/2022 22:19:33.551"</f>
        <v>03/24/2022 22:19:33.551</v>
      </c>
      <c r="C2398" t="str">
        <f t="shared" si="715"/>
        <v>FFDFD3C0</v>
      </c>
      <c r="D2398" t="s">
        <v>120</v>
      </c>
      <c r="E2398">
        <v>14</v>
      </c>
      <c r="F2398">
        <v>1014</v>
      </c>
      <c r="G2398" t="s">
        <v>121</v>
      </c>
      <c r="J2398" t="s">
        <v>122</v>
      </c>
      <c r="K2398">
        <v>0</v>
      </c>
      <c r="L2398">
        <v>3</v>
      </c>
      <c r="M2398">
        <v>0</v>
      </c>
      <c r="N2398">
        <v>2</v>
      </c>
      <c r="O2398">
        <v>0</v>
      </c>
      <c r="P2398">
        <v>1</v>
      </c>
      <c r="Q2398">
        <v>0</v>
      </c>
      <c r="S2398" t="str">
        <f t="shared" si="718"/>
        <v>22:19:33.000</v>
      </c>
      <c r="T2398" t="str">
        <f t="shared" si="718"/>
        <v>22:19:33.000</v>
      </c>
      <c r="U2398" t="str">
        <f t="shared" si="709"/>
        <v>A9D71F</v>
      </c>
      <c r="V2398">
        <v>0</v>
      </c>
      <c r="W2398">
        <v>0</v>
      </c>
      <c r="X2398">
        <v>2</v>
      </c>
      <c r="Z2398">
        <v>1</v>
      </c>
      <c r="AA2398">
        <v>8</v>
      </c>
      <c r="AB2398">
        <v>3</v>
      </c>
      <c r="AC2398">
        <v>0</v>
      </c>
      <c r="AD2398">
        <v>9</v>
      </c>
      <c r="AE2398">
        <v>0</v>
      </c>
      <c r="AF2398">
        <v>3</v>
      </c>
      <c r="AG2398">
        <v>1</v>
      </c>
      <c r="AH2398">
        <v>0</v>
      </c>
      <c r="AI2398" t="s">
        <v>1244</v>
      </c>
      <c r="AJ2398">
        <v>33.000332999999998</v>
      </c>
      <c r="AK2398" t="s">
        <v>1245</v>
      </c>
      <c r="AL2398">
        <v>-97.660088999999999</v>
      </c>
      <c r="AM2398">
        <v>25</v>
      </c>
      <c r="AN2398">
        <v>2900</v>
      </c>
      <c r="AO2398" t="s">
        <v>118</v>
      </c>
      <c r="AP2398">
        <v>-53</v>
      </c>
      <c r="AQ2398">
        <v>-24</v>
      </c>
      <c r="AR2398">
        <v>-640</v>
      </c>
      <c r="AZ2398">
        <v>1200</v>
      </c>
      <c r="BA2398">
        <v>1</v>
      </c>
      <c r="BB2398" t="str">
        <f t="shared" si="716"/>
        <v xml:space="preserve">N733KP  </v>
      </c>
      <c r="BC2398">
        <v>1</v>
      </c>
      <c r="BE2398">
        <v>0</v>
      </c>
      <c r="BF2398">
        <v>0</v>
      </c>
      <c r="BG2398">
        <v>0</v>
      </c>
      <c r="BH2398">
        <v>2975</v>
      </c>
      <c r="BI2398">
        <v>1</v>
      </c>
      <c r="BJ2398">
        <v>1</v>
      </c>
      <c r="BK2398">
        <v>0</v>
      </c>
      <c r="BL2398">
        <v>0</v>
      </c>
      <c r="BO2398">
        <v>0</v>
      </c>
      <c r="BP2398">
        <v>0</v>
      </c>
      <c r="BW2398" t="str">
        <f>"22:19:33.325"</f>
        <v>22:19:33.325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6</v>
      </c>
      <c r="CP2398" t="s">
        <v>119</v>
      </c>
      <c r="CQ2398">
        <v>364</v>
      </c>
      <c r="CR2398">
        <v>0</v>
      </c>
      <c r="CW2398">
        <v>1455124</v>
      </c>
      <c r="CY2398">
        <v>1</v>
      </c>
      <c r="CZ2398">
        <v>0</v>
      </c>
      <c r="DA2398">
        <v>1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>"03/24/2022 22:19:33.551"</f>
        <v>03/24/2022 22:19:33.551</v>
      </c>
      <c r="C2399" t="str">
        <f t="shared" si="715"/>
        <v>FFDFD3C0</v>
      </c>
      <c r="D2399" t="s">
        <v>126</v>
      </c>
      <c r="E2399">
        <v>3</v>
      </c>
      <c r="H2399">
        <v>160</v>
      </c>
      <c r="I2399" t="s">
        <v>121</v>
      </c>
      <c r="J2399" t="s">
        <v>127</v>
      </c>
      <c r="K2399">
        <v>0</v>
      </c>
      <c r="L2399">
        <v>3</v>
      </c>
      <c r="M2399">
        <v>0</v>
      </c>
      <c r="N2399">
        <v>2</v>
      </c>
      <c r="O2399">
        <v>0</v>
      </c>
      <c r="P2399">
        <v>1</v>
      </c>
      <c r="Q2399">
        <v>0</v>
      </c>
      <c r="S2399" t="str">
        <f t="shared" si="718"/>
        <v>22:19:33.000</v>
      </c>
      <c r="T2399" t="str">
        <f t="shared" si="718"/>
        <v>22:19:33.000</v>
      </c>
      <c r="U2399" t="str">
        <f t="shared" si="709"/>
        <v>A9D71F</v>
      </c>
      <c r="V2399">
        <v>0</v>
      </c>
      <c r="W2399">
        <v>0</v>
      </c>
      <c r="X2399">
        <v>2</v>
      </c>
      <c r="Z2399">
        <v>1</v>
      </c>
      <c r="AA2399">
        <v>8</v>
      </c>
      <c r="AB2399">
        <v>3</v>
      </c>
      <c r="AC2399">
        <v>0</v>
      </c>
      <c r="AD2399">
        <v>9</v>
      </c>
      <c r="AE2399">
        <v>0</v>
      </c>
      <c r="AF2399">
        <v>3</v>
      </c>
      <c r="AG2399">
        <v>1</v>
      </c>
      <c r="AH2399">
        <v>0</v>
      </c>
      <c r="AI2399" t="s">
        <v>1244</v>
      </c>
      <c r="AJ2399">
        <v>33.000332999999998</v>
      </c>
      <c r="AK2399" t="s">
        <v>1245</v>
      </c>
      <c r="AL2399">
        <v>-97.660088999999999</v>
      </c>
      <c r="AM2399">
        <v>25</v>
      </c>
      <c r="AN2399">
        <v>2900</v>
      </c>
      <c r="AO2399" t="s">
        <v>118</v>
      </c>
      <c r="AP2399">
        <v>-53</v>
      </c>
      <c r="AQ2399">
        <v>-24</v>
      </c>
      <c r="AR2399">
        <v>-640</v>
      </c>
      <c r="AZ2399">
        <v>1200</v>
      </c>
      <c r="BA2399">
        <v>1</v>
      </c>
      <c r="BB2399" t="str">
        <f t="shared" si="716"/>
        <v xml:space="preserve">N733KP  </v>
      </c>
      <c r="BC2399">
        <v>1</v>
      </c>
      <c r="BE2399">
        <v>0</v>
      </c>
      <c r="BF2399">
        <v>0</v>
      </c>
      <c r="BG2399">
        <v>0</v>
      </c>
      <c r="BH2399">
        <v>2975</v>
      </c>
      <c r="BI2399">
        <v>1</v>
      </c>
      <c r="BJ2399">
        <v>1</v>
      </c>
      <c r="BK2399">
        <v>0</v>
      </c>
      <c r="BL2399">
        <v>0</v>
      </c>
      <c r="BO2399">
        <v>0</v>
      </c>
      <c r="BP2399">
        <v>0</v>
      </c>
      <c r="BW2399" t="str">
        <f>"22:19:33.325"</f>
        <v>22:19:33.325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6</v>
      </c>
      <c r="CP2399" t="s">
        <v>119</v>
      </c>
      <c r="CQ2399">
        <v>364</v>
      </c>
      <c r="CR2399">
        <v>0</v>
      </c>
      <c r="CW2399">
        <v>1455124</v>
      </c>
      <c r="CY2399">
        <v>1</v>
      </c>
      <c r="CZ2399">
        <v>0</v>
      </c>
      <c r="DA2399">
        <v>1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>"03/24/2022 22:19:33.551"</f>
        <v>03/24/2022 22:19:33.551</v>
      </c>
      <c r="C2400" t="str">
        <f t="shared" si="715"/>
        <v>FFDFD3C0</v>
      </c>
      <c r="D2400" t="s">
        <v>113</v>
      </c>
      <c r="E2400">
        <v>24</v>
      </c>
      <c r="F2400">
        <v>2024</v>
      </c>
      <c r="G2400" t="s">
        <v>114</v>
      </c>
      <c r="J2400" t="s">
        <v>115</v>
      </c>
      <c r="K2400">
        <v>0</v>
      </c>
      <c r="L2400">
        <v>3</v>
      </c>
      <c r="M2400">
        <v>0</v>
      </c>
      <c r="N2400">
        <v>2</v>
      </c>
      <c r="O2400">
        <v>0</v>
      </c>
      <c r="P2400">
        <v>1</v>
      </c>
      <c r="Q2400">
        <v>0</v>
      </c>
      <c r="S2400" t="str">
        <f t="shared" si="718"/>
        <v>22:19:33.000</v>
      </c>
      <c r="T2400" t="str">
        <f t="shared" si="718"/>
        <v>22:19:33.000</v>
      </c>
      <c r="U2400" t="str">
        <f t="shared" si="709"/>
        <v>A9D71F</v>
      </c>
      <c r="V2400">
        <v>0</v>
      </c>
      <c r="W2400">
        <v>0</v>
      </c>
      <c r="X2400">
        <v>2</v>
      </c>
      <c r="Z2400">
        <v>1</v>
      </c>
      <c r="AA2400">
        <v>8</v>
      </c>
      <c r="AB2400">
        <v>3</v>
      </c>
      <c r="AC2400">
        <v>0</v>
      </c>
      <c r="AD2400">
        <v>9</v>
      </c>
      <c r="AE2400">
        <v>0</v>
      </c>
      <c r="AF2400">
        <v>3</v>
      </c>
      <c r="AG2400">
        <v>1</v>
      </c>
      <c r="AH2400">
        <v>0</v>
      </c>
      <c r="AI2400" t="s">
        <v>1244</v>
      </c>
      <c r="AJ2400">
        <v>33.000332999999998</v>
      </c>
      <c r="AK2400" t="s">
        <v>1245</v>
      </c>
      <c r="AL2400">
        <v>-97.660088999999999</v>
      </c>
      <c r="AM2400">
        <v>25</v>
      </c>
      <c r="AN2400">
        <v>2900</v>
      </c>
      <c r="AO2400" t="s">
        <v>118</v>
      </c>
      <c r="AP2400">
        <v>-53</v>
      </c>
      <c r="AQ2400">
        <v>-24</v>
      </c>
      <c r="AR2400">
        <v>-640</v>
      </c>
      <c r="AZ2400">
        <v>1200</v>
      </c>
      <c r="BA2400">
        <v>1</v>
      </c>
      <c r="BB2400" t="str">
        <f t="shared" si="716"/>
        <v xml:space="preserve">N733KP  </v>
      </c>
      <c r="BC2400">
        <v>1</v>
      </c>
      <c r="BE2400">
        <v>0</v>
      </c>
      <c r="BF2400">
        <v>0</v>
      </c>
      <c r="BG2400">
        <v>0</v>
      </c>
      <c r="BH2400">
        <v>2975</v>
      </c>
      <c r="BI2400">
        <v>1</v>
      </c>
      <c r="BJ2400">
        <v>1</v>
      </c>
      <c r="BK2400">
        <v>0</v>
      </c>
      <c r="BL2400">
        <v>0</v>
      </c>
      <c r="BO2400">
        <v>0</v>
      </c>
      <c r="BP2400">
        <v>0</v>
      </c>
      <c r="BW2400" t="str">
        <f>"22:19:33.325"</f>
        <v>22:19:33.325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6</v>
      </c>
      <c r="CP2400" t="s">
        <v>119</v>
      </c>
      <c r="CQ2400">
        <v>364</v>
      </c>
      <c r="CR2400">
        <v>0</v>
      </c>
      <c r="CW2400">
        <v>1455124</v>
      </c>
      <c r="CY2400">
        <v>1</v>
      </c>
      <c r="CZ2400">
        <v>0</v>
      </c>
      <c r="DA2400">
        <v>1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>"03/24/2022 22:20:12.050"</f>
        <v>03/24/2022 22:20:12.050</v>
      </c>
      <c r="C2401" t="str">
        <f t="shared" si="715"/>
        <v>FFDFD3C0</v>
      </c>
      <c r="D2401" t="s">
        <v>126</v>
      </c>
      <c r="E2401">
        <v>3</v>
      </c>
      <c r="H2401">
        <v>160</v>
      </c>
      <c r="I2401" t="s">
        <v>121</v>
      </c>
      <c r="J2401" t="s">
        <v>127</v>
      </c>
      <c r="K2401">
        <v>0</v>
      </c>
      <c r="L2401">
        <v>3</v>
      </c>
      <c r="M2401">
        <v>0</v>
      </c>
      <c r="N2401">
        <v>2</v>
      </c>
      <c r="O2401">
        <v>0</v>
      </c>
      <c r="P2401">
        <v>1</v>
      </c>
      <c r="Q2401">
        <v>0</v>
      </c>
      <c r="S2401" t="str">
        <f t="shared" ref="S2401:T2404" si="719">"22:20:11.000"</f>
        <v>22:20:11.000</v>
      </c>
      <c r="T2401" t="str">
        <f t="shared" si="719"/>
        <v>22:20:11.000</v>
      </c>
      <c r="U2401" t="str">
        <f t="shared" si="709"/>
        <v>A9D71F</v>
      </c>
      <c r="V2401">
        <v>0</v>
      </c>
      <c r="W2401">
        <v>0</v>
      </c>
      <c r="X2401">
        <v>2</v>
      </c>
      <c r="Z2401">
        <v>1</v>
      </c>
      <c r="AA2401">
        <v>8</v>
      </c>
      <c r="AB2401">
        <v>3</v>
      </c>
      <c r="AC2401">
        <v>0</v>
      </c>
      <c r="AD2401">
        <v>9</v>
      </c>
      <c r="AE2401">
        <v>0</v>
      </c>
      <c r="AF2401">
        <v>0</v>
      </c>
      <c r="AG2401">
        <v>1</v>
      </c>
      <c r="AH2401">
        <v>0</v>
      </c>
      <c r="AI2401" t="s">
        <v>1209</v>
      </c>
      <c r="AJ2401">
        <v>33.003767000000003</v>
      </c>
      <c r="AK2401" t="s">
        <v>923</v>
      </c>
      <c r="AL2401">
        <v>-97.669015000000002</v>
      </c>
      <c r="AM2401">
        <v>25</v>
      </c>
      <c r="AN2401">
        <v>2400</v>
      </c>
      <c r="AO2401" t="s">
        <v>118</v>
      </c>
      <c r="AP2401">
        <v>-17</v>
      </c>
      <c r="AQ2401">
        <v>64</v>
      </c>
      <c r="AR2401">
        <v>-128</v>
      </c>
      <c r="AZ2401">
        <v>1200</v>
      </c>
      <c r="BA2401">
        <v>1</v>
      </c>
      <c r="BB2401" t="str">
        <f t="shared" si="716"/>
        <v xml:space="preserve">N733KP  </v>
      </c>
      <c r="BC2401">
        <v>1</v>
      </c>
      <c r="BE2401">
        <v>0</v>
      </c>
      <c r="BF2401">
        <v>0</v>
      </c>
      <c r="BG2401">
        <v>0</v>
      </c>
      <c r="BH2401">
        <v>2425</v>
      </c>
      <c r="BI2401">
        <v>1</v>
      </c>
      <c r="BJ2401">
        <v>1</v>
      </c>
      <c r="BK2401">
        <v>0</v>
      </c>
      <c r="BL2401">
        <v>0</v>
      </c>
      <c r="BO2401">
        <v>0</v>
      </c>
      <c r="BP2401">
        <v>0</v>
      </c>
      <c r="BW2401" t="str">
        <f>"22:20:11.897"</f>
        <v>22:20:11.897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6</v>
      </c>
      <c r="CP2401" t="s">
        <v>119</v>
      </c>
      <c r="CQ2401">
        <v>364</v>
      </c>
      <c r="CR2401">
        <v>0</v>
      </c>
      <c r="CW2401">
        <v>1459703</v>
      </c>
      <c r="CY2401">
        <v>0</v>
      </c>
      <c r="CZ2401">
        <v>0</v>
      </c>
      <c r="DA2401">
        <v>0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>"03/24/2022 22:20:12.050"</f>
        <v>03/24/2022 22:20:12.050</v>
      </c>
      <c r="C2402" t="str">
        <f t="shared" si="715"/>
        <v>FFDFD3C0</v>
      </c>
      <c r="D2402" t="s">
        <v>123</v>
      </c>
      <c r="E2402">
        <v>8</v>
      </c>
      <c r="H2402">
        <v>31</v>
      </c>
      <c r="I2402" t="s">
        <v>124</v>
      </c>
      <c r="J2402" t="s">
        <v>125</v>
      </c>
      <c r="K2402">
        <v>0</v>
      </c>
      <c r="L2402">
        <v>3</v>
      </c>
      <c r="M2402">
        <v>0</v>
      </c>
      <c r="N2402">
        <v>2</v>
      </c>
      <c r="O2402">
        <v>0</v>
      </c>
      <c r="P2402">
        <v>1</v>
      </c>
      <c r="Q2402">
        <v>0</v>
      </c>
      <c r="S2402" t="str">
        <f t="shared" si="719"/>
        <v>22:20:11.000</v>
      </c>
      <c r="T2402" t="str">
        <f t="shared" si="719"/>
        <v>22:20:11.000</v>
      </c>
      <c r="U2402" t="str">
        <f t="shared" si="709"/>
        <v>A9D71F</v>
      </c>
      <c r="V2402">
        <v>0</v>
      </c>
      <c r="W2402">
        <v>0</v>
      </c>
      <c r="X2402">
        <v>2</v>
      </c>
      <c r="Z2402">
        <v>1</v>
      </c>
      <c r="AA2402">
        <v>8</v>
      </c>
      <c r="AB2402">
        <v>3</v>
      </c>
      <c r="AC2402">
        <v>0</v>
      </c>
      <c r="AD2402">
        <v>9</v>
      </c>
      <c r="AE2402">
        <v>0</v>
      </c>
      <c r="AF2402">
        <v>0</v>
      </c>
      <c r="AG2402">
        <v>1</v>
      </c>
      <c r="AH2402">
        <v>0</v>
      </c>
      <c r="AI2402" t="s">
        <v>1209</v>
      </c>
      <c r="AJ2402">
        <v>33.003767000000003</v>
      </c>
      <c r="AK2402" t="s">
        <v>923</v>
      </c>
      <c r="AL2402">
        <v>-97.669015000000002</v>
      </c>
      <c r="AM2402">
        <v>25</v>
      </c>
      <c r="AN2402">
        <v>2400</v>
      </c>
      <c r="AO2402" t="s">
        <v>118</v>
      </c>
      <c r="AP2402">
        <v>-17</v>
      </c>
      <c r="AQ2402">
        <v>64</v>
      </c>
      <c r="AR2402">
        <v>-128</v>
      </c>
      <c r="AZ2402">
        <v>1200</v>
      </c>
      <c r="BA2402">
        <v>1</v>
      </c>
      <c r="BB2402" t="str">
        <f t="shared" si="716"/>
        <v xml:space="preserve">N733KP  </v>
      </c>
      <c r="BC2402">
        <v>1</v>
      </c>
      <c r="BE2402">
        <v>0</v>
      </c>
      <c r="BF2402">
        <v>0</v>
      </c>
      <c r="BG2402">
        <v>0</v>
      </c>
      <c r="BH2402">
        <v>2425</v>
      </c>
      <c r="BI2402">
        <v>1</v>
      </c>
      <c r="BJ2402">
        <v>1</v>
      </c>
      <c r="BK2402">
        <v>0</v>
      </c>
      <c r="BL2402">
        <v>0</v>
      </c>
      <c r="BO2402">
        <v>0</v>
      </c>
      <c r="BP2402">
        <v>0</v>
      </c>
      <c r="BW2402" t="str">
        <f>"22:20:11.897"</f>
        <v>22:20:11.897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6</v>
      </c>
      <c r="CP2402" t="s">
        <v>119</v>
      </c>
      <c r="CQ2402">
        <v>364</v>
      </c>
      <c r="CR2402">
        <v>0</v>
      </c>
      <c r="CW2402">
        <v>1459703</v>
      </c>
      <c r="CY2402">
        <v>0</v>
      </c>
      <c r="CZ2402">
        <v>0</v>
      </c>
      <c r="DA2402">
        <v>1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>"03/24/2022 22:20:12.050"</f>
        <v>03/24/2022 22:20:12.050</v>
      </c>
      <c r="C2403" t="str">
        <f t="shared" si="715"/>
        <v>FFDFD3C0</v>
      </c>
      <c r="D2403" t="s">
        <v>113</v>
      </c>
      <c r="E2403">
        <v>24</v>
      </c>
      <c r="F2403">
        <v>2024</v>
      </c>
      <c r="G2403" t="s">
        <v>114</v>
      </c>
      <c r="J2403" t="s">
        <v>115</v>
      </c>
      <c r="K2403">
        <v>0</v>
      </c>
      <c r="L2403">
        <v>3</v>
      </c>
      <c r="M2403">
        <v>0</v>
      </c>
      <c r="N2403">
        <v>2</v>
      </c>
      <c r="O2403">
        <v>0</v>
      </c>
      <c r="P2403">
        <v>1</v>
      </c>
      <c r="Q2403">
        <v>0</v>
      </c>
      <c r="S2403" t="str">
        <f t="shared" si="719"/>
        <v>22:20:11.000</v>
      </c>
      <c r="T2403" t="str">
        <f t="shared" si="719"/>
        <v>22:20:11.000</v>
      </c>
      <c r="U2403" t="str">
        <f t="shared" si="709"/>
        <v>A9D71F</v>
      </c>
      <c r="V2403">
        <v>0</v>
      </c>
      <c r="W2403">
        <v>0</v>
      </c>
      <c r="X2403">
        <v>2</v>
      </c>
      <c r="Z2403">
        <v>1</v>
      </c>
      <c r="AA2403">
        <v>8</v>
      </c>
      <c r="AB2403">
        <v>3</v>
      </c>
      <c r="AC2403">
        <v>0</v>
      </c>
      <c r="AD2403">
        <v>9</v>
      </c>
      <c r="AE2403">
        <v>0</v>
      </c>
      <c r="AF2403">
        <v>3</v>
      </c>
      <c r="AG2403">
        <v>1</v>
      </c>
      <c r="AH2403">
        <v>0</v>
      </c>
      <c r="AI2403" t="s">
        <v>1209</v>
      </c>
      <c r="AJ2403">
        <v>33.003767000000003</v>
      </c>
      <c r="AK2403" t="s">
        <v>923</v>
      </c>
      <c r="AL2403">
        <v>-97.669015000000002</v>
      </c>
      <c r="AM2403">
        <v>25</v>
      </c>
      <c r="AN2403">
        <v>2400</v>
      </c>
      <c r="AO2403" t="s">
        <v>118</v>
      </c>
      <c r="AP2403">
        <v>-17</v>
      </c>
      <c r="AQ2403">
        <v>64</v>
      </c>
      <c r="AR2403">
        <v>-128</v>
      </c>
      <c r="AZ2403">
        <v>1200</v>
      </c>
      <c r="BA2403">
        <v>1</v>
      </c>
      <c r="BB2403" t="str">
        <f t="shared" si="716"/>
        <v xml:space="preserve">N733KP  </v>
      </c>
      <c r="BC2403">
        <v>1</v>
      </c>
      <c r="BE2403">
        <v>0</v>
      </c>
      <c r="BF2403">
        <v>0</v>
      </c>
      <c r="BG2403">
        <v>0</v>
      </c>
      <c r="BH2403">
        <v>2425</v>
      </c>
      <c r="BI2403">
        <v>1</v>
      </c>
      <c r="BJ2403">
        <v>1</v>
      </c>
      <c r="BK2403">
        <v>0</v>
      </c>
      <c r="BL2403">
        <v>0</v>
      </c>
      <c r="BO2403">
        <v>0</v>
      </c>
      <c r="BP2403">
        <v>0</v>
      </c>
      <c r="BW2403" t="str">
        <f>"22:20:11.897"</f>
        <v>22:20:11.897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6</v>
      </c>
      <c r="CP2403" t="s">
        <v>119</v>
      </c>
      <c r="CQ2403">
        <v>364</v>
      </c>
      <c r="CR2403">
        <v>0</v>
      </c>
      <c r="CW2403">
        <v>1459703</v>
      </c>
      <c r="CY2403">
        <v>0</v>
      </c>
      <c r="CZ2403">
        <v>0</v>
      </c>
      <c r="DA2403">
        <v>1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>"03/24/2022 22:20:12.081"</f>
        <v>03/24/2022 22:20:12.081</v>
      </c>
      <c r="C2404" t="str">
        <f t="shared" si="715"/>
        <v>FFDFD3C0</v>
      </c>
      <c r="D2404" t="s">
        <v>120</v>
      </c>
      <c r="E2404">
        <v>14</v>
      </c>
      <c r="F2404">
        <v>1014</v>
      </c>
      <c r="G2404" t="s">
        <v>121</v>
      </c>
      <c r="J2404" t="s">
        <v>122</v>
      </c>
      <c r="K2404">
        <v>0</v>
      </c>
      <c r="L2404">
        <v>3</v>
      </c>
      <c r="M2404">
        <v>0</v>
      </c>
      <c r="N2404">
        <v>2</v>
      </c>
      <c r="O2404">
        <v>0</v>
      </c>
      <c r="P2404">
        <v>1</v>
      </c>
      <c r="Q2404">
        <v>0</v>
      </c>
      <c r="S2404" t="str">
        <f t="shared" si="719"/>
        <v>22:20:11.000</v>
      </c>
      <c r="T2404" t="str">
        <f t="shared" si="719"/>
        <v>22:20:11.000</v>
      </c>
      <c r="U2404" t="str">
        <f t="shared" si="709"/>
        <v>A9D71F</v>
      </c>
      <c r="V2404">
        <v>0</v>
      </c>
      <c r="W2404">
        <v>0</v>
      </c>
      <c r="X2404">
        <v>2</v>
      </c>
      <c r="Z2404">
        <v>1</v>
      </c>
      <c r="AA2404">
        <v>8</v>
      </c>
      <c r="AB2404">
        <v>3</v>
      </c>
      <c r="AC2404">
        <v>0</v>
      </c>
      <c r="AD2404">
        <v>9</v>
      </c>
      <c r="AE2404">
        <v>0</v>
      </c>
      <c r="AF2404">
        <v>3</v>
      </c>
      <c r="AG2404">
        <v>1</v>
      </c>
      <c r="AH2404">
        <v>0</v>
      </c>
      <c r="AI2404" t="s">
        <v>1209</v>
      </c>
      <c r="AJ2404">
        <v>33.003767000000003</v>
      </c>
      <c r="AK2404" t="s">
        <v>923</v>
      </c>
      <c r="AL2404">
        <v>-97.669015000000002</v>
      </c>
      <c r="AM2404">
        <v>25</v>
      </c>
      <c r="AN2404">
        <v>2400</v>
      </c>
      <c r="AO2404" t="s">
        <v>118</v>
      </c>
      <c r="AP2404">
        <v>-17</v>
      </c>
      <c r="AQ2404">
        <v>64</v>
      </c>
      <c r="AR2404">
        <v>-128</v>
      </c>
      <c r="AZ2404">
        <v>1200</v>
      </c>
      <c r="BA2404">
        <v>1</v>
      </c>
      <c r="BB2404" t="str">
        <f t="shared" si="716"/>
        <v xml:space="preserve">N733KP  </v>
      </c>
      <c r="BC2404">
        <v>1</v>
      </c>
      <c r="BE2404">
        <v>0</v>
      </c>
      <c r="BF2404">
        <v>0</v>
      </c>
      <c r="BG2404">
        <v>0</v>
      </c>
      <c r="BH2404">
        <v>2425</v>
      </c>
      <c r="BI2404">
        <v>1</v>
      </c>
      <c r="BJ2404">
        <v>1</v>
      </c>
      <c r="BK2404">
        <v>0</v>
      </c>
      <c r="BL2404">
        <v>0</v>
      </c>
      <c r="BO2404">
        <v>0</v>
      </c>
      <c r="BP2404">
        <v>0</v>
      </c>
      <c r="BW2404" t="str">
        <f>"22:20:11.897"</f>
        <v>22:20:11.897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6</v>
      </c>
      <c r="CP2404" t="s">
        <v>119</v>
      </c>
      <c r="CQ2404">
        <v>364</v>
      </c>
      <c r="CR2404">
        <v>0</v>
      </c>
      <c r="CW2404">
        <v>1459703</v>
      </c>
      <c r="CY2404">
        <v>0</v>
      </c>
      <c r="CZ2404">
        <v>0</v>
      </c>
      <c r="DA2404">
        <v>1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>"03/24/2022 22:20:12.991"</f>
        <v>03/24/2022 22:20:12.991</v>
      </c>
      <c r="C2405" t="str">
        <f t="shared" si="715"/>
        <v>FFDFD3C0</v>
      </c>
      <c r="D2405" t="s">
        <v>113</v>
      </c>
      <c r="E2405">
        <v>24</v>
      </c>
      <c r="F2405">
        <v>2024</v>
      </c>
      <c r="G2405" t="s">
        <v>114</v>
      </c>
      <c r="J2405" t="s">
        <v>115</v>
      </c>
      <c r="K2405">
        <v>0</v>
      </c>
      <c r="L2405">
        <v>3</v>
      </c>
      <c r="M2405">
        <v>0</v>
      </c>
      <c r="N2405">
        <v>2</v>
      </c>
      <c r="O2405">
        <v>0</v>
      </c>
      <c r="P2405">
        <v>1</v>
      </c>
      <c r="Q2405">
        <v>0</v>
      </c>
      <c r="S2405" t="str">
        <f t="shared" ref="S2405:T2408" si="720">"22:20:12.000"</f>
        <v>22:20:12.000</v>
      </c>
      <c r="T2405" t="str">
        <f t="shared" si="720"/>
        <v>22:20:12.000</v>
      </c>
      <c r="U2405" t="str">
        <f t="shared" si="709"/>
        <v>A9D71F</v>
      </c>
      <c r="V2405">
        <v>0</v>
      </c>
      <c r="W2405">
        <v>0</v>
      </c>
      <c r="X2405">
        <v>2</v>
      </c>
      <c r="Z2405">
        <v>1</v>
      </c>
      <c r="AA2405">
        <v>8</v>
      </c>
      <c r="AB2405">
        <v>3</v>
      </c>
      <c r="AC2405">
        <v>0</v>
      </c>
      <c r="AD2405">
        <v>9</v>
      </c>
      <c r="AE2405">
        <v>0</v>
      </c>
      <c r="AF2405">
        <v>3</v>
      </c>
      <c r="AG2405">
        <v>1</v>
      </c>
      <c r="AH2405">
        <v>0</v>
      </c>
      <c r="AI2405" t="s">
        <v>1207</v>
      </c>
      <c r="AJ2405">
        <v>33.004044999999998</v>
      </c>
      <c r="AK2405" t="s">
        <v>1246</v>
      </c>
      <c r="AL2405">
        <v>-97.669100999999998</v>
      </c>
      <c r="AM2405">
        <v>25</v>
      </c>
      <c r="AN2405">
        <v>2400</v>
      </c>
      <c r="AO2405" t="s">
        <v>118</v>
      </c>
      <c r="AP2405">
        <v>-16</v>
      </c>
      <c r="AQ2405">
        <v>65</v>
      </c>
      <c r="AR2405">
        <v>-192</v>
      </c>
      <c r="AZ2405">
        <v>1200</v>
      </c>
      <c r="BA2405">
        <v>1</v>
      </c>
      <c r="BB2405" t="str">
        <f t="shared" si="716"/>
        <v xml:space="preserve">N733KP  </v>
      </c>
      <c r="BC2405">
        <v>1</v>
      </c>
      <c r="BE2405">
        <v>0</v>
      </c>
      <c r="BF2405">
        <v>0</v>
      </c>
      <c r="BG2405">
        <v>0</v>
      </c>
      <c r="BH2405">
        <v>2400</v>
      </c>
      <c r="BI2405">
        <v>1</v>
      </c>
      <c r="BJ2405">
        <v>1</v>
      </c>
      <c r="BK2405">
        <v>0</v>
      </c>
      <c r="BL2405">
        <v>0</v>
      </c>
      <c r="BO2405">
        <v>0</v>
      </c>
      <c r="BP2405">
        <v>0</v>
      </c>
      <c r="BW2405" t="str">
        <f>"22:20:12.822"</f>
        <v>22:20:12.822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6</v>
      </c>
      <c r="CP2405" t="s">
        <v>119</v>
      </c>
      <c r="CQ2405">
        <v>364</v>
      </c>
      <c r="CR2405">
        <v>0</v>
      </c>
      <c r="CW2405">
        <v>1459847</v>
      </c>
      <c r="CY2405">
        <v>0</v>
      </c>
      <c r="CZ2405">
        <v>0</v>
      </c>
      <c r="DA2405">
        <v>0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>"03/24/2022 22:20:12.991"</f>
        <v>03/24/2022 22:20:12.991</v>
      </c>
      <c r="C2406" t="str">
        <f t="shared" si="715"/>
        <v>FFDFD3C0</v>
      </c>
      <c r="D2406" t="s">
        <v>120</v>
      </c>
      <c r="E2406">
        <v>14</v>
      </c>
      <c r="F2406">
        <v>1014</v>
      </c>
      <c r="G2406" t="s">
        <v>121</v>
      </c>
      <c r="J2406" t="s">
        <v>122</v>
      </c>
      <c r="K2406">
        <v>0</v>
      </c>
      <c r="L2406">
        <v>3</v>
      </c>
      <c r="M2406">
        <v>0</v>
      </c>
      <c r="N2406">
        <v>2</v>
      </c>
      <c r="O2406">
        <v>0</v>
      </c>
      <c r="P2406">
        <v>1</v>
      </c>
      <c r="Q2406">
        <v>0</v>
      </c>
      <c r="S2406" t="str">
        <f t="shared" si="720"/>
        <v>22:20:12.000</v>
      </c>
      <c r="T2406" t="str">
        <f t="shared" si="720"/>
        <v>22:20:12.000</v>
      </c>
      <c r="U2406" t="str">
        <f t="shared" si="709"/>
        <v>A9D71F</v>
      </c>
      <c r="V2406">
        <v>0</v>
      </c>
      <c r="W2406">
        <v>0</v>
      </c>
      <c r="X2406">
        <v>2</v>
      </c>
      <c r="Z2406">
        <v>1</v>
      </c>
      <c r="AA2406">
        <v>8</v>
      </c>
      <c r="AB2406">
        <v>3</v>
      </c>
      <c r="AC2406">
        <v>0</v>
      </c>
      <c r="AD2406">
        <v>9</v>
      </c>
      <c r="AE2406">
        <v>0</v>
      </c>
      <c r="AF2406">
        <v>3</v>
      </c>
      <c r="AG2406">
        <v>1</v>
      </c>
      <c r="AH2406">
        <v>0</v>
      </c>
      <c r="AI2406" t="s">
        <v>1207</v>
      </c>
      <c r="AJ2406">
        <v>33.004044999999998</v>
      </c>
      <c r="AK2406" t="s">
        <v>1246</v>
      </c>
      <c r="AL2406">
        <v>-97.669100999999998</v>
      </c>
      <c r="AM2406">
        <v>25</v>
      </c>
      <c r="AN2406">
        <v>2400</v>
      </c>
      <c r="AO2406" t="s">
        <v>118</v>
      </c>
      <c r="AP2406">
        <v>-16</v>
      </c>
      <c r="AQ2406">
        <v>65</v>
      </c>
      <c r="AR2406">
        <v>-192</v>
      </c>
      <c r="AZ2406">
        <v>1200</v>
      </c>
      <c r="BA2406">
        <v>1</v>
      </c>
      <c r="BB2406" t="str">
        <f t="shared" si="716"/>
        <v xml:space="preserve">N733KP  </v>
      </c>
      <c r="BC2406">
        <v>1</v>
      </c>
      <c r="BE2406">
        <v>0</v>
      </c>
      <c r="BF2406">
        <v>0</v>
      </c>
      <c r="BG2406">
        <v>0</v>
      </c>
      <c r="BH2406">
        <v>2400</v>
      </c>
      <c r="BI2406">
        <v>1</v>
      </c>
      <c r="BJ2406">
        <v>1</v>
      </c>
      <c r="BK2406">
        <v>0</v>
      </c>
      <c r="BL2406">
        <v>0</v>
      </c>
      <c r="BO2406">
        <v>0</v>
      </c>
      <c r="BP2406">
        <v>0</v>
      </c>
      <c r="BW2406" t="str">
        <f>"22:20:12.822"</f>
        <v>22:20:12.822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6</v>
      </c>
      <c r="CP2406" t="s">
        <v>119</v>
      </c>
      <c r="CQ2406">
        <v>364</v>
      </c>
      <c r="CR2406">
        <v>0</v>
      </c>
      <c r="CW2406">
        <v>1459847</v>
      </c>
      <c r="CY2406">
        <v>0</v>
      </c>
      <c r="CZ2406">
        <v>0</v>
      </c>
      <c r="DA2406">
        <v>1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>"03/24/2022 22:20:13.085"</f>
        <v>03/24/2022 22:20:13.085</v>
      </c>
      <c r="C2407" t="str">
        <f t="shared" si="715"/>
        <v>FFDFD3C0</v>
      </c>
      <c r="D2407" t="s">
        <v>126</v>
      </c>
      <c r="E2407">
        <v>3</v>
      </c>
      <c r="H2407">
        <v>160</v>
      </c>
      <c r="I2407" t="s">
        <v>121</v>
      </c>
      <c r="J2407" t="s">
        <v>127</v>
      </c>
      <c r="K2407">
        <v>0</v>
      </c>
      <c r="L2407">
        <v>3</v>
      </c>
      <c r="M2407">
        <v>0</v>
      </c>
      <c r="N2407">
        <v>2</v>
      </c>
      <c r="O2407">
        <v>0</v>
      </c>
      <c r="P2407">
        <v>1</v>
      </c>
      <c r="Q2407">
        <v>0</v>
      </c>
      <c r="S2407" t="str">
        <f t="shared" si="720"/>
        <v>22:20:12.000</v>
      </c>
      <c r="T2407" t="str">
        <f t="shared" si="720"/>
        <v>22:20:12.000</v>
      </c>
      <c r="U2407" t="str">
        <f t="shared" si="709"/>
        <v>A9D71F</v>
      </c>
      <c r="V2407">
        <v>0</v>
      </c>
      <c r="W2407">
        <v>0</v>
      </c>
      <c r="X2407">
        <v>2</v>
      </c>
      <c r="Z2407">
        <v>1</v>
      </c>
      <c r="AA2407">
        <v>8</v>
      </c>
      <c r="AB2407">
        <v>3</v>
      </c>
      <c r="AC2407">
        <v>0</v>
      </c>
      <c r="AD2407">
        <v>9</v>
      </c>
      <c r="AE2407">
        <v>0</v>
      </c>
      <c r="AF2407">
        <v>0</v>
      </c>
      <c r="AG2407">
        <v>1</v>
      </c>
      <c r="AH2407">
        <v>0</v>
      </c>
      <c r="AI2407" t="s">
        <v>1207</v>
      </c>
      <c r="AJ2407">
        <v>33.004044999999998</v>
      </c>
      <c r="AK2407" t="s">
        <v>1246</v>
      </c>
      <c r="AL2407">
        <v>-97.669100999999998</v>
      </c>
      <c r="AM2407">
        <v>25</v>
      </c>
      <c r="AN2407">
        <v>2400</v>
      </c>
      <c r="AO2407" t="s">
        <v>118</v>
      </c>
      <c r="AP2407">
        <v>-16</v>
      </c>
      <c r="AQ2407">
        <v>65</v>
      </c>
      <c r="AR2407">
        <v>-192</v>
      </c>
      <c r="AZ2407">
        <v>1200</v>
      </c>
      <c r="BA2407">
        <v>1</v>
      </c>
      <c r="BB2407" t="str">
        <f t="shared" si="716"/>
        <v xml:space="preserve">N733KP  </v>
      </c>
      <c r="BC2407">
        <v>1</v>
      </c>
      <c r="BE2407">
        <v>0</v>
      </c>
      <c r="BF2407">
        <v>0</v>
      </c>
      <c r="BG2407">
        <v>0</v>
      </c>
      <c r="BH2407">
        <v>2400</v>
      </c>
      <c r="BI2407">
        <v>1</v>
      </c>
      <c r="BJ2407">
        <v>1</v>
      </c>
      <c r="BK2407">
        <v>0</v>
      </c>
      <c r="BL2407">
        <v>0</v>
      </c>
      <c r="BO2407">
        <v>0</v>
      </c>
      <c r="BP2407">
        <v>0</v>
      </c>
      <c r="BW2407" t="str">
        <f>"22:20:12.822"</f>
        <v>22:20:12.822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6</v>
      </c>
      <c r="CP2407" t="s">
        <v>119</v>
      </c>
      <c r="CQ2407">
        <v>364</v>
      </c>
      <c r="CR2407">
        <v>0</v>
      </c>
      <c r="CW2407">
        <v>1459847</v>
      </c>
      <c r="CY2407">
        <v>0</v>
      </c>
      <c r="CZ2407">
        <v>0</v>
      </c>
      <c r="DA2407">
        <v>1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>"03/24/2022 22:20:13.085"</f>
        <v>03/24/2022 22:20:13.085</v>
      </c>
      <c r="C2408" t="str">
        <f t="shared" si="715"/>
        <v>FFDFD3C0</v>
      </c>
      <c r="D2408" t="s">
        <v>123</v>
      </c>
      <c r="E2408">
        <v>8</v>
      </c>
      <c r="H2408">
        <v>31</v>
      </c>
      <c r="I2408" t="s">
        <v>124</v>
      </c>
      <c r="J2408" t="s">
        <v>125</v>
      </c>
      <c r="K2408">
        <v>0</v>
      </c>
      <c r="L2408">
        <v>3</v>
      </c>
      <c r="M2408">
        <v>0</v>
      </c>
      <c r="N2408">
        <v>2</v>
      </c>
      <c r="O2408">
        <v>0</v>
      </c>
      <c r="P2408">
        <v>1</v>
      </c>
      <c r="Q2408">
        <v>0</v>
      </c>
      <c r="S2408" t="str">
        <f t="shared" si="720"/>
        <v>22:20:12.000</v>
      </c>
      <c r="T2408" t="str">
        <f t="shared" si="720"/>
        <v>22:20:12.000</v>
      </c>
      <c r="U2408" t="str">
        <f t="shared" si="709"/>
        <v>A9D71F</v>
      </c>
      <c r="V2408">
        <v>0</v>
      </c>
      <c r="W2408">
        <v>0</v>
      </c>
      <c r="X2408">
        <v>2</v>
      </c>
      <c r="Z2408">
        <v>1</v>
      </c>
      <c r="AA2408">
        <v>8</v>
      </c>
      <c r="AB2408">
        <v>3</v>
      </c>
      <c r="AC2408">
        <v>0</v>
      </c>
      <c r="AD2408">
        <v>9</v>
      </c>
      <c r="AE2408">
        <v>0</v>
      </c>
      <c r="AF2408">
        <v>0</v>
      </c>
      <c r="AG2408">
        <v>1</v>
      </c>
      <c r="AH2408">
        <v>0</v>
      </c>
      <c r="AI2408" t="s">
        <v>1207</v>
      </c>
      <c r="AJ2408">
        <v>33.004044999999998</v>
      </c>
      <c r="AK2408" t="s">
        <v>1246</v>
      </c>
      <c r="AL2408">
        <v>-97.669100999999998</v>
      </c>
      <c r="AM2408">
        <v>25</v>
      </c>
      <c r="AN2408">
        <v>2400</v>
      </c>
      <c r="AO2408" t="s">
        <v>118</v>
      </c>
      <c r="AP2408">
        <v>-16</v>
      </c>
      <c r="AQ2408">
        <v>65</v>
      </c>
      <c r="AR2408">
        <v>-192</v>
      </c>
      <c r="AZ2408">
        <v>1200</v>
      </c>
      <c r="BA2408">
        <v>1</v>
      </c>
      <c r="BB2408" t="str">
        <f t="shared" si="716"/>
        <v xml:space="preserve">N733KP  </v>
      </c>
      <c r="BC2408">
        <v>1</v>
      </c>
      <c r="BE2408">
        <v>0</v>
      </c>
      <c r="BF2408">
        <v>0</v>
      </c>
      <c r="BG2408">
        <v>0</v>
      </c>
      <c r="BH2408">
        <v>2400</v>
      </c>
      <c r="BI2408">
        <v>1</v>
      </c>
      <c r="BJ2408">
        <v>1</v>
      </c>
      <c r="BK2408">
        <v>0</v>
      </c>
      <c r="BL2408">
        <v>0</v>
      </c>
      <c r="BO2408">
        <v>0</v>
      </c>
      <c r="BP2408">
        <v>0</v>
      </c>
      <c r="BW2408" t="str">
        <f>"22:20:12.822"</f>
        <v>22:20:12.822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6</v>
      </c>
      <c r="CP2408" t="s">
        <v>119</v>
      </c>
      <c r="CQ2408">
        <v>364</v>
      </c>
      <c r="CR2408">
        <v>0</v>
      </c>
      <c r="CW2408">
        <v>1459847</v>
      </c>
      <c r="CY2408">
        <v>0</v>
      </c>
      <c r="CZ2408">
        <v>0</v>
      </c>
      <c r="DA2408">
        <v>1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>"03/24/2022 22:20:13.947"</f>
        <v>03/24/2022 22:20:13.947</v>
      </c>
      <c r="C2409" t="str">
        <f t="shared" si="715"/>
        <v>FFDFD3C0</v>
      </c>
      <c r="D2409" t="s">
        <v>126</v>
      </c>
      <c r="E2409">
        <v>3</v>
      </c>
      <c r="H2409">
        <v>160</v>
      </c>
      <c r="I2409" t="s">
        <v>121</v>
      </c>
      <c r="J2409" t="s">
        <v>127</v>
      </c>
      <c r="K2409">
        <v>0</v>
      </c>
      <c r="L2409">
        <v>3</v>
      </c>
      <c r="M2409">
        <v>0</v>
      </c>
      <c r="N2409">
        <v>2</v>
      </c>
      <c r="O2409">
        <v>0</v>
      </c>
      <c r="P2409">
        <v>1</v>
      </c>
      <c r="Q2409">
        <v>0</v>
      </c>
      <c r="S2409" t="str">
        <f t="shared" ref="S2409:T2412" si="721">"22:20:13.000"</f>
        <v>22:20:13.000</v>
      </c>
      <c r="T2409" t="str">
        <f t="shared" si="721"/>
        <v>22:20:13.000</v>
      </c>
      <c r="U2409" t="str">
        <f t="shared" si="709"/>
        <v>A9D71F</v>
      </c>
      <c r="V2409">
        <v>0</v>
      </c>
      <c r="W2409">
        <v>0</v>
      </c>
      <c r="X2409">
        <v>2</v>
      </c>
      <c r="Z2409">
        <v>1</v>
      </c>
      <c r="AA2409">
        <v>8</v>
      </c>
      <c r="AB2409">
        <v>3</v>
      </c>
      <c r="AC2409">
        <v>0</v>
      </c>
      <c r="AD2409">
        <v>9</v>
      </c>
      <c r="AE2409">
        <v>0</v>
      </c>
      <c r="AF2409">
        <v>3</v>
      </c>
      <c r="AG2409">
        <v>1</v>
      </c>
      <c r="AH2409">
        <v>0</v>
      </c>
      <c r="AI2409" t="s">
        <v>1247</v>
      </c>
      <c r="AJ2409">
        <v>33.004345999999998</v>
      </c>
      <c r="AK2409" t="s">
        <v>1248</v>
      </c>
      <c r="AL2409">
        <v>-97.669207999999998</v>
      </c>
      <c r="AM2409">
        <v>25</v>
      </c>
      <c r="AN2409">
        <v>2400</v>
      </c>
      <c r="AO2409" t="s">
        <v>118</v>
      </c>
      <c r="AP2409">
        <v>-15</v>
      </c>
      <c r="AQ2409">
        <v>66</v>
      </c>
      <c r="AR2409">
        <v>-256</v>
      </c>
      <c r="AZ2409">
        <v>1200</v>
      </c>
      <c r="BA2409">
        <v>1</v>
      </c>
      <c r="BB2409" t="str">
        <f t="shared" si="716"/>
        <v xml:space="preserve">N733KP  </v>
      </c>
      <c r="BC2409">
        <v>1</v>
      </c>
      <c r="BE2409">
        <v>0</v>
      </c>
      <c r="BF2409">
        <v>0</v>
      </c>
      <c r="BG2409">
        <v>0</v>
      </c>
      <c r="BH2409">
        <v>2400</v>
      </c>
      <c r="BI2409">
        <v>1</v>
      </c>
      <c r="BJ2409">
        <v>1</v>
      </c>
      <c r="BK2409">
        <v>0</v>
      </c>
      <c r="BL2409">
        <v>0</v>
      </c>
      <c r="BO2409">
        <v>0</v>
      </c>
      <c r="BP2409">
        <v>0</v>
      </c>
      <c r="BW2409" t="str">
        <f>"22:20:13.781"</f>
        <v>22:20:13.781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6</v>
      </c>
      <c r="CP2409" t="s">
        <v>119</v>
      </c>
      <c r="CQ2409">
        <v>364</v>
      </c>
      <c r="CR2409">
        <v>0</v>
      </c>
      <c r="CW2409">
        <v>1459973</v>
      </c>
      <c r="CY2409">
        <v>0</v>
      </c>
      <c r="CZ2409">
        <v>0</v>
      </c>
      <c r="DA2409">
        <v>0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>"03/24/2022 22:20:13.947"</f>
        <v>03/24/2022 22:20:13.947</v>
      </c>
      <c r="C2410" t="str">
        <f t="shared" si="715"/>
        <v>FFDFD3C0</v>
      </c>
      <c r="D2410" t="s">
        <v>123</v>
      </c>
      <c r="E2410">
        <v>8</v>
      </c>
      <c r="H2410">
        <v>31</v>
      </c>
      <c r="I2410" t="s">
        <v>124</v>
      </c>
      <c r="J2410" t="s">
        <v>125</v>
      </c>
      <c r="K2410">
        <v>0</v>
      </c>
      <c r="L2410">
        <v>3</v>
      </c>
      <c r="M2410">
        <v>0</v>
      </c>
      <c r="N2410">
        <v>2</v>
      </c>
      <c r="O2410">
        <v>0</v>
      </c>
      <c r="P2410">
        <v>1</v>
      </c>
      <c r="Q2410">
        <v>0</v>
      </c>
      <c r="S2410" t="str">
        <f t="shared" si="721"/>
        <v>22:20:13.000</v>
      </c>
      <c r="T2410" t="str">
        <f t="shared" si="721"/>
        <v>22:20:13.000</v>
      </c>
      <c r="U2410" t="str">
        <f t="shared" si="709"/>
        <v>A9D71F</v>
      </c>
      <c r="V2410">
        <v>0</v>
      </c>
      <c r="W2410">
        <v>0</v>
      </c>
      <c r="X2410">
        <v>2</v>
      </c>
      <c r="Z2410">
        <v>1</v>
      </c>
      <c r="AA2410">
        <v>8</v>
      </c>
      <c r="AB2410">
        <v>3</v>
      </c>
      <c r="AC2410">
        <v>0</v>
      </c>
      <c r="AD2410">
        <v>9</v>
      </c>
      <c r="AE2410">
        <v>0</v>
      </c>
      <c r="AF2410">
        <v>3</v>
      </c>
      <c r="AG2410">
        <v>1</v>
      </c>
      <c r="AH2410">
        <v>0</v>
      </c>
      <c r="AI2410" t="s">
        <v>1247</v>
      </c>
      <c r="AJ2410">
        <v>33.004345999999998</v>
      </c>
      <c r="AK2410" t="s">
        <v>1248</v>
      </c>
      <c r="AL2410">
        <v>-97.669207999999998</v>
      </c>
      <c r="AM2410">
        <v>25</v>
      </c>
      <c r="AN2410">
        <v>2400</v>
      </c>
      <c r="AO2410" t="s">
        <v>118</v>
      </c>
      <c r="AP2410">
        <v>-15</v>
      </c>
      <c r="AQ2410">
        <v>66</v>
      </c>
      <c r="AR2410">
        <v>-256</v>
      </c>
      <c r="AZ2410">
        <v>1200</v>
      </c>
      <c r="BA2410">
        <v>1</v>
      </c>
      <c r="BB2410" t="str">
        <f t="shared" si="716"/>
        <v xml:space="preserve">N733KP  </v>
      </c>
      <c r="BC2410">
        <v>1</v>
      </c>
      <c r="BE2410">
        <v>0</v>
      </c>
      <c r="BF2410">
        <v>0</v>
      </c>
      <c r="BG2410">
        <v>0</v>
      </c>
      <c r="BH2410">
        <v>2400</v>
      </c>
      <c r="BI2410">
        <v>1</v>
      </c>
      <c r="BJ2410">
        <v>1</v>
      </c>
      <c r="BK2410">
        <v>0</v>
      </c>
      <c r="BL2410">
        <v>0</v>
      </c>
      <c r="BO2410">
        <v>0</v>
      </c>
      <c r="BP2410">
        <v>0</v>
      </c>
      <c r="BW2410" t="str">
        <f>"22:20:13.781"</f>
        <v>22:20:13.781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6</v>
      </c>
      <c r="CP2410" t="s">
        <v>119</v>
      </c>
      <c r="CQ2410">
        <v>364</v>
      </c>
      <c r="CR2410">
        <v>0</v>
      </c>
      <c r="CW2410">
        <v>1459973</v>
      </c>
      <c r="CY2410">
        <v>0</v>
      </c>
      <c r="CZ2410">
        <v>0</v>
      </c>
      <c r="DA2410">
        <v>1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>"03/24/2022 22:20:13.947"</f>
        <v>03/24/2022 22:20:13.947</v>
      </c>
      <c r="C2411" t="str">
        <f t="shared" si="715"/>
        <v>FFDFD3C0</v>
      </c>
      <c r="D2411" t="s">
        <v>113</v>
      </c>
      <c r="E2411">
        <v>24</v>
      </c>
      <c r="F2411">
        <v>2024</v>
      </c>
      <c r="G2411" t="s">
        <v>114</v>
      </c>
      <c r="J2411" t="s">
        <v>115</v>
      </c>
      <c r="K2411">
        <v>0</v>
      </c>
      <c r="L2411">
        <v>3</v>
      </c>
      <c r="M2411">
        <v>0</v>
      </c>
      <c r="N2411">
        <v>2</v>
      </c>
      <c r="O2411">
        <v>0</v>
      </c>
      <c r="P2411">
        <v>1</v>
      </c>
      <c r="Q2411">
        <v>0</v>
      </c>
      <c r="S2411" t="str">
        <f t="shared" si="721"/>
        <v>22:20:13.000</v>
      </c>
      <c r="T2411" t="str">
        <f t="shared" si="721"/>
        <v>22:20:13.000</v>
      </c>
      <c r="U2411" t="str">
        <f t="shared" si="709"/>
        <v>A9D71F</v>
      </c>
      <c r="V2411">
        <v>0</v>
      </c>
      <c r="W2411">
        <v>0</v>
      </c>
      <c r="X2411">
        <v>2</v>
      </c>
      <c r="Z2411">
        <v>1</v>
      </c>
      <c r="AA2411">
        <v>8</v>
      </c>
      <c r="AB2411">
        <v>3</v>
      </c>
      <c r="AC2411">
        <v>0</v>
      </c>
      <c r="AD2411">
        <v>9</v>
      </c>
      <c r="AE2411">
        <v>0</v>
      </c>
      <c r="AF2411">
        <v>3</v>
      </c>
      <c r="AG2411">
        <v>1</v>
      </c>
      <c r="AH2411">
        <v>0</v>
      </c>
      <c r="AI2411" t="s">
        <v>1247</v>
      </c>
      <c r="AJ2411">
        <v>33.004345999999998</v>
      </c>
      <c r="AK2411" t="s">
        <v>1248</v>
      </c>
      <c r="AL2411">
        <v>-97.669207999999998</v>
      </c>
      <c r="AM2411">
        <v>25</v>
      </c>
      <c r="AN2411">
        <v>2400</v>
      </c>
      <c r="AO2411" t="s">
        <v>118</v>
      </c>
      <c r="AP2411">
        <v>-15</v>
      </c>
      <c r="AQ2411">
        <v>66</v>
      </c>
      <c r="AR2411">
        <v>-256</v>
      </c>
      <c r="AZ2411">
        <v>1200</v>
      </c>
      <c r="BA2411">
        <v>1</v>
      </c>
      <c r="BB2411" t="str">
        <f t="shared" si="716"/>
        <v xml:space="preserve">N733KP  </v>
      </c>
      <c r="BC2411">
        <v>1</v>
      </c>
      <c r="BE2411">
        <v>0</v>
      </c>
      <c r="BF2411">
        <v>0</v>
      </c>
      <c r="BG2411">
        <v>0</v>
      </c>
      <c r="BH2411">
        <v>2400</v>
      </c>
      <c r="BI2411">
        <v>1</v>
      </c>
      <c r="BJ2411">
        <v>1</v>
      </c>
      <c r="BK2411">
        <v>0</v>
      </c>
      <c r="BL2411">
        <v>0</v>
      </c>
      <c r="BO2411">
        <v>0</v>
      </c>
      <c r="BP2411">
        <v>0</v>
      </c>
      <c r="BW2411" t="str">
        <f>"22:20:13.781"</f>
        <v>22:20:13.781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6</v>
      </c>
      <c r="CP2411" t="s">
        <v>119</v>
      </c>
      <c r="CQ2411">
        <v>364</v>
      </c>
      <c r="CR2411">
        <v>0</v>
      </c>
      <c r="CW2411">
        <v>1459973</v>
      </c>
      <c r="CY2411">
        <v>0</v>
      </c>
      <c r="CZ2411">
        <v>0</v>
      </c>
      <c r="DA2411">
        <v>1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>"03/24/2022 22:20:13.947"</f>
        <v>03/24/2022 22:20:13.947</v>
      </c>
      <c r="C2412" t="str">
        <f t="shared" si="715"/>
        <v>FFDFD3C0</v>
      </c>
      <c r="D2412" t="s">
        <v>120</v>
      </c>
      <c r="E2412">
        <v>14</v>
      </c>
      <c r="F2412">
        <v>1014</v>
      </c>
      <c r="G2412" t="s">
        <v>121</v>
      </c>
      <c r="J2412" t="s">
        <v>122</v>
      </c>
      <c r="K2412">
        <v>0</v>
      </c>
      <c r="L2412">
        <v>3</v>
      </c>
      <c r="M2412">
        <v>0</v>
      </c>
      <c r="N2412">
        <v>2</v>
      </c>
      <c r="O2412">
        <v>0</v>
      </c>
      <c r="P2412">
        <v>1</v>
      </c>
      <c r="Q2412">
        <v>0</v>
      </c>
      <c r="S2412" t="str">
        <f t="shared" si="721"/>
        <v>22:20:13.000</v>
      </c>
      <c r="T2412" t="str">
        <f t="shared" si="721"/>
        <v>22:20:13.000</v>
      </c>
      <c r="U2412" t="str">
        <f t="shared" si="709"/>
        <v>A9D71F</v>
      </c>
      <c r="V2412">
        <v>0</v>
      </c>
      <c r="W2412">
        <v>0</v>
      </c>
      <c r="X2412">
        <v>2</v>
      </c>
      <c r="Z2412">
        <v>1</v>
      </c>
      <c r="AA2412">
        <v>8</v>
      </c>
      <c r="AB2412">
        <v>3</v>
      </c>
      <c r="AC2412">
        <v>0</v>
      </c>
      <c r="AD2412">
        <v>9</v>
      </c>
      <c r="AE2412">
        <v>0</v>
      </c>
      <c r="AF2412">
        <v>3</v>
      </c>
      <c r="AG2412">
        <v>1</v>
      </c>
      <c r="AH2412">
        <v>0</v>
      </c>
      <c r="AI2412" t="s">
        <v>1247</v>
      </c>
      <c r="AJ2412">
        <v>33.004345999999998</v>
      </c>
      <c r="AK2412" t="s">
        <v>1248</v>
      </c>
      <c r="AL2412">
        <v>-97.669207999999998</v>
      </c>
      <c r="AM2412">
        <v>25</v>
      </c>
      <c r="AN2412">
        <v>2400</v>
      </c>
      <c r="AO2412" t="s">
        <v>118</v>
      </c>
      <c r="AP2412">
        <v>-15</v>
      </c>
      <c r="AQ2412">
        <v>66</v>
      </c>
      <c r="AR2412">
        <v>-256</v>
      </c>
      <c r="AZ2412">
        <v>1200</v>
      </c>
      <c r="BA2412">
        <v>1</v>
      </c>
      <c r="BB2412" t="str">
        <f t="shared" si="716"/>
        <v xml:space="preserve">N733KP  </v>
      </c>
      <c r="BC2412">
        <v>1</v>
      </c>
      <c r="BE2412">
        <v>0</v>
      </c>
      <c r="BF2412">
        <v>0</v>
      </c>
      <c r="BG2412">
        <v>0</v>
      </c>
      <c r="BH2412">
        <v>2400</v>
      </c>
      <c r="BI2412">
        <v>1</v>
      </c>
      <c r="BJ2412">
        <v>1</v>
      </c>
      <c r="BK2412">
        <v>0</v>
      </c>
      <c r="BL2412">
        <v>0</v>
      </c>
      <c r="BO2412">
        <v>0</v>
      </c>
      <c r="BP2412">
        <v>0</v>
      </c>
      <c r="BW2412" t="str">
        <f>"22:20:13.781"</f>
        <v>22:20:13.781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6</v>
      </c>
      <c r="CP2412" t="s">
        <v>119</v>
      </c>
      <c r="CQ2412">
        <v>364</v>
      </c>
      <c r="CR2412">
        <v>0</v>
      </c>
      <c r="CW2412">
        <v>1459973</v>
      </c>
      <c r="CY2412">
        <v>0</v>
      </c>
      <c r="CZ2412">
        <v>0</v>
      </c>
      <c r="DA2412">
        <v>1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>"03/24/2022 22:20:14.888"</f>
        <v>03/24/2022 22:20:14.888</v>
      </c>
      <c r="C2413" t="str">
        <f t="shared" si="715"/>
        <v>FFDFD3C0</v>
      </c>
      <c r="D2413" t="s">
        <v>126</v>
      </c>
      <c r="E2413">
        <v>3</v>
      </c>
      <c r="H2413">
        <v>160</v>
      </c>
      <c r="I2413" t="s">
        <v>121</v>
      </c>
      <c r="J2413" t="s">
        <v>127</v>
      </c>
      <c r="K2413">
        <v>0</v>
      </c>
      <c r="L2413">
        <v>3</v>
      </c>
      <c r="M2413">
        <v>0</v>
      </c>
      <c r="N2413">
        <v>2</v>
      </c>
      <c r="O2413">
        <v>0</v>
      </c>
      <c r="P2413">
        <v>1</v>
      </c>
      <c r="Q2413">
        <v>0</v>
      </c>
      <c r="S2413" t="str">
        <f t="shared" ref="S2413:T2416" si="722">"22:20:14.000"</f>
        <v>22:20:14.000</v>
      </c>
      <c r="T2413" t="str">
        <f t="shared" si="722"/>
        <v>22:20:14.000</v>
      </c>
      <c r="U2413" t="str">
        <f t="shared" si="709"/>
        <v>A9D71F</v>
      </c>
      <c r="V2413">
        <v>0</v>
      </c>
      <c r="W2413">
        <v>0</v>
      </c>
      <c r="X2413">
        <v>2</v>
      </c>
      <c r="Z2413">
        <v>1</v>
      </c>
      <c r="AA2413">
        <v>8</v>
      </c>
      <c r="AB2413">
        <v>3</v>
      </c>
      <c r="AC2413">
        <v>0</v>
      </c>
      <c r="AD2413">
        <v>9</v>
      </c>
      <c r="AE2413">
        <v>0</v>
      </c>
      <c r="AF2413">
        <v>3</v>
      </c>
      <c r="AG2413">
        <v>1</v>
      </c>
      <c r="AH2413">
        <v>0</v>
      </c>
      <c r="AI2413" t="s">
        <v>1249</v>
      </c>
      <c r="AJ2413">
        <v>33.004688999999999</v>
      </c>
      <c r="AK2413" t="s">
        <v>1250</v>
      </c>
      <c r="AL2413">
        <v>-97.669293999999994</v>
      </c>
      <c r="AM2413">
        <v>25</v>
      </c>
      <c r="AN2413">
        <v>2400</v>
      </c>
      <c r="AO2413" t="s">
        <v>118</v>
      </c>
      <c r="AP2413">
        <v>-13</v>
      </c>
      <c r="AQ2413">
        <v>68</v>
      </c>
      <c r="AR2413">
        <v>-320</v>
      </c>
      <c r="AZ2413">
        <v>1200</v>
      </c>
      <c r="BA2413">
        <v>1</v>
      </c>
      <c r="BB2413" t="str">
        <f t="shared" si="716"/>
        <v xml:space="preserve">N733KP  </v>
      </c>
      <c r="BC2413">
        <v>1</v>
      </c>
      <c r="BE2413">
        <v>0</v>
      </c>
      <c r="BF2413">
        <v>0</v>
      </c>
      <c r="BG2413">
        <v>0</v>
      </c>
      <c r="BH2413">
        <v>2375</v>
      </c>
      <c r="BI2413">
        <v>1</v>
      </c>
      <c r="BJ2413">
        <v>1</v>
      </c>
      <c r="BK2413">
        <v>0</v>
      </c>
      <c r="BL2413">
        <v>0</v>
      </c>
      <c r="BO2413">
        <v>0</v>
      </c>
      <c r="BP2413">
        <v>0</v>
      </c>
      <c r="BW2413" t="str">
        <f>"22:20:14.714"</f>
        <v>22:20:14.714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6</v>
      </c>
      <c r="CP2413" t="s">
        <v>119</v>
      </c>
      <c r="CQ2413">
        <v>364</v>
      </c>
      <c r="CR2413">
        <v>0</v>
      </c>
      <c r="CW2413">
        <v>1460106</v>
      </c>
      <c r="CY2413">
        <v>0</v>
      </c>
      <c r="CZ2413">
        <v>0</v>
      </c>
      <c r="DA2413">
        <v>0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>"03/24/2022 22:20:14.903"</f>
        <v>03/24/2022 22:20:14.903</v>
      </c>
      <c r="C2414" t="str">
        <f t="shared" si="715"/>
        <v>FFDFD3C0</v>
      </c>
      <c r="D2414" t="s">
        <v>123</v>
      </c>
      <c r="E2414">
        <v>8</v>
      </c>
      <c r="H2414">
        <v>31</v>
      </c>
      <c r="I2414" t="s">
        <v>124</v>
      </c>
      <c r="J2414" t="s">
        <v>125</v>
      </c>
      <c r="K2414">
        <v>0</v>
      </c>
      <c r="L2414">
        <v>3</v>
      </c>
      <c r="M2414">
        <v>0</v>
      </c>
      <c r="N2414">
        <v>2</v>
      </c>
      <c r="O2414">
        <v>0</v>
      </c>
      <c r="P2414">
        <v>1</v>
      </c>
      <c r="Q2414">
        <v>0</v>
      </c>
      <c r="S2414" t="str">
        <f t="shared" si="722"/>
        <v>22:20:14.000</v>
      </c>
      <c r="T2414" t="str">
        <f t="shared" si="722"/>
        <v>22:20:14.000</v>
      </c>
      <c r="U2414" t="str">
        <f t="shared" si="709"/>
        <v>A9D71F</v>
      </c>
      <c r="V2414">
        <v>0</v>
      </c>
      <c r="W2414">
        <v>0</v>
      </c>
      <c r="X2414">
        <v>2</v>
      </c>
      <c r="Z2414">
        <v>1</v>
      </c>
      <c r="AA2414">
        <v>8</v>
      </c>
      <c r="AB2414">
        <v>3</v>
      </c>
      <c r="AC2414">
        <v>0</v>
      </c>
      <c r="AD2414">
        <v>9</v>
      </c>
      <c r="AE2414">
        <v>0</v>
      </c>
      <c r="AF2414">
        <v>3</v>
      </c>
      <c r="AG2414">
        <v>1</v>
      </c>
      <c r="AH2414">
        <v>0</v>
      </c>
      <c r="AI2414" t="s">
        <v>1249</v>
      </c>
      <c r="AJ2414">
        <v>33.004688999999999</v>
      </c>
      <c r="AK2414" t="s">
        <v>1250</v>
      </c>
      <c r="AL2414">
        <v>-97.669293999999994</v>
      </c>
      <c r="AM2414">
        <v>25</v>
      </c>
      <c r="AN2414">
        <v>2400</v>
      </c>
      <c r="AO2414" t="s">
        <v>118</v>
      </c>
      <c r="AP2414">
        <v>-13</v>
      </c>
      <c r="AQ2414">
        <v>68</v>
      </c>
      <c r="AR2414">
        <v>-320</v>
      </c>
      <c r="AZ2414">
        <v>1200</v>
      </c>
      <c r="BA2414">
        <v>1</v>
      </c>
      <c r="BB2414" t="str">
        <f t="shared" si="716"/>
        <v xml:space="preserve">N733KP  </v>
      </c>
      <c r="BC2414">
        <v>1</v>
      </c>
      <c r="BE2414">
        <v>0</v>
      </c>
      <c r="BF2414">
        <v>0</v>
      </c>
      <c r="BG2414">
        <v>0</v>
      </c>
      <c r="BH2414">
        <v>2375</v>
      </c>
      <c r="BI2414">
        <v>1</v>
      </c>
      <c r="BJ2414">
        <v>1</v>
      </c>
      <c r="BK2414">
        <v>0</v>
      </c>
      <c r="BL2414">
        <v>0</v>
      </c>
      <c r="BO2414">
        <v>0</v>
      </c>
      <c r="BP2414">
        <v>0</v>
      </c>
      <c r="BW2414" t="str">
        <f>"22:20:14.714"</f>
        <v>22:20:14.714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6</v>
      </c>
      <c r="CP2414" t="s">
        <v>119</v>
      </c>
      <c r="CQ2414">
        <v>364</v>
      </c>
      <c r="CR2414">
        <v>0</v>
      </c>
      <c r="CW2414">
        <v>1460106</v>
      </c>
      <c r="CY2414">
        <v>0</v>
      </c>
      <c r="CZ2414">
        <v>0</v>
      </c>
      <c r="DA2414">
        <v>1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>"03/24/2022 22:20:14.903"</f>
        <v>03/24/2022 22:20:14.903</v>
      </c>
      <c r="C2415" t="str">
        <f t="shared" si="715"/>
        <v>FFDFD3C0</v>
      </c>
      <c r="D2415" t="s">
        <v>113</v>
      </c>
      <c r="E2415">
        <v>24</v>
      </c>
      <c r="F2415">
        <v>2024</v>
      </c>
      <c r="G2415" t="s">
        <v>114</v>
      </c>
      <c r="J2415" t="s">
        <v>115</v>
      </c>
      <c r="K2415">
        <v>0</v>
      </c>
      <c r="L2415">
        <v>3</v>
      </c>
      <c r="M2415">
        <v>0</v>
      </c>
      <c r="N2415">
        <v>2</v>
      </c>
      <c r="O2415">
        <v>0</v>
      </c>
      <c r="P2415">
        <v>1</v>
      </c>
      <c r="Q2415">
        <v>0</v>
      </c>
      <c r="S2415" t="str">
        <f t="shared" si="722"/>
        <v>22:20:14.000</v>
      </c>
      <c r="T2415" t="str">
        <f t="shared" si="722"/>
        <v>22:20:14.000</v>
      </c>
      <c r="U2415" t="str">
        <f t="shared" si="709"/>
        <v>A9D71F</v>
      </c>
      <c r="V2415">
        <v>0</v>
      </c>
      <c r="W2415">
        <v>0</v>
      </c>
      <c r="X2415">
        <v>2</v>
      </c>
      <c r="Z2415">
        <v>1</v>
      </c>
      <c r="AA2415">
        <v>8</v>
      </c>
      <c r="AB2415">
        <v>3</v>
      </c>
      <c r="AC2415">
        <v>0</v>
      </c>
      <c r="AD2415">
        <v>9</v>
      </c>
      <c r="AE2415">
        <v>0</v>
      </c>
      <c r="AF2415">
        <v>3</v>
      </c>
      <c r="AG2415">
        <v>1</v>
      </c>
      <c r="AH2415">
        <v>0</v>
      </c>
      <c r="AI2415" t="s">
        <v>1249</v>
      </c>
      <c r="AJ2415">
        <v>33.004688999999999</v>
      </c>
      <c r="AK2415" t="s">
        <v>1250</v>
      </c>
      <c r="AL2415">
        <v>-97.669293999999994</v>
      </c>
      <c r="AM2415">
        <v>25</v>
      </c>
      <c r="AN2415">
        <v>2400</v>
      </c>
      <c r="AO2415" t="s">
        <v>118</v>
      </c>
      <c r="AP2415">
        <v>-13</v>
      </c>
      <c r="AQ2415">
        <v>68</v>
      </c>
      <c r="AR2415">
        <v>-320</v>
      </c>
      <c r="AZ2415">
        <v>1200</v>
      </c>
      <c r="BA2415">
        <v>1</v>
      </c>
      <c r="BB2415" t="str">
        <f t="shared" si="716"/>
        <v xml:space="preserve">N733KP  </v>
      </c>
      <c r="BC2415">
        <v>1</v>
      </c>
      <c r="BE2415">
        <v>0</v>
      </c>
      <c r="BF2415">
        <v>0</v>
      </c>
      <c r="BG2415">
        <v>0</v>
      </c>
      <c r="BH2415">
        <v>2375</v>
      </c>
      <c r="BI2415">
        <v>1</v>
      </c>
      <c r="BJ2415">
        <v>1</v>
      </c>
      <c r="BK2415">
        <v>0</v>
      </c>
      <c r="BL2415">
        <v>0</v>
      </c>
      <c r="BO2415">
        <v>0</v>
      </c>
      <c r="BP2415">
        <v>0</v>
      </c>
      <c r="BW2415" t="str">
        <f>"22:20:14.714"</f>
        <v>22:20:14.714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6</v>
      </c>
      <c r="CP2415" t="s">
        <v>119</v>
      </c>
      <c r="CQ2415">
        <v>364</v>
      </c>
      <c r="CR2415">
        <v>0</v>
      </c>
      <c r="CW2415">
        <v>1460106</v>
      </c>
      <c r="CY2415">
        <v>0</v>
      </c>
      <c r="CZ2415">
        <v>0</v>
      </c>
      <c r="DA2415">
        <v>1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>"03/24/2022 22:20:14.919"</f>
        <v>03/24/2022 22:20:14.919</v>
      </c>
      <c r="C2416" t="str">
        <f t="shared" si="715"/>
        <v>FFDFD3C0</v>
      </c>
      <c r="D2416" t="s">
        <v>120</v>
      </c>
      <c r="E2416">
        <v>14</v>
      </c>
      <c r="F2416">
        <v>1014</v>
      </c>
      <c r="G2416" t="s">
        <v>121</v>
      </c>
      <c r="J2416" t="s">
        <v>122</v>
      </c>
      <c r="K2416">
        <v>0</v>
      </c>
      <c r="L2416">
        <v>3</v>
      </c>
      <c r="M2416">
        <v>0</v>
      </c>
      <c r="N2416">
        <v>2</v>
      </c>
      <c r="O2416">
        <v>0</v>
      </c>
      <c r="P2416">
        <v>1</v>
      </c>
      <c r="Q2416">
        <v>0</v>
      </c>
      <c r="S2416" t="str">
        <f t="shared" si="722"/>
        <v>22:20:14.000</v>
      </c>
      <c r="T2416" t="str">
        <f t="shared" si="722"/>
        <v>22:20:14.000</v>
      </c>
      <c r="U2416" t="str">
        <f t="shared" si="709"/>
        <v>A9D71F</v>
      </c>
      <c r="V2416">
        <v>0</v>
      </c>
      <c r="W2416">
        <v>0</v>
      </c>
      <c r="X2416">
        <v>2</v>
      </c>
      <c r="Z2416">
        <v>1</v>
      </c>
      <c r="AA2416">
        <v>8</v>
      </c>
      <c r="AB2416">
        <v>3</v>
      </c>
      <c r="AC2416">
        <v>0</v>
      </c>
      <c r="AD2416">
        <v>9</v>
      </c>
      <c r="AE2416">
        <v>0</v>
      </c>
      <c r="AF2416">
        <v>3</v>
      </c>
      <c r="AG2416">
        <v>1</v>
      </c>
      <c r="AH2416">
        <v>0</v>
      </c>
      <c r="AI2416" t="s">
        <v>1249</v>
      </c>
      <c r="AJ2416">
        <v>33.004688999999999</v>
      </c>
      <c r="AK2416" t="s">
        <v>1250</v>
      </c>
      <c r="AL2416">
        <v>-97.669293999999994</v>
      </c>
      <c r="AM2416">
        <v>25</v>
      </c>
      <c r="AN2416">
        <v>2400</v>
      </c>
      <c r="AO2416" t="s">
        <v>118</v>
      </c>
      <c r="AP2416">
        <v>-13</v>
      </c>
      <c r="AQ2416">
        <v>68</v>
      </c>
      <c r="AR2416">
        <v>-320</v>
      </c>
      <c r="AZ2416">
        <v>1200</v>
      </c>
      <c r="BA2416">
        <v>1</v>
      </c>
      <c r="BB2416" t="str">
        <f t="shared" si="716"/>
        <v xml:space="preserve">N733KP  </v>
      </c>
      <c r="BC2416">
        <v>1</v>
      </c>
      <c r="BE2416">
        <v>0</v>
      </c>
      <c r="BF2416">
        <v>0</v>
      </c>
      <c r="BG2416">
        <v>0</v>
      </c>
      <c r="BH2416">
        <v>2375</v>
      </c>
      <c r="BI2416">
        <v>1</v>
      </c>
      <c r="BJ2416">
        <v>1</v>
      </c>
      <c r="BK2416">
        <v>0</v>
      </c>
      <c r="BL2416">
        <v>0</v>
      </c>
      <c r="BO2416">
        <v>0</v>
      </c>
      <c r="BP2416">
        <v>0</v>
      </c>
      <c r="BW2416" t="str">
        <f>"22:20:14.714"</f>
        <v>22:20:14.714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6</v>
      </c>
      <c r="CP2416" t="s">
        <v>119</v>
      </c>
      <c r="CQ2416">
        <v>364</v>
      </c>
      <c r="CR2416">
        <v>0</v>
      </c>
      <c r="CW2416">
        <v>1460106</v>
      </c>
      <c r="CY2416">
        <v>0</v>
      </c>
      <c r="CZ2416">
        <v>0</v>
      </c>
      <c r="DA2416">
        <v>1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>"03/24/2022 22:20:15.653"</f>
        <v>03/24/2022 22:20:15.653</v>
      </c>
      <c r="C2417" t="str">
        <f t="shared" si="715"/>
        <v>FFDFD3C0</v>
      </c>
      <c r="D2417" t="s">
        <v>120</v>
      </c>
      <c r="E2417">
        <v>14</v>
      </c>
      <c r="F2417">
        <v>1014</v>
      </c>
      <c r="G2417" t="s">
        <v>121</v>
      </c>
      <c r="J2417" t="s">
        <v>122</v>
      </c>
      <c r="K2417">
        <v>0</v>
      </c>
      <c r="L2417">
        <v>3</v>
      </c>
      <c r="M2417">
        <v>0</v>
      </c>
      <c r="N2417">
        <v>2</v>
      </c>
      <c r="O2417">
        <v>0</v>
      </c>
      <c r="P2417">
        <v>1</v>
      </c>
      <c r="Q2417">
        <v>0</v>
      </c>
      <c r="S2417" t="str">
        <f t="shared" ref="S2417:T2420" si="723">"22:20:15.000"</f>
        <v>22:20:15.000</v>
      </c>
      <c r="T2417" t="str">
        <f t="shared" si="723"/>
        <v>22:20:15.000</v>
      </c>
      <c r="U2417" t="str">
        <f t="shared" si="709"/>
        <v>A9D71F</v>
      </c>
      <c r="V2417">
        <v>0</v>
      </c>
      <c r="W2417">
        <v>0</v>
      </c>
      <c r="X2417">
        <v>2</v>
      </c>
      <c r="Z2417">
        <v>1</v>
      </c>
      <c r="AA2417">
        <v>8</v>
      </c>
      <c r="AB2417">
        <v>3</v>
      </c>
      <c r="AC2417">
        <v>0</v>
      </c>
      <c r="AD2417">
        <v>9</v>
      </c>
      <c r="AE2417">
        <v>0</v>
      </c>
      <c r="AF2417">
        <v>3</v>
      </c>
      <c r="AG2417">
        <v>1</v>
      </c>
      <c r="AH2417">
        <v>0</v>
      </c>
      <c r="AI2417" t="s">
        <v>1251</v>
      </c>
      <c r="AJ2417">
        <v>33.005011000000003</v>
      </c>
      <c r="AK2417" t="s">
        <v>1252</v>
      </c>
      <c r="AL2417">
        <v>-97.669380000000004</v>
      </c>
      <c r="AM2417">
        <v>25</v>
      </c>
      <c r="AN2417">
        <v>2400</v>
      </c>
      <c r="AO2417" t="s">
        <v>118</v>
      </c>
      <c r="AP2417">
        <v>-11</v>
      </c>
      <c r="AQ2417">
        <v>71</v>
      </c>
      <c r="AR2417">
        <v>-256</v>
      </c>
      <c r="AZ2417">
        <v>1200</v>
      </c>
      <c r="BA2417">
        <v>1</v>
      </c>
      <c r="BB2417" t="str">
        <f t="shared" si="716"/>
        <v xml:space="preserve">N733KP  </v>
      </c>
      <c r="BC2417">
        <v>1</v>
      </c>
      <c r="BE2417">
        <v>0</v>
      </c>
      <c r="BF2417">
        <v>0</v>
      </c>
      <c r="BG2417">
        <v>0</v>
      </c>
      <c r="BH2417">
        <v>2400</v>
      </c>
      <c r="BI2417">
        <v>1</v>
      </c>
      <c r="BJ2417">
        <v>1</v>
      </c>
      <c r="BK2417">
        <v>0</v>
      </c>
      <c r="BL2417">
        <v>0</v>
      </c>
      <c r="BO2417">
        <v>0</v>
      </c>
      <c r="BP2417">
        <v>0</v>
      </c>
      <c r="BW2417" t="str">
        <f>"22:20:15.471"</f>
        <v>22:20:15.471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6</v>
      </c>
      <c r="CP2417" t="s">
        <v>119</v>
      </c>
      <c r="CQ2417">
        <v>364</v>
      </c>
      <c r="CR2417">
        <v>0</v>
      </c>
      <c r="CW2417">
        <v>1460211</v>
      </c>
      <c r="CY2417">
        <v>0</v>
      </c>
      <c r="CZ2417">
        <v>0</v>
      </c>
      <c r="DA2417">
        <v>0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>"03/24/2022 22:20:15.653"</f>
        <v>03/24/2022 22:20:15.653</v>
      </c>
      <c r="C2418" t="str">
        <f t="shared" si="715"/>
        <v>FFDFD3C0</v>
      </c>
      <c r="D2418" t="s">
        <v>126</v>
      </c>
      <c r="E2418">
        <v>3</v>
      </c>
      <c r="H2418">
        <v>160</v>
      </c>
      <c r="I2418" t="s">
        <v>121</v>
      </c>
      <c r="J2418" t="s">
        <v>127</v>
      </c>
      <c r="K2418">
        <v>0</v>
      </c>
      <c r="L2418">
        <v>3</v>
      </c>
      <c r="M2418">
        <v>0</v>
      </c>
      <c r="N2418">
        <v>2</v>
      </c>
      <c r="O2418">
        <v>0</v>
      </c>
      <c r="P2418">
        <v>1</v>
      </c>
      <c r="Q2418">
        <v>0</v>
      </c>
      <c r="S2418" t="str">
        <f t="shared" si="723"/>
        <v>22:20:15.000</v>
      </c>
      <c r="T2418" t="str">
        <f t="shared" si="723"/>
        <v>22:20:15.000</v>
      </c>
      <c r="U2418" t="str">
        <f t="shared" si="709"/>
        <v>A9D71F</v>
      </c>
      <c r="V2418">
        <v>0</v>
      </c>
      <c r="W2418">
        <v>0</v>
      </c>
      <c r="X2418">
        <v>2</v>
      </c>
      <c r="Z2418">
        <v>1</v>
      </c>
      <c r="AA2418">
        <v>8</v>
      </c>
      <c r="AB2418">
        <v>3</v>
      </c>
      <c r="AC2418">
        <v>0</v>
      </c>
      <c r="AD2418">
        <v>9</v>
      </c>
      <c r="AE2418">
        <v>0</v>
      </c>
      <c r="AF2418">
        <v>3</v>
      </c>
      <c r="AG2418">
        <v>1</v>
      </c>
      <c r="AH2418">
        <v>0</v>
      </c>
      <c r="AI2418" t="s">
        <v>1251</v>
      </c>
      <c r="AJ2418">
        <v>33.005011000000003</v>
      </c>
      <c r="AK2418" t="s">
        <v>1252</v>
      </c>
      <c r="AL2418">
        <v>-97.669380000000004</v>
      </c>
      <c r="AM2418">
        <v>25</v>
      </c>
      <c r="AN2418">
        <v>2400</v>
      </c>
      <c r="AO2418" t="s">
        <v>118</v>
      </c>
      <c r="AP2418">
        <v>-11</v>
      </c>
      <c r="AQ2418">
        <v>71</v>
      </c>
      <c r="AR2418">
        <v>-256</v>
      </c>
      <c r="AZ2418">
        <v>1200</v>
      </c>
      <c r="BA2418">
        <v>1</v>
      </c>
      <c r="BB2418" t="str">
        <f t="shared" si="716"/>
        <v xml:space="preserve">N733KP  </v>
      </c>
      <c r="BC2418">
        <v>1</v>
      </c>
      <c r="BE2418">
        <v>0</v>
      </c>
      <c r="BF2418">
        <v>0</v>
      </c>
      <c r="BG2418">
        <v>0</v>
      </c>
      <c r="BH2418">
        <v>2400</v>
      </c>
      <c r="BI2418">
        <v>1</v>
      </c>
      <c r="BJ2418">
        <v>1</v>
      </c>
      <c r="BK2418">
        <v>0</v>
      </c>
      <c r="BL2418">
        <v>0</v>
      </c>
      <c r="BO2418">
        <v>0</v>
      </c>
      <c r="BP2418">
        <v>0</v>
      </c>
      <c r="BW2418" t="str">
        <f>"22:20:15.471"</f>
        <v>22:20:15.471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6</v>
      </c>
      <c r="CP2418" t="s">
        <v>119</v>
      </c>
      <c r="CQ2418">
        <v>364</v>
      </c>
      <c r="CR2418">
        <v>0</v>
      </c>
      <c r="CW2418">
        <v>1460211</v>
      </c>
      <c r="CY2418">
        <v>0</v>
      </c>
      <c r="CZ2418">
        <v>0</v>
      </c>
      <c r="DA2418">
        <v>1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>"03/24/2022 22:20:15.669"</f>
        <v>03/24/2022 22:20:15.669</v>
      </c>
      <c r="C2419" t="str">
        <f t="shared" si="715"/>
        <v>FFDFD3C0</v>
      </c>
      <c r="D2419" t="s">
        <v>123</v>
      </c>
      <c r="E2419">
        <v>8</v>
      </c>
      <c r="H2419">
        <v>31</v>
      </c>
      <c r="I2419" t="s">
        <v>124</v>
      </c>
      <c r="J2419" t="s">
        <v>125</v>
      </c>
      <c r="K2419">
        <v>0</v>
      </c>
      <c r="L2419">
        <v>3</v>
      </c>
      <c r="M2419">
        <v>0</v>
      </c>
      <c r="N2419">
        <v>2</v>
      </c>
      <c r="O2419">
        <v>0</v>
      </c>
      <c r="P2419">
        <v>1</v>
      </c>
      <c r="Q2419">
        <v>0</v>
      </c>
      <c r="S2419" t="str">
        <f t="shared" si="723"/>
        <v>22:20:15.000</v>
      </c>
      <c r="T2419" t="str">
        <f t="shared" si="723"/>
        <v>22:20:15.000</v>
      </c>
      <c r="U2419" t="str">
        <f t="shared" si="709"/>
        <v>A9D71F</v>
      </c>
      <c r="V2419">
        <v>0</v>
      </c>
      <c r="W2419">
        <v>0</v>
      </c>
      <c r="X2419">
        <v>2</v>
      </c>
      <c r="Z2419">
        <v>1</v>
      </c>
      <c r="AA2419">
        <v>8</v>
      </c>
      <c r="AB2419">
        <v>3</v>
      </c>
      <c r="AC2419">
        <v>0</v>
      </c>
      <c r="AD2419">
        <v>9</v>
      </c>
      <c r="AE2419">
        <v>0</v>
      </c>
      <c r="AF2419">
        <v>3</v>
      </c>
      <c r="AG2419">
        <v>1</v>
      </c>
      <c r="AH2419">
        <v>0</v>
      </c>
      <c r="AI2419" t="s">
        <v>1251</v>
      </c>
      <c r="AJ2419">
        <v>33.005011000000003</v>
      </c>
      <c r="AK2419" t="s">
        <v>1252</v>
      </c>
      <c r="AL2419">
        <v>-97.669380000000004</v>
      </c>
      <c r="AM2419">
        <v>25</v>
      </c>
      <c r="AN2419">
        <v>2400</v>
      </c>
      <c r="AO2419" t="s">
        <v>118</v>
      </c>
      <c r="AP2419">
        <v>-11</v>
      </c>
      <c r="AQ2419">
        <v>71</v>
      </c>
      <c r="AR2419">
        <v>-256</v>
      </c>
      <c r="AZ2419">
        <v>1200</v>
      </c>
      <c r="BA2419">
        <v>1</v>
      </c>
      <c r="BB2419" t="str">
        <f t="shared" si="716"/>
        <v xml:space="preserve">N733KP  </v>
      </c>
      <c r="BC2419">
        <v>1</v>
      </c>
      <c r="BE2419">
        <v>0</v>
      </c>
      <c r="BF2419">
        <v>0</v>
      </c>
      <c r="BG2419">
        <v>0</v>
      </c>
      <c r="BH2419">
        <v>2400</v>
      </c>
      <c r="BI2419">
        <v>1</v>
      </c>
      <c r="BJ2419">
        <v>1</v>
      </c>
      <c r="BK2419">
        <v>0</v>
      </c>
      <c r="BL2419">
        <v>0</v>
      </c>
      <c r="BO2419">
        <v>0</v>
      </c>
      <c r="BP2419">
        <v>0</v>
      </c>
      <c r="BW2419" t="str">
        <f>"22:20:15.471"</f>
        <v>22:20:15.471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6</v>
      </c>
      <c r="CP2419" t="s">
        <v>119</v>
      </c>
      <c r="CQ2419">
        <v>364</v>
      </c>
      <c r="CR2419">
        <v>0</v>
      </c>
      <c r="CW2419">
        <v>1460211</v>
      </c>
      <c r="CY2419">
        <v>0</v>
      </c>
      <c r="CZ2419">
        <v>0</v>
      </c>
      <c r="DA2419">
        <v>1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>"03/24/2022 22:20:15.669"</f>
        <v>03/24/2022 22:20:15.669</v>
      </c>
      <c r="C2420" t="str">
        <f t="shared" si="715"/>
        <v>FFDFD3C0</v>
      </c>
      <c r="D2420" t="s">
        <v>113</v>
      </c>
      <c r="E2420">
        <v>24</v>
      </c>
      <c r="F2420">
        <v>2024</v>
      </c>
      <c r="G2420" t="s">
        <v>114</v>
      </c>
      <c r="J2420" t="s">
        <v>115</v>
      </c>
      <c r="K2420">
        <v>0</v>
      </c>
      <c r="L2420">
        <v>3</v>
      </c>
      <c r="M2420">
        <v>0</v>
      </c>
      <c r="N2420">
        <v>2</v>
      </c>
      <c r="O2420">
        <v>0</v>
      </c>
      <c r="P2420">
        <v>1</v>
      </c>
      <c r="Q2420">
        <v>0</v>
      </c>
      <c r="S2420" t="str">
        <f t="shared" si="723"/>
        <v>22:20:15.000</v>
      </c>
      <c r="T2420" t="str">
        <f t="shared" si="723"/>
        <v>22:20:15.000</v>
      </c>
      <c r="U2420" t="str">
        <f t="shared" si="709"/>
        <v>A9D71F</v>
      </c>
      <c r="V2420">
        <v>0</v>
      </c>
      <c r="W2420">
        <v>0</v>
      </c>
      <c r="X2420">
        <v>2</v>
      </c>
      <c r="Z2420">
        <v>1</v>
      </c>
      <c r="AA2420">
        <v>8</v>
      </c>
      <c r="AB2420">
        <v>3</v>
      </c>
      <c r="AC2420">
        <v>0</v>
      </c>
      <c r="AD2420">
        <v>9</v>
      </c>
      <c r="AE2420">
        <v>0</v>
      </c>
      <c r="AF2420">
        <v>3</v>
      </c>
      <c r="AG2420">
        <v>1</v>
      </c>
      <c r="AH2420">
        <v>0</v>
      </c>
      <c r="AI2420" t="s">
        <v>1251</v>
      </c>
      <c r="AJ2420">
        <v>33.005011000000003</v>
      </c>
      <c r="AK2420" t="s">
        <v>1252</v>
      </c>
      <c r="AL2420">
        <v>-97.669380000000004</v>
      </c>
      <c r="AM2420">
        <v>25</v>
      </c>
      <c r="AN2420">
        <v>2400</v>
      </c>
      <c r="AO2420" t="s">
        <v>118</v>
      </c>
      <c r="AP2420">
        <v>-11</v>
      </c>
      <c r="AQ2420">
        <v>71</v>
      </c>
      <c r="AR2420">
        <v>-256</v>
      </c>
      <c r="AZ2420">
        <v>1200</v>
      </c>
      <c r="BA2420">
        <v>1</v>
      </c>
      <c r="BB2420" t="str">
        <f t="shared" si="716"/>
        <v xml:space="preserve">N733KP  </v>
      </c>
      <c r="BC2420">
        <v>1</v>
      </c>
      <c r="BE2420">
        <v>0</v>
      </c>
      <c r="BF2420">
        <v>0</v>
      </c>
      <c r="BG2420">
        <v>0</v>
      </c>
      <c r="BH2420">
        <v>2400</v>
      </c>
      <c r="BI2420">
        <v>1</v>
      </c>
      <c r="BJ2420">
        <v>1</v>
      </c>
      <c r="BK2420">
        <v>0</v>
      </c>
      <c r="BL2420">
        <v>0</v>
      </c>
      <c r="BO2420">
        <v>0</v>
      </c>
      <c r="BP2420">
        <v>0</v>
      </c>
      <c r="BW2420" t="str">
        <f>"22:20:15.471"</f>
        <v>22:20:15.471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6</v>
      </c>
      <c r="CP2420" t="s">
        <v>119</v>
      </c>
      <c r="CQ2420">
        <v>364</v>
      </c>
      <c r="CR2420">
        <v>0</v>
      </c>
      <c r="CW2420">
        <v>1460211</v>
      </c>
      <c r="CY2420">
        <v>0</v>
      </c>
      <c r="CZ2420">
        <v>0</v>
      </c>
      <c r="DA2420">
        <v>1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>"03/24/2022 22:20:17.983"</f>
        <v>03/24/2022 22:20:17.983</v>
      </c>
      <c r="C2421" t="str">
        <f t="shared" si="715"/>
        <v>FFDFD3C0</v>
      </c>
      <c r="D2421" t="s">
        <v>120</v>
      </c>
      <c r="E2421">
        <v>14</v>
      </c>
      <c r="F2421">
        <v>1014</v>
      </c>
      <c r="G2421" t="s">
        <v>121</v>
      </c>
      <c r="J2421" t="s">
        <v>122</v>
      </c>
      <c r="K2421">
        <v>0</v>
      </c>
      <c r="L2421">
        <v>3</v>
      </c>
      <c r="M2421">
        <v>0</v>
      </c>
      <c r="N2421">
        <v>2</v>
      </c>
      <c r="O2421">
        <v>0</v>
      </c>
      <c r="P2421">
        <v>1</v>
      </c>
      <c r="Q2421">
        <v>0</v>
      </c>
      <c r="S2421" t="str">
        <f t="shared" ref="S2421:T2424" si="724">"22:20:17.000"</f>
        <v>22:20:17.000</v>
      </c>
      <c r="T2421" t="str">
        <f t="shared" si="724"/>
        <v>22:20:17.000</v>
      </c>
      <c r="U2421" t="str">
        <f t="shared" si="709"/>
        <v>A9D71F</v>
      </c>
      <c r="V2421">
        <v>0</v>
      </c>
      <c r="W2421">
        <v>0</v>
      </c>
      <c r="X2421">
        <v>2</v>
      </c>
      <c r="Z2421">
        <v>1</v>
      </c>
      <c r="AA2421">
        <v>8</v>
      </c>
      <c r="AB2421">
        <v>3</v>
      </c>
      <c r="AC2421">
        <v>0</v>
      </c>
      <c r="AD2421">
        <v>9</v>
      </c>
      <c r="AE2421">
        <v>0</v>
      </c>
      <c r="AF2421">
        <v>3</v>
      </c>
      <c r="AG2421">
        <v>1</v>
      </c>
      <c r="AH2421">
        <v>0</v>
      </c>
      <c r="AI2421" t="s">
        <v>1196</v>
      </c>
      <c r="AJ2421">
        <v>33.005633000000003</v>
      </c>
      <c r="AK2421" t="s">
        <v>1253</v>
      </c>
      <c r="AL2421">
        <v>-97.669466</v>
      </c>
      <c r="AM2421">
        <v>25</v>
      </c>
      <c r="AN2421">
        <v>2400</v>
      </c>
      <c r="AO2421" t="s">
        <v>118</v>
      </c>
      <c r="AP2421">
        <v>-2</v>
      </c>
      <c r="AQ2421">
        <v>72</v>
      </c>
      <c r="AR2421">
        <v>-64</v>
      </c>
      <c r="AZ2421">
        <v>1200</v>
      </c>
      <c r="BA2421">
        <v>1</v>
      </c>
      <c r="BB2421" t="str">
        <f t="shared" si="716"/>
        <v xml:space="preserve">N733KP  </v>
      </c>
      <c r="BC2421">
        <v>1</v>
      </c>
      <c r="BE2421">
        <v>0</v>
      </c>
      <c r="BF2421">
        <v>0</v>
      </c>
      <c r="BG2421">
        <v>0</v>
      </c>
      <c r="BH2421">
        <v>2375</v>
      </c>
      <c r="BI2421">
        <v>1</v>
      </c>
      <c r="BJ2421">
        <v>1</v>
      </c>
      <c r="BK2421">
        <v>0</v>
      </c>
      <c r="BL2421">
        <v>0</v>
      </c>
      <c r="BO2421">
        <v>0</v>
      </c>
      <c r="BP2421">
        <v>0</v>
      </c>
      <c r="BW2421" t="str">
        <f>"22:20:17.567"</f>
        <v>22:20:17.567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6</v>
      </c>
      <c r="CP2421" t="s">
        <v>119</v>
      </c>
      <c r="CQ2421">
        <v>364</v>
      </c>
      <c r="CR2421">
        <v>0</v>
      </c>
      <c r="CW2421">
        <v>1460510</v>
      </c>
      <c r="CY2421">
        <v>0</v>
      </c>
      <c r="CZ2421">
        <v>0</v>
      </c>
      <c r="DA2421">
        <v>0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>"03/24/2022 22:20:17.983"</f>
        <v>03/24/2022 22:20:17.983</v>
      </c>
      <c r="C2422" t="str">
        <f t="shared" si="715"/>
        <v>FFDFD3C0</v>
      </c>
      <c r="D2422" t="s">
        <v>123</v>
      </c>
      <c r="E2422">
        <v>8</v>
      </c>
      <c r="H2422">
        <v>31</v>
      </c>
      <c r="I2422" t="s">
        <v>124</v>
      </c>
      <c r="J2422" t="s">
        <v>125</v>
      </c>
      <c r="K2422">
        <v>0</v>
      </c>
      <c r="L2422">
        <v>3</v>
      </c>
      <c r="M2422">
        <v>0</v>
      </c>
      <c r="N2422">
        <v>2</v>
      </c>
      <c r="O2422">
        <v>0</v>
      </c>
      <c r="P2422">
        <v>1</v>
      </c>
      <c r="Q2422">
        <v>0</v>
      </c>
      <c r="S2422" t="str">
        <f t="shared" si="724"/>
        <v>22:20:17.000</v>
      </c>
      <c r="T2422" t="str">
        <f t="shared" si="724"/>
        <v>22:20:17.000</v>
      </c>
      <c r="U2422" t="str">
        <f t="shared" si="709"/>
        <v>A9D71F</v>
      </c>
      <c r="V2422">
        <v>0</v>
      </c>
      <c r="W2422">
        <v>0</v>
      </c>
      <c r="X2422">
        <v>2</v>
      </c>
      <c r="Z2422">
        <v>1</v>
      </c>
      <c r="AA2422">
        <v>8</v>
      </c>
      <c r="AB2422">
        <v>3</v>
      </c>
      <c r="AC2422">
        <v>0</v>
      </c>
      <c r="AD2422">
        <v>9</v>
      </c>
      <c r="AE2422">
        <v>0</v>
      </c>
      <c r="AF2422">
        <v>3</v>
      </c>
      <c r="AG2422">
        <v>1</v>
      </c>
      <c r="AH2422">
        <v>0</v>
      </c>
      <c r="AI2422" t="s">
        <v>1196</v>
      </c>
      <c r="AJ2422">
        <v>33.005633000000003</v>
      </c>
      <c r="AK2422" t="s">
        <v>1253</v>
      </c>
      <c r="AL2422">
        <v>-97.669466</v>
      </c>
      <c r="AM2422">
        <v>25</v>
      </c>
      <c r="AN2422">
        <v>2400</v>
      </c>
      <c r="AO2422" t="s">
        <v>118</v>
      </c>
      <c r="AP2422">
        <v>-2</v>
      </c>
      <c r="AQ2422">
        <v>72</v>
      </c>
      <c r="AR2422">
        <v>-64</v>
      </c>
      <c r="AZ2422">
        <v>1200</v>
      </c>
      <c r="BA2422">
        <v>1</v>
      </c>
      <c r="BB2422" t="str">
        <f t="shared" si="716"/>
        <v xml:space="preserve">N733KP  </v>
      </c>
      <c r="BC2422">
        <v>1</v>
      </c>
      <c r="BE2422">
        <v>0</v>
      </c>
      <c r="BF2422">
        <v>0</v>
      </c>
      <c r="BG2422">
        <v>0</v>
      </c>
      <c r="BH2422">
        <v>2375</v>
      </c>
      <c r="BI2422">
        <v>1</v>
      </c>
      <c r="BJ2422">
        <v>1</v>
      </c>
      <c r="BK2422">
        <v>0</v>
      </c>
      <c r="BL2422">
        <v>0</v>
      </c>
      <c r="BO2422">
        <v>0</v>
      </c>
      <c r="BP2422">
        <v>0</v>
      </c>
      <c r="BW2422" t="str">
        <f>"22:20:17.567"</f>
        <v>22:20:17.567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6</v>
      </c>
      <c r="CP2422" t="s">
        <v>119</v>
      </c>
      <c r="CQ2422">
        <v>364</v>
      </c>
      <c r="CR2422">
        <v>0</v>
      </c>
      <c r="CW2422">
        <v>1460510</v>
      </c>
      <c r="CY2422">
        <v>0</v>
      </c>
      <c r="CZ2422">
        <v>0</v>
      </c>
      <c r="DA2422">
        <v>1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>"03/24/2022 22:20:17.983"</f>
        <v>03/24/2022 22:20:17.983</v>
      </c>
      <c r="C2423" t="str">
        <f t="shared" si="715"/>
        <v>FFDFD3C0</v>
      </c>
      <c r="D2423" t="s">
        <v>126</v>
      </c>
      <c r="E2423">
        <v>3</v>
      </c>
      <c r="H2423">
        <v>160</v>
      </c>
      <c r="I2423" t="s">
        <v>121</v>
      </c>
      <c r="J2423" t="s">
        <v>127</v>
      </c>
      <c r="K2423">
        <v>0</v>
      </c>
      <c r="L2423">
        <v>3</v>
      </c>
      <c r="M2423">
        <v>0</v>
      </c>
      <c r="N2423">
        <v>2</v>
      </c>
      <c r="O2423">
        <v>0</v>
      </c>
      <c r="P2423">
        <v>1</v>
      </c>
      <c r="Q2423">
        <v>0</v>
      </c>
      <c r="S2423" t="str">
        <f t="shared" si="724"/>
        <v>22:20:17.000</v>
      </c>
      <c r="T2423" t="str">
        <f t="shared" si="724"/>
        <v>22:20:17.000</v>
      </c>
      <c r="U2423" t="str">
        <f t="shared" si="709"/>
        <v>A9D71F</v>
      </c>
      <c r="V2423">
        <v>0</v>
      </c>
      <c r="W2423">
        <v>0</v>
      </c>
      <c r="X2423">
        <v>2</v>
      </c>
      <c r="Z2423">
        <v>1</v>
      </c>
      <c r="AA2423">
        <v>8</v>
      </c>
      <c r="AB2423">
        <v>3</v>
      </c>
      <c r="AC2423">
        <v>0</v>
      </c>
      <c r="AD2423">
        <v>9</v>
      </c>
      <c r="AE2423">
        <v>0</v>
      </c>
      <c r="AF2423">
        <v>3</v>
      </c>
      <c r="AG2423">
        <v>1</v>
      </c>
      <c r="AH2423">
        <v>0</v>
      </c>
      <c r="AI2423" t="s">
        <v>1196</v>
      </c>
      <c r="AJ2423">
        <v>33.005633000000003</v>
      </c>
      <c r="AK2423" t="s">
        <v>1253</v>
      </c>
      <c r="AL2423">
        <v>-97.669466</v>
      </c>
      <c r="AM2423">
        <v>25</v>
      </c>
      <c r="AN2423">
        <v>2400</v>
      </c>
      <c r="AO2423" t="s">
        <v>118</v>
      </c>
      <c r="AP2423">
        <v>-2</v>
      </c>
      <c r="AQ2423">
        <v>72</v>
      </c>
      <c r="AR2423">
        <v>-64</v>
      </c>
      <c r="AZ2423">
        <v>1200</v>
      </c>
      <c r="BA2423">
        <v>1</v>
      </c>
      <c r="BB2423" t="str">
        <f t="shared" si="716"/>
        <v xml:space="preserve">N733KP  </v>
      </c>
      <c r="BC2423">
        <v>1</v>
      </c>
      <c r="BE2423">
        <v>0</v>
      </c>
      <c r="BF2423">
        <v>0</v>
      </c>
      <c r="BG2423">
        <v>0</v>
      </c>
      <c r="BH2423">
        <v>2375</v>
      </c>
      <c r="BI2423">
        <v>1</v>
      </c>
      <c r="BJ2423">
        <v>1</v>
      </c>
      <c r="BK2423">
        <v>0</v>
      </c>
      <c r="BL2423">
        <v>0</v>
      </c>
      <c r="BO2423">
        <v>0</v>
      </c>
      <c r="BP2423">
        <v>0</v>
      </c>
      <c r="BW2423" t="str">
        <f>"22:20:17.567"</f>
        <v>22:20:17.567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6</v>
      </c>
      <c r="CP2423" t="s">
        <v>119</v>
      </c>
      <c r="CQ2423">
        <v>364</v>
      </c>
      <c r="CR2423">
        <v>0</v>
      </c>
      <c r="CW2423">
        <v>1460510</v>
      </c>
      <c r="CY2423">
        <v>0</v>
      </c>
      <c r="CZ2423">
        <v>0</v>
      </c>
      <c r="DA2423">
        <v>1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>"03/24/2022 22:20:17.983"</f>
        <v>03/24/2022 22:20:17.983</v>
      </c>
      <c r="C2424" t="str">
        <f t="shared" si="715"/>
        <v>FFDFD3C0</v>
      </c>
      <c r="D2424" t="s">
        <v>113</v>
      </c>
      <c r="E2424">
        <v>24</v>
      </c>
      <c r="F2424">
        <v>2024</v>
      </c>
      <c r="G2424" t="s">
        <v>114</v>
      </c>
      <c r="J2424" t="s">
        <v>115</v>
      </c>
      <c r="K2424">
        <v>0</v>
      </c>
      <c r="L2424">
        <v>3</v>
      </c>
      <c r="M2424">
        <v>0</v>
      </c>
      <c r="N2424">
        <v>2</v>
      </c>
      <c r="O2424">
        <v>0</v>
      </c>
      <c r="P2424">
        <v>1</v>
      </c>
      <c r="Q2424">
        <v>0</v>
      </c>
      <c r="S2424" t="str">
        <f t="shared" si="724"/>
        <v>22:20:17.000</v>
      </c>
      <c r="T2424" t="str">
        <f t="shared" si="724"/>
        <v>22:20:17.000</v>
      </c>
      <c r="U2424" t="str">
        <f t="shared" si="709"/>
        <v>A9D71F</v>
      </c>
      <c r="V2424">
        <v>0</v>
      </c>
      <c r="W2424">
        <v>0</v>
      </c>
      <c r="X2424">
        <v>2</v>
      </c>
      <c r="Z2424">
        <v>1</v>
      </c>
      <c r="AA2424">
        <v>8</v>
      </c>
      <c r="AB2424">
        <v>3</v>
      </c>
      <c r="AC2424">
        <v>0</v>
      </c>
      <c r="AD2424">
        <v>9</v>
      </c>
      <c r="AE2424">
        <v>0</v>
      </c>
      <c r="AF2424">
        <v>3</v>
      </c>
      <c r="AG2424">
        <v>1</v>
      </c>
      <c r="AH2424">
        <v>0</v>
      </c>
      <c r="AI2424" t="s">
        <v>1196</v>
      </c>
      <c r="AJ2424">
        <v>33.005633000000003</v>
      </c>
      <c r="AK2424" t="s">
        <v>1253</v>
      </c>
      <c r="AL2424">
        <v>-97.669466</v>
      </c>
      <c r="AM2424">
        <v>25</v>
      </c>
      <c r="AN2424">
        <v>2400</v>
      </c>
      <c r="AO2424" t="s">
        <v>118</v>
      </c>
      <c r="AP2424">
        <v>-2</v>
      </c>
      <c r="AQ2424">
        <v>72</v>
      </c>
      <c r="AR2424">
        <v>-64</v>
      </c>
      <c r="AZ2424">
        <v>1200</v>
      </c>
      <c r="BA2424">
        <v>1</v>
      </c>
      <c r="BB2424" t="str">
        <f t="shared" si="716"/>
        <v xml:space="preserve">N733KP  </v>
      </c>
      <c r="BC2424">
        <v>1</v>
      </c>
      <c r="BE2424">
        <v>0</v>
      </c>
      <c r="BF2424">
        <v>0</v>
      </c>
      <c r="BG2424">
        <v>0</v>
      </c>
      <c r="BH2424">
        <v>2375</v>
      </c>
      <c r="BI2424">
        <v>1</v>
      </c>
      <c r="BJ2424">
        <v>1</v>
      </c>
      <c r="BK2424">
        <v>0</v>
      </c>
      <c r="BL2424">
        <v>0</v>
      </c>
      <c r="BO2424">
        <v>0</v>
      </c>
      <c r="BP2424">
        <v>0</v>
      </c>
      <c r="BW2424" t="str">
        <f>"22:20:17.567"</f>
        <v>22:20:17.567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6</v>
      </c>
      <c r="CP2424" t="s">
        <v>119</v>
      </c>
      <c r="CQ2424">
        <v>364</v>
      </c>
      <c r="CR2424">
        <v>0</v>
      </c>
      <c r="CW2424">
        <v>1460510</v>
      </c>
      <c r="CY2424">
        <v>0</v>
      </c>
      <c r="CZ2424">
        <v>0</v>
      </c>
      <c r="DA2424">
        <v>1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>"03/24/2022 22:20:19.280"</f>
        <v>03/24/2022 22:20:19.280</v>
      </c>
      <c r="C2425" t="str">
        <f t="shared" si="715"/>
        <v>FFDFD3C0</v>
      </c>
      <c r="D2425" t="s">
        <v>120</v>
      </c>
      <c r="E2425">
        <v>14</v>
      </c>
      <c r="F2425">
        <v>1014</v>
      </c>
      <c r="G2425" t="s">
        <v>121</v>
      </c>
      <c r="J2425" t="s">
        <v>122</v>
      </c>
      <c r="K2425">
        <v>0</v>
      </c>
      <c r="L2425">
        <v>3</v>
      </c>
      <c r="M2425">
        <v>0</v>
      </c>
      <c r="N2425">
        <v>2</v>
      </c>
      <c r="O2425">
        <v>0</v>
      </c>
      <c r="P2425">
        <v>1</v>
      </c>
      <c r="Q2425">
        <v>0</v>
      </c>
      <c r="S2425" t="str">
        <f t="shared" ref="S2425:T2428" si="725">"22:20:18.000"</f>
        <v>22:20:18.000</v>
      </c>
      <c r="T2425" t="str">
        <f t="shared" si="725"/>
        <v>22:20:18.000</v>
      </c>
      <c r="U2425" t="str">
        <f t="shared" si="709"/>
        <v>A9D71F</v>
      </c>
      <c r="V2425">
        <v>0</v>
      </c>
      <c r="W2425">
        <v>0</v>
      </c>
      <c r="X2425">
        <v>2</v>
      </c>
      <c r="Z2425">
        <v>1</v>
      </c>
      <c r="AA2425">
        <v>8</v>
      </c>
      <c r="AB2425">
        <v>3</v>
      </c>
      <c r="AC2425">
        <v>0</v>
      </c>
      <c r="AD2425">
        <v>9</v>
      </c>
      <c r="AE2425">
        <v>0</v>
      </c>
      <c r="AF2425">
        <v>3</v>
      </c>
      <c r="AG2425">
        <v>1</v>
      </c>
      <c r="AH2425">
        <v>0</v>
      </c>
      <c r="AI2425" t="s">
        <v>1254</v>
      </c>
      <c r="AJ2425">
        <v>33.006019999999999</v>
      </c>
      <c r="AK2425" t="s">
        <v>1255</v>
      </c>
      <c r="AL2425">
        <v>-97.669487000000004</v>
      </c>
      <c r="AM2425">
        <v>25</v>
      </c>
      <c r="AN2425">
        <v>2400</v>
      </c>
      <c r="AO2425" t="s">
        <v>118</v>
      </c>
      <c r="AP2425">
        <v>3</v>
      </c>
      <c r="AQ2425">
        <v>72</v>
      </c>
      <c r="AR2425">
        <v>-64</v>
      </c>
      <c r="AZ2425">
        <v>1200</v>
      </c>
      <c r="BA2425">
        <v>1</v>
      </c>
      <c r="BB2425" t="str">
        <f t="shared" si="716"/>
        <v xml:space="preserve">N733KP  </v>
      </c>
      <c r="BC2425">
        <v>1</v>
      </c>
      <c r="BE2425">
        <v>0</v>
      </c>
      <c r="BF2425">
        <v>0</v>
      </c>
      <c r="BG2425">
        <v>0</v>
      </c>
      <c r="BH2425">
        <v>2375</v>
      </c>
      <c r="BI2425">
        <v>1</v>
      </c>
      <c r="BJ2425">
        <v>1</v>
      </c>
      <c r="BK2425">
        <v>0</v>
      </c>
      <c r="BL2425">
        <v>0</v>
      </c>
      <c r="BO2425">
        <v>0</v>
      </c>
      <c r="BP2425">
        <v>0</v>
      </c>
      <c r="BW2425" t="str">
        <f>"22:20:18.915"</f>
        <v>22:20:18.915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6</v>
      </c>
      <c r="CP2425" t="s">
        <v>119</v>
      </c>
      <c r="CQ2425">
        <v>364</v>
      </c>
      <c r="CR2425">
        <v>0</v>
      </c>
      <c r="CW2425">
        <v>1460710</v>
      </c>
      <c r="CY2425">
        <v>0</v>
      </c>
      <c r="CZ2425">
        <v>0</v>
      </c>
      <c r="DA2425">
        <v>0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>"03/24/2022 22:20:19.296"</f>
        <v>03/24/2022 22:20:19.296</v>
      </c>
      <c r="C2426" t="str">
        <f t="shared" si="715"/>
        <v>FFDFD3C0</v>
      </c>
      <c r="D2426" t="s">
        <v>123</v>
      </c>
      <c r="E2426">
        <v>8</v>
      </c>
      <c r="H2426">
        <v>31</v>
      </c>
      <c r="I2426" t="s">
        <v>124</v>
      </c>
      <c r="J2426" t="s">
        <v>125</v>
      </c>
      <c r="K2426">
        <v>0</v>
      </c>
      <c r="L2426">
        <v>3</v>
      </c>
      <c r="M2426">
        <v>0</v>
      </c>
      <c r="N2426">
        <v>2</v>
      </c>
      <c r="O2426">
        <v>0</v>
      </c>
      <c r="P2426">
        <v>1</v>
      </c>
      <c r="Q2426">
        <v>0</v>
      </c>
      <c r="S2426" t="str">
        <f t="shared" si="725"/>
        <v>22:20:18.000</v>
      </c>
      <c r="T2426" t="str">
        <f t="shared" si="725"/>
        <v>22:20:18.000</v>
      </c>
      <c r="U2426" t="str">
        <f t="shared" si="709"/>
        <v>A9D71F</v>
      </c>
      <c r="V2426">
        <v>0</v>
      </c>
      <c r="W2426">
        <v>0</v>
      </c>
      <c r="X2426">
        <v>2</v>
      </c>
      <c r="Z2426">
        <v>1</v>
      </c>
      <c r="AA2426">
        <v>8</v>
      </c>
      <c r="AB2426">
        <v>3</v>
      </c>
      <c r="AC2426">
        <v>0</v>
      </c>
      <c r="AD2426">
        <v>9</v>
      </c>
      <c r="AE2426">
        <v>0</v>
      </c>
      <c r="AF2426">
        <v>3</v>
      </c>
      <c r="AG2426">
        <v>1</v>
      </c>
      <c r="AH2426">
        <v>0</v>
      </c>
      <c r="AI2426" t="s">
        <v>1254</v>
      </c>
      <c r="AJ2426">
        <v>33.006019999999999</v>
      </c>
      <c r="AK2426" t="s">
        <v>1255</v>
      </c>
      <c r="AL2426">
        <v>-97.669487000000004</v>
      </c>
      <c r="AM2426">
        <v>25</v>
      </c>
      <c r="AN2426">
        <v>2400</v>
      </c>
      <c r="AO2426" t="s">
        <v>118</v>
      </c>
      <c r="AP2426">
        <v>3</v>
      </c>
      <c r="AQ2426">
        <v>72</v>
      </c>
      <c r="AR2426">
        <v>-64</v>
      </c>
      <c r="AZ2426">
        <v>1200</v>
      </c>
      <c r="BA2426">
        <v>1</v>
      </c>
      <c r="BB2426" t="str">
        <f t="shared" si="716"/>
        <v xml:space="preserve">N733KP  </v>
      </c>
      <c r="BC2426">
        <v>1</v>
      </c>
      <c r="BE2426">
        <v>0</v>
      </c>
      <c r="BF2426">
        <v>0</v>
      </c>
      <c r="BG2426">
        <v>0</v>
      </c>
      <c r="BH2426">
        <v>2375</v>
      </c>
      <c r="BI2426">
        <v>1</v>
      </c>
      <c r="BJ2426">
        <v>1</v>
      </c>
      <c r="BK2426">
        <v>0</v>
      </c>
      <c r="BL2426">
        <v>0</v>
      </c>
      <c r="BO2426">
        <v>0</v>
      </c>
      <c r="BP2426">
        <v>0</v>
      </c>
      <c r="BW2426" t="str">
        <f>"22:20:18.915"</f>
        <v>22:20:18.915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6</v>
      </c>
      <c r="CP2426" t="s">
        <v>119</v>
      </c>
      <c r="CQ2426">
        <v>364</v>
      </c>
      <c r="CR2426">
        <v>0</v>
      </c>
      <c r="CW2426">
        <v>1460710</v>
      </c>
      <c r="CY2426">
        <v>0</v>
      </c>
      <c r="CZ2426">
        <v>0</v>
      </c>
      <c r="DA2426">
        <v>1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>"03/24/2022 22:20:19.296"</f>
        <v>03/24/2022 22:20:19.296</v>
      </c>
      <c r="C2427" t="str">
        <f t="shared" si="715"/>
        <v>FFDFD3C0</v>
      </c>
      <c r="D2427" t="s">
        <v>126</v>
      </c>
      <c r="E2427">
        <v>3</v>
      </c>
      <c r="H2427">
        <v>160</v>
      </c>
      <c r="I2427" t="s">
        <v>121</v>
      </c>
      <c r="J2427" t="s">
        <v>127</v>
      </c>
      <c r="K2427">
        <v>0</v>
      </c>
      <c r="L2427">
        <v>3</v>
      </c>
      <c r="M2427">
        <v>0</v>
      </c>
      <c r="N2427">
        <v>2</v>
      </c>
      <c r="O2427">
        <v>0</v>
      </c>
      <c r="P2427">
        <v>1</v>
      </c>
      <c r="Q2427">
        <v>0</v>
      </c>
      <c r="S2427" t="str">
        <f t="shared" si="725"/>
        <v>22:20:18.000</v>
      </c>
      <c r="T2427" t="str">
        <f t="shared" si="725"/>
        <v>22:20:18.000</v>
      </c>
      <c r="U2427" t="str">
        <f t="shared" si="709"/>
        <v>A9D71F</v>
      </c>
      <c r="V2427">
        <v>0</v>
      </c>
      <c r="W2427">
        <v>0</v>
      </c>
      <c r="X2427">
        <v>2</v>
      </c>
      <c r="Z2427">
        <v>1</v>
      </c>
      <c r="AA2427">
        <v>8</v>
      </c>
      <c r="AB2427">
        <v>3</v>
      </c>
      <c r="AC2427">
        <v>0</v>
      </c>
      <c r="AD2427">
        <v>9</v>
      </c>
      <c r="AE2427">
        <v>0</v>
      </c>
      <c r="AF2427">
        <v>3</v>
      </c>
      <c r="AG2427">
        <v>1</v>
      </c>
      <c r="AH2427">
        <v>0</v>
      </c>
      <c r="AI2427" t="s">
        <v>1254</v>
      </c>
      <c r="AJ2427">
        <v>33.006019999999999</v>
      </c>
      <c r="AK2427" t="s">
        <v>1255</v>
      </c>
      <c r="AL2427">
        <v>-97.669487000000004</v>
      </c>
      <c r="AM2427">
        <v>25</v>
      </c>
      <c r="AN2427">
        <v>2400</v>
      </c>
      <c r="AO2427" t="s">
        <v>118</v>
      </c>
      <c r="AP2427">
        <v>3</v>
      </c>
      <c r="AQ2427">
        <v>72</v>
      </c>
      <c r="AR2427">
        <v>-64</v>
      </c>
      <c r="AZ2427">
        <v>1200</v>
      </c>
      <c r="BA2427">
        <v>1</v>
      </c>
      <c r="BB2427" t="str">
        <f t="shared" si="716"/>
        <v xml:space="preserve">N733KP  </v>
      </c>
      <c r="BC2427">
        <v>1</v>
      </c>
      <c r="BE2427">
        <v>0</v>
      </c>
      <c r="BF2427">
        <v>0</v>
      </c>
      <c r="BG2427">
        <v>0</v>
      </c>
      <c r="BH2427">
        <v>2375</v>
      </c>
      <c r="BI2427">
        <v>1</v>
      </c>
      <c r="BJ2427">
        <v>1</v>
      </c>
      <c r="BK2427">
        <v>0</v>
      </c>
      <c r="BL2427">
        <v>0</v>
      </c>
      <c r="BO2427">
        <v>0</v>
      </c>
      <c r="BP2427">
        <v>0</v>
      </c>
      <c r="BW2427" t="str">
        <f>"22:20:18.915"</f>
        <v>22:20:18.915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6</v>
      </c>
      <c r="CP2427" t="s">
        <v>119</v>
      </c>
      <c r="CQ2427">
        <v>364</v>
      </c>
      <c r="CR2427">
        <v>0</v>
      </c>
      <c r="CW2427">
        <v>1460710</v>
      </c>
      <c r="CY2427">
        <v>0</v>
      </c>
      <c r="CZ2427">
        <v>0</v>
      </c>
      <c r="DA2427">
        <v>1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>"03/24/2022 22:20:19.296"</f>
        <v>03/24/2022 22:20:19.296</v>
      </c>
      <c r="C2428" t="str">
        <f t="shared" si="715"/>
        <v>FFDFD3C0</v>
      </c>
      <c r="D2428" t="s">
        <v>113</v>
      </c>
      <c r="E2428">
        <v>24</v>
      </c>
      <c r="F2428">
        <v>2024</v>
      </c>
      <c r="G2428" t="s">
        <v>114</v>
      </c>
      <c r="J2428" t="s">
        <v>115</v>
      </c>
      <c r="K2428">
        <v>0</v>
      </c>
      <c r="L2428">
        <v>3</v>
      </c>
      <c r="M2428">
        <v>0</v>
      </c>
      <c r="N2428">
        <v>2</v>
      </c>
      <c r="O2428">
        <v>0</v>
      </c>
      <c r="P2428">
        <v>1</v>
      </c>
      <c r="Q2428">
        <v>0</v>
      </c>
      <c r="S2428" t="str">
        <f t="shared" si="725"/>
        <v>22:20:18.000</v>
      </c>
      <c r="T2428" t="str">
        <f t="shared" si="725"/>
        <v>22:20:18.000</v>
      </c>
      <c r="U2428" t="str">
        <f t="shared" si="709"/>
        <v>A9D71F</v>
      </c>
      <c r="V2428">
        <v>0</v>
      </c>
      <c r="W2428">
        <v>0</v>
      </c>
      <c r="X2428">
        <v>2</v>
      </c>
      <c r="Z2428">
        <v>1</v>
      </c>
      <c r="AA2428">
        <v>8</v>
      </c>
      <c r="AB2428">
        <v>3</v>
      </c>
      <c r="AC2428">
        <v>0</v>
      </c>
      <c r="AD2428">
        <v>9</v>
      </c>
      <c r="AE2428">
        <v>0</v>
      </c>
      <c r="AF2428">
        <v>3</v>
      </c>
      <c r="AG2428">
        <v>1</v>
      </c>
      <c r="AH2428">
        <v>0</v>
      </c>
      <c r="AI2428" t="s">
        <v>1254</v>
      </c>
      <c r="AJ2428">
        <v>33.006019999999999</v>
      </c>
      <c r="AK2428" t="s">
        <v>1255</v>
      </c>
      <c r="AL2428">
        <v>-97.669487000000004</v>
      </c>
      <c r="AM2428">
        <v>25</v>
      </c>
      <c r="AN2428">
        <v>2400</v>
      </c>
      <c r="AO2428" t="s">
        <v>118</v>
      </c>
      <c r="AP2428">
        <v>3</v>
      </c>
      <c r="AQ2428">
        <v>72</v>
      </c>
      <c r="AR2428">
        <v>-64</v>
      </c>
      <c r="AZ2428">
        <v>1200</v>
      </c>
      <c r="BA2428">
        <v>1</v>
      </c>
      <c r="BB2428" t="str">
        <f t="shared" si="716"/>
        <v xml:space="preserve">N733KP  </v>
      </c>
      <c r="BC2428">
        <v>1</v>
      </c>
      <c r="BE2428">
        <v>0</v>
      </c>
      <c r="BF2428">
        <v>0</v>
      </c>
      <c r="BG2428">
        <v>0</v>
      </c>
      <c r="BH2428">
        <v>2375</v>
      </c>
      <c r="BI2428">
        <v>1</v>
      </c>
      <c r="BJ2428">
        <v>1</v>
      </c>
      <c r="BK2428">
        <v>0</v>
      </c>
      <c r="BL2428">
        <v>0</v>
      </c>
      <c r="BO2428">
        <v>0</v>
      </c>
      <c r="BP2428">
        <v>0</v>
      </c>
      <c r="BW2428" t="str">
        <f>"22:20:18.915"</f>
        <v>22:20:18.915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6</v>
      </c>
      <c r="CP2428" t="s">
        <v>119</v>
      </c>
      <c r="CQ2428">
        <v>364</v>
      </c>
      <c r="CR2428">
        <v>0</v>
      </c>
      <c r="CW2428">
        <v>1460710</v>
      </c>
      <c r="CY2428">
        <v>0</v>
      </c>
      <c r="CZ2428">
        <v>0</v>
      </c>
      <c r="DA2428">
        <v>1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>"03/24/2022 22:20:19.749"</f>
        <v>03/24/2022 22:20:19.749</v>
      </c>
      <c r="C2429" t="str">
        <f t="shared" si="715"/>
        <v>FFDFD3C0</v>
      </c>
      <c r="D2429" t="s">
        <v>120</v>
      </c>
      <c r="E2429">
        <v>14</v>
      </c>
      <c r="F2429">
        <v>1014</v>
      </c>
      <c r="G2429" t="s">
        <v>121</v>
      </c>
      <c r="J2429" t="s">
        <v>122</v>
      </c>
      <c r="K2429">
        <v>0</v>
      </c>
      <c r="L2429">
        <v>3</v>
      </c>
      <c r="M2429">
        <v>0</v>
      </c>
      <c r="N2429">
        <v>2</v>
      </c>
      <c r="O2429">
        <v>0</v>
      </c>
      <c r="P2429">
        <v>1</v>
      </c>
      <c r="Q2429">
        <v>0</v>
      </c>
      <c r="S2429" t="str">
        <f t="shared" ref="S2429:T2432" si="726">"22:20:19.000"</f>
        <v>22:20:19.000</v>
      </c>
      <c r="T2429" t="str">
        <f t="shared" si="726"/>
        <v>22:20:19.000</v>
      </c>
      <c r="U2429" t="str">
        <f t="shared" si="709"/>
        <v>A9D71F</v>
      </c>
      <c r="V2429">
        <v>0</v>
      </c>
      <c r="W2429">
        <v>0</v>
      </c>
      <c r="X2429">
        <v>2</v>
      </c>
      <c r="Z2429">
        <v>1</v>
      </c>
      <c r="AA2429">
        <v>8</v>
      </c>
      <c r="AB2429">
        <v>3</v>
      </c>
      <c r="AC2429">
        <v>0</v>
      </c>
      <c r="AD2429">
        <v>9</v>
      </c>
      <c r="AE2429">
        <v>0</v>
      </c>
      <c r="AF2429">
        <v>3</v>
      </c>
      <c r="AG2429">
        <v>1</v>
      </c>
      <c r="AH2429">
        <v>0</v>
      </c>
      <c r="AI2429" t="s">
        <v>1256</v>
      </c>
      <c r="AJ2429">
        <v>33.006320000000002</v>
      </c>
      <c r="AK2429" t="s">
        <v>1253</v>
      </c>
      <c r="AL2429">
        <v>-97.669466</v>
      </c>
      <c r="AM2429">
        <v>25</v>
      </c>
      <c r="AN2429">
        <v>2400</v>
      </c>
      <c r="AO2429" t="s">
        <v>118</v>
      </c>
      <c r="AP2429">
        <v>6</v>
      </c>
      <c r="AQ2429">
        <v>71</v>
      </c>
      <c r="AR2429">
        <v>0</v>
      </c>
      <c r="AZ2429">
        <v>1200</v>
      </c>
      <c r="BA2429">
        <v>1</v>
      </c>
      <c r="BB2429" t="str">
        <f t="shared" si="716"/>
        <v xml:space="preserve">N733KP  </v>
      </c>
      <c r="BC2429">
        <v>1</v>
      </c>
      <c r="BE2429">
        <v>0</v>
      </c>
      <c r="BF2429">
        <v>0</v>
      </c>
      <c r="BG2429">
        <v>0</v>
      </c>
      <c r="BH2429">
        <v>2375</v>
      </c>
      <c r="BI2429">
        <v>1</v>
      </c>
      <c r="BJ2429">
        <v>1</v>
      </c>
      <c r="BK2429">
        <v>0</v>
      </c>
      <c r="BL2429">
        <v>0</v>
      </c>
      <c r="BO2429">
        <v>0</v>
      </c>
      <c r="BP2429">
        <v>0</v>
      </c>
      <c r="BW2429" t="str">
        <f>"22:20:19.471"</f>
        <v>22:20:19.471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6</v>
      </c>
      <c r="CP2429" t="s">
        <v>119</v>
      </c>
      <c r="CQ2429">
        <v>364</v>
      </c>
      <c r="CR2429">
        <v>0</v>
      </c>
      <c r="CW2429">
        <v>1460792</v>
      </c>
      <c r="CY2429">
        <v>0</v>
      </c>
      <c r="CZ2429">
        <v>0</v>
      </c>
      <c r="DA2429">
        <v>0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>"03/24/2022 22:20:19.749"</f>
        <v>03/24/2022 22:20:19.749</v>
      </c>
      <c r="C2430" t="str">
        <f t="shared" si="715"/>
        <v>FFDFD3C0</v>
      </c>
      <c r="D2430" t="s">
        <v>123</v>
      </c>
      <c r="E2430">
        <v>8</v>
      </c>
      <c r="H2430">
        <v>31</v>
      </c>
      <c r="I2430" t="s">
        <v>124</v>
      </c>
      <c r="J2430" t="s">
        <v>125</v>
      </c>
      <c r="K2430">
        <v>0</v>
      </c>
      <c r="L2430">
        <v>3</v>
      </c>
      <c r="M2430">
        <v>0</v>
      </c>
      <c r="N2430">
        <v>2</v>
      </c>
      <c r="O2430">
        <v>0</v>
      </c>
      <c r="P2430">
        <v>1</v>
      </c>
      <c r="Q2430">
        <v>0</v>
      </c>
      <c r="S2430" t="str">
        <f t="shared" si="726"/>
        <v>22:20:19.000</v>
      </c>
      <c r="T2430" t="str">
        <f t="shared" si="726"/>
        <v>22:20:19.000</v>
      </c>
      <c r="U2430" t="str">
        <f t="shared" si="709"/>
        <v>A9D71F</v>
      </c>
      <c r="V2430">
        <v>0</v>
      </c>
      <c r="W2430">
        <v>0</v>
      </c>
      <c r="X2430">
        <v>2</v>
      </c>
      <c r="Z2430">
        <v>1</v>
      </c>
      <c r="AA2430">
        <v>8</v>
      </c>
      <c r="AB2430">
        <v>3</v>
      </c>
      <c r="AC2430">
        <v>0</v>
      </c>
      <c r="AD2430">
        <v>9</v>
      </c>
      <c r="AE2430">
        <v>0</v>
      </c>
      <c r="AF2430">
        <v>3</v>
      </c>
      <c r="AG2430">
        <v>1</v>
      </c>
      <c r="AH2430">
        <v>0</v>
      </c>
      <c r="AI2430" t="s">
        <v>1256</v>
      </c>
      <c r="AJ2430">
        <v>33.006320000000002</v>
      </c>
      <c r="AK2430" t="s">
        <v>1253</v>
      </c>
      <c r="AL2430">
        <v>-97.669466</v>
      </c>
      <c r="AM2430">
        <v>25</v>
      </c>
      <c r="AN2430">
        <v>2400</v>
      </c>
      <c r="AO2430" t="s">
        <v>118</v>
      </c>
      <c r="AP2430">
        <v>6</v>
      </c>
      <c r="AQ2430">
        <v>71</v>
      </c>
      <c r="AR2430">
        <v>0</v>
      </c>
      <c r="AZ2430">
        <v>1200</v>
      </c>
      <c r="BA2430">
        <v>1</v>
      </c>
      <c r="BB2430" t="str">
        <f t="shared" si="716"/>
        <v xml:space="preserve">N733KP  </v>
      </c>
      <c r="BC2430">
        <v>1</v>
      </c>
      <c r="BE2430">
        <v>0</v>
      </c>
      <c r="BF2430">
        <v>0</v>
      </c>
      <c r="BG2430">
        <v>0</v>
      </c>
      <c r="BH2430">
        <v>2375</v>
      </c>
      <c r="BI2430">
        <v>1</v>
      </c>
      <c r="BJ2430">
        <v>1</v>
      </c>
      <c r="BK2430">
        <v>0</v>
      </c>
      <c r="BL2430">
        <v>0</v>
      </c>
      <c r="BO2430">
        <v>0</v>
      </c>
      <c r="BP2430">
        <v>0</v>
      </c>
      <c r="BW2430" t="str">
        <f>"22:20:19.471"</f>
        <v>22:20:19.471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6</v>
      </c>
      <c r="CP2430" t="s">
        <v>119</v>
      </c>
      <c r="CQ2430">
        <v>364</v>
      </c>
      <c r="CR2430">
        <v>0</v>
      </c>
      <c r="CW2430">
        <v>1460792</v>
      </c>
      <c r="CY2430">
        <v>0</v>
      </c>
      <c r="CZ2430">
        <v>0</v>
      </c>
      <c r="DA2430">
        <v>1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>"03/24/2022 22:20:19.749"</f>
        <v>03/24/2022 22:20:19.749</v>
      </c>
      <c r="C2431" t="str">
        <f t="shared" si="715"/>
        <v>FFDFD3C0</v>
      </c>
      <c r="D2431" t="s">
        <v>126</v>
      </c>
      <c r="E2431">
        <v>3</v>
      </c>
      <c r="H2431">
        <v>160</v>
      </c>
      <c r="I2431" t="s">
        <v>121</v>
      </c>
      <c r="J2431" t="s">
        <v>127</v>
      </c>
      <c r="K2431">
        <v>0</v>
      </c>
      <c r="L2431">
        <v>3</v>
      </c>
      <c r="M2431">
        <v>0</v>
      </c>
      <c r="N2431">
        <v>2</v>
      </c>
      <c r="O2431">
        <v>0</v>
      </c>
      <c r="P2431">
        <v>1</v>
      </c>
      <c r="Q2431">
        <v>0</v>
      </c>
      <c r="S2431" t="str">
        <f t="shared" si="726"/>
        <v>22:20:19.000</v>
      </c>
      <c r="T2431" t="str">
        <f t="shared" si="726"/>
        <v>22:20:19.000</v>
      </c>
      <c r="U2431" t="str">
        <f t="shared" si="709"/>
        <v>A9D71F</v>
      </c>
      <c r="V2431">
        <v>0</v>
      </c>
      <c r="W2431">
        <v>0</v>
      </c>
      <c r="X2431">
        <v>2</v>
      </c>
      <c r="Z2431">
        <v>1</v>
      </c>
      <c r="AA2431">
        <v>8</v>
      </c>
      <c r="AB2431">
        <v>3</v>
      </c>
      <c r="AC2431">
        <v>0</v>
      </c>
      <c r="AD2431">
        <v>9</v>
      </c>
      <c r="AE2431">
        <v>0</v>
      </c>
      <c r="AF2431">
        <v>3</v>
      </c>
      <c r="AG2431">
        <v>1</v>
      </c>
      <c r="AH2431">
        <v>0</v>
      </c>
      <c r="AI2431" t="s">
        <v>1256</v>
      </c>
      <c r="AJ2431">
        <v>33.006320000000002</v>
      </c>
      <c r="AK2431" t="s">
        <v>1253</v>
      </c>
      <c r="AL2431">
        <v>-97.669466</v>
      </c>
      <c r="AM2431">
        <v>25</v>
      </c>
      <c r="AN2431">
        <v>2400</v>
      </c>
      <c r="AO2431" t="s">
        <v>118</v>
      </c>
      <c r="AP2431">
        <v>6</v>
      </c>
      <c r="AQ2431">
        <v>71</v>
      </c>
      <c r="AR2431">
        <v>0</v>
      </c>
      <c r="AZ2431">
        <v>1200</v>
      </c>
      <c r="BA2431">
        <v>1</v>
      </c>
      <c r="BB2431" t="str">
        <f t="shared" si="716"/>
        <v xml:space="preserve">N733KP  </v>
      </c>
      <c r="BC2431">
        <v>1</v>
      </c>
      <c r="BE2431">
        <v>0</v>
      </c>
      <c r="BF2431">
        <v>0</v>
      </c>
      <c r="BG2431">
        <v>0</v>
      </c>
      <c r="BH2431">
        <v>2375</v>
      </c>
      <c r="BI2431">
        <v>1</v>
      </c>
      <c r="BJ2431">
        <v>1</v>
      </c>
      <c r="BK2431">
        <v>0</v>
      </c>
      <c r="BL2431">
        <v>0</v>
      </c>
      <c r="BO2431">
        <v>0</v>
      </c>
      <c r="BP2431">
        <v>0</v>
      </c>
      <c r="BW2431" t="str">
        <f>"22:20:19.471"</f>
        <v>22:20:19.471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6</v>
      </c>
      <c r="CP2431" t="s">
        <v>119</v>
      </c>
      <c r="CQ2431">
        <v>364</v>
      </c>
      <c r="CR2431">
        <v>0</v>
      </c>
      <c r="CW2431">
        <v>1460792</v>
      </c>
      <c r="CY2431">
        <v>0</v>
      </c>
      <c r="CZ2431">
        <v>0</v>
      </c>
      <c r="DA2431">
        <v>1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>"03/24/2022 22:20:19.749"</f>
        <v>03/24/2022 22:20:19.749</v>
      </c>
      <c r="C2432" t="str">
        <f t="shared" si="715"/>
        <v>FFDFD3C0</v>
      </c>
      <c r="D2432" t="s">
        <v>113</v>
      </c>
      <c r="E2432">
        <v>24</v>
      </c>
      <c r="F2432">
        <v>2024</v>
      </c>
      <c r="G2432" t="s">
        <v>114</v>
      </c>
      <c r="J2432" t="s">
        <v>115</v>
      </c>
      <c r="K2432">
        <v>0</v>
      </c>
      <c r="L2432">
        <v>3</v>
      </c>
      <c r="M2432">
        <v>0</v>
      </c>
      <c r="N2432">
        <v>2</v>
      </c>
      <c r="O2432">
        <v>0</v>
      </c>
      <c r="P2432">
        <v>1</v>
      </c>
      <c r="Q2432">
        <v>0</v>
      </c>
      <c r="S2432" t="str">
        <f t="shared" si="726"/>
        <v>22:20:19.000</v>
      </c>
      <c r="T2432" t="str">
        <f t="shared" si="726"/>
        <v>22:20:19.000</v>
      </c>
      <c r="U2432" t="str">
        <f t="shared" si="709"/>
        <v>A9D71F</v>
      </c>
      <c r="V2432">
        <v>0</v>
      </c>
      <c r="W2432">
        <v>0</v>
      </c>
      <c r="X2432">
        <v>2</v>
      </c>
      <c r="Z2432">
        <v>1</v>
      </c>
      <c r="AA2432">
        <v>8</v>
      </c>
      <c r="AB2432">
        <v>3</v>
      </c>
      <c r="AC2432">
        <v>0</v>
      </c>
      <c r="AD2432">
        <v>9</v>
      </c>
      <c r="AE2432">
        <v>0</v>
      </c>
      <c r="AF2432">
        <v>3</v>
      </c>
      <c r="AG2432">
        <v>1</v>
      </c>
      <c r="AH2432">
        <v>0</v>
      </c>
      <c r="AI2432" t="s">
        <v>1256</v>
      </c>
      <c r="AJ2432">
        <v>33.006320000000002</v>
      </c>
      <c r="AK2432" t="s">
        <v>1253</v>
      </c>
      <c r="AL2432">
        <v>-97.669466</v>
      </c>
      <c r="AM2432">
        <v>25</v>
      </c>
      <c r="AN2432">
        <v>2400</v>
      </c>
      <c r="AO2432" t="s">
        <v>118</v>
      </c>
      <c r="AP2432">
        <v>6</v>
      </c>
      <c r="AQ2432">
        <v>71</v>
      </c>
      <c r="AR2432">
        <v>0</v>
      </c>
      <c r="AZ2432">
        <v>1200</v>
      </c>
      <c r="BA2432">
        <v>1</v>
      </c>
      <c r="BB2432" t="str">
        <f t="shared" si="716"/>
        <v xml:space="preserve">N733KP  </v>
      </c>
      <c r="BC2432">
        <v>1</v>
      </c>
      <c r="BE2432">
        <v>0</v>
      </c>
      <c r="BF2432">
        <v>0</v>
      </c>
      <c r="BG2432">
        <v>0</v>
      </c>
      <c r="BH2432">
        <v>2375</v>
      </c>
      <c r="BI2432">
        <v>1</v>
      </c>
      <c r="BJ2432">
        <v>1</v>
      </c>
      <c r="BK2432">
        <v>0</v>
      </c>
      <c r="BL2432">
        <v>0</v>
      </c>
      <c r="BO2432">
        <v>0</v>
      </c>
      <c r="BP2432">
        <v>0</v>
      </c>
      <c r="BW2432" t="str">
        <f>"22:20:19.471"</f>
        <v>22:20:19.471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6</v>
      </c>
      <c r="CP2432" t="s">
        <v>119</v>
      </c>
      <c r="CQ2432">
        <v>364</v>
      </c>
      <c r="CR2432">
        <v>0</v>
      </c>
      <c r="CW2432">
        <v>1460792</v>
      </c>
      <c r="CY2432">
        <v>0</v>
      </c>
      <c r="CZ2432">
        <v>0</v>
      </c>
      <c r="DA2432">
        <v>1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>"03/24/2022 22:20:21.047"</f>
        <v>03/24/2022 22:20:21.047</v>
      </c>
      <c r="C2433" t="str">
        <f t="shared" si="715"/>
        <v>FFDFD3C0</v>
      </c>
      <c r="D2433" t="s">
        <v>126</v>
      </c>
      <c r="E2433">
        <v>3</v>
      </c>
      <c r="H2433">
        <v>160</v>
      </c>
      <c r="I2433" t="s">
        <v>121</v>
      </c>
      <c r="J2433" t="s">
        <v>127</v>
      </c>
      <c r="K2433">
        <v>0</v>
      </c>
      <c r="L2433">
        <v>3</v>
      </c>
      <c r="M2433">
        <v>0</v>
      </c>
      <c r="N2433">
        <v>2</v>
      </c>
      <c r="O2433">
        <v>0</v>
      </c>
      <c r="P2433">
        <v>1</v>
      </c>
      <c r="Q2433">
        <v>0</v>
      </c>
      <c r="S2433" t="str">
        <f t="shared" ref="S2433:T2436" si="727">"22:20:20.000"</f>
        <v>22:20:20.000</v>
      </c>
      <c r="T2433" t="str">
        <f t="shared" si="727"/>
        <v>22:20:20.000</v>
      </c>
      <c r="U2433" t="str">
        <f t="shared" si="709"/>
        <v>A9D71F</v>
      </c>
      <c r="V2433">
        <v>0</v>
      </c>
      <c r="W2433">
        <v>0</v>
      </c>
      <c r="X2433">
        <v>2</v>
      </c>
      <c r="Z2433">
        <v>1</v>
      </c>
      <c r="AA2433">
        <v>8</v>
      </c>
      <c r="AB2433">
        <v>3</v>
      </c>
      <c r="AC2433">
        <v>0</v>
      </c>
      <c r="AD2433">
        <v>9</v>
      </c>
      <c r="AE2433">
        <v>0</v>
      </c>
      <c r="AF2433">
        <v>3</v>
      </c>
      <c r="AG2433">
        <v>1</v>
      </c>
      <c r="AH2433">
        <v>0</v>
      </c>
      <c r="AI2433" t="s">
        <v>1257</v>
      </c>
      <c r="AJ2433">
        <v>33.006706000000001</v>
      </c>
      <c r="AK2433" t="s">
        <v>1253</v>
      </c>
      <c r="AL2433">
        <v>-97.669466</v>
      </c>
      <c r="AM2433">
        <v>25</v>
      </c>
      <c r="AN2433">
        <v>2400</v>
      </c>
      <c r="AO2433" t="s">
        <v>118</v>
      </c>
      <c r="AP2433">
        <v>11</v>
      </c>
      <c r="AQ2433">
        <v>68</v>
      </c>
      <c r="AR2433">
        <v>-64</v>
      </c>
      <c r="AZ2433">
        <v>1200</v>
      </c>
      <c r="BA2433">
        <v>1</v>
      </c>
      <c r="BB2433" t="str">
        <f t="shared" si="716"/>
        <v xml:space="preserve">N733KP  </v>
      </c>
      <c r="BC2433">
        <v>1</v>
      </c>
      <c r="BE2433">
        <v>0</v>
      </c>
      <c r="BF2433">
        <v>0</v>
      </c>
      <c r="BG2433">
        <v>0</v>
      </c>
      <c r="BH2433">
        <v>2375</v>
      </c>
      <c r="BI2433">
        <v>1</v>
      </c>
      <c r="BJ2433">
        <v>1</v>
      </c>
      <c r="BK2433">
        <v>0</v>
      </c>
      <c r="BL2433">
        <v>0</v>
      </c>
      <c r="BO2433">
        <v>0</v>
      </c>
      <c r="BP2433">
        <v>0</v>
      </c>
      <c r="BW2433" t="str">
        <f>"22:20:20.827"</f>
        <v>22:20:20.827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6</v>
      </c>
      <c r="CP2433" t="s">
        <v>119</v>
      </c>
      <c r="CQ2433">
        <v>364</v>
      </c>
      <c r="CR2433">
        <v>0</v>
      </c>
      <c r="CW2433">
        <v>1460994</v>
      </c>
      <c r="CY2433">
        <v>0</v>
      </c>
      <c r="CZ2433">
        <v>0</v>
      </c>
      <c r="DA2433">
        <v>0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>"03/24/2022 22:20:21.047"</f>
        <v>03/24/2022 22:20:21.047</v>
      </c>
      <c r="C2434" t="str">
        <f t="shared" si="715"/>
        <v>FFDFD3C0</v>
      </c>
      <c r="D2434" t="s">
        <v>113</v>
      </c>
      <c r="E2434">
        <v>24</v>
      </c>
      <c r="F2434">
        <v>2024</v>
      </c>
      <c r="G2434" t="s">
        <v>114</v>
      </c>
      <c r="J2434" t="s">
        <v>115</v>
      </c>
      <c r="K2434">
        <v>0</v>
      </c>
      <c r="L2434">
        <v>3</v>
      </c>
      <c r="M2434">
        <v>0</v>
      </c>
      <c r="N2434">
        <v>2</v>
      </c>
      <c r="O2434">
        <v>0</v>
      </c>
      <c r="P2434">
        <v>1</v>
      </c>
      <c r="Q2434">
        <v>0</v>
      </c>
      <c r="S2434" t="str">
        <f t="shared" si="727"/>
        <v>22:20:20.000</v>
      </c>
      <c r="T2434" t="str">
        <f t="shared" si="727"/>
        <v>22:20:20.000</v>
      </c>
      <c r="U2434" t="str">
        <f t="shared" ref="U2434:U2497" si="728">"A9D71F"</f>
        <v>A9D71F</v>
      </c>
      <c r="V2434">
        <v>0</v>
      </c>
      <c r="W2434">
        <v>0</v>
      </c>
      <c r="X2434">
        <v>2</v>
      </c>
      <c r="Z2434">
        <v>1</v>
      </c>
      <c r="AA2434">
        <v>8</v>
      </c>
      <c r="AB2434">
        <v>3</v>
      </c>
      <c r="AC2434">
        <v>0</v>
      </c>
      <c r="AD2434">
        <v>9</v>
      </c>
      <c r="AE2434">
        <v>0</v>
      </c>
      <c r="AF2434">
        <v>3</v>
      </c>
      <c r="AG2434">
        <v>1</v>
      </c>
      <c r="AH2434">
        <v>0</v>
      </c>
      <c r="AI2434" t="s">
        <v>1257</v>
      </c>
      <c r="AJ2434">
        <v>33.006706000000001</v>
      </c>
      <c r="AK2434" t="s">
        <v>1253</v>
      </c>
      <c r="AL2434">
        <v>-97.669466</v>
      </c>
      <c r="AM2434">
        <v>25</v>
      </c>
      <c r="AN2434">
        <v>2400</v>
      </c>
      <c r="AO2434" t="s">
        <v>118</v>
      </c>
      <c r="AP2434">
        <v>11</v>
      </c>
      <c r="AQ2434">
        <v>68</v>
      </c>
      <c r="AR2434">
        <v>-64</v>
      </c>
      <c r="AZ2434">
        <v>1200</v>
      </c>
      <c r="BA2434">
        <v>1</v>
      </c>
      <c r="BB2434" t="str">
        <f t="shared" si="716"/>
        <v xml:space="preserve">N733KP  </v>
      </c>
      <c r="BC2434">
        <v>1</v>
      </c>
      <c r="BE2434">
        <v>0</v>
      </c>
      <c r="BF2434">
        <v>0</v>
      </c>
      <c r="BG2434">
        <v>0</v>
      </c>
      <c r="BH2434">
        <v>2375</v>
      </c>
      <c r="BI2434">
        <v>1</v>
      </c>
      <c r="BJ2434">
        <v>1</v>
      </c>
      <c r="BK2434">
        <v>0</v>
      </c>
      <c r="BL2434">
        <v>0</v>
      </c>
      <c r="BO2434">
        <v>0</v>
      </c>
      <c r="BP2434">
        <v>0</v>
      </c>
      <c r="BW2434" t="str">
        <f>"22:20:20.827"</f>
        <v>22:20:20.827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6</v>
      </c>
      <c r="CP2434" t="s">
        <v>119</v>
      </c>
      <c r="CQ2434">
        <v>364</v>
      </c>
      <c r="CR2434">
        <v>0</v>
      </c>
      <c r="CW2434">
        <v>1460994</v>
      </c>
      <c r="CY2434">
        <v>0</v>
      </c>
      <c r="CZ2434">
        <v>0</v>
      </c>
      <c r="DA2434">
        <v>1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>"03/24/2022 22:20:21.047"</f>
        <v>03/24/2022 22:20:21.047</v>
      </c>
      <c r="C2435" t="str">
        <f t="shared" si="715"/>
        <v>FFDFD3C0</v>
      </c>
      <c r="D2435" t="s">
        <v>120</v>
      </c>
      <c r="E2435">
        <v>14</v>
      </c>
      <c r="F2435">
        <v>1014</v>
      </c>
      <c r="G2435" t="s">
        <v>121</v>
      </c>
      <c r="J2435" t="s">
        <v>122</v>
      </c>
      <c r="K2435">
        <v>0</v>
      </c>
      <c r="L2435">
        <v>3</v>
      </c>
      <c r="M2435">
        <v>0</v>
      </c>
      <c r="N2435">
        <v>2</v>
      </c>
      <c r="O2435">
        <v>0</v>
      </c>
      <c r="P2435">
        <v>1</v>
      </c>
      <c r="Q2435">
        <v>0</v>
      </c>
      <c r="S2435" t="str">
        <f t="shared" si="727"/>
        <v>22:20:20.000</v>
      </c>
      <c r="T2435" t="str">
        <f t="shared" si="727"/>
        <v>22:20:20.000</v>
      </c>
      <c r="U2435" t="str">
        <f t="shared" si="728"/>
        <v>A9D71F</v>
      </c>
      <c r="V2435">
        <v>0</v>
      </c>
      <c r="W2435">
        <v>0</v>
      </c>
      <c r="X2435">
        <v>2</v>
      </c>
      <c r="Z2435">
        <v>1</v>
      </c>
      <c r="AA2435">
        <v>8</v>
      </c>
      <c r="AB2435">
        <v>3</v>
      </c>
      <c r="AC2435">
        <v>0</v>
      </c>
      <c r="AD2435">
        <v>9</v>
      </c>
      <c r="AE2435">
        <v>0</v>
      </c>
      <c r="AF2435">
        <v>3</v>
      </c>
      <c r="AG2435">
        <v>1</v>
      </c>
      <c r="AH2435">
        <v>0</v>
      </c>
      <c r="AI2435" t="s">
        <v>1257</v>
      </c>
      <c r="AJ2435">
        <v>33.006706000000001</v>
      </c>
      <c r="AK2435" t="s">
        <v>1253</v>
      </c>
      <c r="AL2435">
        <v>-97.669466</v>
      </c>
      <c r="AM2435">
        <v>25</v>
      </c>
      <c r="AN2435">
        <v>2400</v>
      </c>
      <c r="AO2435" t="s">
        <v>118</v>
      </c>
      <c r="AP2435">
        <v>11</v>
      </c>
      <c r="AQ2435">
        <v>68</v>
      </c>
      <c r="AR2435">
        <v>-64</v>
      </c>
      <c r="AZ2435">
        <v>1200</v>
      </c>
      <c r="BA2435">
        <v>1</v>
      </c>
      <c r="BB2435" t="str">
        <f t="shared" si="716"/>
        <v xml:space="preserve">N733KP  </v>
      </c>
      <c r="BC2435">
        <v>1</v>
      </c>
      <c r="BE2435">
        <v>0</v>
      </c>
      <c r="BF2435">
        <v>0</v>
      </c>
      <c r="BG2435">
        <v>0</v>
      </c>
      <c r="BH2435">
        <v>2375</v>
      </c>
      <c r="BI2435">
        <v>1</v>
      </c>
      <c r="BJ2435">
        <v>1</v>
      </c>
      <c r="BK2435">
        <v>0</v>
      </c>
      <c r="BL2435">
        <v>0</v>
      </c>
      <c r="BO2435">
        <v>0</v>
      </c>
      <c r="BP2435">
        <v>0</v>
      </c>
      <c r="BW2435" t="str">
        <f>"22:20:20.827"</f>
        <v>22:20:20.827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6</v>
      </c>
      <c r="CP2435" t="s">
        <v>119</v>
      </c>
      <c r="CQ2435">
        <v>364</v>
      </c>
      <c r="CR2435">
        <v>0</v>
      </c>
      <c r="CW2435">
        <v>1460994</v>
      </c>
      <c r="CY2435">
        <v>0</v>
      </c>
      <c r="CZ2435">
        <v>0</v>
      </c>
      <c r="DA2435">
        <v>1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>"03/24/2022 22:20:21.109"</f>
        <v>03/24/2022 22:20:21.109</v>
      </c>
      <c r="C2436" t="str">
        <f t="shared" si="715"/>
        <v>FFDFD3C0</v>
      </c>
      <c r="D2436" t="s">
        <v>123</v>
      </c>
      <c r="E2436">
        <v>8</v>
      </c>
      <c r="H2436">
        <v>31</v>
      </c>
      <c r="I2436" t="s">
        <v>124</v>
      </c>
      <c r="J2436" t="s">
        <v>125</v>
      </c>
      <c r="K2436">
        <v>0</v>
      </c>
      <c r="L2436">
        <v>3</v>
      </c>
      <c r="M2436">
        <v>0</v>
      </c>
      <c r="N2436">
        <v>2</v>
      </c>
      <c r="O2436">
        <v>0</v>
      </c>
      <c r="P2436">
        <v>1</v>
      </c>
      <c r="Q2436">
        <v>0</v>
      </c>
      <c r="S2436" t="str">
        <f t="shared" si="727"/>
        <v>22:20:20.000</v>
      </c>
      <c r="T2436" t="str">
        <f t="shared" si="727"/>
        <v>22:20:20.000</v>
      </c>
      <c r="U2436" t="str">
        <f t="shared" si="728"/>
        <v>A9D71F</v>
      </c>
      <c r="V2436">
        <v>0</v>
      </c>
      <c r="W2436">
        <v>0</v>
      </c>
      <c r="X2436">
        <v>2</v>
      </c>
      <c r="Z2436">
        <v>1</v>
      </c>
      <c r="AA2436">
        <v>8</v>
      </c>
      <c r="AB2436">
        <v>3</v>
      </c>
      <c r="AC2436">
        <v>0</v>
      </c>
      <c r="AD2436">
        <v>9</v>
      </c>
      <c r="AE2436">
        <v>0</v>
      </c>
      <c r="AF2436">
        <v>3</v>
      </c>
      <c r="AG2436">
        <v>1</v>
      </c>
      <c r="AH2436">
        <v>0</v>
      </c>
      <c r="AI2436" t="s">
        <v>1257</v>
      </c>
      <c r="AJ2436">
        <v>33.006706000000001</v>
      </c>
      <c r="AK2436" t="s">
        <v>1253</v>
      </c>
      <c r="AL2436">
        <v>-97.669466</v>
      </c>
      <c r="AM2436">
        <v>25</v>
      </c>
      <c r="AN2436">
        <v>2400</v>
      </c>
      <c r="AO2436" t="s">
        <v>118</v>
      </c>
      <c r="AP2436">
        <v>11</v>
      </c>
      <c r="AQ2436">
        <v>68</v>
      </c>
      <c r="AR2436">
        <v>-64</v>
      </c>
      <c r="AZ2436">
        <v>1200</v>
      </c>
      <c r="BA2436">
        <v>1</v>
      </c>
      <c r="BB2436" t="str">
        <f t="shared" si="716"/>
        <v xml:space="preserve">N733KP  </v>
      </c>
      <c r="BC2436">
        <v>1</v>
      </c>
      <c r="BE2436">
        <v>0</v>
      </c>
      <c r="BF2436">
        <v>0</v>
      </c>
      <c r="BG2436">
        <v>0</v>
      </c>
      <c r="BH2436">
        <v>2375</v>
      </c>
      <c r="BI2436">
        <v>1</v>
      </c>
      <c r="BJ2436">
        <v>1</v>
      </c>
      <c r="BK2436">
        <v>0</v>
      </c>
      <c r="BL2436">
        <v>0</v>
      </c>
      <c r="BO2436">
        <v>0</v>
      </c>
      <c r="BP2436">
        <v>0</v>
      </c>
      <c r="BW2436" t="str">
        <f>"22:20:20.827"</f>
        <v>22:20:20.827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6</v>
      </c>
      <c r="CP2436" t="s">
        <v>119</v>
      </c>
      <c r="CQ2436">
        <v>364</v>
      </c>
      <c r="CR2436">
        <v>0</v>
      </c>
      <c r="CW2436">
        <v>1460994</v>
      </c>
      <c r="CY2436">
        <v>0</v>
      </c>
      <c r="CZ2436">
        <v>0</v>
      </c>
      <c r="DA2436">
        <v>1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>"03/24/2022 22:20:21.812"</f>
        <v>03/24/2022 22:20:21.812</v>
      </c>
      <c r="C2437" t="str">
        <f t="shared" si="715"/>
        <v>FFDFD3C0</v>
      </c>
      <c r="D2437" t="s">
        <v>120</v>
      </c>
      <c r="E2437">
        <v>14</v>
      </c>
      <c r="F2437">
        <v>1014</v>
      </c>
      <c r="G2437" t="s">
        <v>121</v>
      </c>
      <c r="J2437" t="s">
        <v>122</v>
      </c>
      <c r="K2437">
        <v>0</v>
      </c>
      <c r="L2437">
        <v>3</v>
      </c>
      <c r="M2437">
        <v>0</v>
      </c>
      <c r="N2437">
        <v>2</v>
      </c>
      <c r="O2437">
        <v>0</v>
      </c>
      <c r="P2437">
        <v>1</v>
      </c>
      <c r="Q2437">
        <v>0</v>
      </c>
      <c r="S2437" t="str">
        <f t="shared" ref="S2437:T2440" si="729">"22:20:21.000"</f>
        <v>22:20:21.000</v>
      </c>
      <c r="T2437" t="str">
        <f t="shared" si="729"/>
        <v>22:20:21.000</v>
      </c>
      <c r="U2437" t="str">
        <f t="shared" si="728"/>
        <v>A9D71F</v>
      </c>
      <c r="V2437">
        <v>0</v>
      </c>
      <c r="W2437">
        <v>0</v>
      </c>
      <c r="X2437">
        <v>2</v>
      </c>
      <c r="Z2437">
        <v>1</v>
      </c>
      <c r="AA2437">
        <v>8</v>
      </c>
      <c r="AB2437">
        <v>3</v>
      </c>
      <c r="AC2437">
        <v>0</v>
      </c>
      <c r="AD2437">
        <v>9</v>
      </c>
      <c r="AE2437">
        <v>0</v>
      </c>
      <c r="AF2437">
        <v>3</v>
      </c>
      <c r="AG2437">
        <v>1</v>
      </c>
      <c r="AH2437">
        <v>0</v>
      </c>
      <c r="AI2437" t="s">
        <v>1258</v>
      </c>
      <c r="AJ2437">
        <v>33.007027999999998</v>
      </c>
      <c r="AK2437" t="s">
        <v>1259</v>
      </c>
      <c r="AL2437">
        <v>-97.669400999999993</v>
      </c>
      <c r="AM2437">
        <v>25</v>
      </c>
      <c r="AN2437">
        <v>2400</v>
      </c>
      <c r="AO2437" t="s">
        <v>118</v>
      </c>
      <c r="AP2437">
        <v>12</v>
      </c>
      <c r="AQ2437">
        <v>65</v>
      </c>
      <c r="AR2437">
        <v>0</v>
      </c>
      <c r="AZ2437">
        <v>1200</v>
      </c>
      <c r="BA2437">
        <v>1</v>
      </c>
      <c r="BB2437" t="str">
        <f t="shared" si="716"/>
        <v xml:space="preserve">N733KP  </v>
      </c>
      <c r="BC2437">
        <v>1</v>
      </c>
      <c r="BE2437">
        <v>0</v>
      </c>
      <c r="BF2437">
        <v>0</v>
      </c>
      <c r="BG2437">
        <v>0</v>
      </c>
      <c r="BH2437">
        <v>2375</v>
      </c>
      <c r="BI2437">
        <v>1</v>
      </c>
      <c r="BJ2437">
        <v>1</v>
      </c>
      <c r="BK2437">
        <v>0</v>
      </c>
      <c r="BL2437">
        <v>0</v>
      </c>
      <c r="BO2437">
        <v>0</v>
      </c>
      <c r="BP2437">
        <v>0</v>
      </c>
      <c r="BW2437" t="str">
        <f>"22:20:21.584"</f>
        <v>22:20:21.584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364</v>
      </c>
      <c r="CR2437">
        <v>0</v>
      </c>
      <c r="CW2437">
        <v>1461095</v>
      </c>
      <c r="CY2437">
        <v>0</v>
      </c>
      <c r="CZ2437">
        <v>0</v>
      </c>
      <c r="DA2437">
        <v>0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>"03/24/2022 22:20:21.812"</f>
        <v>03/24/2022 22:20:21.812</v>
      </c>
      <c r="C2438" t="str">
        <f t="shared" si="715"/>
        <v>FFDFD3C0</v>
      </c>
      <c r="D2438" t="s">
        <v>123</v>
      </c>
      <c r="E2438">
        <v>8</v>
      </c>
      <c r="H2438">
        <v>31</v>
      </c>
      <c r="I2438" t="s">
        <v>124</v>
      </c>
      <c r="J2438" t="s">
        <v>125</v>
      </c>
      <c r="K2438">
        <v>0</v>
      </c>
      <c r="L2438">
        <v>3</v>
      </c>
      <c r="M2438">
        <v>0</v>
      </c>
      <c r="N2438">
        <v>2</v>
      </c>
      <c r="O2438">
        <v>0</v>
      </c>
      <c r="P2438">
        <v>1</v>
      </c>
      <c r="Q2438">
        <v>0</v>
      </c>
      <c r="S2438" t="str">
        <f t="shared" si="729"/>
        <v>22:20:21.000</v>
      </c>
      <c r="T2438" t="str">
        <f t="shared" si="729"/>
        <v>22:20:21.000</v>
      </c>
      <c r="U2438" t="str">
        <f t="shared" si="728"/>
        <v>A9D71F</v>
      </c>
      <c r="V2438">
        <v>0</v>
      </c>
      <c r="W2438">
        <v>0</v>
      </c>
      <c r="X2438">
        <v>2</v>
      </c>
      <c r="Z2438">
        <v>1</v>
      </c>
      <c r="AA2438">
        <v>8</v>
      </c>
      <c r="AB2438">
        <v>3</v>
      </c>
      <c r="AC2438">
        <v>0</v>
      </c>
      <c r="AD2438">
        <v>9</v>
      </c>
      <c r="AE2438">
        <v>0</v>
      </c>
      <c r="AF2438">
        <v>3</v>
      </c>
      <c r="AG2438">
        <v>1</v>
      </c>
      <c r="AH2438">
        <v>0</v>
      </c>
      <c r="AI2438" t="s">
        <v>1258</v>
      </c>
      <c r="AJ2438">
        <v>33.007027999999998</v>
      </c>
      <c r="AK2438" t="s">
        <v>1259</v>
      </c>
      <c r="AL2438">
        <v>-97.669400999999993</v>
      </c>
      <c r="AM2438">
        <v>25</v>
      </c>
      <c r="AN2438">
        <v>2400</v>
      </c>
      <c r="AO2438" t="s">
        <v>118</v>
      </c>
      <c r="AP2438">
        <v>12</v>
      </c>
      <c r="AQ2438">
        <v>65</v>
      </c>
      <c r="AR2438">
        <v>0</v>
      </c>
      <c r="AZ2438">
        <v>1200</v>
      </c>
      <c r="BA2438">
        <v>1</v>
      </c>
      <c r="BB2438" t="str">
        <f t="shared" si="716"/>
        <v xml:space="preserve">N733KP  </v>
      </c>
      <c r="BC2438">
        <v>1</v>
      </c>
      <c r="BE2438">
        <v>0</v>
      </c>
      <c r="BF2438">
        <v>0</v>
      </c>
      <c r="BG2438">
        <v>0</v>
      </c>
      <c r="BH2438">
        <v>2375</v>
      </c>
      <c r="BI2438">
        <v>1</v>
      </c>
      <c r="BJ2438">
        <v>1</v>
      </c>
      <c r="BK2438">
        <v>0</v>
      </c>
      <c r="BL2438">
        <v>0</v>
      </c>
      <c r="BO2438">
        <v>0</v>
      </c>
      <c r="BP2438">
        <v>0</v>
      </c>
      <c r="BW2438" t="str">
        <f>"22:20:21.584"</f>
        <v>22:20:21.584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364</v>
      </c>
      <c r="CR2438">
        <v>0</v>
      </c>
      <c r="CW2438">
        <v>1461095</v>
      </c>
      <c r="CY2438">
        <v>0</v>
      </c>
      <c r="CZ2438">
        <v>0</v>
      </c>
      <c r="DA2438">
        <v>1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>"03/24/2022 22:20:21.812"</f>
        <v>03/24/2022 22:20:21.812</v>
      </c>
      <c r="C2439" t="str">
        <f t="shared" si="715"/>
        <v>FFDFD3C0</v>
      </c>
      <c r="D2439" t="s">
        <v>126</v>
      </c>
      <c r="E2439">
        <v>3</v>
      </c>
      <c r="H2439">
        <v>160</v>
      </c>
      <c r="I2439" t="s">
        <v>121</v>
      </c>
      <c r="J2439" t="s">
        <v>127</v>
      </c>
      <c r="K2439">
        <v>0</v>
      </c>
      <c r="L2439">
        <v>3</v>
      </c>
      <c r="M2439">
        <v>0</v>
      </c>
      <c r="N2439">
        <v>2</v>
      </c>
      <c r="O2439">
        <v>0</v>
      </c>
      <c r="P2439">
        <v>1</v>
      </c>
      <c r="Q2439">
        <v>0</v>
      </c>
      <c r="S2439" t="str">
        <f t="shared" si="729"/>
        <v>22:20:21.000</v>
      </c>
      <c r="T2439" t="str">
        <f t="shared" si="729"/>
        <v>22:20:21.000</v>
      </c>
      <c r="U2439" t="str">
        <f t="shared" si="728"/>
        <v>A9D71F</v>
      </c>
      <c r="V2439">
        <v>0</v>
      </c>
      <c r="W2439">
        <v>0</v>
      </c>
      <c r="X2439">
        <v>2</v>
      </c>
      <c r="Z2439">
        <v>1</v>
      </c>
      <c r="AA2439">
        <v>8</v>
      </c>
      <c r="AB2439">
        <v>3</v>
      </c>
      <c r="AC2439">
        <v>0</v>
      </c>
      <c r="AD2439">
        <v>9</v>
      </c>
      <c r="AE2439">
        <v>0</v>
      </c>
      <c r="AF2439">
        <v>3</v>
      </c>
      <c r="AG2439">
        <v>1</v>
      </c>
      <c r="AH2439">
        <v>0</v>
      </c>
      <c r="AI2439" t="s">
        <v>1258</v>
      </c>
      <c r="AJ2439">
        <v>33.007027999999998</v>
      </c>
      <c r="AK2439" t="s">
        <v>1259</v>
      </c>
      <c r="AL2439">
        <v>-97.669400999999993</v>
      </c>
      <c r="AM2439">
        <v>25</v>
      </c>
      <c r="AN2439">
        <v>2400</v>
      </c>
      <c r="AO2439" t="s">
        <v>118</v>
      </c>
      <c r="AP2439">
        <v>12</v>
      </c>
      <c r="AQ2439">
        <v>65</v>
      </c>
      <c r="AR2439">
        <v>0</v>
      </c>
      <c r="AZ2439">
        <v>1200</v>
      </c>
      <c r="BA2439">
        <v>1</v>
      </c>
      <c r="BB2439" t="str">
        <f t="shared" si="716"/>
        <v xml:space="preserve">N733KP  </v>
      </c>
      <c r="BC2439">
        <v>1</v>
      </c>
      <c r="BE2439">
        <v>0</v>
      </c>
      <c r="BF2439">
        <v>0</v>
      </c>
      <c r="BG2439">
        <v>0</v>
      </c>
      <c r="BH2439">
        <v>2375</v>
      </c>
      <c r="BI2439">
        <v>1</v>
      </c>
      <c r="BJ2439">
        <v>1</v>
      </c>
      <c r="BK2439">
        <v>0</v>
      </c>
      <c r="BL2439">
        <v>0</v>
      </c>
      <c r="BO2439">
        <v>0</v>
      </c>
      <c r="BP2439">
        <v>0</v>
      </c>
      <c r="BW2439" t="str">
        <f>"22:20:21.584"</f>
        <v>22:20:21.584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7</v>
      </c>
      <c r="CP2439" t="s">
        <v>119</v>
      </c>
      <c r="CQ2439">
        <v>364</v>
      </c>
      <c r="CR2439">
        <v>0</v>
      </c>
      <c r="CW2439">
        <v>1461095</v>
      </c>
      <c r="CY2439">
        <v>0</v>
      </c>
      <c r="CZ2439">
        <v>0</v>
      </c>
      <c r="DA2439">
        <v>1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>"03/24/2022 22:20:21.828"</f>
        <v>03/24/2022 22:20:21.828</v>
      </c>
      <c r="C2440" t="str">
        <f t="shared" si="715"/>
        <v>FFDFD3C0</v>
      </c>
      <c r="D2440" t="s">
        <v>113</v>
      </c>
      <c r="E2440">
        <v>24</v>
      </c>
      <c r="F2440">
        <v>2024</v>
      </c>
      <c r="G2440" t="s">
        <v>114</v>
      </c>
      <c r="J2440" t="s">
        <v>115</v>
      </c>
      <c r="K2440">
        <v>0</v>
      </c>
      <c r="L2440">
        <v>3</v>
      </c>
      <c r="M2440">
        <v>0</v>
      </c>
      <c r="N2440">
        <v>2</v>
      </c>
      <c r="O2440">
        <v>0</v>
      </c>
      <c r="P2440">
        <v>1</v>
      </c>
      <c r="Q2440">
        <v>0</v>
      </c>
      <c r="S2440" t="str">
        <f t="shared" si="729"/>
        <v>22:20:21.000</v>
      </c>
      <c r="T2440" t="str">
        <f t="shared" si="729"/>
        <v>22:20:21.000</v>
      </c>
      <c r="U2440" t="str">
        <f t="shared" si="728"/>
        <v>A9D71F</v>
      </c>
      <c r="V2440">
        <v>0</v>
      </c>
      <c r="W2440">
        <v>0</v>
      </c>
      <c r="X2440">
        <v>2</v>
      </c>
      <c r="Z2440">
        <v>1</v>
      </c>
      <c r="AA2440">
        <v>8</v>
      </c>
      <c r="AB2440">
        <v>3</v>
      </c>
      <c r="AC2440">
        <v>0</v>
      </c>
      <c r="AD2440">
        <v>9</v>
      </c>
      <c r="AE2440">
        <v>0</v>
      </c>
      <c r="AF2440">
        <v>3</v>
      </c>
      <c r="AG2440">
        <v>1</v>
      </c>
      <c r="AH2440">
        <v>0</v>
      </c>
      <c r="AI2440" t="s">
        <v>1258</v>
      </c>
      <c r="AJ2440">
        <v>33.007027999999998</v>
      </c>
      <c r="AK2440" t="s">
        <v>1259</v>
      </c>
      <c r="AL2440">
        <v>-97.669400999999993</v>
      </c>
      <c r="AM2440">
        <v>25</v>
      </c>
      <c r="AN2440">
        <v>2400</v>
      </c>
      <c r="AO2440" t="s">
        <v>118</v>
      </c>
      <c r="AP2440">
        <v>12</v>
      </c>
      <c r="AQ2440">
        <v>65</v>
      </c>
      <c r="AR2440">
        <v>0</v>
      </c>
      <c r="AZ2440">
        <v>1200</v>
      </c>
      <c r="BA2440">
        <v>1</v>
      </c>
      <c r="BB2440" t="str">
        <f t="shared" si="716"/>
        <v xml:space="preserve">N733KP  </v>
      </c>
      <c r="BC2440">
        <v>1</v>
      </c>
      <c r="BE2440">
        <v>0</v>
      </c>
      <c r="BF2440">
        <v>0</v>
      </c>
      <c r="BG2440">
        <v>0</v>
      </c>
      <c r="BH2440">
        <v>2375</v>
      </c>
      <c r="BI2440">
        <v>1</v>
      </c>
      <c r="BJ2440">
        <v>1</v>
      </c>
      <c r="BK2440">
        <v>0</v>
      </c>
      <c r="BL2440">
        <v>0</v>
      </c>
      <c r="BO2440">
        <v>0</v>
      </c>
      <c r="BP2440">
        <v>0</v>
      </c>
      <c r="BW2440" t="str">
        <f>"22:20:21.584"</f>
        <v>22:20:21.584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119</v>
      </c>
      <c r="CQ2440">
        <v>364</v>
      </c>
      <c r="CR2440">
        <v>0</v>
      </c>
      <c r="CW2440">
        <v>1461095</v>
      </c>
      <c r="CY2440">
        <v>0</v>
      </c>
      <c r="CZ2440">
        <v>0</v>
      </c>
      <c r="DA2440">
        <v>1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>"03/24/2022 22:20:23.142"</f>
        <v>03/24/2022 22:20:23.142</v>
      </c>
      <c r="C2441" t="str">
        <f t="shared" si="715"/>
        <v>FFDFD3C0</v>
      </c>
      <c r="D2441" t="s">
        <v>120</v>
      </c>
      <c r="E2441">
        <v>14</v>
      </c>
      <c r="F2441">
        <v>1014</v>
      </c>
      <c r="G2441" t="s">
        <v>121</v>
      </c>
      <c r="J2441" t="s">
        <v>122</v>
      </c>
      <c r="K2441">
        <v>0</v>
      </c>
      <c r="L2441">
        <v>3</v>
      </c>
      <c r="M2441">
        <v>0</v>
      </c>
      <c r="N2441">
        <v>2</v>
      </c>
      <c r="O2441">
        <v>0</v>
      </c>
      <c r="P2441">
        <v>1</v>
      </c>
      <c r="Q2441">
        <v>0</v>
      </c>
      <c r="S2441" t="str">
        <f t="shared" ref="S2441:T2444" si="730">"22:20:22.000"</f>
        <v>22:20:22.000</v>
      </c>
      <c r="T2441" t="str">
        <f t="shared" si="730"/>
        <v>22:20:22.000</v>
      </c>
      <c r="U2441" t="str">
        <f t="shared" si="728"/>
        <v>A9D71F</v>
      </c>
      <c r="V2441">
        <v>0</v>
      </c>
      <c r="W2441">
        <v>0</v>
      </c>
      <c r="X2441">
        <v>2</v>
      </c>
      <c r="Z2441">
        <v>1</v>
      </c>
      <c r="AA2441">
        <v>8</v>
      </c>
      <c r="AB2441">
        <v>3</v>
      </c>
      <c r="AC2441">
        <v>0</v>
      </c>
      <c r="AD2441">
        <v>9</v>
      </c>
      <c r="AE2441">
        <v>0</v>
      </c>
      <c r="AF2441">
        <v>3</v>
      </c>
      <c r="AG2441">
        <v>1</v>
      </c>
      <c r="AH2441">
        <v>0</v>
      </c>
      <c r="AI2441" t="s">
        <v>1260</v>
      </c>
      <c r="AJ2441">
        <v>33.007306999999997</v>
      </c>
      <c r="AK2441" t="s">
        <v>1261</v>
      </c>
      <c r="AL2441">
        <v>-97.669336999999999</v>
      </c>
      <c r="AM2441">
        <v>25</v>
      </c>
      <c r="AN2441">
        <v>2400</v>
      </c>
      <c r="AO2441" t="s">
        <v>118</v>
      </c>
      <c r="AP2441">
        <v>12</v>
      </c>
      <c r="AQ2441">
        <v>62</v>
      </c>
      <c r="AR2441">
        <v>-128</v>
      </c>
      <c r="AZ2441">
        <v>1200</v>
      </c>
      <c r="BA2441">
        <v>1</v>
      </c>
      <c r="BB2441" t="str">
        <f t="shared" si="716"/>
        <v xml:space="preserve">N733KP  </v>
      </c>
      <c r="BC2441">
        <v>1</v>
      </c>
      <c r="BE2441">
        <v>0</v>
      </c>
      <c r="BF2441">
        <v>0</v>
      </c>
      <c r="BG2441">
        <v>0</v>
      </c>
      <c r="BH2441">
        <v>2375</v>
      </c>
      <c r="BI2441">
        <v>1</v>
      </c>
      <c r="BJ2441">
        <v>1</v>
      </c>
      <c r="BK2441">
        <v>0</v>
      </c>
      <c r="BL2441">
        <v>0</v>
      </c>
      <c r="BO2441">
        <v>0</v>
      </c>
      <c r="BP2441">
        <v>0</v>
      </c>
      <c r="BW2441" t="str">
        <f>"22:20:22.947"</f>
        <v>22:20:22.947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7</v>
      </c>
      <c r="CP2441" t="s">
        <v>119</v>
      </c>
      <c r="CQ2441">
        <v>364</v>
      </c>
      <c r="CR2441">
        <v>0</v>
      </c>
      <c r="CW2441">
        <v>1461310</v>
      </c>
      <c r="CY2441">
        <v>1</v>
      </c>
      <c r="CZ2441">
        <v>0</v>
      </c>
      <c r="DA2441">
        <v>0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>"03/24/2022 22:20:23.142"</f>
        <v>03/24/2022 22:20:23.142</v>
      </c>
      <c r="C2442" t="str">
        <f t="shared" si="715"/>
        <v>FFDFD3C0</v>
      </c>
      <c r="D2442" t="s">
        <v>123</v>
      </c>
      <c r="E2442">
        <v>8</v>
      </c>
      <c r="H2442">
        <v>31</v>
      </c>
      <c r="I2442" t="s">
        <v>124</v>
      </c>
      <c r="J2442" t="s">
        <v>125</v>
      </c>
      <c r="K2442">
        <v>0</v>
      </c>
      <c r="L2442">
        <v>3</v>
      </c>
      <c r="M2442">
        <v>0</v>
      </c>
      <c r="N2442">
        <v>2</v>
      </c>
      <c r="O2442">
        <v>0</v>
      </c>
      <c r="P2442">
        <v>1</v>
      </c>
      <c r="Q2442">
        <v>0</v>
      </c>
      <c r="S2442" t="str">
        <f t="shared" si="730"/>
        <v>22:20:22.000</v>
      </c>
      <c r="T2442" t="str">
        <f t="shared" si="730"/>
        <v>22:20:22.000</v>
      </c>
      <c r="U2442" t="str">
        <f t="shared" si="728"/>
        <v>A9D71F</v>
      </c>
      <c r="V2442">
        <v>0</v>
      </c>
      <c r="W2442">
        <v>0</v>
      </c>
      <c r="X2442">
        <v>2</v>
      </c>
      <c r="Z2442">
        <v>1</v>
      </c>
      <c r="AA2442">
        <v>8</v>
      </c>
      <c r="AB2442">
        <v>3</v>
      </c>
      <c r="AC2442">
        <v>0</v>
      </c>
      <c r="AD2442">
        <v>9</v>
      </c>
      <c r="AE2442">
        <v>0</v>
      </c>
      <c r="AF2442">
        <v>3</v>
      </c>
      <c r="AG2442">
        <v>1</v>
      </c>
      <c r="AH2442">
        <v>0</v>
      </c>
      <c r="AI2442" t="s">
        <v>1260</v>
      </c>
      <c r="AJ2442">
        <v>33.007306999999997</v>
      </c>
      <c r="AK2442" t="s">
        <v>1261</v>
      </c>
      <c r="AL2442">
        <v>-97.669336999999999</v>
      </c>
      <c r="AM2442">
        <v>25</v>
      </c>
      <c r="AN2442">
        <v>2400</v>
      </c>
      <c r="AO2442" t="s">
        <v>118</v>
      </c>
      <c r="AP2442">
        <v>12</v>
      </c>
      <c r="AQ2442">
        <v>62</v>
      </c>
      <c r="AR2442">
        <v>-128</v>
      </c>
      <c r="AZ2442">
        <v>1200</v>
      </c>
      <c r="BA2442">
        <v>1</v>
      </c>
      <c r="BB2442" t="str">
        <f t="shared" si="716"/>
        <v xml:space="preserve">N733KP  </v>
      </c>
      <c r="BC2442">
        <v>1</v>
      </c>
      <c r="BE2442">
        <v>0</v>
      </c>
      <c r="BF2442">
        <v>0</v>
      </c>
      <c r="BG2442">
        <v>0</v>
      </c>
      <c r="BH2442">
        <v>2375</v>
      </c>
      <c r="BI2442">
        <v>1</v>
      </c>
      <c r="BJ2442">
        <v>1</v>
      </c>
      <c r="BK2442">
        <v>0</v>
      </c>
      <c r="BL2442">
        <v>0</v>
      </c>
      <c r="BO2442">
        <v>0</v>
      </c>
      <c r="BP2442">
        <v>0</v>
      </c>
      <c r="BW2442" t="str">
        <f>"22:20:22.947"</f>
        <v>22:20:22.947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119</v>
      </c>
      <c r="CQ2442">
        <v>364</v>
      </c>
      <c r="CR2442">
        <v>0</v>
      </c>
      <c r="CW2442">
        <v>1461310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>"03/24/2022 22:20:23.142"</f>
        <v>03/24/2022 22:20:23.142</v>
      </c>
      <c r="C2443" t="str">
        <f t="shared" si="715"/>
        <v>FFDFD3C0</v>
      </c>
      <c r="D2443" t="s">
        <v>126</v>
      </c>
      <c r="E2443">
        <v>3</v>
      </c>
      <c r="H2443">
        <v>160</v>
      </c>
      <c r="I2443" t="s">
        <v>121</v>
      </c>
      <c r="J2443" t="s">
        <v>127</v>
      </c>
      <c r="K2443">
        <v>0</v>
      </c>
      <c r="L2443">
        <v>3</v>
      </c>
      <c r="M2443">
        <v>0</v>
      </c>
      <c r="N2443">
        <v>2</v>
      </c>
      <c r="O2443">
        <v>0</v>
      </c>
      <c r="P2443">
        <v>1</v>
      </c>
      <c r="Q2443">
        <v>0</v>
      </c>
      <c r="S2443" t="str">
        <f t="shared" si="730"/>
        <v>22:20:22.000</v>
      </c>
      <c r="T2443" t="str">
        <f t="shared" si="730"/>
        <v>22:20:22.000</v>
      </c>
      <c r="U2443" t="str">
        <f t="shared" si="728"/>
        <v>A9D71F</v>
      </c>
      <c r="V2443">
        <v>0</v>
      </c>
      <c r="W2443">
        <v>0</v>
      </c>
      <c r="X2443">
        <v>2</v>
      </c>
      <c r="Z2443">
        <v>1</v>
      </c>
      <c r="AA2443">
        <v>8</v>
      </c>
      <c r="AB2443">
        <v>3</v>
      </c>
      <c r="AC2443">
        <v>0</v>
      </c>
      <c r="AD2443">
        <v>9</v>
      </c>
      <c r="AE2443">
        <v>0</v>
      </c>
      <c r="AF2443">
        <v>3</v>
      </c>
      <c r="AG2443">
        <v>1</v>
      </c>
      <c r="AH2443">
        <v>0</v>
      </c>
      <c r="AI2443" t="s">
        <v>1260</v>
      </c>
      <c r="AJ2443">
        <v>33.007306999999997</v>
      </c>
      <c r="AK2443" t="s">
        <v>1261</v>
      </c>
      <c r="AL2443">
        <v>-97.669336999999999</v>
      </c>
      <c r="AM2443">
        <v>25</v>
      </c>
      <c r="AN2443">
        <v>2400</v>
      </c>
      <c r="AO2443" t="s">
        <v>118</v>
      </c>
      <c r="AP2443">
        <v>12</v>
      </c>
      <c r="AQ2443">
        <v>62</v>
      </c>
      <c r="AR2443">
        <v>-128</v>
      </c>
      <c r="AZ2443">
        <v>1200</v>
      </c>
      <c r="BA2443">
        <v>1</v>
      </c>
      <c r="BB2443" t="str">
        <f t="shared" si="716"/>
        <v xml:space="preserve">N733KP  </v>
      </c>
      <c r="BC2443">
        <v>1</v>
      </c>
      <c r="BE2443">
        <v>0</v>
      </c>
      <c r="BF2443">
        <v>0</v>
      </c>
      <c r="BG2443">
        <v>0</v>
      </c>
      <c r="BH2443">
        <v>2375</v>
      </c>
      <c r="BI2443">
        <v>1</v>
      </c>
      <c r="BJ2443">
        <v>1</v>
      </c>
      <c r="BK2443">
        <v>0</v>
      </c>
      <c r="BL2443">
        <v>0</v>
      </c>
      <c r="BO2443">
        <v>0</v>
      </c>
      <c r="BP2443">
        <v>0</v>
      </c>
      <c r="BW2443" t="str">
        <f>"22:20:22.947"</f>
        <v>22:20:22.947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119</v>
      </c>
      <c r="CQ2443">
        <v>364</v>
      </c>
      <c r="CR2443">
        <v>0</v>
      </c>
      <c r="CW2443">
        <v>1461310</v>
      </c>
      <c r="CY2443">
        <v>1</v>
      </c>
      <c r="CZ2443">
        <v>0</v>
      </c>
      <c r="DA2443">
        <v>1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>"03/24/2022 22:20:23.142"</f>
        <v>03/24/2022 22:20:23.142</v>
      </c>
      <c r="C2444" t="str">
        <f t="shared" si="715"/>
        <v>FFDFD3C0</v>
      </c>
      <c r="D2444" t="s">
        <v>113</v>
      </c>
      <c r="E2444">
        <v>24</v>
      </c>
      <c r="F2444">
        <v>2024</v>
      </c>
      <c r="G2444" t="s">
        <v>114</v>
      </c>
      <c r="J2444" t="s">
        <v>115</v>
      </c>
      <c r="K2444">
        <v>0</v>
      </c>
      <c r="L2444">
        <v>3</v>
      </c>
      <c r="M2444">
        <v>0</v>
      </c>
      <c r="N2444">
        <v>2</v>
      </c>
      <c r="O2444">
        <v>0</v>
      </c>
      <c r="P2444">
        <v>1</v>
      </c>
      <c r="Q2444">
        <v>0</v>
      </c>
      <c r="S2444" t="str">
        <f t="shared" si="730"/>
        <v>22:20:22.000</v>
      </c>
      <c r="T2444" t="str">
        <f t="shared" si="730"/>
        <v>22:20:22.000</v>
      </c>
      <c r="U2444" t="str">
        <f t="shared" si="728"/>
        <v>A9D71F</v>
      </c>
      <c r="V2444">
        <v>0</v>
      </c>
      <c r="W2444">
        <v>0</v>
      </c>
      <c r="X2444">
        <v>2</v>
      </c>
      <c r="Z2444">
        <v>1</v>
      </c>
      <c r="AA2444">
        <v>8</v>
      </c>
      <c r="AB2444">
        <v>3</v>
      </c>
      <c r="AC2444">
        <v>0</v>
      </c>
      <c r="AD2444">
        <v>9</v>
      </c>
      <c r="AE2444">
        <v>0</v>
      </c>
      <c r="AF2444">
        <v>3</v>
      </c>
      <c r="AG2444">
        <v>1</v>
      </c>
      <c r="AH2444">
        <v>0</v>
      </c>
      <c r="AI2444" t="s">
        <v>1260</v>
      </c>
      <c r="AJ2444">
        <v>33.007306999999997</v>
      </c>
      <c r="AK2444" t="s">
        <v>1261</v>
      </c>
      <c r="AL2444">
        <v>-97.669336999999999</v>
      </c>
      <c r="AM2444">
        <v>25</v>
      </c>
      <c r="AN2444">
        <v>2400</v>
      </c>
      <c r="AO2444" t="s">
        <v>118</v>
      </c>
      <c r="AP2444">
        <v>12</v>
      </c>
      <c r="AQ2444">
        <v>62</v>
      </c>
      <c r="AR2444">
        <v>-128</v>
      </c>
      <c r="AZ2444">
        <v>1200</v>
      </c>
      <c r="BA2444">
        <v>1</v>
      </c>
      <c r="BB2444" t="str">
        <f t="shared" si="716"/>
        <v xml:space="preserve">N733KP  </v>
      </c>
      <c r="BC2444">
        <v>1</v>
      </c>
      <c r="BE2444">
        <v>0</v>
      </c>
      <c r="BF2444">
        <v>0</v>
      </c>
      <c r="BG2444">
        <v>0</v>
      </c>
      <c r="BH2444">
        <v>2375</v>
      </c>
      <c r="BI2444">
        <v>1</v>
      </c>
      <c r="BJ2444">
        <v>1</v>
      </c>
      <c r="BK2444">
        <v>0</v>
      </c>
      <c r="BL2444">
        <v>0</v>
      </c>
      <c r="BO2444">
        <v>0</v>
      </c>
      <c r="BP2444">
        <v>0</v>
      </c>
      <c r="BW2444" t="str">
        <f>"22:20:22.947"</f>
        <v>22:20:22.947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119</v>
      </c>
      <c r="CQ2444">
        <v>364</v>
      </c>
      <c r="CR2444">
        <v>0</v>
      </c>
      <c r="CW2444">
        <v>1461310</v>
      </c>
      <c r="CY2444">
        <v>1</v>
      </c>
      <c r="CZ2444">
        <v>0</v>
      </c>
      <c r="DA2444">
        <v>1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>"03/24/2022 22:20:23.910"</f>
        <v>03/24/2022 22:20:23.910</v>
      </c>
      <c r="C2445" t="str">
        <f t="shared" si="715"/>
        <v>FFDFD3C0</v>
      </c>
      <c r="D2445" t="s">
        <v>123</v>
      </c>
      <c r="E2445">
        <v>8</v>
      </c>
      <c r="H2445">
        <v>31</v>
      </c>
      <c r="I2445" t="s">
        <v>124</v>
      </c>
      <c r="J2445" t="s">
        <v>125</v>
      </c>
      <c r="K2445">
        <v>0</v>
      </c>
      <c r="L2445">
        <v>3</v>
      </c>
      <c r="M2445">
        <v>0</v>
      </c>
      <c r="N2445">
        <v>2</v>
      </c>
      <c r="O2445">
        <v>0</v>
      </c>
      <c r="P2445">
        <v>1</v>
      </c>
      <c r="Q2445">
        <v>0</v>
      </c>
      <c r="S2445" t="str">
        <f t="shared" ref="S2445:T2448" si="731">"22:20:23.000"</f>
        <v>22:20:23.000</v>
      </c>
      <c r="T2445" t="str">
        <f t="shared" si="731"/>
        <v>22:20:23.000</v>
      </c>
      <c r="U2445" t="str">
        <f t="shared" si="728"/>
        <v>A9D71F</v>
      </c>
      <c r="V2445">
        <v>0</v>
      </c>
      <c r="W2445">
        <v>0</v>
      </c>
      <c r="X2445">
        <v>2</v>
      </c>
      <c r="Z2445">
        <v>1</v>
      </c>
      <c r="AA2445">
        <v>8</v>
      </c>
      <c r="AB2445">
        <v>3</v>
      </c>
      <c r="AC2445">
        <v>0</v>
      </c>
      <c r="AD2445">
        <v>9</v>
      </c>
      <c r="AE2445">
        <v>0</v>
      </c>
      <c r="AF2445">
        <v>3</v>
      </c>
      <c r="AG2445">
        <v>1</v>
      </c>
      <c r="AH2445">
        <v>0</v>
      </c>
      <c r="AI2445" t="s">
        <v>1262</v>
      </c>
      <c r="AJ2445">
        <v>33.007607</v>
      </c>
      <c r="AK2445" t="s">
        <v>1263</v>
      </c>
      <c r="AL2445">
        <v>-97.669251000000003</v>
      </c>
      <c r="AM2445">
        <v>25</v>
      </c>
      <c r="AN2445">
        <v>2400</v>
      </c>
      <c r="AO2445" t="s">
        <v>118</v>
      </c>
      <c r="AP2445">
        <v>14</v>
      </c>
      <c r="AQ2445">
        <v>61</v>
      </c>
      <c r="AR2445">
        <v>-192</v>
      </c>
      <c r="AZ2445">
        <v>1200</v>
      </c>
      <c r="BA2445">
        <v>1</v>
      </c>
      <c r="BB2445" t="str">
        <f t="shared" si="716"/>
        <v xml:space="preserve">N733KP  </v>
      </c>
      <c r="BC2445">
        <v>1</v>
      </c>
      <c r="BE2445">
        <v>0</v>
      </c>
      <c r="BF2445">
        <v>0</v>
      </c>
      <c r="BG2445">
        <v>0</v>
      </c>
      <c r="BH2445">
        <v>2375</v>
      </c>
      <c r="BI2445">
        <v>1</v>
      </c>
      <c r="BJ2445">
        <v>1</v>
      </c>
      <c r="BK2445">
        <v>0</v>
      </c>
      <c r="BL2445">
        <v>0</v>
      </c>
      <c r="BO2445">
        <v>0</v>
      </c>
      <c r="BP2445">
        <v>0</v>
      </c>
      <c r="BW2445" t="str">
        <f>"22:20:23.706"</f>
        <v>22:20:23.706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6</v>
      </c>
      <c r="CP2445" t="s">
        <v>119</v>
      </c>
      <c r="CQ2445">
        <v>364</v>
      </c>
      <c r="CR2445">
        <v>0</v>
      </c>
      <c r="CW2445">
        <v>1461421</v>
      </c>
      <c r="CY2445">
        <v>1</v>
      </c>
      <c r="CZ2445">
        <v>0</v>
      </c>
      <c r="DA2445">
        <v>0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>"03/24/2022 22:20:23.910"</f>
        <v>03/24/2022 22:20:23.910</v>
      </c>
      <c r="C2446" t="str">
        <f t="shared" si="715"/>
        <v>FFDFD3C0</v>
      </c>
      <c r="D2446" t="s">
        <v>120</v>
      </c>
      <c r="E2446">
        <v>14</v>
      </c>
      <c r="F2446">
        <v>1014</v>
      </c>
      <c r="G2446" t="s">
        <v>121</v>
      </c>
      <c r="J2446" t="s">
        <v>122</v>
      </c>
      <c r="K2446">
        <v>0</v>
      </c>
      <c r="L2446">
        <v>3</v>
      </c>
      <c r="M2446">
        <v>0</v>
      </c>
      <c r="N2446">
        <v>2</v>
      </c>
      <c r="O2446">
        <v>0</v>
      </c>
      <c r="P2446">
        <v>1</v>
      </c>
      <c r="Q2446">
        <v>0</v>
      </c>
      <c r="S2446" t="str">
        <f t="shared" si="731"/>
        <v>22:20:23.000</v>
      </c>
      <c r="T2446" t="str">
        <f t="shared" si="731"/>
        <v>22:20:23.000</v>
      </c>
      <c r="U2446" t="str">
        <f t="shared" si="728"/>
        <v>A9D71F</v>
      </c>
      <c r="V2446">
        <v>0</v>
      </c>
      <c r="W2446">
        <v>0</v>
      </c>
      <c r="X2446">
        <v>2</v>
      </c>
      <c r="Z2446">
        <v>1</v>
      </c>
      <c r="AA2446">
        <v>8</v>
      </c>
      <c r="AB2446">
        <v>3</v>
      </c>
      <c r="AC2446">
        <v>0</v>
      </c>
      <c r="AD2446">
        <v>9</v>
      </c>
      <c r="AE2446">
        <v>0</v>
      </c>
      <c r="AF2446">
        <v>3</v>
      </c>
      <c r="AG2446">
        <v>1</v>
      </c>
      <c r="AH2446">
        <v>0</v>
      </c>
      <c r="AI2446" t="s">
        <v>1262</v>
      </c>
      <c r="AJ2446">
        <v>33.007607</v>
      </c>
      <c r="AK2446" t="s">
        <v>1263</v>
      </c>
      <c r="AL2446">
        <v>-97.669251000000003</v>
      </c>
      <c r="AM2446">
        <v>25</v>
      </c>
      <c r="AN2446">
        <v>2400</v>
      </c>
      <c r="AO2446" t="s">
        <v>118</v>
      </c>
      <c r="AP2446">
        <v>14</v>
      </c>
      <c r="AQ2446">
        <v>61</v>
      </c>
      <c r="AR2446">
        <v>-192</v>
      </c>
      <c r="AZ2446">
        <v>1200</v>
      </c>
      <c r="BA2446">
        <v>1</v>
      </c>
      <c r="BB2446" t="str">
        <f t="shared" si="716"/>
        <v xml:space="preserve">N733KP  </v>
      </c>
      <c r="BC2446">
        <v>1</v>
      </c>
      <c r="BE2446">
        <v>0</v>
      </c>
      <c r="BF2446">
        <v>0</v>
      </c>
      <c r="BG2446">
        <v>0</v>
      </c>
      <c r="BH2446">
        <v>2375</v>
      </c>
      <c r="BI2446">
        <v>1</v>
      </c>
      <c r="BJ2446">
        <v>1</v>
      </c>
      <c r="BK2446">
        <v>0</v>
      </c>
      <c r="BL2446">
        <v>0</v>
      </c>
      <c r="BO2446">
        <v>0</v>
      </c>
      <c r="BP2446">
        <v>0</v>
      </c>
      <c r="BW2446" t="str">
        <f>"22:20:23.706"</f>
        <v>22:20:23.706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6</v>
      </c>
      <c r="CP2446" t="s">
        <v>119</v>
      </c>
      <c r="CQ2446">
        <v>364</v>
      </c>
      <c r="CR2446">
        <v>0</v>
      </c>
      <c r="CW2446">
        <v>1461421</v>
      </c>
      <c r="CY2446">
        <v>1</v>
      </c>
      <c r="CZ2446">
        <v>0</v>
      </c>
      <c r="DA2446">
        <v>1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>"03/24/2022 22:20:23.925"</f>
        <v>03/24/2022 22:20:23.925</v>
      </c>
      <c r="C2447" t="str">
        <f t="shared" si="715"/>
        <v>FFDFD3C0</v>
      </c>
      <c r="D2447" t="s">
        <v>126</v>
      </c>
      <c r="E2447">
        <v>3</v>
      </c>
      <c r="H2447">
        <v>160</v>
      </c>
      <c r="I2447" t="s">
        <v>121</v>
      </c>
      <c r="J2447" t="s">
        <v>127</v>
      </c>
      <c r="K2447">
        <v>0</v>
      </c>
      <c r="L2447">
        <v>3</v>
      </c>
      <c r="M2447">
        <v>0</v>
      </c>
      <c r="N2447">
        <v>2</v>
      </c>
      <c r="O2447">
        <v>0</v>
      </c>
      <c r="P2447">
        <v>1</v>
      </c>
      <c r="Q2447">
        <v>0</v>
      </c>
      <c r="S2447" t="str">
        <f t="shared" si="731"/>
        <v>22:20:23.000</v>
      </c>
      <c r="T2447" t="str">
        <f t="shared" si="731"/>
        <v>22:20:23.000</v>
      </c>
      <c r="U2447" t="str">
        <f t="shared" si="728"/>
        <v>A9D71F</v>
      </c>
      <c r="V2447">
        <v>0</v>
      </c>
      <c r="W2447">
        <v>0</v>
      </c>
      <c r="X2447">
        <v>2</v>
      </c>
      <c r="Z2447">
        <v>1</v>
      </c>
      <c r="AA2447">
        <v>8</v>
      </c>
      <c r="AB2447">
        <v>3</v>
      </c>
      <c r="AC2447">
        <v>0</v>
      </c>
      <c r="AD2447">
        <v>9</v>
      </c>
      <c r="AE2447">
        <v>0</v>
      </c>
      <c r="AF2447">
        <v>3</v>
      </c>
      <c r="AG2447">
        <v>1</v>
      </c>
      <c r="AH2447">
        <v>0</v>
      </c>
      <c r="AI2447" t="s">
        <v>1262</v>
      </c>
      <c r="AJ2447">
        <v>33.007607</v>
      </c>
      <c r="AK2447" t="s">
        <v>1263</v>
      </c>
      <c r="AL2447">
        <v>-97.669251000000003</v>
      </c>
      <c r="AM2447">
        <v>25</v>
      </c>
      <c r="AN2447">
        <v>2400</v>
      </c>
      <c r="AO2447" t="s">
        <v>118</v>
      </c>
      <c r="AP2447">
        <v>14</v>
      </c>
      <c r="AQ2447">
        <v>61</v>
      </c>
      <c r="AR2447">
        <v>-192</v>
      </c>
      <c r="AZ2447">
        <v>1200</v>
      </c>
      <c r="BA2447">
        <v>1</v>
      </c>
      <c r="BB2447" t="str">
        <f t="shared" si="716"/>
        <v xml:space="preserve">N733KP  </v>
      </c>
      <c r="BC2447">
        <v>1</v>
      </c>
      <c r="BE2447">
        <v>0</v>
      </c>
      <c r="BF2447">
        <v>0</v>
      </c>
      <c r="BG2447">
        <v>0</v>
      </c>
      <c r="BH2447">
        <v>2375</v>
      </c>
      <c r="BI2447">
        <v>1</v>
      </c>
      <c r="BJ2447">
        <v>1</v>
      </c>
      <c r="BK2447">
        <v>0</v>
      </c>
      <c r="BL2447">
        <v>0</v>
      </c>
      <c r="BO2447">
        <v>0</v>
      </c>
      <c r="BP2447">
        <v>0</v>
      </c>
      <c r="BW2447" t="str">
        <f>"22:20:23.706"</f>
        <v>22:20:23.706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6</v>
      </c>
      <c r="CP2447" t="s">
        <v>119</v>
      </c>
      <c r="CQ2447">
        <v>364</v>
      </c>
      <c r="CR2447">
        <v>0</v>
      </c>
      <c r="CW2447">
        <v>1461421</v>
      </c>
      <c r="CY2447">
        <v>1</v>
      </c>
      <c r="CZ2447">
        <v>0</v>
      </c>
      <c r="DA2447">
        <v>1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>"03/24/2022 22:20:23.925"</f>
        <v>03/24/2022 22:20:23.925</v>
      </c>
      <c r="C2448" t="str">
        <f t="shared" si="715"/>
        <v>FFDFD3C0</v>
      </c>
      <c r="D2448" t="s">
        <v>113</v>
      </c>
      <c r="E2448">
        <v>24</v>
      </c>
      <c r="F2448">
        <v>2024</v>
      </c>
      <c r="G2448" t="s">
        <v>114</v>
      </c>
      <c r="J2448" t="s">
        <v>115</v>
      </c>
      <c r="K2448">
        <v>0</v>
      </c>
      <c r="L2448">
        <v>3</v>
      </c>
      <c r="M2448">
        <v>0</v>
      </c>
      <c r="N2448">
        <v>2</v>
      </c>
      <c r="O2448">
        <v>0</v>
      </c>
      <c r="P2448">
        <v>1</v>
      </c>
      <c r="Q2448">
        <v>0</v>
      </c>
      <c r="S2448" t="str">
        <f t="shared" si="731"/>
        <v>22:20:23.000</v>
      </c>
      <c r="T2448" t="str">
        <f t="shared" si="731"/>
        <v>22:20:23.000</v>
      </c>
      <c r="U2448" t="str">
        <f t="shared" si="728"/>
        <v>A9D71F</v>
      </c>
      <c r="V2448">
        <v>0</v>
      </c>
      <c r="W2448">
        <v>0</v>
      </c>
      <c r="X2448">
        <v>2</v>
      </c>
      <c r="Z2448">
        <v>1</v>
      </c>
      <c r="AA2448">
        <v>8</v>
      </c>
      <c r="AB2448">
        <v>3</v>
      </c>
      <c r="AC2448">
        <v>0</v>
      </c>
      <c r="AD2448">
        <v>9</v>
      </c>
      <c r="AE2448">
        <v>0</v>
      </c>
      <c r="AF2448">
        <v>3</v>
      </c>
      <c r="AG2448">
        <v>1</v>
      </c>
      <c r="AH2448">
        <v>0</v>
      </c>
      <c r="AI2448" t="s">
        <v>1262</v>
      </c>
      <c r="AJ2448">
        <v>33.007607</v>
      </c>
      <c r="AK2448" t="s">
        <v>1263</v>
      </c>
      <c r="AL2448">
        <v>-97.669251000000003</v>
      </c>
      <c r="AM2448">
        <v>25</v>
      </c>
      <c r="AN2448">
        <v>2400</v>
      </c>
      <c r="AO2448" t="s">
        <v>118</v>
      </c>
      <c r="AP2448">
        <v>14</v>
      </c>
      <c r="AQ2448">
        <v>61</v>
      </c>
      <c r="AR2448">
        <v>-192</v>
      </c>
      <c r="AZ2448">
        <v>1200</v>
      </c>
      <c r="BA2448">
        <v>1</v>
      </c>
      <c r="BB2448" t="str">
        <f t="shared" si="716"/>
        <v xml:space="preserve">N733KP  </v>
      </c>
      <c r="BC2448">
        <v>1</v>
      </c>
      <c r="BE2448">
        <v>0</v>
      </c>
      <c r="BF2448">
        <v>0</v>
      </c>
      <c r="BG2448">
        <v>0</v>
      </c>
      <c r="BH2448">
        <v>2375</v>
      </c>
      <c r="BI2448">
        <v>1</v>
      </c>
      <c r="BJ2448">
        <v>1</v>
      </c>
      <c r="BK2448">
        <v>0</v>
      </c>
      <c r="BL2448">
        <v>0</v>
      </c>
      <c r="BO2448">
        <v>0</v>
      </c>
      <c r="BP2448">
        <v>0</v>
      </c>
      <c r="BW2448" t="str">
        <f>"22:20:23.706"</f>
        <v>22:20:23.706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6</v>
      </c>
      <c r="CP2448" t="s">
        <v>119</v>
      </c>
      <c r="CQ2448">
        <v>364</v>
      </c>
      <c r="CR2448">
        <v>0</v>
      </c>
      <c r="CW2448">
        <v>1461421</v>
      </c>
      <c r="CY2448">
        <v>1</v>
      </c>
      <c r="CZ2448">
        <v>0</v>
      </c>
      <c r="DA2448">
        <v>1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>"03/24/2022 22:20:25.082"</f>
        <v>03/24/2022 22:20:25.082</v>
      </c>
      <c r="C2449" t="str">
        <f t="shared" si="715"/>
        <v>FFDFD3C0</v>
      </c>
      <c r="D2449" t="s">
        <v>123</v>
      </c>
      <c r="E2449">
        <v>8</v>
      </c>
      <c r="H2449">
        <v>31</v>
      </c>
      <c r="I2449" t="s">
        <v>124</v>
      </c>
      <c r="J2449" t="s">
        <v>125</v>
      </c>
      <c r="K2449">
        <v>0</v>
      </c>
      <c r="L2449">
        <v>3</v>
      </c>
      <c r="M2449">
        <v>0</v>
      </c>
      <c r="N2449">
        <v>2</v>
      </c>
      <c r="O2449">
        <v>0</v>
      </c>
      <c r="P2449">
        <v>1</v>
      </c>
      <c r="Q2449">
        <v>0</v>
      </c>
      <c r="S2449" t="str">
        <f t="shared" ref="S2449:T2452" si="732">"22:20:24.000"</f>
        <v>22:20:24.000</v>
      </c>
      <c r="T2449" t="str">
        <f t="shared" si="732"/>
        <v>22:20:24.000</v>
      </c>
      <c r="U2449" t="str">
        <f t="shared" si="728"/>
        <v>A9D71F</v>
      </c>
      <c r="V2449">
        <v>0</v>
      </c>
      <c r="W2449">
        <v>0</v>
      </c>
      <c r="X2449">
        <v>2</v>
      </c>
      <c r="Z2449">
        <v>1</v>
      </c>
      <c r="AA2449">
        <v>8</v>
      </c>
      <c r="AB2449">
        <v>3</v>
      </c>
      <c r="AC2449">
        <v>0</v>
      </c>
      <c r="AD2449">
        <v>9</v>
      </c>
      <c r="AE2449">
        <v>0</v>
      </c>
      <c r="AF2449">
        <v>3</v>
      </c>
      <c r="AG2449">
        <v>1</v>
      </c>
      <c r="AH2449">
        <v>0</v>
      </c>
      <c r="AI2449" t="s">
        <v>1264</v>
      </c>
      <c r="AJ2449">
        <v>33.007928999999997</v>
      </c>
      <c r="AK2449" t="s">
        <v>1248</v>
      </c>
      <c r="AL2449">
        <v>-97.669207999999998</v>
      </c>
      <c r="AM2449">
        <v>25</v>
      </c>
      <c r="AN2449">
        <v>2400</v>
      </c>
      <c r="AO2449" t="s">
        <v>118</v>
      </c>
      <c r="AP2449">
        <v>14</v>
      </c>
      <c r="AQ2449">
        <v>58</v>
      </c>
      <c r="AR2449">
        <v>-512</v>
      </c>
      <c r="AZ2449">
        <v>1200</v>
      </c>
      <c r="BA2449">
        <v>1</v>
      </c>
      <c r="BB2449" t="str">
        <f t="shared" si="716"/>
        <v xml:space="preserve">N733KP  </v>
      </c>
      <c r="BC2449">
        <v>1</v>
      </c>
      <c r="BE2449">
        <v>0</v>
      </c>
      <c r="BF2449">
        <v>0</v>
      </c>
      <c r="BG2449">
        <v>0</v>
      </c>
      <c r="BH2449">
        <v>2375</v>
      </c>
      <c r="BI2449">
        <v>1</v>
      </c>
      <c r="BJ2449">
        <v>1</v>
      </c>
      <c r="BK2449">
        <v>0</v>
      </c>
      <c r="BL2449">
        <v>0</v>
      </c>
      <c r="BO2449">
        <v>0</v>
      </c>
      <c r="BP2449">
        <v>0</v>
      </c>
      <c r="BW2449" t="str">
        <f>"22:20:24.876"</f>
        <v>22:20:24.876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6</v>
      </c>
      <c r="CP2449" t="s">
        <v>119</v>
      </c>
      <c r="CQ2449">
        <v>364</v>
      </c>
      <c r="CR2449">
        <v>0</v>
      </c>
      <c r="CW2449">
        <v>1461606</v>
      </c>
      <c r="CY2449">
        <v>1</v>
      </c>
      <c r="CZ2449">
        <v>0</v>
      </c>
      <c r="DA2449">
        <v>0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>"03/24/2022 22:20:25.082"</f>
        <v>03/24/2022 22:20:25.082</v>
      </c>
      <c r="C2450" t="str">
        <f t="shared" si="715"/>
        <v>FFDFD3C0</v>
      </c>
      <c r="D2450" t="s">
        <v>120</v>
      </c>
      <c r="E2450">
        <v>14</v>
      </c>
      <c r="F2450">
        <v>1014</v>
      </c>
      <c r="G2450" t="s">
        <v>121</v>
      </c>
      <c r="J2450" t="s">
        <v>122</v>
      </c>
      <c r="K2450">
        <v>0</v>
      </c>
      <c r="L2450">
        <v>3</v>
      </c>
      <c r="M2450">
        <v>0</v>
      </c>
      <c r="N2450">
        <v>2</v>
      </c>
      <c r="O2450">
        <v>0</v>
      </c>
      <c r="P2450">
        <v>1</v>
      </c>
      <c r="Q2450">
        <v>0</v>
      </c>
      <c r="S2450" t="str">
        <f t="shared" si="732"/>
        <v>22:20:24.000</v>
      </c>
      <c r="T2450" t="str">
        <f t="shared" si="732"/>
        <v>22:20:24.000</v>
      </c>
      <c r="U2450" t="str">
        <f t="shared" si="728"/>
        <v>A9D71F</v>
      </c>
      <c r="V2450">
        <v>0</v>
      </c>
      <c r="W2450">
        <v>0</v>
      </c>
      <c r="X2450">
        <v>2</v>
      </c>
      <c r="Z2450">
        <v>1</v>
      </c>
      <c r="AA2450">
        <v>8</v>
      </c>
      <c r="AB2450">
        <v>3</v>
      </c>
      <c r="AC2450">
        <v>0</v>
      </c>
      <c r="AD2450">
        <v>9</v>
      </c>
      <c r="AE2450">
        <v>0</v>
      </c>
      <c r="AF2450">
        <v>3</v>
      </c>
      <c r="AG2450">
        <v>1</v>
      </c>
      <c r="AH2450">
        <v>0</v>
      </c>
      <c r="AI2450" t="s">
        <v>1264</v>
      </c>
      <c r="AJ2450">
        <v>33.007928999999997</v>
      </c>
      <c r="AK2450" t="s">
        <v>1248</v>
      </c>
      <c r="AL2450">
        <v>-97.669207999999998</v>
      </c>
      <c r="AM2450">
        <v>25</v>
      </c>
      <c r="AN2450">
        <v>2400</v>
      </c>
      <c r="AO2450" t="s">
        <v>118</v>
      </c>
      <c r="AP2450">
        <v>14</v>
      </c>
      <c r="AQ2450">
        <v>58</v>
      </c>
      <c r="AR2450">
        <v>-512</v>
      </c>
      <c r="AZ2450">
        <v>1200</v>
      </c>
      <c r="BA2450">
        <v>1</v>
      </c>
      <c r="BB2450" t="str">
        <f t="shared" si="716"/>
        <v xml:space="preserve">N733KP  </v>
      </c>
      <c r="BC2450">
        <v>1</v>
      </c>
      <c r="BE2450">
        <v>0</v>
      </c>
      <c r="BF2450">
        <v>0</v>
      </c>
      <c r="BG2450">
        <v>0</v>
      </c>
      <c r="BH2450">
        <v>2375</v>
      </c>
      <c r="BI2450">
        <v>1</v>
      </c>
      <c r="BJ2450">
        <v>1</v>
      </c>
      <c r="BK2450">
        <v>0</v>
      </c>
      <c r="BL2450">
        <v>0</v>
      </c>
      <c r="BO2450">
        <v>0</v>
      </c>
      <c r="BP2450">
        <v>0</v>
      </c>
      <c r="BW2450" t="str">
        <f>"22:20:24.876"</f>
        <v>22:20:24.876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6</v>
      </c>
      <c r="CP2450" t="s">
        <v>119</v>
      </c>
      <c r="CQ2450">
        <v>364</v>
      </c>
      <c r="CR2450">
        <v>0</v>
      </c>
      <c r="CW2450">
        <v>1461606</v>
      </c>
      <c r="CY2450">
        <v>1</v>
      </c>
      <c r="CZ2450">
        <v>0</v>
      </c>
      <c r="DA2450">
        <v>1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>"03/24/2022 22:20:25.082"</f>
        <v>03/24/2022 22:20:25.082</v>
      </c>
      <c r="C2451" t="str">
        <f t="shared" si="715"/>
        <v>FFDFD3C0</v>
      </c>
      <c r="D2451" t="s">
        <v>126</v>
      </c>
      <c r="E2451">
        <v>3</v>
      </c>
      <c r="H2451">
        <v>160</v>
      </c>
      <c r="I2451" t="s">
        <v>121</v>
      </c>
      <c r="J2451" t="s">
        <v>127</v>
      </c>
      <c r="K2451">
        <v>0</v>
      </c>
      <c r="L2451">
        <v>3</v>
      </c>
      <c r="M2451">
        <v>0</v>
      </c>
      <c r="N2451">
        <v>2</v>
      </c>
      <c r="O2451">
        <v>0</v>
      </c>
      <c r="P2451">
        <v>1</v>
      </c>
      <c r="Q2451">
        <v>0</v>
      </c>
      <c r="S2451" t="str">
        <f t="shared" si="732"/>
        <v>22:20:24.000</v>
      </c>
      <c r="T2451" t="str">
        <f t="shared" si="732"/>
        <v>22:20:24.000</v>
      </c>
      <c r="U2451" t="str">
        <f t="shared" si="728"/>
        <v>A9D71F</v>
      </c>
      <c r="V2451">
        <v>0</v>
      </c>
      <c r="W2451">
        <v>0</v>
      </c>
      <c r="X2451">
        <v>2</v>
      </c>
      <c r="Z2451">
        <v>1</v>
      </c>
      <c r="AA2451">
        <v>8</v>
      </c>
      <c r="AB2451">
        <v>3</v>
      </c>
      <c r="AC2451">
        <v>0</v>
      </c>
      <c r="AD2451">
        <v>9</v>
      </c>
      <c r="AE2451">
        <v>0</v>
      </c>
      <c r="AF2451">
        <v>3</v>
      </c>
      <c r="AG2451">
        <v>1</v>
      </c>
      <c r="AH2451">
        <v>0</v>
      </c>
      <c r="AI2451" t="s">
        <v>1264</v>
      </c>
      <c r="AJ2451">
        <v>33.007928999999997</v>
      </c>
      <c r="AK2451" t="s">
        <v>1248</v>
      </c>
      <c r="AL2451">
        <v>-97.669207999999998</v>
      </c>
      <c r="AM2451">
        <v>25</v>
      </c>
      <c r="AN2451">
        <v>2400</v>
      </c>
      <c r="AO2451" t="s">
        <v>118</v>
      </c>
      <c r="AP2451">
        <v>14</v>
      </c>
      <c r="AQ2451">
        <v>58</v>
      </c>
      <c r="AR2451">
        <v>-512</v>
      </c>
      <c r="AZ2451">
        <v>1200</v>
      </c>
      <c r="BA2451">
        <v>1</v>
      </c>
      <c r="BB2451" t="str">
        <f t="shared" si="716"/>
        <v xml:space="preserve">N733KP  </v>
      </c>
      <c r="BC2451">
        <v>1</v>
      </c>
      <c r="BE2451">
        <v>0</v>
      </c>
      <c r="BF2451">
        <v>0</v>
      </c>
      <c r="BG2451">
        <v>0</v>
      </c>
      <c r="BH2451">
        <v>2375</v>
      </c>
      <c r="BI2451">
        <v>1</v>
      </c>
      <c r="BJ2451">
        <v>1</v>
      </c>
      <c r="BK2451">
        <v>0</v>
      </c>
      <c r="BL2451">
        <v>0</v>
      </c>
      <c r="BO2451">
        <v>0</v>
      </c>
      <c r="BP2451">
        <v>0</v>
      </c>
      <c r="BW2451" t="str">
        <f>"22:20:24.876"</f>
        <v>22:20:24.876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6</v>
      </c>
      <c r="CP2451" t="s">
        <v>119</v>
      </c>
      <c r="CQ2451">
        <v>364</v>
      </c>
      <c r="CR2451">
        <v>0</v>
      </c>
      <c r="CW2451">
        <v>1461606</v>
      </c>
      <c r="CY2451">
        <v>1</v>
      </c>
      <c r="CZ2451">
        <v>0</v>
      </c>
      <c r="DA2451">
        <v>1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>"03/24/2022 22:20:25.082"</f>
        <v>03/24/2022 22:20:25.082</v>
      </c>
      <c r="C2452" t="str">
        <f t="shared" si="715"/>
        <v>FFDFD3C0</v>
      </c>
      <c r="D2452" t="s">
        <v>113</v>
      </c>
      <c r="E2452">
        <v>24</v>
      </c>
      <c r="F2452">
        <v>2024</v>
      </c>
      <c r="G2452" t="s">
        <v>114</v>
      </c>
      <c r="J2452" t="s">
        <v>115</v>
      </c>
      <c r="K2452">
        <v>0</v>
      </c>
      <c r="L2452">
        <v>3</v>
      </c>
      <c r="M2452">
        <v>0</v>
      </c>
      <c r="N2452">
        <v>2</v>
      </c>
      <c r="O2452">
        <v>0</v>
      </c>
      <c r="P2452">
        <v>1</v>
      </c>
      <c r="Q2452">
        <v>0</v>
      </c>
      <c r="S2452" t="str">
        <f t="shared" si="732"/>
        <v>22:20:24.000</v>
      </c>
      <c r="T2452" t="str">
        <f t="shared" si="732"/>
        <v>22:20:24.000</v>
      </c>
      <c r="U2452" t="str">
        <f t="shared" si="728"/>
        <v>A9D71F</v>
      </c>
      <c r="V2452">
        <v>0</v>
      </c>
      <c r="W2452">
        <v>0</v>
      </c>
      <c r="X2452">
        <v>2</v>
      </c>
      <c r="Z2452">
        <v>1</v>
      </c>
      <c r="AA2452">
        <v>8</v>
      </c>
      <c r="AB2452">
        <v>3</v>
      </c>
      <c r="AC2452">
        <v>0</v>
      </c>
      <c r="AD2452">
        <v>9</v>
      </c>
      <c r="AE2452">
        <v>0</v>
      </c>
      <c r="AF2452">
        <v>3</v>
      </c>
      <c r="AG2452">
        <v>1</v>
      </c>
      <c r="AH2452">
        <v>0</v>
      </c>
      <c r="AI2452" t="s">
        <v>1264</v>
      </c>
      <c r="AJ2452">
        <v>33.007928999999997</v>
      </c>
      <c r="AK2452" t="s">
        <v>1248</v>
      </c>
      <c r="AL2452">
        <v>-97.669207999999998</v>
      </c>
      <c r="AM2452">
        <v>25</v>
      </c>
      <c r="AN2452">
        <v>2400</v>
      </c>
      <c r="AO2452" t="s">
        <v>118</v>
      </c>
      <c r="AP2452">
        <v>14</v>
      </c>
      <c r="AQ2452">
        <v>58</v>
      </c>
      <c r="AR2452">
        <v>-512</v>
      </c>
      <c r="AZ2452">
        <v>1200</v>
      </c>
      <c r="BA2452">
        <v>1</v>
      </c>
      <c r="BB2452" t="str">
        <f t="shared" si="716"/>
        <v xml:space="preserve">N733KP  </v>
      </c>
      <c r="BC2452">
        <v>1</v>
      </c>
      <c r="BE2452">
        <v>0</v>
      </c>
      <c r="BF2452">
        <v>0</v>
      </c>
      <c r="BG2452">
        <v>0</v>
      </c>
      <c r="BH2452">
        <v>2375</v>
      </c>
      <c r="BI2452">
        <v>1</v>
      </c>
      <c r="BJ2452">
        <v>1</v>
      </c>
      <c r="BK2452">
        <v>0</v>
      </c>
      <c r="BL2452">
        <v>0</v>
      </c>
      <c r="BO2452">
        <v>0</v>
      </c>
      <c r="BP2452">
        <v>0</v>
      </c>
      <c r="BW2452" t="str">
        <f>"22:20:24.876"</f>
        <v>22:20:24.876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6</v>
      </c>
      <c r="CP2452" t="s">
        <v>119</v>
      </c>
      <c r="CQ2452">
        <v>364</v>
      </c>
      <c r="CR2452">
        <v>0</v>
      </c>
      <c r="CW2452">
        <v>1461606</v>
      </c>
      <c r="CY2452">
        <v>1</v>
      </c>
      <c r="CZ2452">
        <v>0</v>
      </c>
      <c r="DA2452">
        <v>1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>"03/24/2022 22:20:25.816"</f>
        <v>03/24/2022 22:20:25.816</v>
      </c>
      <c r="C2453" t="str">
        <f t="shared" si="715"/>
        <v>FFDFD3C0</v>
      </c>
      <c r="D2453" t="s">
        <v>123</v>
      </c>
      <c r="E2453">
        <v>8</v>
      </c>
      <c r="H2453">
        <v>31</v>
      </c>
      <c r="I2453" t="s">
        <v>124</v>
      </c>
      <c r="J2453" t="s">
        <v>125</v>
      </c>
      <c r="K2453">
        <v>0</v>
      </c>
      <c r="L2453">
        <v>3</v>
      </c>
      <c r="M2453">
        <v>0</v>
      </c>
      <c r="N2453">
        <v>2</v>
      </c>
      <c r="O2453">
        <v>0</v>
      </c>
      <c r="P2453">
        <v>1</v>
      </c>
      <c r="Q2453">
        <v>0</v>
      </c>
      <c r="S2453" t="str">
        <f t="shared" ref="S2453:T2456" si="733">"22:20:25.000"</f>
        <v>22:20:25.000</v>
      </c>
      <c r="T2453" t="str">
        <f t="shared" si="733"/>
        <v>22:20:25.000</v>
      </c>
      <c r="U2453" t="str">
        <f t="shared" si="728"/>
        <v>A9D71F</v>
      </c>
      <c r="V2453">
        <v>0</v>
      </c>
      <c r="W2453">
        <v>0</v>
      </c>
      <c r="X2453">
        <v>2</v>
      </c>
      <c r="Z2453">
        <v>1</v>
      </c>
      <c r="AA2453">
        <v>8</v>
      </c>
      <c r="AB2453">
        <v>3</v>
      </c>
      <c r="AC2453">
        <v>0</v>
      </c>
      <c r="AD2453">
        <v>9</v>
      </c>
      <c r="AE2453">
        <v>0</v>
      </c>
      <c r="AF2453">
        <v>3</v>
      </c>
      <c r="AG2453">
        <v>1</v>
      </c>
      <c r="AH2453">
        <v>0</v>
      </c>
      <c r="AI2453" t="s">
        <v>1265</v>
      </c>
      <c r="AJ2453">
        <v>33.008164999999998</v>
      </c>
      <c r="AK2453" t="s">
        <v>1266</v>
      </c>
      <c r="AL2453">
        <v>-97.669078999999996</v>
      </c>
      <c r="AM2453">
        <v>25</v>
      </c>
      <c r="AN2453">
        <v>2400</v>
      </c>
      <c r="AO2453" t="s">
        <v>118</v>
      </c>
      <c r="AP2453">
        <v>14</v>
      </c>
      <c r="AQ2453">
        <v>58</v>
      </c>
      <c r="AR2453">
        <v>-640</v>
      </c>
      <c r="AZ2453">
        <v>1200</v>
      </c>
      <c r="BA2453">
        <v>1</v>
      </c>
      <c r="BB2453" t="str">
        <f t="shared" si="716"/>
        <v xml:space="preserve">N733KP  </v>
      </c>
      <c r="BC2453">
        <v>1</v>
      </c>
      <c r="BE2453">
        <v>0</v>
      </c>
      <c r="BF2453">
        <v>0</v>
      </c>
      <c r="BG2453">
        <v>0</v>
      </c>
      <c r="BH2453">
        <v>2375</v>
      </c>
      <c r="BI2453">
        <v>1</v>
      </c>
      <c r="BJ2453">
        <v>1</v>
      </c>
      <c r="BK2453">
        <v>0</v>
      </c>
      <c r="BL2453">
        <v>0</v>
      </c>
      <c r="BO2453">
        <v>0</v>
      </c>
      <c r="BP2453">
        <v>0</v>
      </c>
      <c r="BW2453" t="str">
        <f>"22:20:25.637"</f>
        <v>22:20:25.637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7</v>
      </c>
      <c r="CP2453" t="s">
        <v>119</v>
      </c>
      <c r="CQ2453">
        <v>364</v>
      </c>
      <c r="CR2453">
        <v>0</v>
      </c>
      <c r="CW2453">
        <v>1461706</v>
      </c>
      <c r="CY2453">
        <v>1</v>
      </c>
      <c r="CZ2453">
        <v>0</v>
      </c>
      <c r="DA2453">
        <v>0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>"03/24/2022 22:20:25.816"</f>
        <v>03/24/2022 22:20:25.816</v>
      </c>
      <c r="C2454" t="str">
        <f t="shared" ref="C2454:C2517" si="734">"FFDFD3C0"</f>
        <v>FFDFD3C0</v>
      </c>
      <c r="D2454" t="s">
        <v>120</v>
      </c>
      <c r="E2454">
        <v>14</v>
      </c>
      <c r="F2454">
        <v>1014</v>
      </c>
      <c r="G2454" t="s">
        <v>121</v>
      </c>
      <c r="J2454" t="s">
        <v>122</v>
      </c>
      <c r="K2454">
        <v>0</v>
      </c>
      <c r="L2454">
        <v>3</v>
      </c>
      <c r="M2454">
        <v>0</v>
      </c>
      <c r="N2454">
        <v>2</v>
      </c>
      <c r="O2454">
        <v>0</v>
      </c>
      <c r="P2454">
        <v>1</v>
      </c>
      <c r="Q2454">
        <v>0</v>
      </c>
      <c r="S2454" t="str">
        <f t="shared" si="733"/>
        <v>22:20:25.000</v>
      </c>
      <c r="T2454" t="str">
        <f t="shared" si="733"/>
        <v>22:20:25.000</v>
      </c>
      <c r="U2454" t="str">
        <f t="shared" si="728"/>
        <v>A9D71F</v>
      </c>
      <c r="V2454">
        <v>0</v>
      </c>
      <c r="W2454">
        <v>0</v>
      </c>
      <c r="X2454">
        <v>2</v>
      </c>
      <c r="Z2454">
        <v>1</v>
      </c>
      <c r="AA2454">
        <v>8</v>
      </c>
      <c r="AB2454">
        <v>3</v>
      </c>
      <c r="AC2454">
        <v>0</v>
      </c>
      <c r="AD2454">
        <v>9</v>
      </c>
      <c r="AE2454">
        <v>0</v>
      </c>
      <c r="AF2454">
        <v>3</v>
      </c>
      <c r="AG2454">
        <v>1</v>
      </c>
      <c r="AH2454">
        <v>0</v>
      </c>
      <c r="AI2454" t="s">
        <v>1265</v>
      </c>
      <c r="AJ2454">
        <v>33.008164999999998</v>
      </c>
      <c r="AK2454" t="s">
        <v>1266</v>
      </c>
      <c r="AL2454">
        <v>-97.669078999999996</v>
      </c>
      <c r="AM2454">
        <v>25</v>
      </c>
      <c r="AN2454">
        <v>2400</v>
      </c>
      <c r="AO2454" t="s">
        <v>118</v>
      </c>
      <c r="AP2454">
        <v>14</v>
      </c>
      <c r="AQ2454">
        <v>58</v>
      </c>
      <c r="AR2454">
        <v>-640</v>
      </c>
      <c r="AZ2454">
        <v>1200</v>
      </c>
      <c r="BA2454">
        <v>1</v>
      </c>
      <c r="BB2454" t="str">
        <f t="shared" ref="BB2454:BB2517" si="735">"N733KP  "</f>
        <v xml:space="preserve">N733KP  </v>
      </c>
      <c r="BC2454">
        <v>1</v>
      </c>
      <c r="BE2454">
        <v>0</v>
      </c>
      <c r="BF2454">
        <v>0</v>
      </c>
      <c r="BG2454">
        <v>0</v>
      </c>
      <c r="BH2454">
        <v>2375</v>
      </c>
      <c r="BI2454">
        <v>1</v>
      </c>
      <c r="BJ2454">
        <v>1</v>
      </c>
      <c r="BK2454">
        <v>0</v>
      </c>
      <c r="BL2454">
        <v>0</v>
      </c>
      <c r="BO2454">
        <v>0</v>
      </c>
      <c r="BP2454">
        <v>0</v>
      </c>
      <c r="BW2454" t="str">
        <f>"22:20:25.637"</f>
        <v>22:20:25.637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7</v>
      </c>
      <c r="CP2454" t="s">
        <v>119</v>
      </c>
      <c r="CQ2454">
        <v>364</v>
      </c>
      <c r="CR2454">
        <v>0</v>
      </c>
      <c r="CW2454">
        <v>1461706</v>
      </c>
      <c r="CY2454">
        <v>1</v>
      </c>
      <c r="CZ2454">
        <v>0</v>
      </c>
      <c r="DA2454">
        <v>1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>"03/24/2022 22:20:25.816"</f>
        <v>03/24/2022 22:20:25.816</v>
      </c>
      <c r="C2455" t="str">
        <f t="shared" si="734"/>
        <v>FFDFD3C0</v>
      </c>
      <c r="D2455" t="s">
        <v>126</v>
      </c>
      <c r="E2455">
        <v>3</v>
      </c>
      <c r="H2455">
        <v>160</v>
      </c>
      <c r="I2455" t="s">
        <v>121</v>
      </c>
      <c r="J2455" t="s">
        <v>127</v>
      </c>
      <c r="K2455">
        <v>0</v>
      </c>
      <c r="L2455">
        <v>3</v>
      </c>
      <c r="M2455">
        <v>0</v>
      </c>
      <c r="N2455">
        <v>2</v>
      </c>
      <c r="O2455">
        <v>0</v>
      </c>
      <c r="P2455">
        <v>1</v>
      </c>
      <c r="Q2455">
        <v>0</v>
      </c>
      <c r="S2455" t="str">
        <f t="shared" si="733"/>
        <v>22:20:25.000</v>
      </c>
      <c r="T2455" t="str">
        <f t="shared" si="733"/>
        <v>22:20:25.000</v>
      </c>
      <c r="U2455" t="str">
        <f t="shared" si="728"/>
        <v>A9D71F</v>
      </c>
      <c r="V2455">
        <v>0</v>
      </c>
      <c r="W2455">
        <v>0</v>
      </c>
      <c r="X2455">
        <v>2</v>
      </c>
      <c r="Z2455">
        <v>1</v>
      </c>
      <c r="AA2455">
        <v>8</v>
      </c>
      <c r="AB2455">
        <v>3</v>
      </c>
      <c r="AC2455">
        <v>0</v>
      </c>
      <c r="AD2455">
        <v>9</v>
      </c>
      <c r="AE2455">
        <v>0</v>
      </c>
      <c r="AF2455">
        <v>3</v>
      </c>
      <c r="AG2455">
        <v>1</v>
      </c>
      <c r="AH2455">
        <v>0</v>
      </c>
      <c r="AI2455" t="s">
        <v>1265</v>
      </c>
      <c r="AJ2455">
        <v>33.008164999999998</v>
      </c>
      <c r="AK2455" t="s">
        <v>1266</v>
      </c>
      <c r="AL2455">
        <v>-97.669078999999996</v>
      </c>
      <c r="AM2455">
        <v>25</v>
      </c>
      <c r="AN2455">
        <v>2400</v>
      </c>
      <c r="AO2455" t="s">
        <v>118</v>
      </c>
      <c r="AP2455">
        <v>14</v>
      </c>
      <c r="AQ2455">
        <v>58</v>
      </c>
      <c r="AR2455">
        <v>-640</v>
      </c>
      <c r="AZ2455">
        <v>1200</v>
      </c>
      <c r="BA2455">
        <v>1</v>
      </c>
      <c r="BB2455" t="str">
        <f t="shared" si="735"/>
        <v xml:space="preserve">N733KP  </v>
      </c>
      <c r="BC2455">
        <v>1</v>
      </c>
      <c r="BE2455">
        <v>0</v>
      </c>
      <c r="BF2455">
        <v>0</v>
      </c>
      <c r="BG2455">
        <v>0</v>
      </c>
      <c r="BH2455">
        <v>2375</v>
      </c>
      <c r="BI2455">
        <v>1</v>
      </c>
      <c r="BJ2455">
        <v>1</v>
      </c>
      <c r="BK2455">
        <v>0</v>
      </c>
      <c r="BL2455">
        <v>0</v>
      </c>
      <c r="BO2455">
        <v>0</v>
      </c>
      <c r="BP2455">
        <v>0</v>
      </c>
      <c r="BW2455" t="str">
        <f>"22:20:25.637"</f>
        <v>22:20:25.637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7</v>
      </c>
      <c r="CP2455" t="s">
        <v>119</v>
      </c>
      <c r="CQ2455">
        <v>364</v>
      </c>
      <c r="CR2455">
        <v>0</v>
      </c>
      <c r="CW2455">
        <v>1461706</v>
      </c>
      <c r="CY2455">
        <v>1</v>
      </c>
      <c r="CZ2455">
        <v>0</v>
      </c>
      <c r="DA2455">
        <v>1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>"03/24/2022 22:20:25.879"</f>
        <v>03/24/2022 22:20:25.879</v>
      </c>
      <c r="C2456" t="str">
        <f t="shared" si="734"/>
        <v>FFDFD3C0</v>
      </c>
      <c r="D2456" t="s">
        <v>113</v>
      </c>
      <c r="E2456">
        <v>24</v>
      </c>
      <c r="F2456">
        <v>2024</v>
      </c>
      <c r="G2456" t="s">
        <v>114</v>
      </c>
      <c r="J2456" t="s">
        <v>115</v>
      </c>
      <c r="K2456">
        <v>0</v>
      </c>
      <c r="L2456">
        <v>3</v>
      </c>
      <c r="M2456">
        <v>0</v>
      </c>
      <c r="N2456">
        <v>2</v>
      </c>
      <c r="O2456">
        <v>0</v>
      </c>
      <c r="P2456">
        <v>1</v>
      </c>
      <c r="Q2456">
        <v>0</v>
      </c>
      <c r="S2456" t="str">
        <f t="shared" si="733"/>
        <v>22:20:25.000</v>
      </c>
      <c r="T2456" t="str">
        <f t="shared" si="733"/>
        <v>22:20:25.000</v>
      </c>
      <c r="U2456" t="str">
        <f t="shared" si="728"/>
        <v>A9D71F</v>
      </c>
      <c r="V2456">
        <v>0</v>
      </c>
      <c r="W2456">
        <v>0</v>
      </c>
      <c r="X2456">
        <v>2</v>
      </c>
      <c r="Z2456">
        <v>1</v>
      </c>
      <c r="AA2456">
        <v>8</v>
      </c>
      <c r="AB2456">
        <v>3</v>
      </c>
      <c r="AC2456">
        <v>0</v>
      </c>
      <c r="AD2456">
        <v>9</v>
      </c>
      <c r="AE2456">
        <v>0</v>
      </c>
      <c r="AF2456">
        <v>3</v>
      </c>
      <c r="AG2456">
        <v>1</v>
      </c>
      <c r="AH2456">
        <v>0</v>
      </c>
      <c r="AI2456" t="s">
        <v>1265</v>
      </c>
      <c r="AJ2456">
        <v>33.008164999999998</v>
      </c>
      <c r="AK2456" t="s">
        <v>1266</v>
      </c>
      <c r="AL2456">
        <v>-97.669078999999996</v>
      </c>
      <c r="AM2456">
        <v>25</v>
      </c>
      <c r="AN2456">
        <v>2400</v>
      </c>
      <c r="AO2456" t="s">
        <v>118</v>
      </c>
      <c r="AP2456">
        <v>14</v>
      </c>
      <c r="AQ2456">
        <v>58</v>
      </c>
      <c r="AR2456">
        <v>-640</v>
      </c>
      <c r="AZ2456">
        <v>1200</v>
      </c>
      <c r="BA2456">
        <v>1</v>
      </c>
      <c r="BB2456" t="str">
        <f t="shared" si="735"/>
        <v xml:space="preserve">N733KP  </v>
      </c>
      <c r="BC2456">
        <v>1</v>
      </c>
      <c r="BE2456">
        <v>0</v>
      </c>
      <c r="BF2456">
        <v>0</v>
      </c>
      <c r="BG2456">
        <v>0</v>
      </c>
      <c r="BH2456">
        <v>2375</v>
      </c>
      <c r="BI2456">
        <v>1</v>
      </c>
      <c r="BJ2456">
        <v>1</v>
      </c>
      <c r="BK2456">
        <v>0</v>
      </c>
      <c r="BL2456">
        <v>0</v>
      </c>
      <c r="BO2456">
        <v>0</v>
      </c>
      <c r="BP2456">
        <v>0</v>
      </c>
      <c r="BW2456" t="str">
        <f>"22:20:25.637"</f>
        <v>22:20:25.637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7</v>
      </c>
      <c r="CP2456" t="s">
        <v>119</v>
      </c>
      <c r="CQ2456">
        <v>364</v>
      </c>
      <c r="CR2456">
        <v>0</v>
      </c>
      <c r="CW2456">
        <v>1461706</v>
      </c>
      <c r="CY2456">
        <v>1</v>
      </c>
      <c r="CZ2456">
        <v>0</v>
      </c>
      <c r="DA2456">
        <v>1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>"03/24/2022 22:20:27.129"</f>
        <v>03/24/2022 22:20:27.129</v>
      </c>
      <c r="C2457" t="str">
        <f t="shared" si="734"/>
        <v>FFDFD3C0</v>
      </c>
      <c r="D2457" t="s">
        <v>113</v>
      </c>
      <c r="E2457">
        <v>24</v>
      </c>
      <c r="F2457">
        <v>2024</v>
      </c>
      <c r="G2457" t="s">
        <v>114</v>
      </c>
      <c r="J2457" t="s">
        <v>115</v>
      </c>
      <c r="K2457">
        <v>0</v>
      </c>
      <c r="L2457">
        <v>3</v>
      </c>
      <c r="M2457">
        <v>0</v>
      </c>
      <c r="N2457">
        <v>2</v>
      </c>
      <c r="O2457">
        <v>0</v>
      </c>
      <c r="P2457">
        <v>1</v>
      </c>
      <c r="Q2457">
        <v>0</v>
      </c>
      <c r="S2457" t="str">
        <f t="shared" ref="S2457:T2460" si="736">"22:20:26.000"</f>
        <v>22:20:26.000</v>
      </c>
      <c r="T2457" t="str">
        <f t="shared" si="736"/>
        <v>22:20:26.000</v>
      </c>
      <c r="U2457" t="str">
        <f t="shared" si="728"/>
        <v>A9D71F</v>
      </c>
      <c r="V2457">
        <v>0</v>
      </c>
      <c r="W2457">
        <v>0</v>
      </c>
      <c r="X2457">
        <v>2</v>
      </c>
      <c r="Z2457">
        <v>1</v>
      </c>
      <c r="AA2457">
        <v>8</v>
      </c>
      <c r="AB2457">
        <v>3</v>
      </c>
      <c r="AC2457">
        <v>0</v>
      </c>
      <c r="AD2457">
        <v>9</v>
      </c>
      <c r="AE2457">
        <v>0</v>
      </c>
      <c r="AF2457">
        <v>3</v>
      </c>
      <c r="AG2457">
        <v>1</v>
      </c>
      <c r="AH2457">
        <v>0</v>
      </c>
      <c r="AI2457" t="s">
        <v>1267</v>
      </c>
      <c r="AJ2457">
        <v>33.008443999999997</v>
      </c>
      <c r="AK2457" t="s">
        <v>923</v>
      </c>
      <c r="AL2457">
        <v>-97.669015000000002</v>
      </c>
      <c r="AM2457">
        <v>25</v>
      </c>
      <c r="AN2457">
        <v>2300</v>
      </c>
      <c r="AO2457" t="s">
        <v>118</v>
      </c>
      <c r="AP2457">
        <v>12</v>
      </c>
      <c r="AQ2457">
        <v>60</v>
      </c>
      <c r="AR2457">
        <v>-576</v>
      </c>
      <c r="AZ2457">
        <v>1200</v>
      </c>
      <c r="BA2457">
        <v>1</v>
      </c>
      <c r="BB2457" t="str">
        <f t="shared" si="735"/>
        <v xml:space="preserve">N733KP  </v>
      </c>
      <c r="BC2457">
        <v>1</v>
      </c>
      <c r="BE2457">
        <v>0</v>
      </c>
      <c r="BF2457">
        <v>0</v>
      </c>
      <c r="BG2457">
        <v>0</v>
      </c>
      <c r="BH2457">
        <v>2375</v>
      </c>
      <c r="BI2457">
        <v>1</v>
      </c>
      <c r="BJ2457">
        <v>1</v>
      </c>
      <c r="BK2457">
        <v>0</v>
      </c>
      <c r="BL2457">
        <v>0</v>
      </c>
      <c r="BO2457">
        <v>0</v>
      </c>
      <c r="BP2457">
        <v>0</v>
      </c>
      <c r="BW2457" t="str">
        <f>"22:20:26.813"</f>
        <v>22:20:26.813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6</v>
      </c>
      <c r="CP2457" t="s">
        <v>119</v>
      </c>
      <c r="CQ2457">
        <v>364</v>
      </c>
      <c r="CR2457">
        <v>0</v>
      </c>
      <c r="CW2457">
        <v>1461885</v>
      </c>
      <c r="CY2457">
        <v>1</v>
      </c>
      <c r="CZ2457">
        <v>0</v>
      </c>
      <c r="DA2457">
        <v>0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>"03/24/2022 22:20:27.129"</f>
        <v>03/24/2022 22:20:27.129</v>
      </c>
      <c r="C2458" t="str">
        <f t="shared" si="734"/>
        <v>FFDFD3C0</v>
      </c>
      <c r="D2458" t="s">
        <v>123</v>
      </c>
      <c r="E2458">
        <v>8</v>
      </c>
      <c r="H2458">
        <v>31</v>
      </c>
      <c r="I2458" t="s">
        <v>124</v>
      </c>
      <c r="J2458" t="s">
        <v>125</v>
      </c>
      <c r="K2458">
        <v>0</v>
      </c>
      <c r="L2458">
        <v>3</v>
      </c>
      <c r="M2458">
        <v>0</v>
      </c>
      <c r="N2458">
        <v>2</v>
      </c>
      <c r="O2458">
        <v>0</v>
      </c>
      <c r="P2458">
        <v>1</v>
      </c>
      <c r="Q2458">
        <v>0</v>
      </c>
      <c r="S2458" t="str">
        <f t="shared" si="736"/>
        <v>22:20:26.000</v>
      </c>
      <c r="T2458" t="str">
        <f t="shared" si="736"/>
        <v>22:20:26.000</v>
      </c>
      <c r="U2458" t="str">
        <f t="shared" si="728"/>
        <v>A9D71F</v>
      </c>
      <c r="V2458">
        <v>0</v>
      </c>
      <c r="W2458">
        <v>0</v>
      </c>
      <c r="X2458">
        <v>2</v>
      </c>
      <c r="Z2458">
        <v>1</v>
      </c>
      <c r="AA2458">
        <v>8</v>
      </c>
      <c r="AB2458">
        <v>3</v>
      </c>
      <c r="AC2458">
        <v>0</v>
      </c>
      <c r="AD2458">
        <v>9</v>
      </c>
      <c r="AE2458">
        <v>0</v>
      </c>
      <c r="AF2458">
        <v>3</v>
      </c>
      <c r="AG2458">
        <v>1</v>
      </c>
      <c r="AH2458">
        <v>0</v>
      </c>
      <c r="AI2458" t="s">
        <v>1267</v>
      </c>
      <c r="AJ2458">
        <v>33.008443999999997</v>
      </c>
      <c r="AK2458" t="s">
        <v>923</v>
      </c>
      <c r="AL2458">
        <v>-97.669015000000002</v>
      </c>
      <c r="AM2458">
        <v>25</v>
      </c>
      <c r="AN2458">
        <v>2300</v>
      </c>
      <c r="AO2458" t="s">
        <v>118</v>
      </c>
      <c r="AP2458">
        <v>12</v>
      </c>
      <c r="AQ2458">
        <v>60</v>
      </c>
      <c r="AR2458">
        <v>-576</v>
      </c>
      <c r="AZ2458">
        <v>1200</v>
      </c>
      <c r="BA2458">
        <v>1</v>
      </c>
      <c r="BB2458" t="str">
        <f t="shared" si="735"/>
        <v xml:space="preserve">N733KP  </v>
      </c>
      <c r="BC2458">
        <v>1</v>
      </c>
      <c r="BE2458">
        <v>0</v>
      </c>
      <c r="BF2458">
        <v>0</v>
      </c>
      <c r="BG2458">
        <v>0</v>
      </c>
      <c r="BH2458">
        <v>2375</v>
      </c>
      <c r="BI2458">
        <v>1</v>
      </c>
      <c r="BJ2458">
        <v>1</v>
      </c>
      <c r="BK2458">
        <v>0</v>
      </c>
      <c r="BL2458">
        <v>0</v>
      </c>
      <c r="BO2458">
        <v>0</v>
      </c>
      <c r="BP2458">
        <v>0</v>
      </c>
      <c r="BW2458" t="str">
        <f>"22:20:26.813"</f>
        <v>22:20:26.813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6</v>
      </c>
      <c r="CP2458" t="s">
        <v>119</v>
      </c>
      <c r="CQ2458">
        <v>364</v>
      </c>
      <c r="CR2458">
        <v>0</v>
      </c>
      <c r="CW2458">
        <v>1461885</v>
      </c>
      <c r="CY2458">
        <v>1</v>
      </c>
      <c r="CZ2458">
        <v>0</v>
      </c>
      <c r="DA2458">
        <v>1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>"03/24/2022 22:20:27.129"</f>
        <v>03/24/2022 22:20:27.129</v>
      </c>
      <c r="C2459" t="str">
        <f t="shared" si="734"/>
        <v>FFDFD3C0</v>
      </c>
      <c r="D2459" t="s">
        <v>120</v>
      </c>
      <c r="E2459">
        <v>14</v>
      </c>
      <c r="F2459">
        <v>1014</v>
      </c>
      <c r="G2459" t="s">
        <v>121</v>
      </c>
      <c r="J2459" t="s">
        <v>122</v>
      </c>
      <c r="K2459">
        <v>0</v>
      </c>
      <c r="L2459">
        <v>3</v>
      </c>
      <c r="M2459">
        <v>0</v>
      </c>
      <c r="N2459">
        <v>2</v>
      </c>
      <c r="O2459">
        <v>0</v>
      </c>
      <c r="P2459">
        <v>1</v>
      </c>
      <c r="Q2459">
        <v>0</v>
      </c>
      <c r="S2459" t="str">
        <f t="shared" si="736"/>
        <v>22:20:26.000</v>
      </c>
      <c r="T2459" t="str">
        <f t="shared" si="736"/>
        <v>22:20:26.000</v>
      </c>
      <c r="U2459" t="str">
        <f t="shared" si="728"/>
        <v>A9D71F</v>
      </c>
      <c r="V2459">
        <v>0</v>
      </c>
      <c r="W2459">
        <v>0</v>
      </c>
      <c r="X2459">
        <v>2</v>
      </c>
      <c r="Z2459">
        <v>1</v>
      </c>
      <c r="AA2459">
        <v>8</v>
      </c>
      <c r="AB2459">
        <v>3</v>
      </c>
      <c r="AC2459">
        <v>0</v>
      </c>
      <c r="AD2459">
        <v>9</v>
      </c>
      <c r="AE2459">
        <v>0</v>
      </c>
      <c r="AF2459">
        <v>3</v>
      </c>
      <c r="AG2459">
        <v>1</v>
      </c>
      <c r="AH2459">
        <v>0</v>
      </c>
      <c r="AI2459" t="s">
        <v>1267</v>
      </c>
      <c r="AJ2459">
        <v>33.008443999999997</v>
      </c>
      <c r="AK2459" t="s">
        <v>923</v>
      </c>
      <c r="AL2459">
        <v>-97.669015000000002</v>
      </c>
      <c r="AM2459">
        <v>25</v>
      </c>
      <c r="AN2459">
        <v>2300</v>
      </c>
      <c r="AO2459" t="s">
        <v>118</v>
      </c>
      <c r="AP2459">
        <v>12</v>
      </c>
      <c r="AQ2459">
        <v>60</v>
      </c>
      <c r="AR2459">
        <v>-576</v>
      </c>
      <c r="AZ2459">
        <v>1200</v>
      </c>
      <c r="BA2459">
        <v>1</v>
      </c>
      <c r="BB2459" t="str">
        <f t="shared" si="735"/>
        <v xml:space="preserve">N733KP  </v>
      </c>
      <c r="BC2459">
        <v>1</v>
      </c>
      <c r="BE2459">
        <v>0</v>
      </c>
      <c r="BF2459">
        <v>0</v>
      </c>
      <c r="BG2459">
        <v>0</v>
      </c>
      <c r="BH2459">
        <v>2375</v>
      </c>
      <c r="BI2459">
        <v>1</v>
      </c>
      <c r="BJ2459">
        <v>1</v>
      </c>
      <c r="BK2459">
        <v>0</v>
      </c>
      <c r="BL2459">
        <v>0</v>
      </c>
      <c r="BO2459">
        <v>0</v>
      </c>
      <c r="BP2459">
        <v>0</v>
      </c>
      <c r="BW2459" t="str">
        <f>"22:20:26.813"</f>
        <v>22:20:26.813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6</v>
      </c>
      <c r="CP2459" t="s">
        <v>119</v>
      </c>
      <c r="CQ2459">
        <v>364</v>
      </c>
      <c r="CR2459">
        <v>0</v>
      </c>
      <c r="CW2459">
        <v>1461885</v>
      </c>
      <c r="CY2459">
        <v>1</v>
      </c>
      <c r="CZ2459">
        <v>0</v>
      </c>
      <c r="DA2459">
        <v>1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>"03/24/2022 22:20:27.129"</f>
        <v>03/24/2022 22:20:27.129</v>
      </c>
      <c r="C2460" t="str">
        <f t="shared" si="734"/>
        <v>FFDFD3C0</v>
      </c>
      <c r="D2460" t="s">
        <v>126</v>
      </c>
      <c r="E2460">
        <v>3</v>
      </c>
      <c r="H2460">
        <v>160</v>
      </c>
      <c r="I2460" t="s">
        <v>121</v>
      </c>
      <c r="J2460" t="s">
        <v>127</v>
      </c>
      <c r="K2460">
        <v>0</v>
      </c>
      <c r="L2460">
        <v>3</v>
      </c>
      <c r="M2460">
        <v>0</v>
      </c>
      <c r="N2460">
        <v>2</v>
      </c>
      <c r="O2460">
        <v>0</v>
      </c>
      <c r="P2460">
        <v>1</v>
      </c>
      <c r="Q2460">
        <v>0</v>
      </c>
      <c r="S2460" t="str">
        <f t="shared" si="736"/>
        <v>22:20:26.000</v>
      </c>
      <c r="T2460" t="str">
        <f t="shared" si="736"/>
        <v>22:20:26.000</v>
      </c>
      <c r="U2460" t="str">
        <f t="shared" si="728"/>
        <v>A9D71F</v>
      </c>
      <c r="V2460">
        <v>0</v>
      </c>
      <c r="W2460">
        <v>0</v>
      </c>
      <c r="X2460">
        <v>2</v>
      </c>
      <c r="Z2460">
        <v>1</v>
      </c>
      <c r="AA2460">
        <v>8</v>
      </c>
      <c r="AB2460">
        <v>3</v>
      </c>
      <c r="AC2460">
        <v>0</v>
      </c>
      <c r="AD2460">
        <v>9</v>
      </c>
      <c r="AE2460">
        <v>0</v>
      </c>
      <c r="AF2460">
        <v>3</v>
      </c>
      <c r="AG2460">
        <v>1</v>
      </c>
      <c r="AH2460">
        <v>0</v>
      </c>
      <c r="AI2460" t="s">
        <v>1267</v>
      </c>
      <c r="AJ2460">
        <v>33.008443999999997</v>
      </c>
      <c r="AK2460" t="s">
        <v>923</v>
      </c>
      <c r="AL2460">
        <v>-97.669015000000002</v>
      </c>
      <c r="AM2460">
        <v>25</v>
      </c>
      <c r="AN2460">
        <v>2300</v>
      </c>
      <c r="AO2460" t="s">
        <v>118</v>
      </c>
      <c r="AP2460">
        <v>12</v>
      </c>
      <c r="AQ2460">
        <v>60</v>
      </c>
      <c r="AR2460">
        <v>-576</v>
      </c>
      <c r="AZ2460">
        <v>1200</v>
      </c>
      <c r="BA2460">
        <v>1</v>
      </c>
      <c r="BB2460" t="str">
        <f t="shared" si="735"/>
        <v xml:space="preserve">N733KP  </v>
      </c>
      <c r="BC2460">
        <v>1</v>
      </c>
      <c r="BE2460">
        <v>0</v>
      </c>
      <c r="BF2460">
        <v>0</v>
      </c>
      <c r="BG2460">
        <v>0</v>
      </c>
      <c r="BH2460">
        <v>2375</v>
      </c>
      <c r="BI2460">
        <v>1</v>
      </c>
      <c r="BJ2460">
        <v>1</v>
      </c>
      <c r="BK2460">
        <v>0</v>
      </c>
      <c r="BL2460">
        <v>0</v>
      </c>
      <c r="BO2460">
        <v>0</v>
      </c>
      <c r="BP2460">
        <v>0</v>
      </c>
      <c r="BW2460" t="str">
        <f>"22:20:26.813"</f>
        <v>22:20:26.813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6</v>
      </c>
      <c r="CP2460" t="s">
        <v>119</v>
      </c>
      <c r="CQ2460">
        <v>364</v>
      </c>
      <c r="CR2460">
        <v>0</v>
      </c>
      <c r="CW2460">
        <v>1461885</v>
      </c>
      <c r="CY2460">
        <v>1</v>
      </c>
      <c r="CZ2460">
        <v>0</v>
      </c>
      <c r="DA2460">
        <v>1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>"03/24/2022 22:20:27.817"</f>
        <v>03/24/2022 22:20:27.817</v>
      </c>
      <c r="C2461" t="str">
        <f t="shared" si="734"/>
        <v>FFDFD3C0</v>
      </c>
      <c r="D2461" t="s">
        <v>123</v>
      </c>
      <c r="E2461">
        <v>8</v>
      </c>
      <c r="H2461">
        <v>31</v>
      </c>
      <c r="I2461" t="s">
        <v>124</v>
      </c>
      <c r="J2461" t="s">
        <v>125</v>
      </c>
      <c r="K2461">
        <v>0</v>
      </c>
      <c r="L2461">
        <v>3</v>
      </c>
      <c r="M2461">
        <v>0</v>
      </c>
      <c r="N2461">
        <v>2</v>
      </c>
      <c r="O2461">
        <v>0</v>
      </c>
      <c r="P2461">
        <v>1</v>
      </c>
      <c r="Q2461">
        <v>0</v>
      </c>
      <c r="S2461" t="str">
        <f t="shared" ref="S2461:T2464" si="737">"22:20:27.000"</f>
        <v>22:20:27.000</v>
      </c>
      <c r="T2461" t="str">
        <f t="shared" si="737"/>
        <v>22:20:27.000</v>
      </c>
      <c r="U2461" t="str">
        <f t="shared" si="728"/>
        <v>A9D71F</v>
      </c>
      <c r="V2461">
        <v>0</v>
      </c>
      <c r="W2461">
        <v>0</v>
      </c>
      <c r="X2461">
        <v>2</v>
      </c>
      <c r="Z2461">
        <v>1</v>
      </c>
      <c r="AA2461">
        <v>8</v>
      </c>
      <c r="AB2461">
        <v>3</v>
      </c>
      <c r="AC2461">
        <v>0</v>
      </c>
      <c r="AD2461">
        <v>9</v>
      </c>
      <c r="AE2461">
        <v>0</v>
      </c>
      <c r="AF2461">
        <v>3</v>
      </c>
      <c r="AG2461">
        <v>1</v>
      </c>
      <c r="AH2461">
        <v>0</v>
      </c>
      <c r="AI2461" t="s">
        <v>1268</v>
      </c>
      <c r="AJ2461">
        <v>33.008723000000003</v>
      </c>
      <c r="AK2461" t="s">
        <v>1269</v>
      </c>
      <c r="AL2461">
        <v>-97.668929000000006</v>
      </c>
      <c r="AM2461">
        <v>25</v>
      </c>
      <c r="AN2461">
        <v>2300</v>
      </c>
      <c r="AO2461" t="s">
        <v>118</v>
      </c>
      <c r="AP2461">
        <v>11</v>
      </c>
      <c r="AQ2461">
        <v>60</v>
      </c>
      <c r="AR2461">
        <v>-576</v>
      </c>
      <c r="AZ2461">
        <v>1200</v>
      </c>
      <c r="BA2461">
        <v>1</v>
      </c>
      <c r="BB2461" t="str">
        <f t="shared" si="735"/>
        <v xml:space="preserve">N733KP  </v>
      </c>
      <c r="BC2461">
        <v>1</v>
      </c>
      <c r="BE2461">
        <v>0</v>
      </c>
      <c r="BF2461">
        <v>0</v>
      </c>
      <c r="BG2461">
        <v>0</v>
      </c>
      <c r="BH2461">
        <v>2375</v>
      </c>
      <c r="BI2461">
        <v>1</v>
      </c>
      <c r="BJ2461">
        <v>1</v>
      </c>
      <c r="BK2461">
        <v>0</v>
      </c>
      <c r="BL2461">
        <v>0</v>
      </c>
      <c r="BO2461">
        <v>0</v>
      </c>
      <c r="BP2461">
        <v>0</v>
      </c>
      <c r="BW2461" t="str">
        <f>"22:20:27.575"</f>
        <v>22:20:27.575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6</v>
      </c>
      <c r="CP2461" t="s">
        <v>119</v>
      </c>
      <c r="CQ2461">
        <v>364</v>
      </c>
      <c r="CR2461">
        <v>0</v>
      </c>
      <c r="CW2461">
        <v>1462007</v>
      </c>
      <c r="CY2461">
        <v>1</v>
      </c>
      <c r="CZ2461">
        <v>0</v>
      </c>
      <c r="DA2461">
        <v>0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>"03/24/2022 22:20:27.817"</f>
        <v>03/24/2022 22:20:27.817</v>
      </c>
      <c r="C2462" t="str">
        <f t="shared" si="734"/>
        <v>FFDFD3C0</v>
      </c>
      <c r="D2462" t="s">
        <v>120</v>
      </c>
      <c r="E2462">
        <v>14</v>
      </c>
      <c r="F2462">
        <v>1014</v>
      </c>
      <c r="G2462" t="s">
        <v>121</v>
      </c>
      <c r="J2462" t="s">
        <v>122</v>
      </c>
      <c r="K2462">
        <v>0</v>
      </c>
      <c r="L2462">
        <v>3</v>
      </c>
      <c r="M2462">
        <v>0</v>
      </c>
      <c r="N2462">
        <v>2</v>
      </c>
      <c r="O2462">
        <v>0</v>
      </c>
      <c r="P2462">
        <v>1</v>
      </c>
      <c r="Q2462">
        <v>0</v>
      </c>
      <c r="S2462" t="str">
        <f t="shared" si="737"/>
        <v>22:20:27.000</v>
      </c>
      <c r="T2462" t="str">
        <f t="shared" si="737"/>
        <v>22:20:27.000</v>
      </c>
      <c r="U2462" t="str">
        <f t="shared" si="728"/>
        <v>A9D71F</v>
      </c>
      <c r="V2462">
        <v>0</v>
      </c>
      <c r="W2462">
        <v>0</v>
      </c>
      <c r="X2462">
        <v>2</v>
      </c>
      <c r="Z2462">
        <v>1</v>
      </c>
      <c r="AA2462">
        <v>8</v>
      </c>
      <c r="AB2462">
        <v>3</v>
      </c>
      <c r="AC2462">
        <v>0</v>
      </c>
      <c r="AD2462">
        <v>9</v>
      </c>
      <c r="AE2462">
        <v>0</v>
      </c>
      <c r="AF2462">
        <v>3</v>
      </c>
      <c r="AG2462">
        <v>1</v>
      </c>
      <c r="AH2462">
        <v>0</v>
      </c>
      <c r="AI2462" t="s">
        <v>1268</v>
      </c>
      <c r="AJ2462">
        <v>33.008723000000003</v>
      </c>
      <c r="AK2462" t="s">
        <v>1269</v>
      </c>
      <c r="AL2462">
        <v>-97.668929000000006</v>
      </c>
      <c r="AM2462">
        <v>25</v>
      </c>
      <c r="AN2462">
        <v>2300</v>
      </c>
      <c r="AO2462" t="s">
        <v>118</v>
      </c>
      <c r="AP2462">
        <v>11</v>
      </c>
      <c r="AQ2462">
        <v>60</v>
      </c>
      <c r="AR2462">
        <v>-576</v>
      </c>
      <c r="AZ2462">
        <v>1200</v>
      </c>
      <c r="BA2462">
        <v>1</v>
      </c>
      <c r="BB2462" t="str">
        <f t="shared" si="735"/>
        <v xml:space="preserve">N733KP  </v>
      </c>
      <c r="BC2462">
        <v>1</v>
      </c>
      <c r="BE2462">
        <v>0</v>
      </c>
      <c r="BF2462">
        <v>0</v>
      </c>
      <c r="BG2462">
        <v>0</v>
      </c>
      <c r="BH2462">
        <v>2375</v>
      </c>
      <c r="BI2462">
        <v>1</v>
      </c>
      <c r="BJ2462">
        <v>1</v>
      </c>
      <c r="BK2462">
        <v>0</v>
      </c>
      <c r="BL2462">
        <v>0</v>
      </c>
      <c r="BO2462">
        <v>0</v>
      </c>
      <c r="BP2462">
        <v>0</v>
      </c>
      <c r="BW2462" t="str">
        <f>"22:20:27.575"</f>
        <v>22:20:27.575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6</v>
      </c>
      <c r="CP2462" t="s">
        <v>119</v>
      </c>
      <c r="CQ2462">
        <v>364</v>
      </c>
      <c r="CR2462">
        <v>0</v>
      </c>
      <c r="CW2462">
        <v>1462007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>"03/24/2022 22:20:27.817"</f>
        <v>03/24/2022 22:20:27.817</v>
      </c>
      <c r="C2463" t="str">
        <f t="shared" si="734"/>
        <v>FFDFD3C0</v>
      </c>
      <c r="D2463" t="s">
        <v>126</v>
      </c>
      <c r="E2463">
        <v>3</v>
      </c>
      <c r="H2463">
        <v>160</v>
      </c>
      <c r="I2463" t="s">
        <v>121</v>
      </c>
      <c r="J2463" t="s">
        <v>127</v>
      </c>
      <c r="K2463">
        <v>0</v>
      </c>
      <c r="L2463">
        <v>3</v>
      </c>
      <c r="M2463">
        <v>0</v>
      </c>
      <c r="N2463">
        <v>2</v>
      </c>
      <c r="O2463">
        <v>0</v>
      </c>
      <c r="P2463">
        <v>1</v>
      </c>
      <c r="Q2463">
        <v>0</v>
      </c>
      <c r="S2463" t="str">
        <f t="shared" si="737"/>
        <v>22:20:27.000</v>
      </c>
      <c r="T2463" t="str">
        <f t="shared" si="737"/>
        <v>22:20:27.000</v>
      </c>
      <c r="U2463" t="str">
        <f t="shared" si="728"/>
        <v>A9D71F</v>
      </c>
      <c r="V2463">
        <v>0</v>
      </c>
      <c r="W2463">
        <v>0</v>
      </c>
      <c r="X2463">
        <v>2</v>
      </c>
      <c r="Z2463">
        <v>1</v>
      </c>
      <c r="AA2463">
        <v>8</v>
      </c>
      <c r="AB2463">
        <v>3</v>
      </c>
      <c r="AC2463">
        <v>0</v>
      </c>
      <c r="AD2463">
        <v>9</v>
      </c>
      <c r="AE2463">
        <v>0</v>
      </c>
      <c r="AF2463">
        <v>3</v>
      </c>
      <c r="AG2463">
        <v>1</v>
      </c>
      <c r="AH2463">
        <v>0</v>
      </c>
      <c r="AI2463" t="s">
        <v>1268</v>
      </c>
      <c r="AJ2463">
        <v>33.008723000000003</v>
      </c>
      <c r="AK2463" t="s">
        <v>1269</v>
      </c>
      <c r="AL2463">
        <v>-97.668929000000006</v>
      </c>
      <c r="AM2463">
        <v>25</v>
      </c>
      <c r="AN2463">
        <v>2300</v>
      </c>
      <c r="AO2463" t="s">
        <v>118</v>
      </c>
      <c r="AP2463">
        <v>11</v>
      </c>
      <c r="AQ2463">
        <v>60</v>
      </c>
      <c r="AR2463">
        <v>-576</v>
      </c>
      <c r="AZ2463">
        <v>1200</v>
      </c>
      <c r="BA2463">
        <v>1</v>
      </c>
      <c r="BB2463" t="str">
        <f t="shared" si="735"/>
        <v xml:space="preserve">N733KP  </v>
      </c>
      <c r="BC2463">
        <v>1</v>
      </c>
      <c r="BE2463">
        <v>0</v>
      </c>
      <c r="BF2463">
        <v>0</v>
      </c>
      <c r="BG2463">
        <v>0</v>
      </c>
      <c r="BH2463">
        <v>2375</v>
      </c>
      <c r="BI2463">
        <v>1</v>
      </c>
      <c r="BJ2463">
        <v>1</v>
      </c>
      <c r="BK2463">
        <v>0</v>
      </c>
      <c r="BL2463">
        <v>0</v>
      </c>
      <c r="BO2463">
        <v>0</v>
      </c>
      <c r="BP2463">
        <v>0</v>
      </c>
      <c r="BW2463" t="str">
        <f>"22:20:27.575"</f>
        <v>22:20:27.575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6</v>
      </c>
      <c r="CP2463" t="s">
        <v>119</v>
      </c>
      <c r="CQ2463">
        <v>364</v>
      </c>
      <c r="CR2463">
        <v>0</v>
      </c>
      <c r="CW2463">
        <v>1462007</v>
      </c>
      <c r="CY2463">
        <v>1</v>
      </c>
      <c r="CZ2463">
        <v>0</v>
      </c>
      <c r="DA2463">
        <v>1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>"03/24/2022 22:20:27.833"</f>
        <v>03/24/2022 22:20:27.833</v>
      </c>
      <c r="C2464" t="str">
        <f t="shared" si="734"/>
        <v>FFDFD3C0</v>
      </c>
      <c r="D2464" t="s">
        <v>113</v>
      </c>
      <c r="E2464">
        <v>24</v>
      </c>
      <c r="F2464">
        <v>2024</v>
      </c>
      <c r="G2464" t="s">
        <v>114</v>
      </c>
      <c r="J2464" t="s">
        <v>115</v>
      </c>
      <c r="K2464">
        <v>0</v>
      </c>
      <c r="L2464">
        <v>3</v>
      </c>
      <c r="M2464">
        <v>0</v>
      </c>
      <c r="N2464">
        <v>2</v>
      </c>
      <c r="O2464">
        <v>0</v>
      </c>
      <c r="P2464">
        <v>1</v>
      </c>
      <c r="Q2464">
        <v>0</v>
      </c>
      <c r="S2464" t="str">
        <f t="shared" si="737"/>
        <v>22:20:27.000</v>
      </c>
      <c r="T2464" t="str">
        <f t="shared" si="737"/>
        <v>22:20:27.000</v>
      </c>
      <c r="U2464" t="str">
        <f t="shared" si="728"/>
        <v>A9D71F</v>
      </c>
      <c r="V2464">
        <v>0</v>
      </c>
      <c r="W2464">
        <v>0</v>
      </c>
      <c r="X2464">
        <v>2</v>
      </c>
      <c r="Z2464">
        <v>1</v>
      </c>
      <c r="AA2464">
        <v>8</v>
      </c>
      <c r="AB2464">
        <v>3</v>
      </c>
      <c r="AC2464">
        <v>0</v>
      </c>
      <c r="AD2464">
        <v>9</v>
      </c>
      <c r="AE2464">
        <v>0</v>
      </c>
      <c r="AF2464">
        <v>3</v>
      </c>
      <c r="AG2464">
        <v>1</v>
      </c>
      <c r="AH2464">
        <v>0</v>
      </c>
      <c r="AI2464" t="s">
        <v>1268</v>
      </c>
      <c r="AJ2464">
        <v>33.008723000000003</v>
      </c>
      <c r="AK2464" t="s">
        <v>1269</v>
      </c>
      <c r="AL2464">
        <v>-97.668929000000006</v>
      </c>
      <c r="AM2464">
        <v>25</v>
      </c>
      <c r="AN2464">
        <v>2300</v>
      </c>
      <c r="AO2464" t="s">
        <v>118</v>
      </c>
      <c r="AP2464">
        <v>11</v>
      </c>
      <c r="AQ2464">
        <v>60</v>
      </c>
      <c r="AR2464">
        <v>-576</v>
      </c>
      <c r="AZ2464">
        <v>1200</v>
      </c>
      <c r="BA2464">
        <v>1</v>
      </c>
      <c r="BB2464" t="str">
        <f t="shared" si="735"/>
        <v xml:space="preserve">N733KP  </v>
      </c>
      <c r="BC2464">
        <v>1</v>
      </c>
      <c r="BE2464">
        <v>0</v>
      </c>
      <c r="BF2464">
        <v>0</v>
      </c>
      <c r="BG2464">
        <v>0</v>
      </c>
      <c r="BH2464">
        <v>2375</v>
      </c>
      <c r="BI2464">
        <v>1</v>
      </c>
      <c r="BJ2464">
        <v>1</v>
      </c>
      <c r="BK2464">
        <v>0</v>
      </c>
      <c r="BL2464">
        <v>0</v>
      </c>
      <c r="BO2464">
        <v>0</v>
      </c>
      <c r="BP2464">
        <v>0</v>
      </c>
      <c r="BW2464" t="str">
        <f>"22:20:27.575"</f>
        <v>22:20:27.575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6</v>
      </c>
      <c r="CP2464" t="s">
        <v>119</v>
      </c>
      <c r="CQ2464">
        <v>364</v>
      </c>
      <c r="CR2464">
        <v>0</v>
      </c>
      <c r="CW2464">
        <v>1462007</v>
      </c>
      <c r="CY2464">
        <v>1</v>
      </c>
      <c r="CZ2464">
        <v>0</v>
      </c>
      <c r="DA2464">
        <v>1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>"03/24/2022 22:20:28.788"</f>
        <v>03/24/2022 22:20:28.788</v>
      </c>
      <c r="C2465" t="str">
        <f t="shared" si="734"/>
        <v>FFDFD3C0</v>
      </c>
      <c r="D2465" t="s">
        <v>120</v>
      </c>
      <c r="E2465">
        <v>14</v>
      </c>
      <c r="F2465">
        <v>1014</v>
      </c>
      <c r="G2465" t="s">
        <v>121</v>
      </c>
      <c r="J2465" t="s">
        <v>122</v>
      </c>
      <c r="K2465">
        <v>0</v>
      </c>
      <c r="L2465">
        <v>3</v>
      </c>
      <c r="M2465">
        <v>0</v>
      </c>
      <c r="N2465">
        <v>2</v>
      </c>
      <c r="O2465">
        <v>0</v>
      </c>
      <c r="P2465">
        <v>1</v>
      </c>
      <c r="Q2465">
        <v>0</v>
      </c>
      <c r="S2465" t="str">
        <f t="shared" ref="S2465:T2468" si="738">"22:20:28.000"</f>
        <v>22:20:28.000</v>
      </c>
      <c r="T2465" t="str">
        <f t="shared" si="738"/>
        <v>22:20:28.000</v>
      </c>
      <c r="U2465" t="str">
        <f t="shared" si="728"/>
        <v>A9D71F</v>
      </c>
      <c r="V2465">
        <v>0</v>
      </c>
      <c r="W2465">
        <v>0</v>
      </c>
      <c r="X2465">
        <v>2</v>
      </c>
      <c r="Z2465">
        <v>1</v>
      </c>
      <c r="AA2465">
        <v>8</v>
      </c>
      <c r="AB2465">
        <v>3</v>
      </c>
      <c r="AC2465">
        <v>0</v>
      </c>
      <c r="AD2465">
        <v>9</v>
      </c>
      <c r="AE2465">
        <v>0</v>
      </c>
      <c r="AF2465">
        <v>3</v>
      </c>
      <c r="AG2465">
        <v>1</v>
      </c>
      <c r="AH2465">
        <v>0</v>
      </c>
      <c r="AI2465" t="s">
        <v>1270</v>
      </c>
      <c r="AJ2465">
        <v>33.009002000000002</v>
      </c>
      <c r="AK2465" t="s">
        <v>1271</v>
      </c>
      <c r="AL2465">
        <v>-97.668842999999995</v>
      </c>
      <c r="AM2465">
        <v>25</v>
      </c>
      <c r="AN2465">
        <v>2300</v>
      </c>
      <c r="AO2465" t="s">
        <v>118</v>
      </c>
      <c r="AP2465">
        <v>13</v>
      </c>
      <c r="AQ2465">
        <v>60</v>
      </c>
      <c r="AR2465">
        <v>-640</v>
      </c>
      <c r="AZ2465">
        <v>1200</v>
      </c>
      <c r="BA2465">
        <v>1</v>
      </c>
      <c r="BB2465" t="str">
        <f t="shared" si="735"/>
        <v xml:space="preserve">N733KP  </v>
      </c>
      <c r="BC2465">
        <v>1</v>
      </c>
      <c r="BE2465">
        <v>0</v>
      </c>
      <c r="BF2465">
        <v>0</v>
      </c>
      <c r="BG2465">
        <v>0</v>
      </c>
      <c r="BH2465">
        <v>2325</v>
      </c>
      <c r="BI2465">
        <v>1</v>
      </c>
      <c r="BJ2465">
        <v>1</v>
      </c>
      <c r="BK2465">
        <v>0</v>
      </c>
      <c r="BL2465">
        <v>0</v>
      </c>
      <c r="BO2465">
        <v>0</v>
      </c>
      <c r="BP2465">
        <v>0</v>
      </c>
      <c r="BW2465" t="str">
        <f>"22:20:28.558"</f>
        <v>22:20:28.558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6</v>
      </c>
      <c r="CP2465" t="s">
        <v>119</v>
      </c>
      <c r="CQ2465">
        <v>364</v>
      </c>
      <c r="CR2465">
        <v>0</v>
      </c>
      <c r="CW2465">
        <v>1462142</v>
      </c>
      <c r="CY2465">
        <v>1</v>
      </c>
      <c r="CZ2465">
        <v>0</v>
      </c>
      <c r="DA2465">
        <v>0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>"03/24/2022 22:20:28.851"</f>
        <v>03/24/2022 22:20:28.851</v>
      </c>
      <c r="C2466" t="str">
        <f t="shared" si="734"/>
        <v>FFDFD3C0</v>
      </c>
      <c r="D2466" t="s">
        <v>113</v>
      </c>
      <c r="E2466">
        <v>24</v>
      </c>
      <c r="F2466">
        <v>2024</v>
      </c>
      <c r="G2466" t="s">
        <v>114</v>
      </c>
      <c r="J2466" t="s">
        <v>115</v>
      </c>
      <c r="K2466">
        <v>0</v>
      </c>
      <c r="L2466">
        <v>3</v>
      </c>
      <c r="M2466">
        <v>0</v>
      </c>
      <c r="N2466">
        <v>2</v>
      </c>
      <c r="O2466">
        <v>0</v>
      </c>
      <c r="P2466">
        <v>1</v>
      </c>
      <c r="Q2466">
        <v>0</v>
      </c>
      <c r="S2466" t="str">
        <f t="shared" si="738"/>
        <v>22:20:28.000</v>
      </c>
      <c r="T2466" t="str">
        <f t="shared" si="738"/>
        <v>22:20:28.000</v>
      </c>
      <c r="U2466" t="str">
        <f t="shared" si="728"/>
        <v>A9D71F</v>
      </c>
      <c r="V2466">
        <v>0</v>
      </c>
      <c r="W2466">
        <v>0</v>
      </c>
      <c r="X2466">
        <v>2</v>
      </c>
      <c r="Z2466">
        <v>1</v>
      </c>
      <c r="AA2466">
        <v>8</v>
      </c>
      <c r="AB2466">
        <v>3</v>
      </c>
      <c r="AC2466">
        <v>0</v>
      </c>
      <c r="AD2466">
        <v>9</v>
      </c>
      <c r="AE2466">
        <v>0</v>
      </c>
      <c r="AF2466">
        <v>3</v>
      </c>
      <c r="AG2466">
        <v>1</v>
      </c>
      <c r="AH2466">
        <v>0</v>
      </c>
      <c r="AI2466" t="s">
        <v>1270</v>
      </c>
      <c r="AJ2466">
        <v>33.009002000000002</v>
      </c>
      <c r="AK2466" t="s">
        <v>1271</v>
      </c>
      <c r="AL2466">
        <v>-97.668842999999995</v>
      </c>
      <c r="AM2466">
        <v>25</v>
      </c>
      <c r="AN2466">
        <v>2300</v>
      </c>
      <c r="AO2466" t="s">
        <v>118</v>
      </c>
      <c r="AP2466">
        <v>13</v>
      </c>
      <c r="AQ2466">
        <v>60</v>
      </c>
      <c r="AR2466">
        <v>-640</v>
      </c>
      <c r="AZ2466">
        <v>1200</v>
      </c>
      <c r="BA2466">
        <v>1</v>
      </c>
      <c r="BB2466" t="str">
        <f t="shared" si="735"/>
        <v xml:space="preserve">N733KP  </v>
      </c>
      <c r="BC2466">
        <v>1</v>
      </c>
      <c r="BE2466">
        <v>0</v>
      </c>
      <c r="BF2466">
        <v>0</v>
      </c>
      <c r="BG2466">
        <v>0</v>
      </c>
      <c r="BH2466">
        <v>2325</v>
      </c>
      <c r="BI2466">
        <v>1</v>
      </c>
      <c r="BJ2466">
        <v>1</v>
      </c>
      <c r="BK2466">
        <v>0</v>
      </c>
      <c r="BL2466">
        <v>0</v>
      </c>
      <c r="BO2466">
        <v>0</v>
      </c>
      <c r="BP2466">
        <v>0</v>
      </c>
      <c r="BW2466" t="str">
        <f>"22:20:28.558"</f>
        <v>22:20:28.558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6</v>
      </c>
      <c r="CP2466" t="s">
        <v>119</v>
      </c>
      <c r="CQ2466">
        <v>364</v>
      </c>
      <c r="CR2466">
        <v>0</v>
      </c>
      <c r="CW2466">
        <v>1462142</v>
      </c>
      <c r="CY2466">
        <v>1</v>
      </c>
      <c r="CZ2466">
        <v>0</v>
      </c>
      <c r="DA2466">
        <v>1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>"03/24/2022 22:20:28.851"</f>
        <v>03/24/2022 22:20:28.851</v>
      </c>
      <c r="C2467" t="str">
        <f t="shared" si="734"/>
        <v>FFDFD3C0</v>
      </c>
      <c r="D2467" t="s">
        <v>123</v>
      </c>
      <c r="E2467">
        <v>8</v>
      </c>
      <c r="H2467">
        <v>31</v>
      </c>
      <c r="I2467" t="s">
        <v>124</v>
      </c>
      <c r="J2467" t="s">
        <v>125</v>
      </c>
      <c r="K2467">
        <v>0</v>
      </c>
      <c r="L2467">
        <v>3</v>
      </c>
      <c r="M2467">
        <v>0</v>
      </c>
      <c r="N2467">
        <v>2</v>
      </c>
      <c r="O2467">
        <v>0</v>
      </c>
      <c r="P2467">
        <v>1</v>
      </c>
      <c r="Q2467">
        <v>0</v>
      </c>
      <c r="S2467" t="str">
        <f t="shared" si="738"/>
        <v>22:20:28.000</v>
      </c>
      <c r="T2467" t="str">
        <f t="shared" si="738"/>
        <v>22:20:28.000</v>
      </c>
      <c r="U2467" t="str">
        <f t="shared" si="728"/>
        <v>A9D71F</v>
      </c>
      <c r="V2467">
        <v>0</v>
      </c>
      <c r="W2467">
        <v>0</v>
      </c>
      <c r="X2467">
        <v>2</v>
      </c>
      <c r="Z2467">
        <v>1</v>
      </c>
      <c r="AA2467">
        <v>8</v>
      </c>
      <c r="AB2467">
        <v>3</v>
      </c>
      <c r="AC2467">
        <v>0</v>
      </c>
      <c r="AD2467">
        <v>9</v>
      </c>
      <c r="AE2467">
        <v>0</v>
      </c>
      <c r="AF2467">
        <v>3</v>
      </c>
      <c r="AG2467">
        <v>1</v>
      </c>
      <c r="AH2467">
        <v>0</v>
      </c>
      <c r="AI2467" t="s">
        <v>1270</v>
      </c>
      <c r="AJ2467">
        <v>33.009002000000002</v>
      </c>
      <c r="AK2467" t="s">
        <v>1271</v>
      </c>
      <c r="AL2467">
        <v>-97.668842999999995</v>
      </c>
      <c r="AM2467">
        <v>25</v>
      </c>
      <c r="AN2467">
        <v>2300</v>
      </c>
      <c r="AO2467" t="s">
        <v>118</v>
      </c>
      <c r="AP2467">
        <v>13</v>
      </c>
      <c r="AQ2467">
        <v>60</v>
      </c>
      <c r="AR2467">
        <v>-640</v>
      </c>
      <c r="AZ2467">
        <v>1200</v>
      </c>
      <c r="BA2467">
        <v>1</v>
      </c>
      <c r="BB2467" t="str">
        <f t="shared" si="735"/>
        <v xml:space="preserve">N733KP  </v>
      </c>
      <c r="BC2467">
        <v>1</v>
      </c>
      <c r="BE2467">
        <v>0</v>
      </c>
      <c r="BF2467">
        <v>0</v>
      </c>
      <c r="BG2467">
        <v>0</v>
      </c>
      <c r="BH2467">
        <v>2325</v>
      </c>
      <c r="BI2467">
        <v>1</v>
      </c>
      <c r="BJ2467">
        <v>1</v>
      </c>
      <c r="BK2467">
        <v>0</v>
      </c>
      <c r="BL2467">
        <v>0</v>
      </c>
      <c r="BO2467">
        <v>0</v>
      </c>
      <c r="BP2467">
        <v>0</v>
      </c>
      <c r="BW2467" t="str">
        <f>"22:20:28.558"</f>
        <v>22:20:28.558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6</v>
      </c>
      <c r="CP2467" t="s">
        <v>119</v>
      </c>
      <c r="CQ2467">
        <v>364</v>
      </c>
      <c r="CR2467">
        <v>0</v>
      </c>
      <c r="CW2467">
        <v>1462142</v>
      </c>
      <c r="CY2467">
        <v>1</v>
      </c>
      <c r="CZ2467">
        <v>0</v>
      </c>
      <c r="DA2467">
        <v>1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>"03/24/2022 22:20:28.851"</f>
        <v>03/24/2022 22:20:28.851</v>
      </c>
      <c r="C2468" t="str">
        <f t="shared" si="734"/>
        <v>FFDFD3C0</v>
      </c>
      <c r="D2468" t="s">
        <v>126</v>
      </c>
      <c r="E2468">
        <v>3</v>
      </c>
      <c r="H2468">
        <v>160</v>
      </c>
      <c r="I2468" t="s">
        <v>121</v>
      </c>
      <c r="J2468" t="s">
        <v>127</v>
      </c>
      <c r="K2468">
        <v>0</v>
      </c>
      <c r="L2468">
        <v>3</v>
      </c>
      <c r="M2468">
        <v>0</v>
      </c>
      <c r="N2468">
        <v>2</v>
      </c>
      <c r="O2468">
        <v>0</v>
      </c>
      <c r="P2468">
        <v>1</v>
      </c>
      <c r="Q2468">
        <v>0</v>
      </c>
      <c r="S2468" t="str">
        <f t="shared" si="738"/>
        <v>22:20:28.000</v>
      </c>
      <c r="T2468" t="str">
        <f t="shared" si="738"/>
        <v>22:20:28.000</v>
      </c>
      <c r="U2468" t="str">
        <f t="shared" si="728"/>
        <v>A9D71F</v>
      </c>
      <c r="V2468">
        <v>0</v>
      </c>
      <c r="W2468">
        <v>0</v>
      </c>
      <c r="X2468">
        <v>2</v>
      </c>
      <c r="Z2468">
        <v>1</v>
      </c>
      <c r="AA2468">
        <v>8</v>
      </c>
      <c r="AB2468">
        <v>3</v>
      </c>
      <c r="AC2468">
        <v>0</v>
      </c>
      <c r="AD2468">
        <v>9</v>
      </c>
      <c r="AE2468">
        <v>0</v>
      </c>
      <c r="AF2468">
        <v>3</v>
      </c>
      <c r="AG2468">
        <v>1</v>
      </c>
      <c r="AH2468">
        <v>0</v>
      </c>
      <c r="AI2468" t="s">
        <v>1270</v>
      </c>
      <c r="AJ2468">
        <v>33.009002000000002</v>
      </c>
      <c r="AK2468" t="s">
        <v>1271</v>
      </c>
      <c r="AL2468">
        <v>-97.668842999999995</v>
      </c>
      <c r="AM2468">
        <v>25</v>
      </c>
      <c r="AN2468">
        <v>2300</v>
      </c>
      <c r="AO2468" t="s">
        <v>118</v>
      </c>
      <c r="AP2468">
        <v>13</v>
      </c>
      <c r="AQ2468">
        <v>60</v>
      </c>
      <c r="AR2468">
        <v>-640</v>
      </c>
      <c r="AZ2468">
        <v>1200</v>
      </c>
      <c r="BA2468">
        <v>1</v>
      </c>
      <c r="BB2468" t="str">
        <f t="shared" si="735"/>
        <v xml:space="preserve">N733KP  </v>
      </c>
      <c r="BC2468">
        <v>1</v>
      </c>
      <c r="BE2468">
        <v>0</v>
      </c>
      <c r="BF2468">
        <v>0</v>
      </c>
      <c r="BG2468">
        <v>0</v>
      </c>
      <c r="BH2468">
        <v>2325</v>
      </c>
      <c r="BI2468">
        <v>1</v>
      </c>
      <c r="BJ2468">
        <v>1</v>
      </c>
      <c r="BK2468">
        <v>0</v>
      </c>
      <c r="BL2468">
        <v>0</v>
      </c>
      <c r="BO2468">
        <v>0</v>
      </c>
      <c r="BP2468">
        <v>0</v>
      </c>
      <c r="BW2468" t="str">
        <f>"22:20:28.558"</f>
        <v>22:20:28.558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6</v>
      </c>
      <c r="CP2468" t="s">
        <v>119</v>
      </c>
      <c r="CQ2468">
        <v>364</v>
      </c>
      <c r="CR2468">
        <v>0</v>
      </c>
      <c r="CW2468">
        <v>1462142</v>
      </c>
      <c r="CY2468">
        <v>1</v>
      </c>
      <c r="CZ2468">
        <v>0</v>
      </c>
      <c r="DA2468">
        <v>1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>"03/24/2022 22:20:29.788"</f>
        <v>03/24/2022 22:20:29.788</v>
      </c>
      <c r="C2469" t="str">
        <f t="shared" si="734"/>
        <v>FFDFD3C0</v>
      </c>
      <c r="D2469" t="s">
        <v>126</v>
      </c>
      <c r="E2469">
        <v>3</v>
      </c>
      <c r="H2469">
        <v>160</v>
      </c>
      <c r="I2469" t="s">
        <v>121</v>
      </c>
      <c r="J2469" t="s">
        <v>127</v>
      </c>
      <c r="K2469">
        <v>0</v>
      </c>
      <c r="L2469">
        <v>3</v>
      </c>
      <c r="M2469">
        <v>0</v>
      </c>
      <c r="N2469">
        <v>2</v>
      </c>
      <c r="O2469">
        <v>0</v>
      </c>
      <c r="P2469">
        <v>1</v>
      </c>
      <c r="Q2469">
        <v>0</v>
      </c>
      <c r="S2469" t="str">
        <f t="shared" ref="S2469:T2472" si="739">"22:20:29.000"</f>
        <v>22:20:29.000</v>
      </c>
      <c r="T2469" t="str">
        <f t="shared" si="739"/>
        <v>22:20:29.000</v>
      </c>
      <c r="U2469" t="str">
        <f t="shared" si="728"/>
        <v>A9D71F</v>
      </c>
      <c r="V2469">
        <v>0</v>
      </c>
      <c r="W2469">
        <v>0</v>
      </c>
      <c r="X2469">
        <v>2</v>
      </c>
      <c r="Z2469">
        <v>1</v>
      </c>
      <c r="AA2469">
        <v>8</v>
      </c>
      <c r="AB2469">
        <v>3</v>
      </c>
      <c r="AC2469">
        <v>0</v>
      </c>
      <c r="AD2469">
        <v>9</v>
      </c>
      <c r="AE2469">
        <v>0</v>
      </c>
      <c r="AF2469">
        <v>3</v>
      </c>
      <c r="AG2469">
        <v>1</v>
      </c>
      <c r="AH2469">
        <v>0</v>
      </c>
      <c r="AI2469" t="s">
        <v>1272</v>
      </c>
      <c r="AJ2469">
        <v>33.009259999999998</v>
      </c>
      <c r="AK2469" t="s">
        <v>1273</v>
      </c>
      <c r="AL2469">
        <v>-97.668756999999999</v>
      </c>
      <c r="AM2469">
        <v>25</v>
      </c>
      <c r="AN2469">
        <v>2300</v>
      </c>
      <c r="AO2469" t="s">
        <v>118</v>
      </c>
      <c r="AP2469">
        <v>13</v>
      </c>
      <c r="AQ2469">
        <v>60</v>
      </c>
      <c r="AR2469">
        <v>-704</v>
      </c>
      <c r="AZ2469">
        <v>1200</v>
      </c>
      <c r="BA2469">
        <v>1</v>
      </c>
      <c r="BB2469" t="str">
        <f t="shared" si="735"/>
        <v xml:space="preserve">N733KP  </v>
      </c>
      <c r="BC2469">
        <v>1</v>
      </c>
      <c r="BE2469">
        <v>0</v>
      </c>
      <c r="BF2469">
        <v>0</v>
      </c>
      <c r="BG2469">
        <v>0</v>
      </c>
      <c r="BH2469">
        <v>2325</v>
      </c>
      <c r="BI2469">
        <v>1</v>
      </c>
      <c r="BJ2469">
        <v>1</v>
      </c>
      <c r="BK2469">
        <v>0</v>
      </c>
      <c r="BL2469">
        <v>0</v>
      </c>
      <c r="BO2469">
        <v>0</v>
      </c>
      <c r="BP2469">
        <v>0</v>
      </c>
      <c r="BW2469" t="str">
        <f>"22:20:29.523"</f>
        <v>22:20:29.523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6</v>
      </c>
      <c r="CP2469" t="s">
        <v>119</v>
      </c>
      <c r="CQ2469">
        <v>364</v>
      </c>
      <c r="CR2469">
        <v>0</v>
      </c>
      <c r="CW2469">
        <v>1462303</v>
      </c>
      <c r="CY2469">
        <v>1</v>
      </c>
      <c r="CZ2469">
        <v>0</v>
      </c>
      <c r="DA2469">
        <v>0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>"03/24/2022 22:20:29.788"</f>
        <v>03/24/2022 22:20:29.788</v>
      </c>
      <c r="C2470" t="str">
        <f t="shared" si="734"/>
        <v>FFDFD3C0</v>
      </c>
      <c r="D2470" t="s">
        <v>120</v>
      </c>
      <c r="E2470">
        <v>14</v>
      </c>
      <c r="F2470">
        <v>1014</v>
      </c>
      <c r="G2470" t="s">
        <v>121</v>
      </c>
      <c r="J2470" t="s">
        <v>122</v>
      </c>
      <c r="K2470">
        <v>0</v>
      </c>
      <c r="L2470">
        <v>3</v>
      </c>
      <c r="M2470">
        <v>0</v>
      </c>
      <c r="N2470">
        <v>2</v>
      </c>
      <c r="O2470">
        <v>0</v>
      </c>
      <c r="P2470">
        <v>1</v>
      </c>
      <c r="Q2470">
        <v>0</v>
      </c>
      <c r="S2470" t="str">
        <f t="shared" si="739"/>
        <v>22:20:29.000</v>
      </c>
      <c r="T2470" t="str">
        <f t="shared" si="739"/>
        <v>22:20:29.000</v>
      </c>
      <c r="U2470" t="str">
        <f t="shared" si="728"/>
        <v>A9D71F</v>
      </c>
      <c r="V2470">
        <v>0</v>
      </c>
      <c r="W2470">
        <v>0</v>
      </c>
      <c r="X2470">
        <v>2</v>
      </c>
      <c r="Z2470">
        <v>1</v>
      </c>
      <c r="AA2470">
        <v>8</v>
      </c>
      <c r="AB2470">
        <v>3</v>
      </c>
      <c r="AC2470">
        <v>0</v>
      </c>
      <c r="AD2470">
        <v>9</v>
      </c>
      <c r="AE2470">
        <v>0</v>
      </c>
      <c r="AF2470">
        <v>3</v>
      </c>
      <c r="AG2470">
        <v>1</v>
      </c>
      <c r="AH2470">
        <v>0</v>
      </c>
      <c r="AI2470" t="s">
        <v>1272</v>
      </c>
      <c r="AJ2470">
        <v>33.009259999999998</v>
      </c>
      <c r="AK2470" t="s">
        <v>1273</v>
      </c>
      <c r="AL2470">
        <v>-97.668756999999999</v>
      </c>
      <c r="AM2470">
        <v>25</v>
      </c>
      <c r="AN2470">
        <v>2300</v>
      </c>
      <c r="AO2470" t="s">
        <v>118</v>
      </c>
      <c r="AP2470">
        <v>13</v>
      </c>
      <c r="AQ2470">
        <v>60</v>
      </c>
      <c r="AR2470">
        <v>-704</v>
      </c>
      <c r="AZ2470">
        <v>1200</v>
      </c>
      <c r="BA2470">
        <v>1</v>
      </c>
      <c r="BB2470" t="str">
        <f t="shared" si="735"/>
        <v xml:space="preserve">N733KP  </v>
      </c>
      <c r="BC2470">
        <v>1</v>
      </c>
      <c r="BE2470">
        <v>0</v>
      </c>
      <c r="BF2470">
        <v>0</v>
      </c>
      <c r="BG2470">
        <v>0</v>
      </c>
      <c r="BH2470">
        <v>2325</v>
      </c>
      <c r="BI2470">
        <v>1</v>
      </c>
      <c r="BJ2470">
        <v>1</v>
      </c>
      <c r="BK2470">
        <v>0</v>
      </c>
      <c r="BL2470">
        <v>0</v>
      </c>
      <c r="BO2470">
        <v>0</v>
      </c>
      <c r="BP2470">
        <v>0</v>
      </c>
      <c r="BW2470" t="str">
        <f>"22:20:29.523"</f>
        <v>22:20:29.523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6</v>
      </c>
      <c r="CP2470" t="s">
        <v>119</v>
      </c>
      <c r="CQ2470">
        <v>364</v>
      </c>
      <c r="CR2470">
        <v>0</v>
      </c>
      <c r="CW2470">
        <v>1462303</v>
      </c>
      <c r="CY2470">
        <v>1</v>
      </c>
      <c r="CZ2470">
        <v>0</v>
      </c>
      <c r="DA2470">
        <v>1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>"03/24/2022 22:20:29.788"</f>
        <v>03/24/2022 22:20:29.788</v>
      </c>
      <c r="C2471" t="str">
        <f t="shared" si="734"/>
        <v>FFDFD3C0</v>
      </c>
      <c r="D2471" t="s">
        <v>113</v>
      </c>
      <c r="E2471">
        <v>24</v>
      </c>
      <c r="F2471">
        <v>2024</v>
      </c>
      <c r="G2471" t="s">
        <v>114</v>
      </c>
      <c r="J2471" t="s">
        <v>115</v>
      </c>
      <c r="K2471">
        <v>0</v>
      </c>
      <c r="L2471">
        <v>3</v>
      </c>
      <c r="M2471">
        <v>0</v>
      </c>
      <c r="N2471">
        <v>2</v>
      </c>
      <c r="O2471">
        <v>0</v>
      </c>
      <c r="P2471">
        <v>1</v>
      </c>
      <c r="Q2471">
        <v>0</v>
      </c>
      <c r="S2471" t="str">
        <f t="shared" si="739"/>
        <v>22:20:29.000</v>
      </c>
      <c r="T2471" t="str">
        <f t="shared" si="739"/>
        <v>22:20:29.000</v>
      </c>
      <c r="U2471" t="str">
        <f t="shared" si="728"/>
        <v>A9D71F</v>
      </c>
      <c r="V2471">
        <v>0</v>
      </c>
      <c r="W2471">
        <v>0</v>
      </c>
      <c r="X2471">
        <v>2</v>
      </c>
      <c r="Z2471">
        <v>1</v>
      </c>
      <c r="AA2471">
        <v>8</v>
      </c>
      <c r="AB2471">
        <v>3</v>
      </c>
      <c r="AC2471">
        <v>0</v>
      </c>
      <c r="AD2471">
        <v>9</v>
      </c>
      <c r="AE2471">
        <v>0</v>
      </c>
      <c r="AF2471">
        <v>3</v>
      </c>
      <c r="AG2471">
        <v>1</v>
      </c>
      <c r="AH2471">
        <v>0</v>
      </c>
      <c r="AI2471" t="s">
        <v>1272</v>
      </c>
      <c r="AJ2471">
        <v>33.009259999999998</v>
      </c>
      <c r="AK2471" t="s">
        <v>1273</v>
      </c>
      <c r="AL2471">
        <v>-97.668756999999999</v>
      </c>
      <c r="AM2471">
        <v>25</v>
      </c>
      <c r="AN2471">
        <v>2300</v>
      </c>
      <c r="AO2471" t="s">
        <v>118</v>
      </c>
      <c r="AP2471">
        <v>13</v>
      </c>
      <c r="AQ2471">
        <v>60</v>
      </c>
      <c r="AR2471">
        <v>-704</v>
      </c>
      <c r="AZ2471">
        <v>1200</v>
      </c>
      <c r="BA2471">
        <v>1</v>
      </c>
      <c r="BB2471" t="str">
        <f t="shared" si="735"/>
        <v xml:space="preserve">N733KP  </v>
      </c>
      <c r="BC2471">
        <v>1</v>
      </c>
      <c r="BE2471">
        <v>0</v>
      </c>
      <c r="BF2471">
        <v>0</v>
      </c>
      <c r="BG2471">
        <v>0</v>
      </c>
      <c r="BH2471">
        <v>2325</v>
      </c>
      <c r="BI2471">
        <v>1</v>
      </c>
      <c r="BJ2471">
        <v>1</v>
      </c>
      <c r="BK2471">
        <v>0</v>
      </c>
      <c r="BL2471">
        <v>0</v>
      </c>
      <c r="BO2471">
        <v>0</v>
      </c>
      <c r="BP2471">
        <v>0</v>
      </c>
      <c r="BW2471" t="str">
        <f>"22:20:29.523"</f>
        <v>22:20:29.523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6</v>
      </c>
      <c r="CP2471" t="s">
        <v>119</v>
      </c>
      <c r="CQ2471">
        <v>364</v>
      </c>
      <c r="CR2471">
        <v>0</v>
      </c>
      <c r="CW2471">
        <v>1462303</v>
      </c>
      <c r="CY2471">
        <v>1</v>
      </c>
      <c r="CZ2471">
        <v>0</v>
      </c>
      <c r="DA2471">
        <v>1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>"03/24/2022 22:20:29.788"</f>
        <v>03/24/2022 22:20:29.788</v>
      </c>
      <c r="C2472" t="str">
        <f t="shared" si="734"/>
        <v>FFDFD3C0</v>
      </c>
      <c r="D2472" t="s">
        <v>123</v>
      </c>
      <c r="E2472">
        <v>8</v>
      </c>
      <c r="H2472">
        <v>31</v>
      </c>
      <c r="I2472" t="s">
        <v>124</v>
      </c>
      <c r="J2472" t="s">
        <v>125</v>
      </c>
      <c r="K2472">
        <v>0</v>
      </c>
      <c r="L2472">
        <v>3</v>
      </c>
      <c r="M2472">
        <v>0</v>
      </c>
      <c r="N2472">
        <v>2</v>
      </c>
      <c r="O2472">
        <v>0</v>
      </c>
      <c r="P2472">
        <v>1</v>
      </c>
      <c r="Q2472">
        <v>0</v>
      </c>
      <c r="S2472" t="str">
        <f t="shared" si="739"/>
        <v>22:20:29.000</v>
      </c>
      <c r="T2472" t="str">
        <f t="shared" si="739"/>
        <v>22:20:29.000</v>
      </c>
      <c r="U2472" t="str">
        <f t="shared" si="728"/>
        <v>A9D71F</v>
      </c>
      <c r="V2472">
        <v>0</v>
      </c>
      <c r="W2472">
        <v>0</v>
      </c>
      <c r="X2472">
        <v>2</v>
      </c>
      <c r="Z2472">
        <v>1</v>
      </c>
      <c r="AA2472">
        <v>8</v>
      </c>
      <c r="AB2472">
        <v>3</v>
      </c>
      <c r="AC2472">
        <v>0</v>
      </c>
      <c r="AD2472">
        <v>9</v>
      </c>
      <c r="AE2472">
        <v>0</v>
      </c>
      <c r="AF2472">
        <v>3</v>
      </c>
      <c r="AG2472">
        <v>1</v>
      </c>
      <c r="AH2472">
        <v>0</v>
      </c>
      <c r="AI2472" t="s">
        <v>1272</v>
      </c>
      <c r="AJ2472">
        <v>33.009259999999998</v>
      </c>
      <c r="AK2472" t="s">
        <v>1273</v>
      </c>
      <c r="AL2472">
        <v>-97.668756999999999</v>
      </c>
      <c r="AM2472">
        <v>25</v>
      </c>
      <c r="AN2472">
        <v>2300</v>
      </c>
      <c r="AO2472" t="s">
        <v>118</v>
      </c>
      <c r="AP2472">
        <v>13</v>
      </c>
      <c r="AQ2472">
        <v>60</v>
      </c>
      <c r="AR2472">
        <v>-704</v>
      </c>
      <c r="AZ2472">
        <v>1200</v>
      </c>
      <c r="BA2472">
        <v>1</v>
      </c>
      <c r="BB2472" t="str">
        <f t="shared" si="735"/>
        <v xml:space="preserve">N733KP  </v>
      </c>
      <c r="BC2472">
        <v>1</v>
      </c>
      <c r="BE2472">
        <v>0</v>
      </c>
      <c r="BF2472">
        <v>0</v>
      </c>
      <c r="BG2472">
        <v>0</v>
      </c>
      <c r="BH2472">
        <v>2325</v>
      </c>
      <c r="BI2472">
        <v>1</v>
      </c>
      <c r="BJ2472">
        <v>1</v>
      </c>
      <c r="BK2472">
        <v>0</v>
      </c>
      <c r="BL2472">
        <v>0</v>
      </c>
      <c r="BO2472">
        <v>0</v>
      </c>
      <c r="BP2472">
        <v>0</v>
      </c>
      <c r="BW2472" t="str">
        <f>"22:20:29.523"</f>
        <v>22:20:29.523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6</v>
      </c>
      <c r="CP2472" t="s">
        <v>119</v>
      </c>
      <c r="CQ2472">
        <v>364</v>
      </c>
      <c r="CR2472">
        <v>0</v>
      </c>
      <c r="CW2472">
        <v>1462303</v>
      </c>
      <c r="CY2472">
        <v>1</v>
      </c>
      <c r="CZ2472">
        <v>0</v>
      </c>
      <c r="DA2472">
        <v>1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>"03/24/2022 22:20:30.929"</f>
        <v>03/24/2022 22:20:30.929</v>
      </c>
      <c r="C2473" t="str">
        <f t="shared" si="734"/>
        <v>FFDFD3C0</v>
      </c>
      <c r="D2473" t="s">
        <v>113</v>
      </c>
      <c r="E2473">
        <v>24</v>
      </c>
      <c r="F2473">
        <v>2024</v>
      </c>
      <c r="G2473" t="s">
        <v>114</v>
      </c>
      <c r="J2473" t="s">
        <v>115</v>
      </c>
      <c r="K2473">
        <v>0</v>
      </c>
      <c r="L2473">
        <v>3</v>
      </c>
      <c r="M2473">
        <v>0</v>
      </c>
      <c r="N2473">
        <v>2</v>
      </c>
      <c r="O2473">
        <v>0</v>
      </c>
      <c r="P2473">
        <v>1</v>
      </c>
      <c r="Q2473">
        <v>0</v>
      </c>
      <c r="S2473" t="str">
        <f t="shared" ref="S2473:T2476" si="740">"22:20:30.000"</f>
        <v>22:20:30.000</v>
      </c>
      <c r="T2473" t="str">
        <f t="shared" si="740"/>
        <v>22:20:30.000</v>
      </c>
      <c r="U2473" t="str">
        <f t="shared" si="728"/>
        <v>A9D71F</v>
      </c>
      <c r="V2473">
        <v>0</v>
      </c>
      <c r="W2473">
        <v>0</v>
      </c>
      <c r="X2473">
        <v>2</v>
      </c>
      <c r="Z2473">
        <v>1</v>
      </c>
      <c r="AA2473">
        <v>8</v>
      </c>
      <c r="AB2473">
        <v>3</v>
      </c>
      <c r="AC2473">
        <v>0</v>
      </c>
      <c r="AD2473">
        <v>9</v>
      </c>
      <c r="AE2473">
        <v>0</v>
      </c>
      <c r="AF2473">
        <v>3</v>
      </c>
      <c r="AG2473">
        <v>1</v>
      </c>
      <c r="AH2473">
        <v>0</v>
      </c>
      <c r="AI2473" t="s">
        <v>1274</v>
      </c>
      <c r="AJ2473">
        <v>33.009538999999997</v>
      </c>
      <c r="AK2473" t="s">
        <v>1275</v>
      </c>
      <c r="AL2473">
        <v>-97.668672000000001</v>
      </c>
      <c r="AM2473">
        <v>25</v>
      </c>
      <c r="AN2473">
        <v>2300</v>
      </c>
      <c r="AO2473" t="s">
        <v>118</v>
      </c>
      <c r="AP2473">
        <v>13</v>
      </c>
      <c r="AQ2473">
        <v>60</v>
      </c>
      <c r="AR2473">
        <v>-768</v>
      </c>
      <c r="AZ2473">
        <v>1200</v>
      </c>
      <c r="BA2473">
        <v>1</v>
      </c>
      <c r="BB2473" t="str">
        <f t="shared" si="735"/>
        <v xml:space="preserve">N733KP  </v>
      </c>
      <c r="BC2473">
        <v>1</v>
      </c>
      <c r="BE2473">
        <v>0</v>
      </c>
      <c r="BF2473">
        <v>0</v>
      </c>
      <c r="BG2473">
        <v>0</v>
      </c>
      <c r="BH2473">
        <v>2300</v>
      </c>
      <c r="BI2473">
        <v>1</v>
      </c>
      <c r="BJ2473">
        <v>1</v>
      </c>
      <c r="BK2473">
        <v>0</v>
      </c>
      <c r="BL2473">
        <v>0</v>
      </c>
      <c r="BO2473">
        <v>0</v>
      </c>
      <c r="BP2473">
        <v>0</v>
      </c>
      <c r="BW2473" t="str">
        <f>"22:20:30.712"</f>
        <v>22:20:30.712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0</v>
      </c>
      <c r="CP2473" t="s">
        <v>119</v>
      </c>
      <c r="CQ2473">
        <v>365</v>
      </c>
      <c r="CR2473">
        <v>0</v>
      </c>
      <c r="CW2473">
        <v>11549553</v>
      </c>
      <c r="CY2473">
        <v>1</v>
      </c>
      <c r="CZ2473">
        <v>0</v>
      </c>
      <c r="DA2473">
        <v>0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>"03/24/2022 22:20:30.945"</f>
        <v>03/24/2022 22:20:30.945</v>
      </c>
      <c r="C2474" t="str">
        <f t="shared" si="734"/>
        <v>FFDFD3C0</v>
      </c>
      <c r="D2474" t="s">
        <v>123</v>
      </c>
      <c r="E2474">
        <v>8</v>
      </c>
      <c r="H2474">
        <v>31</v>
      </c>
      <c r="I2474" t="s">
        <v>124</v>
      </c>
      <c r="J2474" t="s">
        <v>125</v>
      </c>
      <c r="K2474">
        <v>0</v>
      </c>
      <c r="L2474">
        <v>3</v>
      </c>
      <c r="M2474">
        <v>0</v>
      </c>
      <c r="N2474">
        <v>2</v>
      </c>
      <c r="O2474">
        <v>0</v>
      </c>
      <c r="P2474">
        <v>1</v>
      </c>
      <c r="Q2474">
        <v>0</v>
      </c>
      <c r="S2474" t="str">
        <f t="shared" si="740"/>
        <v>22:20:30.000</v>
      </c>
      <c r="T2474" t="str">
        <f t="shared" si="740"/>
        <v>22:20:30.000</v>
      </c>
      <c r="U2474" t="str">
        <f t="shared" si="728"/>
        <v>A9D71F</v>
      </c>
      <c r="V2474">
        <v>0</v>
      </c>
      <c r="W2474">
        <v>0</v>
      </c>
      <c r="X2474">
        <v>2</v>
      </c>
      <c r="Z2474">
        <v>1</v>
      </c>
      <c r="AA2474">
        <v>8</v>
      </c>
      <c r="AB2474">
        <v>3</v>
      </c>
      <c r="AC2474">
        <v>0</v>
      </c>
      <c r="AD2474">
        <v>9</v>
      </c>
      <c r="AE2474">
        <v>0</v>
      </c>
      <c r="AF2474">
        <v>3</v>
      </c>
      <c r="AG2474">
        <v>1</v>
      </c>
      <c r="AH2474">
        <v>0</v>
      </c>
      <c r="AI2474" t="s">
        <v>1274</v>
      </c>
      <c r="AJ2474">
        <v>33.009538999999997</v>
      </c>
      <c r="AK2474" t="s">
        <v>1275</v>
      </c>
      <c r="AL2474">
        <v>-97.668672000000001</v>
      </c>
      <c r="AM2474">
        <v>25</v>
      </c>
      <c r="AN2474">
        <v>2300</v>
      </c>
      <c r="AO2474" t="s">
        <v>118</v>
      </c>
      <c r="AP2474">
        <v>13</v>
      </c>
      <c r="AQ2474">
        <v>60</v>
      </c>
      <c r="AR2474">
        <v>-768</v>
      </c>
      <c r="AZ2474">
        <v>1200</v>
      </c>
      <c r="BA2474">
        <v>1</v>
      </c>
      <c r="BB2474" t="str">
        <f t="shared" si="735"/>
        <v xml:space="preserve">N733KP  </v>
      </c>
      <c r="BC2474">
        <v>1</v>
      </c>
      <c r="BE2474">
        <v>0</v>
      </c>
      <c r="BF2474">
        <v>0</v>
      </c>
      <c r="BG2474">
        <v>0</v>
      </c>
      <c r="BH2474">
        <v>2300</v>
      </c>
      <c r="BI2474">
        <v>1</v>
      </c>
      <c r="BJ2474">
        <v>1</v>
      </c>
      <c r="BK2474">
        <v>0</v>
      </c>
      <c r="BL2474">
        <v>0</v>
      </c>
      <c r="BO2474">
        <v>0</v>
      </c>
      <c r="BP2474">
        <v>0</v>
      </c>
      <c r="BW2474" t="str">
        <f>"22:20:30.712"</f>
        <v>22:20:30.712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0</v>
      </c>
      <c r="CP2474" t="s">
        <v>119</v>
      </c>
      <c r="CQ2474">
        <v>365</v>
      </c>
      <c r="CR2474">
        <v>0</v>
      </c>
      <c r="CW2474">
        <v>11549553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>"03/24/2022 22:20:30.945"</f>
        <v>03/24/2022 22:20:30.945</v>
      </c>
      <c r="C2475" t="str">
        <f t="shared" si="734"/>
        <v>FFDFD3C0</v>
      </c>
      <c r="D2475" t="s">
        <v>126</v>
      </c>
      <c r="E2475">
        <v>3</v>
      </c>
      <c r="H2475">
        <v>160</v>
      </c>
      <c r="I2475" t="s">
        <v>121</v>
      </c>
      <c r="J2475" t="s">
        <v>127</v>
      </c>
      <c r="K2475">
        <v>0</v>
      </c>
      <c r="L2475">
        <v>3</v>
      </c>
      <c r="M2475">
        <v>0</v>
      </c>
      <c r="N2475">
        <v>2</v>
      </c>
      <c r="O2475">
        <v>0</v>
      </c>
      <c r="P2475">
        <v>1</v>
      </c>
      <c r="Q2475">
        <v>0</v>
      </c>
      <c r="S2475" t="str">
        <f t="shared" si="740"/>
        <v>22:20:30.000</v>
      </c>
      <c r="T2475" t="str">
        <f t="shared" si="740"/>
        <v>22:20:30.000</v>
      </c>
      <c r="U2475" t="str">
        <f t="shared" si="728"/>
        <v>A9D71F</v>
      </c>
      <c r="V2475">
        <v>0</v>
      </c>
      <c r="W2475">
        <v>0</v>
      </c>
      <c r="X2475">
        <v>2</v>
      </c>
      <c r="Z2475">
        <v>1</v>
      </c>
      <c r="AA2475">
        <v>8</v>
      </c>
      <c r="AB2475">
        <v>3</v>
      </c>
      <c r="AC2475">
        <v>0</v>
      </c>
      <c r="AD2475">
        <v>9</v>
      </c>
      <c r="AE2475">
        <v>0</v>
      </c>
      <c r="AF2475">
        <v>3</v>
      </c>
      <c r="AG2475">
        <v>1</v>
      </c>
      <c r="AH2475">
        <v>0</v>
      </c>
      <c r="AI2475" t="s">
        <v>1274</v>
      </c>
      <c r="AJ2475">
        <v>33.009538999999997</v>
      </c>
      <c r="AK2475" t="s">
        <v>1275</v>
      </c>
      <c r="AL2475">
        <v>-97.668672000000001</v>
      </c>
      <c r="AM2475">
        <v>25</v>
      </c>
      <c r="AN2475">
        <v>2300</v>
      </c>
      <c r="AO2475" t="s">
        <v>118</v>
      </c>
      <c r="AP2475">
        <v>13</v>
      </c>
      <c r="AQ2475">
        <v>60</v>
      </c>
      <c r="AR2475">
        <v>-768</v>
      </c>
      <c r="AZ2475">
        <v>1200</v>
      </c>
      <c r="BA2475">
        <v>1</v>
      </c>
      <c r="BB2475" t="str">
        <f t="shared" si="735"/>
        <v xml:space="preserve">N733KP  </v>
      </c>
      <c r="BC2475">
        <v>1</v>
      </c>
      <c r="BE2475">
        <v>0</v>
      </c>
      <c r="BF2475">
        <v>0</v>
      </c>
      <c r="BG2475">
        <v>0</v>
      </c>
      <c r="BH2475">
        <v>2300</v>
      </c>
      <c r="BI2475">
        <v>1</v>
      </c>
      <c r="BJ2475">
        <v>1</v>
      </c>
      <c r="BK2475">
        <v>0</v>
      </c>
      <c r="BL2475">
        <v>0</v>
      </c>
      <c r="BO2475">
        <v>0</v>
      </c>
      <c r="BP2475">
        <v>0</v>
      </c>
      <c r="BW2475" t="str">
        <f>"22:20:30.712"</f>
        <v>22:20:30.712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0</v>
      </c>
      <c r="CP2475" t="s">
        <v>119</v>
      </c>
      <c r="CQ2475">
        <v>365</v>
      </c>
      <c r="CR2475">
        <v>0</v>
      </c>
      <c r="CW2475">
        <v>11549553</v>
      </c>
      <c r="CY2475">
        <v>1</v>
      </c>
      <c r="CZ2475">
        <v>0</v>
      </c>
      <c r="DA2475">
        <v>1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>"03/24/2022 22:20:30.945"</f>
        <v>03/24/2022 22:20:30.945</v>
      </c>
      <c r="C2476" t="str">
        <f t="shared" si="734"/>
        <v>FFDFD3C0</v>
      </c>
      <c r="D2476" t="s">
        <v>120</v>
      </c>
      <c r="E2476">
        <v>14</v>
      </c>
      <c r="F2476">
        <v>1014</v>
      </c>
      <c r="G2476" t="s">
        <v>121</v>
      </c>
      <c r="J2476" t="s">
        <v>122</v>
      </c>
      <c r="K2476">
        <v>0</v>
      </c>
      <c r="L2476">
        <v>3</v>
      </c>
      <c r="M2476">
        <v>0</v>
      </c>
      <c r="N2476">
        <v>2</v>
      </c>
      <c r="O2476">
        <v>0</v>
      </c>
      <c r="P2476">
        <v>1</v>
      </c>
      <c r="Q2476">
        <v>0</v>
      </c>
      <c r="S2476" t="str">
        <f t="shared" si="740"/>
        <v>22:20:30.000</v>
      </c>
      <c r="T2476" t="str">
        <f t="shared" si="740"/>
        <v>22:20:30.000</v>
      </c>
      <c r="U2476" t="str">
        <f t="shared" si="728"/>
        <v>A9D71F</v>
      </c>
      <c r="V2476">
        <v>0</v>
      </c>
      <c r="W2476">
        <v>0</v>
      </c>
      <c r="X2476">
        <v>2</v>
      </c>
      <c r="Z2476">
        <v>1</v>
      </c>
      <c r="AA2476">
        <v>8</v>
      </c>
      <c r="AB2476">
        <v>3</v>
      </c>
      <c r="AC2476">
        <v>0</v>
      </c>
      <c r="AD2476">
        <v>9</v>
      </c>
      <c r="AE2476">
        <v>0</v>
      </c>
      <c r="AF2476">
        <v>3</v>
      </c>
      <c r="AG2476">
        <v>1</v>
      </c>
      <c r="AH2476">
        <v>0</v>
      </c>
      <c r="AI2476" t="s">
        <v>1274</v>
      </c>
      <c r="AJ2476">
        <v>33.009538999999997</v>
      </c>
      <c r="AK2476" t="s">
        <v>1275</v>
      </c>
      <c r="AL2476">
        <v>-97.668672000000001</v>
      </c>
      <c r="AM2476">
        <v>25</v>
      </c>
      <c r="AN2476">
        <v>2300</v>
      </c>
      <c r="AO2476" t="s">
        <v>118</v>
      </c>
      <c r="AP2476">
        <v>13</v>
      </c>
      <c r="AQ2476">
        <v>60</v>
      </c>
      <c r="AR2476">
        <v>-768</v>
      </c>
      <c r="AZ2476">
        <v>1200</v>
      </c>
      <c r="BA2476">
        <v>1</v>
      </c>
      <c r="BB2476" t="str">
        <f t="shared" si="735"/>
        <v xml:space="preserve">N733KP  </v>
      </c>
      <c r="BC2476">
        <v>1</v>
      </c>
      <c r="BE2476">
        <v>0</v>
      </c>
      <c r="BF2476">
        <v>0</v>
      </c>
      <c r="BG2476">
        <v>0</v>
      </c>
      <c r="BH2476">
        <v>2300</v>
      </c>
      <c r="BI2476">
        <v>1</v>
      </c>
      <c r="BJ2476">
        <v>1</v>
      </c>
      <c r="BK2476">
        <v>0</v>
      </c>
      <c r="BL2476">
        <v>0</v>
      </c>
      <c r="BO2476">
        <v>0</v>
      </c>
      <c r="BP2476">
        <v>0</v>
      </c>
      <c r="BW2476" t="str">
        <f>"22:20:30.712"</f>
        <v>22:20:30.712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0</v>
      </c>
      <c r="CP2476" t="s">
        <v>119</v>
      </c>
      <c r="CQ2476">
        <v>365</v>
      </c>
      <c r="CR2476">
        <v>0</v>
      </c>
      <c r="CW2476">
        <v>11549553</v>
      </c>
      <c r="CY2476">
        <v>1</v>
      </c>
      <c r="CZ2476">
        <v>0</v>
      </c>
      <c r="DA2476">
        <v>1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>"03/24/2022 22:20:31.476"</f>
        <v>03/24/2022 22:20:31.476</v>
      </c>
      <c r="C2477" t="str">
        <f t="shared" si="734"/>
        <v>FFDFD3C0</v>
      </c>
      <c r="D2477" t="s">
        <v>126</v>
      </c>
      <c r="E2477">
        <v>3</v>
      </c>
      <c r="H2477">
        <v>160</v>
      </c>
      <c r="I2477" t="s">
        <v>121</v>
      </c>
      <c r="J2477" t="s">
        <v>127</v>
      </c>
      <c r="K2477">
        <v>0</v>
      </c>
      <c r="L2477">
        <v>3</v>
      </c>
      <c r="M2477">
        <v>0</v>
      </c>
      <c r="N2477">
        <v>2</v>
      </c>
      <c r="O2477">
        <v>0</v>
      </c>
      <c r="P2477">
        <v>1</v>
      </c>
      <c r="Q2477">
        <v>0</v>
      </c>
      <c r="S2477" t="str">
        <f t="shared" ref="S2477:T2480" si="741">"22:20:31.000"</f>
        <v>22:20:31.000</v>
      </c>
      <c r="T2477" t="str">
        <f t="shared" si="741"/>
        <v>22:20:31.000</v>
      </c>
      <c r="U2477" t="str">
        <f t="shared" si="728"/>
        <v>A9D71F</v>
      </c>
      <c r="V2477">
        <v>0</v>
      </c>
      <c r="W2477">
        <v>0</v>
      </c>
      <c r="X2477">
        <v>2</v>
      </c>
      <c r="Z2477">
        <v>1</v>
      </c>
      <c r="AA2477">
        <v>8</v>
      </c>
      <c r="AB2477">
        <v>3</v>
      </c>
      <c r="AC2477">
        <v>0</v>
      </c>
      <c r="AD2477">
        <v>9</v>
      </c>
      <c r="AE2477">
        <v>0</v>
      </c>
      <c r="AF2477">
        <v>3</v>
      </c>
      <c r="AG2477">
        <v>1</v>
      </c>
      <c r="AH2477">
        <v>0</v>
      </c>
      <c r="AI2477" t="s">
        <v>1276</v>
      </c>
      <c r="AJ2477">
        <v>33.009861000000001</v>
      </c>
      <c r="AK2477" t="s">
        <v>1277</v>
      </c>
      <c r="AL2477">
        <v>-97.668628999999996</v>
      </c>
      <c r="AM2477">
        <v>25</v>
      </c>
      <c r="AN2477">
        <v>2300</v>
      </c>
      <c r="AO2477" t="s">
        <v>118</v>
      </c>
      <c r="AP2477">
        <v>13</v>
      </c>
      <c r="AQ2477">
        <v>61</v>
      </c>
      <c r="AR2477">
        <v>-768</v>
      </c>
      <c r="AZ2477">
        <v>1200</v>
      </c>
      <c r="BA2477">
        <v>1</v>
      </c>
      <c r="BB2477" t="str">
        <f t="shared" si="735"/>
        <v xml:space="preserve">N733KP  </v>
      </c>
      <c r="BC2477">
        <v>1</v>
      </c>
      <c r="BE2477">
        <v>0</v>
      </c>
      <c r="BF2477">
        <v>0</v>
      </c>
      <c r="BG2477">
        <v>0</v>
      </c>
      <c r="BH2477">
        <v>2300</v>
      </c>
      <c r="BI2477">
        <v>1</v>
      </c>
      <c r="BJ2477">
        <v>1</v>
      </c>
      <c r="BK2477">
        <v>0</v>
      </c>
      <c r="BL2477">
        <v>0</v>
      </c>
      <c r="BO2477">
        <v>0</v>
      </c>
      <c r="BP2477">
        <v>0</v>
      </c>
      <c r="BW2477" t="str">
        <f>"22:20:31.278"</f>
        <v>22:20:31.278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5</v>
      </c>
      <c r="CP2477" t="s">
        <v>119</v>
      </c>
      <c r="CQ2477">
        <v>364</v>
      </c>
      <c r="CR2477">
        <v>0</v>
      </c>
      <c r="CW2477">
        <v>1462572</v>
      </c>
      <c r="CY2477">
        <v>1</v>
      </c>
      <c r="CZ2477">
        <v>0</v>
      </c>
      <c r="DA2477">
        <v>0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>"03/24/2022 22:20:31.492"</f>
        <v>03/24/2022 22:20:31.492</v>
      </c>
      <c r="C2478" t="str">
        <f t="shared" si="734"/>
        <v>FFDFD3C0</v>
      </c>
      <c r="D2478" t="s">
        <v>120</v>
      </c>
      <c r="E2478">
        <v>14</v>
      </c>
      <c r="F2478">
        <v>1014</v>
      </c>
      <c r="G2478" t="s">
        <v>121</v>
      </c>
      <c r="J2478" t="s">
        <v>122</v>
      </c>
      <c r="K2478">
        <v>0</v>
      </c>
      <c r="L2478">
        <v>3</v>
      </c>
      <c r="M2478">
        <v>0</v>
      </c>
      <c r="N2478">
        <v>2</v>
      </c>
      <c r="O2478">
        <v>0</v>
      </c>
      <c r="P2478">
        <v>1</v>
      </c>
      <c r="Q2478">
        <v>0</v>
      </c>
      <c r="S2478" t="str">
        <f t="shared" si="741"/>
        <v>22:20:31.000</v>
      </c>
      <c r="T2478" t="str">
        <f t="shared" si="741"/>
        <v>22:20:31.000</v>
      </c>
      <c r="U2478" t="str">
        <f t="shared" si="728"/>
        <v>A9D71F</v>
      </c>
      <c r="V2478">
        <v>0</v>
      </c>
      <c r="W2478">
        <v>0</v>
      </c>
      <c r="X2478">
        <v>2</v>
      </c>
      <c r="Z2478">
        <v>1</v>
      </c>
      <c r="AA2478">
        <v>8</v>
      </c>
      <c r="AB2478">
        <v>3</v>
      </c>
      <c r="AC2478">
        <v>0</v>
      </c>
      <c r="AD2478">
        <v>9</v>
      </c>
      <c r="AE2478">
        <v>0</v>
      </c>
      <c r="AF2478">
        <v>3</v>
      </c>
      <c r="AG2478">
        <v>1</v>
      </c>
      <c r="AH2478">
        <v>0</v>
      </c>
      <c r="AI2478" t="s">
        <v>1276</v>
      </c>
      <c r="AJ2478">
        <v>33.009861000000001</v>
      </c>
      <c r="AK2478" t="s">
        <v>1277</v>
      </c>
      <c r="AL2478">
        <v>-97.668628999999996</v>
      </c>
      <c r="AM2478">
        <v>25</v>
      </c>
      <c r="AN2478">
        <v>2300</v>
      </c>
      <c r="AO2478" t="s">
        <v>118</v>
      </c>
      <c r="AP2478">
        <v>13</v>
      </c>
      <c r="AQ2478">
        <v>61</v>
      </c>
      <c r="AR2478">
        <v>-768</v>
      </c>
      <c r="AZ2478">
        <v>1200</v>
      </c>
      <c r="BA2478">
        <v>1</v>
      </c>
      <c r="BB2478" t="str">
        <f t="shared" si="735"/>
        <v xml:space="preserve">N733KP  </v>
      </c>
      <c r="BC2478">
        <v>1</v>
      </c>
      <c r="BE2478">
        <v>0</v>
      </c>
      <c r="BF2478">
        <v>0</v>
      </c>
      <c r="BG2478">
        <v>0</v>
      </c>
      <c r="BH2478">
        <v>2300</v>
      </c>
      <c r="BI2478">
        <v>1</v>
      </c>
      <c r="BJ2478">
        <v>1</v>
      </c>
      <c r="BK2478">
        <v>0</v>
      </c>
      <c r="BL2478">
        <v>0</v>
      </c>
      <c r="BO2478">
        <v>0</v>
      </c>
      <c r="BP2478">
        <v>0</v>
      </c>
      <c r="BW2478" t="str">
        <f>"22:20:31.278"</f>
        <v>22:20:31.278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5</v>
      </c>
      <c r="CP2478" t="s">
        <v>119</v>
      </c>
      <c r="CQ2478">
        <v>364</v>
      </c>
      <c r="CR2478">
        <v>0</v>
      </c>
      <c r="CW2478">
        <v>1462572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>"03/24/2022 22:20:31.507"</f>
        <v>03/24/2022 22:20:31.507</v>
      </c>
      <c r="C2479" t="str">
        <f t="shared" si="734"/>
        <v>FFDFD3C0</v>
      </c>
      <c r="D2479" t="s">
        <v>113</v>
      </c>
      <c r="E2479">
        <v>24</v>
      </c>
      <c r="F2479">
        <v>2024</v>
      </c>
      <c r="G2479" t="s">
        <v>114</v>
      </c>
      <c r="J2479" t="s">
        <v>115</v>
      </c>
      <c r="K2479">
        <v>0</v>
      </c>
      <c r="L2479">
        <v>3</v>
      </c>
      <c r="M2479">
        <v>0</v>
      </c>
      <c r="N2479">
        <v>2</v>
      </c>
      <c r="O2479">
        <v>0</v>
      </c>
      <c r="P2479">
        <v>1</v>
      </c>
      <c r="Q2479">
        <v>0</v>
      </c>
      <c r="S2479" t="str">
        <f t="shared" si="741"/>
        <v>22:20:31.000</v>
      </c>
      <c r="T2479" t="str">
        <f t="shared" si="741"/>
        <v>22:20:31.000</v>
      </c>
      <c r="U2479" t="str">
        <f t="shared" si="728"/>
        <v>A9D71F</v>
      </c>
      <c r="V2479">
        <v>0</v>
      </c>
      <c r="W2479">
        <v>0</v>
      </c>
      <c r="X2479">
        <v>2</v>
      </c>
      <c r="Z2479">
        <v>1</v>
      </c>
      <c r="AA2479">
        <v>8</v>
      </c>
      <c r="AB2479">
        <v>3</v>
      </c>
      <c r="AC2479">
        <v>0</v>
      </c>
      <c r="AD2479">
        <v>9</v>
      </c>
      <c r="AE2479">
        <v>0</v>
      </c>
      <c r="AF2479">
        <v>3</v>
      </c>
      <c r="AG2479">
        <v>1</v>
      </c>
      <c r="AH2479">
        <v>0</v>
      </c>
      <c r="AI2479" t="s">
        <v>1276</v>
      </c>
      <c r="AJ2479">
        <v>33.009861000000001</v>
      </c>
      <c r="AK2479" t="s">
        <v>1277</v>
      </c>
      <c r="AL2479">
        <v>-97.668628999999996</v>
      </c>
      <c r="AM2479">
        <v>25</v>
      </c>
      <c r="AN2479">
        <v>2300</v>
      </c>
      <c r="AO2479" t="s">
        <v>118</v>
      </c>
      <c r="AP2479">
        <v>13</v>
      </c>
      <c r="AQ2479">
        <v>61</v>
      </c>
      <c r="AR2479">
        <v>-768</v>
      </c>
      <c r="AZ2479">
        <v>1200</v>
      </c>
      <c r="BA2479">
        <v>1</v>
      </c>
      <c r="BB2479" t="str">
        <f t="shared" si="735"/>
        <v xml:space="preserve">N733KP  </v>
      </c>
      <c r="BC2479">
        <v>1</v>
      </c>
      <c r="BE2479">
        <v>0</v>
      </c>
      <c r="BF2479">
        <v>0</v>
      </c>
      <c r="BG2479">
        <v>0</v>
      </c>
      <c r="BH2479">
        <v>2300</v>
      </c>
      <c r="BI2479">
        <v>1</v>
      </c>
      <c r="BJ2479">
        <v>1</v>
      </c>
      <c r="BK2479">
        <v>0</v>
      </c>
      <c r="BL2479">
        <v>0</v>
      </c>
      <c r="BO2479">
        <v>0</v>
      </c>
      <c r="BP2479">
        <v>0</v>
      </c>
      <c r="BW2479" t="str">
        <f>"22:20:31.278"</f>
        <v>22:20:31.278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5</v>
      </c>
      <c r="CP2479" t="s">
        <v>119</v>
      </c>
      <c r="CQ2479">
        <v>364</v>
      </c>
      <c r="CR2479">
        <v>0</v>
      </c>
      <c r="CW2479">
        <v>1462572</v>
      </c>
      <c r="CY2479">
        <v>1</v>
      </c>
      <c r="CZ2479">
        <v>0</v>
      </c>
      <c r="DA2479">
        <v>1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>"03/24/2022 22:20:31.507"</f>
        <v>03/24/2022 22:20:31.507</v>
      </c>
      <c r="C2480" t="str">
        <f t="shared" si="734"/>
        <v>FFDFD3C0</v>
      </c>
      <c r="D2480" t="s">
        <v>123</v>
      </c>
      <c r="E2480">
        <v>8</v>
      </c>
      <c r="H2480">
        <v>31</v>
      </c>
      <c r="I2480" t="s">
        <v>124</v>
      </c>
      <c r="J2480" t="s">
        <v>125</v>
      </c>
      <c r="K2480">
        <v>0</v>
      </c>
      <c r="L2480">
        <v>3</v>
      </c>
      <c r="M2480">
        <v>0</v>
      </c>
      <c r="N2480">
        <v>2</v>
      </c>
      <c r="O2480">
        <v>0</v>
      </c>
      <c r="P2480">
        <v>1</v>
      </c>
      <c r="Q2480">
        <v>0</v>
      </c>
      <c r="S2480" t="str">
        <f t="shared" si="741"/>
        <v>22:20:31.000</v>
      </c>
      <c r="T2480" t="str">
        <f t="shared" si="741"/>
        <v>22:20:31.000</v>
      </c>
      <c r="U2480" t="str">
        <f t="shared" si="728"/>
        <v>A9D71F</v>
      </c>
      <c r="V2480">
        <v>0</v>
      </c>
      <c r="W2480">
        <v>0</v>
      </c>
      <c r="X2480">
        <v>2</v>
      </c>
      <c r="Z2480">
        <v>1</v>
      </c>
      <c r="AA2480">
        <v>8</v>
      </c>
      <c r="AB2480">
        <v>3</v>
      </c>
      <c r="AC2480">
        <v>0</v>
      </c>
      <c r="AD2480">
        <v>9</v>
      </c>
      <c r="AE2480">
        <v>0</v>
      </c>
      <c r="AF2480">
        <v>3</v>
      </c>
      <c r="AG2480">
        <v>1</v>
      </c>
      <c r="AH2480">
        <v>0</v>
      </c>
      <c r="AI2480" t="s">
        <v>1276</v>
      </c>
      <c r="AJ2480">
        <v>33.009861000000001</v>
      </c>
      <c r="AK2480" t="s">
        <v>1277</v>
      </c>
      <c r="AL2480">
        <v>-97.668628999999996</v>
      </c>
      <c r="AM2480">
        <v>25</v>
      </c>
      <c r="AN2480">
        <v>2300</v>
      </c>
      <c r="AO2480" t="s">
        <v>118</v>
      </c>
      <c r="AP2480">
        <v>13</v>
      </c>
      <c r="AQ2480">
        <v>61</v>
      </c>
      <c r="AR2480">
        <v>-768</v>
      </c>
      <c r="AZ2480">
        <v>1200</v>
      </c>
      <c r="BA2480">
        <v>1</v>
      </c>
      <c r="BB2480" t="str">
        <f t="shared" si="735"/>
        <v xml:space="preserve">N733KP  </v>
      </c>
      <c r="BC2480">
        <v>1</v>
      </c>
      <c r="BE2480">
        <v>0</v>
      </c>
      <c r="BF2480">
        <v>0</v>
      </c>
      <c r="BG2480">
        <v>0</v>
      </c>
      <c r="BH2480">
        <v>2300</v>
      </c>
      <c r="BI2480">
        <v>1</v>
      </c>
      <c r="BJ2480">
        <v>1</v>
      </c>
      <c r="BK2480">
        <v>0</v>
      </c>
      <c r="BL2480">
        <v>0</v>
      </c>
      <c r="BO2480">
        <v>0</v>
      </c>
      <c r="BP2480">
        <v>0</v>
      </c>
      <c r="BW2480" t="str">
        <f>"22:20:31.278"</f>
        <v>22:20:31.278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5</v>
      </c>
      <c r="CP2480" t="s">
        <v>119</v>
      </c>
      <c r="CQ2480">
        <v>364</v>
      </c>
      <c r="CR2480">
        <v>0</v>
      </c>
      <c r="CW2480">
        <v>1462572</v>
      </c>
      <c r="CY2480">
        <v>1</v>
      </c>
      <c r="CZ2480">
        <v>0</v>
      </c>
      <c r="DA2480">
        <v>1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>"03/24/2022 22:20:32.649"</f>
        <v>03/24/2022 22:20:32.649</v>
      </c>
      <c r="C2481" t="str">
        <f t="shared" si="734"/>
        <v>FFDFD3C0</v>
      </c>
      <c r="D2481" t="s">
        <v>123</v>
      </c>
      <c r="E2481">
        <v>8</v>
      </c>
      <c r="H2481">
        <v>31</v>
      </c>
      <c r="I2481" t="s">
        <v>124</v>
      </c>
      <c r="J2481" t="s">
        <v>125</v>
      </c>
      <c r="K2481">
        <v>0</v>
      </c>
      <c r="L2481">
        <v>3</v>
      </c>
      <c r="M2481">
        <v>0</v>
      </c>
      <c r="N2481">
        <v>2</v>
      </c>
      <c r="O2481">
        <v>0</v>
      </c>
      <c r="P2481">
        <v>1</v>
      </c>
      <c r="Q2481">
        <v>0</v>
      </c>
      <c r="S2481" t="str">
        <f t="shared" ref="S2481:T2484" si="742">"22:20:32.000"</f>
        <v>22:20:32.000</v>
      </c>
      <c r="T2481" t="str">
        <f t="shared" si="742"/>
        <v>22:20:32.000</v>
      </c>
      <c r="U2481" t="str">
        <f t="shared" si="728"/>
        <v>A9D71F</v>
      </c>
      <c r="V2481">
        <v>0</v>
      </c>
      <c r="W2481">
        <v>0</v>
      </c>
      <c r="X2481">
        <v>2</v>
      </c>
      <c r="Z2481">
        <v>1</v>
      </c>
      <c r="AA2481">
        <v>8</v>
      </c>
      <c r="AB2481">
        <v>3</v>
      </c>
      <c r="AC2481">
        <v>0</v>
      </c>
      <c r="AD2481">
        <v>9</v>
      </c>
      <c r="AE2481">
        <v>0</v>
      </c>
      <c r="AF2481">
        <v>3</v>
      </c>
      <c r="AG2481">
        <v>1</v>
      </c>
      <c r="AH2481">
        <v>0</v>
      </c>
      <c r="AI2481" t="s">
        <v>1278</v>
      </c>
      <c r="AJ2481">
        <v>33.010139000000002</v>
      </c>
      <c r="AK2481" t="s">
        <v>1279</v>
      </c>
      <c r="AL2481">
        <v>-97.668543</v>
      </c>
      <c r="AM2481">
        <v>25</v>
      </c>
      <c r="AN2481">
        <v>2300</v>
      </c>
      <c r="AO2481" t="s">
        <v>118</v>
      </c>
      <c r="AP2481">
        <v>17</v>
      </c>
      <c r="AQ2481">
        <v>61</v>
      </c>
      <c r="AR2481">
        <v>-768</v>
      </c>
      <c r="AZ2481">
        <v>1200</v>
      </c>
      <c r="BA2481">
        <v>1</v>
      </c>
      <c r="BB2481" t="str">
        <f t="shared" si="735"/>
        <v xml:space="preserve">N733KP  </v>
      </c>
      <c r="BC2481">
        <v>1</v>
      </c>
      <c r="BE2481">
        <v>0</v>
      </c>
      <c r="BF2481">
        <v>0</v>
      </c>
      <c r="BG2481">
        <v>0</v>
      </c>
      <c r="BH2481">
        <v>2300</v>
      </c>
      <c r="BI2481">
        <v>1</v>
      </c>
      <c r="BJ2481">
        <v>1</v>
      </c>
      <c r="BK2481">
        <v>0</v>
      </c>
      <c r="BL2481">
        <v>0</v>
      </c>
      <c r="BO2481">
        <v>0</v>
      </c>
      <c r="BP2481">
        <v>0</v>
      </c>
      <c r="BW2481" t="str">
        <f>"22:20:32.474"</f>
        <v>22:20:32.474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5</v>
      </c>
      <c r="CP2481" t="s">
        <v>119</v>
      </c>
      <c r="CQ2481">
        <v>364</v>
      </c>
      <c r="CR2481">
        <v>0</v>
      </c>
      <c r="CW2481">
        <v>1462756</v>
      </c>
      <c r="CY2481">
        <v>1</v>
      </c>
      <c r="CZ2481">
        <v>0</v>
      </c>
      <c r="DA2481">
        <v>0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>"03/24/2022 22:20:32.649"</f>
        <v>03/24/2022 22:20:32.649</v>
      </c>
      <c r="C2482" t="str">
        <f t="shared" si="734"/>
        <v>FFDFD3C0</v>
      </c>
      <c r="D2482" t="s">
        <v>126</v>
      </c>
      <c r="E2482">
        <v>3</v>
      </c>
      <c r="H2482">
        <v>160</v>
      </c>
      <c r="I2482" t="s">
        <v>121</v>
      </c>
      <c r="J2482" t="s">
        <v>127</v>
      </c>
      <c r="K2482">
        <v>0</v>
      </c>
      <c r="L2482">
        <v>3</v>
      </c>
      <c r="M2482">
        <v>0</v>
      </c>
      <c r="N2482">
        <v>2</v>
      </c>
      <c r="O2482">
        <v>0</v>
      </c>
      <c r="P2482">
        <v>1</v>
      </c>
      <c r="Q2482">
        <v>0</v>
      </c>
      <c r="S2482" t="str">
        <f t="shared" si="742"/>
        <v>22:20:32.000</v>
      </c>
      <c r="T2482" t="str">
        <f t="shared" si="742"/>
        <v>22:20:32.000</v>
      </c>
      <c r="U2482" t="str">
        <f t="shared" si="728"/>
        <v>A9D71F</v>
      </c>
      <c r="V2482">
        <v>0</v>
      </c>
      <c r="W2482">
        <v>0</v>
      </c>
      <c r="X2482">
        <v>2</v>
      </c>
      <c r="Z2482">
        <v>1</v>
      </c>
      <c r="AA2482">
        <v>8</v>
      </c>
      <c r="AB2482">
        <v>3</v>
      </c>
      <c r="AC2482">
        <v>0</v>
      </c>
      <c r="AD2482">
        <v>9</v>
      </c>
      <c r="AE2482">
        <v>0</v>
      </c>
      <c r="AF2482">
        <v>3</v>
      </c>
      <c r="AG2482">
        <v>1</v>
      </c>
      <c r="AH2482">
        <v>0</v>
      </c>
      <c r="AI2482" t="s">
        <v>1278</v>
      </c>
      <c r="AJ2482">
        <v>33.010139000000002</v>
      </c>
      <c r="AK2482" t="s">
        <v>1279</v>
      </c>
      <c r="AL2482">
        <v>-97.668543</v>
      </c>
      <c r="AM2482">
        <v>25</v>
      </c>
      <c r="AN2482">
        <v>2300</v>
      </c>
      <c r="AO2482" t="s">
        <v>118</v>
      </c>
      <c r="AP2482">
        <v>17</v>
      </c>
      <c r="AQ2482">
        <v>61</v>
      </c>
      <c r="AR2482">
        <v>-768</v>
      </c>
      <c r="AZ2482">
        <v>1200</v>
      </c>
      <c r="BA2482">
        <v>1</v>
      </c>
      <c r="BB2482" t="str">
        <f t="shared" si="735"/>
        <v xml:space="preserve">N733KP  </v>
      </c>
      <c r="BC2482">
        <v>1</v>
      </c>
      <c r="BE2482">
        <v>0</v>
      </c>
      <c r="BF2482">
        <v>0</v>
      </c>
      <c r="BG2482">
        <v>0</v>
      </c>
      <c r="BH2482">
        <v>2300</v>
      </c>
      <c r="BI2482">
        <v>1</v>
      </c>
      <c r="BJ2482">
        <v>1</v>
      </c>
      <c r="BK2482">
        <v>0</v>
      </c>
      <c r="BL2482">
        <v>0</v>
      </c>
      <c r="BO2482">
        <v>0</v>
      </c>
      <c r="BP2482">
        <v>0</v>
      </c>
      <c r="BW2482" t="str">
        <f>"22:20:32.474"</f>
        <v>22:20:32.474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5</v>
      </c>
      <c r="CP2482" t="s">
        <v>119</v>
      </c>
      <c r="CQ2482">
        <v>364</v>
      </c>
      <c r="CR2482">
        <v>0</v>
      </c>
      <c r="CW2482">
        <v>1462756</v>
      </c>
      <c r="CY2482">
        <v>1</v>
      </c>
      <c r="CZ2482">
        <v>0</v>
      </c>
      <c r="DA2482">
        <v>1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>"03/24/2022 22:20:32.649"</f>
        <v>03/24/2022 22:20:32.649</v>
      </c>
      <c r="C2483" t="str">
        <f t="shared" si="734"/>
        <v>FFDFD3C0</v>
      </c>
      <c r="D2483" t="s">
        <v>120</v>
      </c>
      <c r="E2483">
        <v>14</v>
      </c>
      <c r="F2483">
        <v>1014</v>
      </c>
      <c r="G2483" t="s">
        <v>121</v>
      </c>
      <c r="J2483" t="s">
        <v>122</v>
      </c>
      <c r="K2483">
        <v>0</v>
      </c>
      <c r="L2483">
        <v>3</v>
      </c>
      <c r="M2483">
        <v>0</v>
      </c>
      <c r="N2483">
        <v>2</v>
      </c>
      <c r="O2483">
        <v>0</v>
      </c>
      <c r="P2483">
        <v>1</v>
      </c>
      <c r="Q2483">
        <v>0</v>
      </c>
      <c r="S2483" t="str">
        <f t="shared" si="742"/>
        <v>22:20:32.000</v>
      </c>
      <c r="T2483" t="str">
        <f t="shared" si="742"/>
        <v>22:20:32.000</v>
      </c>
      <c r="U2483" t="str">
        <f t="shared" si="728"/>
        <v>A9D71F</v>
      </c>
      <c r="V2483">
        <v>0</v>
      </c>
      <c r="W2483">
        <v>0</v>
      </c>
      <c r="X2483">
        <v>2</v>
      </c>
      <c r="Z2483">
        <v>1</v>
      </c>
      <c r="AA2483">
        <v>8</v>
      </c>
      <c r="AB2483">
        <v>3</v>
      </c>
      <c r="AC2483">
        <v>0</v>
      </c>
      <c r="AD2483">
        <v>9</v>
      </c>
      <c r="AE2483">
        <v>0</v>
      </c>
      <c r="AF2483">
        <v>3</v>
      </c>
      <c r="AG2483">
        <v>1</v>
      </c>
      <c r="AH2483">
        <v>0</v>
      </c>
      <c r="AI2483" t="s">
        <v>1278</v>
      </c>
      <c r="AJ2483">
        <v>33.010139000000002</v>
      </c>
      <c r="AK2483" t="s">
        <v>1279</v>
      </c>
      <c r="AL2483">
        <v>-97.668543</v>
      </c>
      <c r="AM2483">
        <v>25</v>
      </c>
      <c r="AN2483">
        <v>2300</v>
      </c>
      <c r="AO2483" t="s">
        <v>118</v>
      </c>
      <c r="AP2483">
        <v>17</v>
      </c>
      <c r="AQ2483">
        <v>61</v>
      </c>
      <c r="AR2483">
        <v>-768</v>
      </c>
      <c r="AZ2483">
        <v>1200</v>
      </c>
      <c r="BA2483">
        <v>1</v>
      </c>
      <c r="BB2483" t="str">
        <f t="shared" si="735"/>
        <v xml:space="preserve">N733KP  </v>
      </c>
      <c r="BC2483">
        <v>1</v>
      </c>
      <c r="BE2483">
        <v>0</v>
      </c>
      <c r="BF2483">
        <v>0</v>
      </c>
      <c r="BG2483">
        <v>0</v>
      </c>
      <c r="BH2483">
        <v>2300</v>
      </c>
      <c r="BI2483">
        <v>1</v>
      </c>
      <c r="BJ2483">
        <v>1</v>
      </c>
      <c r="BK2483">
        <v>0</v>
      </c>
      <c r="BL2483">
        <v>0</v>
      </c>
      <c r="BO2483">
        <v>0</v>
      </c>
      <c r="BP2483">
        <v>0</v>
      </c>
      <c r="BW2483" t="str">
        <f>"22:20:32.474"</f>
        <v>22:20:32.474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5</v>
      </c>
      <c r="CP2483" t="s">
        <v>119</v>
      </c>
      <c r="CQ2483">
        <v>364</v>
      </c>
      <c r="CR2483">
        <v>0</v>
      </c>
      <c r="CW2483">
        <v>1462756</v>
      </c>
      <c r="CY2483">
        <v>1</v>
      </c>
      <c r="CZ2483">
        <v>0</v>
      </c>
      <c r="DA2483">
        <v>1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>"03/24/2022 22:20:32.680"</f>
        <v>03/24/2022 22:20:32.680</v>
      </c>
      <c r="C2484" t="str">
        <f t="shared" si="734"/>
        <v>FFDFD3C0</v>
      </c>
      <c r="D2484" t="s">
        <v>113</v>
      </c>
      <c r="E2484">
        <v>24</v>
      </c>
      <c r="F2484">
        <v>2024</v>
      </c>
      <c r="G2484" t="s">
        <v>114</v>
      </c>
      <c r="J2484" t="s">
        <v>115</v>
      </c>
      <c r="K2484">
        <v>0</v>
      </c>
      <c r="L2484">
        <v>3</v>
      </c>
      <c r="M2484">
        <v>0</v>
      </c>
      <c r="N2484">
        <v>2</v>
      </c>
      <c r="O2484">
        <v>0</v>
      </c>
      <c r="P2484">
        <v>1</v>
      </c>
      <c r="Q2484">
        <v>0</v>
      </c>
      <c r="S2484" t="str">
        <f t="shared" si="742"/>
        <v>22:20:32.000</v>
      </c>
      <c r="T2484" t="str">
        <f t="shared" si="742"/>
        <v>22:20:32.000</v>
      </c>
      <c r="U2484" t="str">
        <f t="shared" si="728"/>
        <v>A9D71F</v>
      </c>
      <c r="V2484">
        <v>0</v>
      </c>
      <c r="W2484">
        <v>0</v>
      </c>
      <c r="X2484">
        <v>2</v>
      </c>
      <c r="Z2484">
        <v>1</v>
      </c>
      <c r="AA2484">
        <v>8</v>
      </c>
      <c r="AB2484">
        <v>3</v>
      </c>
      <c r="AC2484">
        <v>0</v>
      </c>
      <c r="AD2484">
        <v>9</v>
      </c>
      <c r="AE2484">
        <v>0</v>
      </c>
      <c r="AF2484">
        <v>3</v>
      </c>
      <c r="AG2484">
        <v>1</v>
      </c>
      <c r="AH2484">
        <v>0</v>
      </c>
      <c r="AI2484" t="s">
        <v>1278</v>
      </c>
      <c r="AJ2484">
        <v>33.010139000000002</v>
      </c>
      <c r="AK2484" t="s">
        <v>1279</v>
      </c>
      <c r="AL2484">
        <v>-97.668543</v>
      </c>
      <c r="AM2484">
        <v>25</v>
      </c>
      <c r="AN2484">
        <v>2300</v>
      </c>
      <c r="AO2484" t="s">
        <v>118</v>
      </c>
      <c r="AP2484">
        <v>17</v>
      </c>
      <c r="AQ2484">
        <v>61</v>
      </c>
      <c r="AR2484">
        <v>-768</v>
      </c>
      <c r="AZ2484">
        <v>1200</v>
      </c>
      <c r="BA2484">
        <v>1</v>
      </c>
      <c r="BB2484" t="str">
        <f t="shared" si="735"/>
        <v xml:space="preserve">N733KP  </v>
      </c>
      <c r="BC2484">
        <v>1</v>
      </c>
      <c r="BE2484">
        <v>0</v>
      </c>
      <c r="BF2484">
        <v>0</v>
      </c>
      <c r="BG2484">
        <v>0</v>
      </c>
      <c r="BH2484">
        <v>2300</v>
      </c>
      <c r="BI2484">
        <v>1</v>
      </c>
      <c r="BJ2484">
        <v>1</v>
      </c>
      <c r="BK2484">
        <v>0</v>
      </c>
      <c r="BL2484">
        <v>0</v>
      </c>
      <c r="BO2484">
        <v>0</v>
      </c>
      <c r="BP2484">
        <v>0</v>
      </c>
      <c r="BW2484" t="str">
        <f>"22:20:32.474"</f>
        <v>22:20:32.474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5</v>
      </c>
      <c r="CP2484" t="s">
        <v>119</v>
      </c>
      <c r="CQ2484">
        <v>364</v>
      </c>
      <c r="CR2484">
        <v>0</v>
      </c>
      <c r="CW2484">
        <v>1462756</v>
      </c>
      <c r="CY2484">
        <v>1</v>
      </c>
      <c r="CZ2484">
        <v>0</v>
      </c>
      <c r="DA2484">
        <v>1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>"03/24/2022 22:20:34.042"</f>
        <v>03/24/2022 22:20:34.042</v>
      </c>
      <c r="C2485" t="str">
        <f t="shared" si="734"/>
        <v>FFDFD3C0</v>
      </c>
      <c r="D2485" t="s">
        <v>126</v>
      </c>
      <c r="E2485">
        <v>3</v>
      </c>
      <c r="H2485">
        <v>160</v>
      </c>
      <c r="I2485" t="s">
        <v>121</v>
      </c>
      <c r="J2485" t="s">
        <v>127</v>
      </c>
      <c r="K2485">
        <v>0</v>
      </c>
      <c r="L2485">
        <v>3</v>
      </c>
      <c r="M2485">
        <v>0</v>
      </c>
      <c r="N2485">
        <v>2</v>
      </c>
      <c r="O2485">
        <v>0</v>
      </c>
      <c r="P2485">
        <v>1</v>
      </c>
      <c r="Q2485">
        <v>0</v>
      </c>
      <c r="S2485" t="str">
        <f t="shared" ref="S2485:T2488" si="743">"22:20:33.000"</f>
        <v>22:20:33.000</v>
      </c>
      <c r="T2485" t="str">
        <f t="shared" si="743"/>
        <v>22:20:33.000</v>
      </c>
      <c r="U2485" t="str">
        <f t="shared" si="728"/>
        <v>A9D71F</v>
      </c>
      <c r="V2485">
        <v>0</v>
      </c>
      <c r="W2485">
        <v>0</v>
      </c>
      <c r="X2485">
        <v>2</v>
      </c>
      <c r="Z2485">
        <v>1</v>
      </c>
      <c r="AA2485">
        <v>8</v>
      </c>
      <c r="AB2485">
        <v>3</v>
      </c>
      <c r="AC2485">
        <v>0</v>
      </c>
      <c r="AD2485">
        <v>9</v>
      </c>
      <c r="AE2485">
        <v>0</v>
      </c>
      <c r="AF2485">
        <v>3</v>
      </c>
      <c r="AG2485">
        <v>1</v>
      </c>
      <c r="AH2485">
        <v>0</v>
      </c>
      <c r="AI2485" t="s">
        <v>1280</v>
      </c>
      <c r="AJ2485">
        <v>33.010440000000003</v>
      </c>
      <c r="AK2485" t="s">
        <v>1281</v>
      </c>
      <c r="AL2485">
        <v>-97.668477999999993</v>
      </c>
      <c r="AM2485">
        <v>25</v>
      </c>
      <c r="AN2485">
        <v>2300</v>
      </c>
      <c r="AO2485" t="s">
        <v>118</v>
      </c>
      <c r="AP2485">
        <v>18</v>
      </c>
      <c r="AQ2485">
        <v>62</v>
      </c>
      <c r="AR2485">
        <v>-832</v>
      </c>
      <c r="AZ2485">
        <v>1200</v>
      </c>
      <c r="BA2485">
        <v>1</v>
      </c>
      <c r="BB2485" t="str">
        <f t="shared" si="735"/>
        <v xml:space="preserve">N733KP  </v>
      </c>
      <c r="BC2485">
        <v>1</v>
      </c>
      <c r="BE2485">
        <v>0</v>
      </c>
      <c r="BF2485">
        <v>0</v>
      </c>
      <c r="BG2485">
        <v>0</v>
      </c>
      <c r="BH2485">
        <v>2275</v>
      </c>
      <c r="BI2485">
        <v>1</v>
      </c>
      <c r="BJ2485">
        <v>1</v>
      </c>
      <c r="BK2485">
        <v>0</v>
      </c>
      <c r="BL2485">
        <v>0</v>
      </c>
      <c r="BO2485">
        <v>0</v>
      </c>
      <c r="BP2485">
        <v>0</v>
      </c>
      <c r="BW2485" t="str">
        <f>"22:20:33.841"</f>
        <v>22:20:33.841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6</v>
      </c>
      <c r="CP2485" t="s">
        <v>119</v>
      </c>
      <c r="CQ2485">
        <v>364</v>
      </c>
      <c r="CR2485">
        <v>0</v>
      </c>
      <c r="CW2485">
        <v>1462958</v>
      </c>
      <c r="CY2485">
        <v>1</v>
      </c>
      <c r="CZ2485">
        <v>0</v>
      </c>
      <c r="DA2485">
        <v>0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>"03/24/2022 22:20:34.042"</f>
        <v>03/24/2022 22:20:34.042</v>
      </c>
      <c r="C2486" t="str">
        <f t="shared" si="734"/>
        <v>FFDFD3C0</v>
      </c>
      <c r="D2486" t="s">
        <v>120</v>
      </c>
      <c r="E2486">
        <v>14</v>
      </c>
      <c r="F2486">
        <v>1014</v>
      </c>
      <c r="G2486" t="s">
        <v>121</v>
      </c>
      <c r="J2486" t="s">
        <v>122</v>
      </c>
      <c r="K2486">
        <v>0</v>
      </c>
      <c r="L2486">
        <v>3</v>
      </c>
      <c r="M2486">
        <v>0</v>
      </c>
      <c r="N2486">
        <v>2</v>
      </c>
      <c r="O2486">
        <v>0</v>
      </c>
      <c r="P2486">
        <v>1</v>
      </c>
      <c r="Q2486">
        <v>0</v>
      </c>
      <c r="S2486" t="str">
        <f t="shared" si="743"/>
        <v>22:20:33.000</v>
      </c>
      <c r="T2486" t="str">
        <f t="shared" si="743"/>
        <v>22:20:33.000</v>
      </c>
      <c r="U2486" t="str">
        <f t="shared" si="728"/>
        <v>A9D71F</v>
      </c>
      <c r="V2486">
        <v>0</v>
      </c>
      <c r="W2486">
        <v>0</v>
      </c>
      <c r="X2486">
        <v>2</v>
      </c>
      <c r="Z2486">
        <v>1</v>
      </c>
      <c r="AA2486">
        <v>8</v>
      </c>
      <c r="AB2486">
        <v>3</v>
      </c>
      <c r="AC2486">
        <v>0</v>
      </c>
      <c r="AD2486">
        <v>9</v>
      </c>
      <c r="AE2486">
        <v>0</v>
      </c>
      <c r="AF2486">
        <v>3</v>
      </c>
      <c r="AG2486">
        <v>1</v>
      </c>
      <c r="AH2486">
        <v>0</v>
      </c>
      <c r="AI2486" t="s">
        <v>1280</v>
      </c>
      <c r="AJ2486">
        <v>33.010440000000003</v>
      </c>
      <c r="AK2486" t="s">
        <v>1281</v>
      </c>
      <c r="AL2486">
        <v>-97.668477999999993</v>
      </c>
      <c r="AM2486">
        <v>25</v>
      </c>
      <c r="AN2486">
        <v>2300</v>
      </c>
      <c r="AO2486" t="s">
        <v>118</v>
      </c>
      <c r="AP2486">
        <v>18</v>
      </c>
      <c r="AQ2486">
        <v>62</v>
      </c>
      <c r="AR2486">
        <v>-832</v>
      </c>
      <c r="AZ2486">
        <v>1200</v>
      </c>
      <c r="BA2486">
        <v>1</v>
      </c>
      <c r="BB2486" t="str">
        <f t="shared" si="735"/>
        <v xml:space="preserve">N733KP  </v>
      </c>
      <c r="BC2486">
        <v>1</v>
      </c>
      <c r="BE2486">
        <v>0</v>
      </c>
      <c r="BF2486">
        <v>0</v>
      </c>
      <c r="BG2486">
        <v>0</v>
      </c>
      <c r="BH2486">
        <v>2275</v>
      </c>
      <c r="BI2486">
        <v>1</v>
      </c>
      <c r="BJ2486">
        <v>1</v>
      </c>
      <c r="BK2486">
        <v>0</v>
      </c>
      <c r="BL2486">
        <v>0</v>
      </c>
      <c r="BO2486">
        <v>0</v>
      </c>
      <c r="BP2486">
        <v>0</v>
      </c>
      <c r="BW2486" t="str">
        <f>"22:20:33.841"</f>
        <v>22:20:33.841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6</v>
      </c>
      <c r="CP2486" t="s">
        <v>119</v>
      </c>
      <c r="CQ2486">
        <v>364</v>
      </c>
      <c r="CR2486">
        <v>0</v>
      </c>
      <c r="CW2486">
        <v>1462958</v>
      </c>
      <c r="CY2486">
        <v>1</v>
      </c>
      <c r="CZ2486">
        <v>0</v>
      </c>
      <c r="DA2486">
        <v>1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>"03/24/2022 22:20:34.042"</f>
        <v>03/24/2022 22:20:34.042</v>
      </c>
      <c r="C2487" t="str">
        <f t="shared" si="734"/>
        <v>FFDFD3C0</v>
      </c>
      <c r="D2487" t="s">
        <v>113</v>
      </c>
      <c r="E2487">
        <v>24</v>
      </c>
      <c r="F2487">
        <v>2024</v>
      </c>
      <c r="G2487" t="s">
        <v>114</v>
      </c>
      <c r="J2487" t="s">
        <v>115</v>
      </c>
      <c r="K2487">
        <v>0</v>
      </c>
      <c r="L2487">
        <v>3</v>
      </c>
      <c r="M2487">
        <v>0</v>
      </c>
      <c r="N2487">
        <v>2</v>
      </c>
      <c r="O2487">
        <v>0</v>
      </c>
      <c r="P2487">
        <v>1</v>
      </c>
      <c r="Q2487">
        <v>0</v>
      </c>
      <c r="S2487" t="str">
        <f t="shared" si="743"/>
        <v>22:20:33.000</v>
      </c>
      <c r="T2487" t="str">
        <f t="shared" si="743"/>
        <v>22:20:33.000</v>
      </c>
      <c r="U2487" t="str">
        <f t="shared" si="728"/>
        <v>A9D71F</v>
      </c>
      <c r="V2487">
        <v>0</v>
      </c>
      <c r="W2487">
        <v>0</v>
      </c>
      <c r="X2487">
        <v>2</v>
      </c>
      <c r="Z2487">
        <v>1</v>
      </c>
      <c r="AA2487">
        <v>8</v>
      </c>
      <c r="AB2487">
        <v>3</v>
      </c>
      <c r="AC2487">
        <v>0</v>
      </c>
      <c r="AD2487">
        <v>9</v>
      </c>
      <c r="AE2487">
        <v>0</v>
      </c>
      <c r="AF2487">
        <v>3</v>
      </c>
      <c r="AG2487">
        <v>1</v>
      </c>
      <c r="AH2487">
        <v>0</v>
      </c>
      <c r="AI2487" t="s">
        <v>1280</v>
      </c>
      <c r="AJ2487">
        <v>33.010440000000003</v>
      </c>
      <c r="AK2487" t="s">
        <v>1281</v>
      </c>
      <c r="AL2487">
        <v>-97.668477999999993</v>
      </c>
      <c r="AM2487">
        <v>25</v>
      </c>
      <c r="AN2487">
        <v>2300</v>
      </c>
      <c r="AO2487" t="s">
        <v>118</v>
      </c>
      <c r="AP2487">
        <v>18</v>
      </c>
      <c r="AQ2487">
        <v>62</v>
      </c>
      <c r="AR2487">
        <v>-832</v>
      </c>
      <c r="AZ2487">
        <v>1200</v>
      </c>
      <c r="BA2487">
        <v>1</v>
      </c>
      <c r="BB2487" t="str">
        <f t="shared" si="735"/>
        <v xml:space="preserve">N733KP  </v>
      </c>
      <c r="BC2487">
        <v>1</v>
      </c>
      <c r="BE2487">
        <v>0</v>
      </c>
      <c r="BF2487">
        <v>0</v>
      </c>
      <c r="BG2487">
        <v>0</v>
      </c>
      <c r="BH2487">
        <v>2275</v>
      </c>
      <c r="BI2487">
        <v>1</v>
      </c>
      <c r="BJ2487">
        <v>1</v>
      </c>
      <c r="BK2487">
        <v>0</v>
      </c>
      <c r="BL2487">
        <v>0</v>
      </c>
      <c r="BO2487">
        <v>0</v>
      </c>
      <c r="BP2487">
        <v>0</v>
      </c>
      <c r="BW2487" t="str">
        <f>"22:20:33.841"</f>
        <v>22:20:33.841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6</v>
      </c>
      <c r="CP2487" t="s">
        <v>119</v>
      </c>
      <c r="CQ2487">
        <v>364</v>
      </c>
      <c r="CR2487">
        <v>0</v>
      </c>
      <c r="CW2487">
        <v>1462958</v>
      </c>
      <c r="CY2487">
        <v>1</v>
      </c>
      <c r="CZ2487">
        <v>0</v>
      </c>
      <c r="DA2487">
        <v>1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>"03/24/2022 22:20:34.042"</f>
        <v>03/24/2022 22:20:34.042</v>
      </c>
      <c r="C2488" t="str">
        <f t="shared" si="734"/>
        <v>FFDFD3C0</v>
      </c>
      <c r="D2488" t="s">
        <v>123</v>
      </c>
      <c r="E2488">
        <v>8</v>
      </c>
      <c r="H2488">
        <v>31</v>
      </c>
      <c r="I2488" t="s">
        <v>124</v>
      </c>
      <c r="J2488" t="s">
        <v>125</v>
      </c>
      <c r="K2488">
        <v>0</v>
      </c>
      <c r="L2488">
        <v>3</v>
      </c>
      <c r="M2488">
        <v>0</v>
      </c>
      <c r="N2488">
        <v>2</v>
      </c>
      <c r="O2488">
        <v>0</v>
      </c>
      <c r="P2488">
        <v>1</v>
      </c>
      <c r="Q2488">
        <v>0</v>
      </c>
      <c r="S2488" t="str">
        <f t="shared" si="743"/>
        <v>22:20:33.000</v>
      </c>
      <c r="T2488" t="str">
        <f t="shared" si="743"/>
        <v>22:20:33.000</v>
      </c>
      <c r="U2488" t="str">
        <f t="shared" si="728"/>
        <v>A9D71F</v>
      </c>
      <c r="V2488">
        <v>0</v>
      </c>
      <c r="W2488">
        <v>0</v>
      </c>
      <c r="X2488">
        <v>2</v>
      </c>
      <c r="Z2488">
        <v>1</v>
      </c>
      <c r="AA2488">
        <v>8</v>
      </c>
      <c r="AB2488">
        <v>3</v>
      </c>
      <c r="AC2488">
        <v>0</v>
      </c>
      <c r="AD2488">
        <v>9</v>
      </c>
      <c r="AE2488">
        <v>0</v>
      </c>
      <c r="AF2488">
        <v>3</v>
      </c>
      <c r="AG2488">
        <v>1</v>
      </c>
      <c r="AH2488">
        <v>0</v>
      </c>
      <c r="AI2488" t="s">
        <v>1280</v>
      </c>
      <c r="AJ2488">
        <v>33.010440000000003</v>
      </c>
      <c r="AK2488" t="s">
        <v>1281</v>
      </c>
      <c r="AL2488">
        <v>-97.668477999999993</v>
      </c>
      <c r="AM2488">
        <v>25</v>
      </c>
      <c r="AN2488">
        <v>2300</v>
      </c>
      <c r="AO2488" t="s">
        <v>118</v>
      </c>
      <c r="AP2488">
        <v>18</v>
      </c>
      <c r="AQ2488">
        <v>62</v>
      </c>
      <c r="AR2488">
        <v>-832</v>
      </c>
      <c r="AZ2488">
        <v>1200</v>
      </c>
      <c r="BA2488">
        <v>1</v>
      </c>
      <c r="BB2488" t="str">
        <f t="shared" si="735"/>
        <v xml:space="preserve">N733KP  </v>
      </c>
      <c r="BC2488">
        <v>1</v>
      </c>
      <c r="BE2488">
        <v>0</v>
      </c>
      <c r="BF2488">
        <v>0</v>
      </c>
      <c r="BG2488">
        <v>0</v>
      </c>
      <c r="BH2488">
        <v>2275</v>
      </c>
      <c r="BI2488">
        <v>1</v>
      </c>
      <c r="BJ2488">
        <v>1</v>
      </c>
      <c r="BK2488">
        <v>0</v>
      </c>
      <c r="BL2488">
        <v>0</v>
      </c>
      <c r="BO2488">
        <v>0</v>
      </c>
      <c r="BP2488">
        <v>0</v>
      </c>
      <c r="BW2488" t="str">
        <f>"22:20:33.841"</f>
        <v>22:20:33.841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6</v>
      </c>
      <c r="CP2488" t="s">
        <v>119</v>
      </c>
      <c r="CQ2488">
        <v>364</v>
      </c>
      <c r="CR2488">
        <v>0</v>
      </c>
      <c r="CW2488">
        <v>1462958</v>
      </c>
      <c r="CY2488">
        <v>1</v>
      </c>
      <c r="CZ2488">
        <v>0</v>
      </c>
      <c r="DA2488">
        <v>1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>"03/24/2022 22:20:35.073"</f>
        <v>03/24/2022 22:20:35.073</v>
      </c>
      <c r="C2489" t="str">
        <f t="shared" si="734"/>
        <v>FFDFD3C0</v>
      </c>
      <c r="D2489" t="s">
        <v>126</v>
      </c>
      <c r="E2489">
        <v>3</v>
      </c>
      <c r="H2489">
        <v>160</v>
      </c>
      <c r="I2489" t="s">
        <v>121</v>
      </c>
      <c r="J2489" t="s">
        <v>127</v>
      </c>
      <c r="K2489">
        <v>0</v>
      </c>
      <c r="L2489">
        <v>3</v>
      </c>
      <c r="M2489">
        <v>0</v>
      </c>
      <c r="N2489">
        <v>2</v>
      </c>
      <c r="O2489">
        <v>0</v>
      </c>
      <c r="P2489">
        <v>1</v>
      </c>
      <c r="Q2489">
        <v>0</v>
      </c>
      <c r="S2489" t="str">
        <f t="shared" ref="S2489:T2492" si="744">"22:20:34.000"</f>
        <v>22:20:34.000</v>
      </c>
      <c r="T2489" t="str">
        <f t="shared" si="744"/>
        <v>22:20:34.000</v>
      </c>
      <c r="U2489" t="str">
        <f t="shared" si="728"/>
        <v>A9D71F</v>
      </c>
      <c r="V2489">
        <v>0</v>
      </c>
      <c r="W2489">
        <v>0</v>
      </c>
      <c r="X2489">
        <v>2</v>
      </c>
      <c r="Z2489">
        <v>1</v>
      </c>
      <c r="AA2489">
        <v>8</v>
      </c>
      <c r="AB2489">
        <v>3</v>
      </c>
      <c r="AC2489">
        <v>0</v>
      </c>
      <c r="AD2489">
        <v>9</v>
      </c>
      <c r="AE2489">
        <v>0</v>
      </c>
      <c r="AF2489">
        <v>3</v>
      </c>
      <c r="AG2489">
        <v>1</v>
      </c>
      <c r="AH2489">
        <v>0</v>
      </c>
      <c r="AI2489" t="s">
        <v>1282</v>
      </c>
      <c r="AJ2489">
        <v>33.010675999999997</v>
      </c>
      <c r="AK2489" t="s">
        <v>1283</v>
      </c>
      <c r="AL2489">
        <v>-97.668350000000004</v>
      </c>
      <c r="AM2489">
        <v>25</v>
      </c>
      <c r="AN2489">
        <v>2300</v>
      </c>
      <c r="AO2489" t="s">
        <v>118</v>
      </c>
      <c r="AP2489">
        <v>19</v>
      </c>
      <c r="AQ2489">
        <v>63</v>
      </c>
      <c r="AR2489">
        <v>-768</v>
      </c>
      <c r="AZ2489">
        <v>1200</v>
      </c>
      <c r="BA2489">
        <v>1</v>
      </c>
      <c r="BB2489" t="str">
        <f t="shared" si="735"/>
        <v xml:space="preserve">N733KP  </v>
      </c>
      <c r="BC2489">
        <v>1</v>
      </c>
      <c r="BE2489">
        <v>0</v>
      </c>
      <c r="BF2489">
        <v>0</v>
      </c>
      <c r="BG2489">
        <v>0</v>
      </c>
      <c r="BH2489">
        <v>2275</v>
      </c>
      <c r="BI2489">
        <v>1</v>
      </c>
      <c r="BJ2489">
        <v>1</v>
      </c>
      <c r="BK2489">
        <v>0</v>
      </c>
      <c r="BL2489">
        <v>0</v>
      </c>
      <c r="BO2489">
        <v>0</v>
      </c>
      <c r="BP2489">
        <v>0</v>
      </c>
      <c r="BW2489" t="str">
        <f>"22:20:34.844"</f>
        <v>22:20:34.844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6</v>
      </c>
      <c r="CP2489" t="s">
        <v>119</v>
      </c>
      <c r="CQ2489">
        <v>364</v>
      </c>
      <c r="CR2489">
        <v>0</v>
      </c>
      <c r="CW2489">
        <v>1463103</v>
      </c>
      <c r="CY2489">
        <v>1</v>
      </c>
      <c r="CZ2489">
        <v>0</v>
      </c>
      <c r="DA2489">
        <v>0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>"03/24/2022 22:20:35.073"</f>
        <v>03/24/2022 22:20:35.073</v>
      </c>
      <c r="C2490" t="str">
        <f t="shared" si="734"/>
        <v>FFDFD3C0</v>
      </c>
      <c r="D2490" t="s">
        <v>120</v>
      </c>
      <c r="E2490">
        <v>14</v>
      </c>
      <c r="F2490">
        <v>1014</v>
      </c>
      <c r="G2490" t="s">
        <v>121</v>
      </c>
      <c r="J2490" t="s">
        <v>122</v>
      </c>
      <c r="K2490">
        <v>0</v>
      </c>
      <c r="L2490">
        <v>3</v>
      </c>
      <c r="M2490">
        <v>0</v>
      </c>
      <c r="N2490">
        <v>2</v>
      </c>
      <c r="O2490">
        <v>0</v>
      </c>
      <c r="P2490">
        <v>1</v>
      </c>
      <c r="Q2490">
        <v>0</v>
      </c>
      <c r="S2490" t="str">
        <f t="shared" si="744"/>
        <v>22:20:34.000</v>
      </c>
      <c r="T2490" t="str">
        <f t="shared" si="744"/>
        <v>22:20:34.000</v>
      </c>
      <c r="U2490" t="str">
        <f t="shared" si="728"/>
        <v>A9D71F</v>
      </c>
      <c r="V2490">
        <v>0</v>
      </c>
      <c r="W2490">
        <v>0</v>
      </c>
      <c r="X2490">
        <v>2</v>
      </c>
      <c r="Z2490">
        <v>1</v>
      </c>
      <c r="AA2490">
        <v>8</v>
      </c>
      <c r="AB2490">
        <v>3</v>
      </c>
      <c r="AC2490">
        <v>0</v>
      </c>
      <c r="AD2490">
        <v>9</v>
      </c>
      <c r="AE2490">
        <v>0</v>
      </c>
      <c r="AF2490">
        <v>3</v>
      </c>
      <c r="AG2490">
        <v>1</v>
      </c>
      <c r="AH2490">
        <v>0</v>
      </c>
      <c r="AI2490" t="s">
        <v>1282</v>
      </c>
      <c r="AJ2490">
        <v>33.010675999999997</v>
      </c>
      <c r="AK2490" t="s">
        <v>1283</v>
      </c>
      <c r="AL2490">
        <v>-97.668350000000004</v>
      </c>
      <c r="AM2490">
        <v>25</v>
      </c>
      <c r="AN2490">
        <v>2300</v>
      </c>
      <c r="AO2490" t="s">
        <v>118</v>
      </c>
      <c r="AP2490">
        <v>19</v>
      </c>
      <c r="AQ2490">
        <v>63</v>
      </c>
      <c r="AR2490">
        <v>-768</v>
      </c>
      <c r="AZ2490">
        <v>1200</v>
      </c>
      <c r="BA2490">
        <v>1</v>
      </c>
      <c r="BB2490" t="str">
        <f t="shared" si="735"/>
        <v xml:space="preserve">N733KP  </v>
      </c>
      <c r="BC2490">
        <v>1</v>
      </c>
      <c r="BE2490">
        <v>0</v>
      </c>
      <c r="BF2490">
        <v>0</v>
      </c>
      <c r="BG2490">
        <v>0</v>
      </c>
      <c r="BH2490">
        <v>2275</v>
      </c>
      <c r="BI2490">
        <v>1</v>
      </c>
      <c r="BJ2490">
        <v>1</v>
      </c>
      <c r="BK2490">
        <v>0</v>
      </c>
      <c r="BL2490">
        <v>0</v>
      </c>
      <c r="BO2490">
        <v>0</v>
      </c>
      <c r="BP2490">
        <v>0</v>
      </c>
      <c r="BW2490" t="str">
        <f>"22:20:34.844"</f>
        <v>22:20:34.844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6</v>
      </c>
      <c r="CP2490" t="s">
        <v>119</v>
      </c>
      <c r="CQ2490">
        <v>364</v>
      </c>
      <c r="CR2490">
        <v>0</v>
      </c>
      <c r="CW2490">
        <v>1463103</v>
      </c>
      <c r="CY2490">
        <v>1</v>
      </c>
      <c r="CZ2490">
        <v>0</v>
      </c>
      <c r="DA2490">
        <v>1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>"03/24/2022 22:20:35.073"</f>
        <v>03/24/2022 22:20:35.073</v>
      </c>
      <c r="C2491" t="str">
        <f t="shared" si="734"/>
        <v>FFDFD3C0</v>
      </c>
      <c r="D2491" t="s">
        <v>113</v>
      </c>
      <c r="E2491">
        <v>24</v>
      </c>
      <c r="F2491">
        <v>2024</v>
      </c>
      <c r="G2491" t="s">
        <v>114</v>
      </c>
      <c r="J2491" t="s">
        <v>115</v>
      </c>
      <c r="K2491">
        <v>0</v>
      </c>
      <c r="L2491">
        <v>3</v>
      </c>
      <c r="M2491">
        <v>0</v>
      </c>
      <c r="N2491">
        <v>2</v>
      </c>
      <c r="O2491">
        <v>0</v>
      </c>
      <c r="P2491">
        <v>1</v>
      </c>
      <c r="Q2491">
        <v>0</v>
      </c>
      <c r="S2491" t="str">
        <f t="shared" si="744"/>
        <v>22:20:34.000</v>
      </c>
      <c r="T2491" t="str">
        <f t="shared" si="744"/>
        <v>22:20:34.000</v>
      </c>
      <c r="U2491" t="str">
        <f t="shared" si="728"/>
        <v>A9D71F</v>
      </c>
      <c r="V2491">
        <v>0</v>
      </c>
      <c r="W2491">
        <v>0</v>
      </c>
      <c r="X2491">
        <v>2</v>
      </c>
      <c r="Z2491">
        <v>1</v>
      </c>
      <c r="AA2491">
        <v>8</v>
      </c>
      <c r="AB2491">
        <v>3</v>
      </c>
      <c r="AC2491">
        <v>0</v>
      </c>
      <c r="AD2491">
        <v>9</v>
      </c>
      <c r="AE2491">
        <v>0</v>
      </c>
      <c r="AF2491">
        <v>3</v>
      </c>
      <c r="AG2491">
        <v>1</v>
      </c>
      <c r="AH2491">
        <v>0</v>
      </c>
      <c r="AI2491" t="s">
        <v>1282</v>
      </c>
      <c r="AJ2491">
        <v>33.010675999999997</v>
      </c>
      <c r="AK2491" t="s">
        <v>1283</v>
      </c>
      <c r="AL2491">
        <v>-97.668350000000004</v>
      </c>
      <c r="AM2491">
        <v>25</v>
      </c>
      <c r="AN2491">
        <v>2300</v>
      </c>
      <c r="AO2491" t="s">
        <v>118</v>
      </c>
      <c r="AP2491">
        <v>19</v>
      </c>
      <c r="AQ2491">
        <v>63</v>
      </c>
      <c r="AR2491">
        <v>-768</v>
      </c>
      <c r="AZ2491">
        <v>1200</v>
      </c>
      <c r="BA2491">
        <v>1</v>
      </c>
      <c r="BB2491" t="str">
        <f t="shared" si="735"/>
        <v xml:space="preserve">N733KP  </v>
      </c>
      <c r="BC2491">
        <v>1</v>
      </c>
      <c r="BE2491">
        <v>0</v>
      </c>
      <c r="BF2491">
        <v>0</v>
      </c>
      <c r="BG2491">
        <v>0</v>
      </c>
      <c r="BH2491">
        <v>2275</v>
      </c>
      <c r="BI2491">
        <v>1</v>
      </c>
      <c r="BJ2491">
        <v>1</v>
      </c>
      <c r="BK2491">
        <v>0</v>
      </c>
      <c r="BL2491">
        <v>0</v>
      </c>
      <c r="BO2491">
        <v>0</v>
      </c>
      <c r="BP2491">
        <v>0</v>
      </c>
      <c r="BW2491" t="str">
        <f>"22:20:34.844"</f>
        <v>22:20:34.844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6</v>
      </c>
      <c r="CP2491" t="s">
        <v>119</v>
      </c>
      <c r="CQ2491">
        <v>364</v>
      </c>
      <c r="CR2491">
        <v>0</v>
      </c>
      <c r="CW2491">
        <v>1463103</v>
      </c>
      <c r="CY2491">
        <v>1</v>
      </c>
      <c r="CZ2491">
        <v>0</v>
      </c>
      <c r="DA2491">
        <v>1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>"03/24/2022 22:20:35.073"</f>
        <v>03/24/2022 22:20:35.073</v>
      </c>
      <c r="C2492" t="str">
        <f t="shared" si="734"/>
        <v>FFDFD3C0</v>
      </c>
      <c r="D2492" t="s">
        <v>123</v>
      </c>
      <c r="E2492">
        <v>8</v>
      </c>
      <c r="H2492">
        <v>31</v>
      </c>
      <c r="I2492" t="s">
        <v>124</v>
      </c>
      <c r="J2492" t="s">
        <v>125</v>
      </c>
      <c r="K2492">
        <v>0</v>
      </c>
      <c r="L2492">
        <v>3</v>
      </c>
      <c r="M2492">
        <v>0</v>
      </c>
      <c r="N2492">
        <v>2</v>
      </c>
      <c r="O2492">
        <v>0</v>
      </c>
      <c r="P2492">
        <v>1</v>
      </c>
      <c r="Q2492">
        <v>0</v>
      </c>
      <c r="S2492" t="str">
        <f t="shared" si="744"/>
        <v>22:20:34.000</v>
      </c>
      <c r="T2492" t="str">
        <f t="shared" si="744"/>
        <v>22:20:34.000</v>
      </c>
      <c r="U2492" t="str">
        <f t="shared" si="728"/>
        <v>A9D71F</v>
      </c>
      <c r="V2492">
        <v>0</v>
      </c>
      <c r="W2492">
        <v>0</v>
      </c>
      <c r="X2492">
        <v>2</v>
      </c>
      <c r="Z2492">
        <v>1</v>
      </c>
      <c r="AA2492">
        <v>8</v>
      </c>
      <c r="AB2492">
        <v>3</v>
      </c>
      <c r="AC2492">
        <v>0</v>
      </c>
      <c r="AD2492">
        <v>9</v>
      </c>
      <c r="AE2492">
        <v>0</v>
      </c>
      <c r="AF2492">
        <v>3</v>
      </c>
      <c r="AG2492">
        <v>1</v>
      </c>
      <c r="AH2492">
        <v>0</v>
      </c>
      <c r="AI2492" t="s">
        <v>1282</v>
      </c>
      <c r="AJ2492">
        <v>33.010675999999997</v>
      </c>
      <c r="AK2492" t="s">
        <v>1283</v>
      </c>
      <c r="AL2492">
        <v>-97.668350000000004</v>
      </c>
      <c r="AM2492">
        <v>25</v>
      </c>
      <c r="AN2492">
        <v>2300</v>
      </c>
      <c r="AO2492" t="s">
        <v>118</v>
      </c>
      <c r="AP2492">
        <v>19</v>
      </c>
      <c r="AQ2492">
        <v>63</v>
      </c>
      <c r="AR2492">
        <v>-768</v>
      </c>
      <c r="AZ2492">
        <v>1200</v>
      </c>
      <c r="BA2492">
        <v>1</v>
      </c>
      <c r="BB2492" t="str">
        <f t="shared" si="735"/>
        <v xml:space="preserve">N733KP  </v>
      </c>
      <c r="BC2492">
        <v>1</v>
      </c>
      <c r="BE2492">
        <v>0</v>
      </c>
      <c r="BF2492">
        <v>0</v>
      </c>
      <c r="BG2492">
        <v>0</v>
      </c>
      <c r="BH2492">
        <v>2275</v>
      </c>
      <c r="BI2492">
        <v>1</v>
      </c>
      <c r="BJ2492">
        <v>1</v>
      </c>
      <c r="BK2492">
        <v>0</v>
      </c>
      <c r="BL2492">
        <v>0</v>
      </c>
      <c r="BO2492">
        <v>0</v>
      </c>
      <c r="BP2492">
        <v>0</v>
      </c>
      <c r="BW2492" t="str">
        <f>"22:20:34.844"</f>
        <v>22:20:34.844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6</v>
      </c>
      <c r="CP2492" t="s">
        <v>119</v>
      </c>
      <c r="CQ2492">
        <v>364</v>
      </c>
      <c r="CR2492">
        <v>0</v>
      </c>
      <c r="CW2492">
        <v>1463103</v>
      </c>
      <c r="CY2492">
        <v>1</v>
      </c>
      <c r="CZ2492">
        <v>0</v>
      </c>
      <c r="DA2492">
        <v>1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>"03/24/2022 22:20:35.589"</f>
        <v>03/24/2022 22:20:35.589</v>
      </c>
      <c r="C2493" t="str">
        <f t="shared" si="734"/>
        <v>FFDFD3C0</v>
      </c>
      <c r="D2493" t="s">
        <v>120</v>
      </c>
      <c r="E2493">
        <v>14</v>
      </c>
      <c r="F2493">
        <v>1014</v>
      </c>
      <c r="G2493" t="s">
        <v>121</v>
      </c>
      <c r="J2493" t="s">
        <v>122</v>
      </c>
      <c r="K2493">
        <v>0</v>
      </c>
      <c r="L2493">
        <v>3</v>
      </c>
      <c r="M2493">
        <v>0</v>
      </c>
      <c r="N2493">
        <v>2</v>
      </c>
      <c r="O2493">
        <v>0</v>
      </c>
      <c r="P2493">
        <v>1</v>
      </c>
      <c r="Q2493">
        <v>0</v>
      </c>
      <c r="S2493" t="str">
        <f t="shared" ref="S2493:T2496" si="745">"22:20:35.000"</f>
        <v>22:20:35.000</v>
      </c>
      <c r="T2493" t="str">
        <f t="shared" si="745"/>
        <v>22:20:35.000</v>
      </c>
      <c r="U2493" t="str">
        <f t="shared" si="728"/>
        <v>A9D71F</v>
      </c>
      <c r="V2493">
        <v>0</v>
      </c>
      <c r="W2493">
        <v>0</v>
      </c>
      <c r="X2493">
        <v>2</v>
      </c>
      <c r="Z2493">
        <v>1</v>
      </c>
      <c r="AA2493">
        <v>8</v>
      </c>
      <c r="AB2493">
        <v>3</v>
      </c>
      <c r="AC2493">
        <v>0</v>
      </c>
      <c r="AD2493">
        <v>9</v>
      </c>
      <c r="AE2493">
        <v>0</v>
      </c>
      <c r="AF2493">
        <v>3</v>
      </c>
      <c r="AG2493">
        <v>1</v>
      </c>
      <c r="AH2493">
        <v>0</v>
      </c>
      <c r="AI2493" t="s">
        <v>1284</v>
      </c>
      <c r="AJ2493">
        <v>33.011040999999999</v>
      </c>
      <c r="AK2493" t="s">
        <v>1285</v>
      </c>
      <c r="AL2493">
        <v>-97.668263999999994</v>
      </c>
      <c r="AM2493">
        <v>25</v>
      </c>
      <c r="AN2493">
        <v>2200</v>
      </c>
      <c r="AO2493" t="s">
        <v>118</v>
      </c>
      <c r="AP2493">
        <v>22</v>
      </c>
      <c r="AQ2493">
        <v>62</v>
      </c>
      <c r="AR2493">
        <v>-704</v>
      </c>
      <c r="AZ2493">
        <v>1200</v>
      </c>
      <c r="BA2493">
        <v>1</v>
      </c>
      <c r="BB2493" t="str">
        <f t="shared" si="735"/>
        <v xml:space="preserve">N733KP  </v>
      </c>
      <c r="BC2493">
        <v>1</v>
      </c>
      <c r="BE2493">
        <v>0</v>
      </c>
      <c r="BF2493">
        <v>0</v>
      </c>
      <c r="BG2493">
        <v>0</v>
      </c>
      <c r="BH2493">
        <v>2275</v>
      </c>
      <c r="BI2493">
        <v>1</v>
      </c>
      <c r="BJ2493">
        <v>1</v>
      </c>
      <c r="BK2493">
        <v>0</v>
      </c>
      <c r="BL2493">
        <v>0</v>
      </c>
      <c r="BO2493">
        <v>0</v>
      </c>
      <c r="BP2493">
        <v>0</v>
      </c>
      <c r="BW2493" t="str">
        <f>"22:20:35.414"</f>
        <v>22:20:35.414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6</v>
      </c>
      <c r="CP2493" t="s">
        <v>119</v>
      </c>
      <c r="CQ2493">
        <v>364</v>
      </c>
      <c r="CR2493">
        <v>0</v>
      </c>
      <c r="CW2493">
        <v>1463181</v>
      </c>
      <c r="CY2493">
        <v>1</v>
      </c>
      <c r="CZ2493">
        <v>0</v>
      </c>
      <c r="DA2493">
        <v>0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>"03/24/2022 22:20:35.651"</f>
        <v>03/24/2022 22:20:35.651</v>
      </c>
      <c r="C2494" t="str">
        <f t="shared" si="734"/>
        <v>FFDFD3C0</v>
      </c>
      <c r="D2494" t="s">
        <v>113</v>
      </c>
      <c r="E2494">
        <v>24</v>
      </c>
      <c r="F2494">
        <v>2024</v>
      </c>
      <c r="G2494" t="s">
        <v>114</v>
      </c>
      <c r="J2494" t="s">
        <v>115</v>
      </c>
      <c r="K2494">
        <v>0</v>
      </c>
      <c r="L2494">
        <v>3</v>
      </c>
      <c r="M2494">
        <v>0</v>
      </c>
      <c r="N2494">
        <v>2</v>
      </c>
      <c r="O2494">
        <v>0</v>
      </c>
      <c r="P2494">
        <v>1</v>
      </c>
      <c r="Q2494">
        <v>0</v>
      </c>
      <c r="S2494" t="str">
        <f t="shared" si="745"/>
        <v>22:20:35.000</v>
      </c>
      <c r="T2494" t="str">
        <f t="shared" si="745"/>
        <v>22:20:35.000</v>
      </c>
      <c r="U2494" t="str">
        <f t="shared" si="728"/>
        <v>A9D71F</v>
      </c>
      <c r="V2494">
        <v>0</v>
      </c>
      <c r="W2494">
        <v>0</v>
      </c>
      <c r="X2494">
        <v>2</v>
      </c>
      <c r="Z2494">
        <v>1</v>
      </c>
      <c r="AA2494">
        <v>8</v>
      </c>
      <c r="AB2494">
        <v>3</v>
      </c>
      <c r="AC2494">
        <v>0</v>
      </c>
      <c r="AD2494">
        <v>9</v>
      </c>
      <c r="AE2494">
        <v>0</v>
      </c>
      <c r="AF2494">
        <v>3</v>
      </c>
      <c r="AG2494">
        <v>1</v>
      </c>
      <c r="AH2494">
        <v>0</v>
      </c>
      <c r="AI2494" t="s">
        <v>1284</v>
      </c>
      <c r="AJ2494">
        <v>33.011040999999999</v>
      </c>
      <c r="AK2494" t="s">
        <v>1285</v>
      </c>
      <c r="AL2494">
        <v>-97.668263999999994</v>
      </c>
      <c r="AM2494">
        <v>25</v>
      </c>
      <c r="AN2494">
        <v>2200</v>
      </c>
      <c r="AO2494" t="s">
        <v>118</v>
      </c>
      <c r="AP2494">
        <v>22</v>
      </c>
      <c r="AQ2494">
        <v>62</v>
      </c>
      <c r="AR2494">
        <v>-704</v>
      </c>
      <c r="AZ2494">
        <v>1200</v>
      </c>
      <c r="BA2494">
        <v>1</v>
      </c>
      <c r="BB2494" t="str">
        <f t="shared" si="735"/>
        <v xml:space="preserve">N733KP  </v>
      </c>
      <c r="BC2494">
        <v>1</v>
      </c>
      <c r="BE2494">
        <v>0</v>
      </c>
      <c r="BF2494">
        <v>0</v>
      </c>
      <c r="BG2494">
        <v>0</v>
      </c>
      <c r="BH2494">
        <v>2275</v>
      </c>
      <c r="BI2494">
        <v>1</v>
      </c>
      <c r="BJ2494">
        <v>1</v>
      </c>
      <c r="BK2494">
        <v>0</v>
      </c>
      <c r="BL2494">
        <v>0</v>
      </c>
      <c r="BO2494">
        <v>0</v>
      </c>
      <c r="BP2494">
        <v>0</v>
      </c>
      <c r="BW2494" t="str">
        <f>"22:20:35.414"</f>
        <v>22:20:35.414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6</v>
      </c>
      <c r="CP2494" t="s">
        <v>119</v>
      </c>
      <c r="CQ2494">
        <v>364</v>
      </c>
      <c r="CR2494">
        <v>0</v>
      </c>
      <c r="CW2494">
        <v>1463181</v>
      </c>
      <c r="CY2494">
        <v>1</v>
      </c>
      <c r="CZ2494">
        <v>0</v>
      </c>
      <c r="DA2494">
        <v>1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>"03/24/2022 22:20:35.651"</f>
        <v>03/24/2022 22:20:35.651</v>
      </c>
      <c r="C2495" t="str">
        <f t="shared" si="734"/>
        <v>FFDFD3C0</v>
      </c>
      <c r="D2495" t="s">
        <v>123</v>
      </c>
      <c r="E2495">
        <v>8</v>
      </c>
      <c r="H2495">
        <v>31</v>
      </c>
      <c r="I2495" t="s">
        <v>124</v>
      </c>
      <c r="J2495" t="s">
        <v>125</v>
      </c>
      <c r="K2495">
        <v>0</v>
      </c>
      <c r="L2495">
        <v>3</v>
      </c>
      <c r="M2495">
        <v>0</v>
      </c>
      <c r="N2495">
        <v>2</v>
      </c>
      <c r="O2495">
        <v>0</v>
      </c>
      <c r="P2495">
        <v>1</v>
      </c>
      <c r="Q2495">
        <v>0</v>
      </c>
      <c r="S2495" t="str">
        <f t="shared" si="745"/>
        <v>22:20:35.000</v>
      </c>
      <c r="T2495" t="str">
        <f t="shared" si="745"/>
        <v>22:20:35.000</v>
      </c>
      <c r="U2495" t="str">
        <f t="shared" si="728"/>
        <v>A9D71F</v>
      </c>
      <c r="V2495">
        <v>0</v>
      </c>
      <c r="W2495">
        <v>0</v>
      </c>
      <c r="X2495">
        <v>2</v>
      </c>
      <c r="Z2495">
        <v>1</v>
      </c>
      <c r="AA2495">
        <v>8</v>
      </c>
      <c r="AB2495">
        <v>3</v>
      </c>
      <c r="AC2495">
        <v>0</v>
      </c>
      <c r="AD2495">
        <v>9</v>
      </c>
      <c r="AE2495">
        <v>0</v>
      </c>
      <c r="AF2495">
        <v>3</v>
      </c>
      <c r="AG2495">
        <v>1</v>
      </c>
      <c r="AH2495">
        <v>0</v>
      </c>
      <c r="AI2495" t="s">
        <v>1284</v>
      </c>
      <c r="AJ2495">
        <v>33.011040999999999</v>
      </c>
      <c r="AK2495" t="s">
        <v>1285</v>
      </c>
      <c r="AL2495">
        <v>-97.668263999999994</v>
      </c>
      <c r="AM2495">
        <v>25</v>
      </c>
      <c r="AN2495">
        <v>2200</v>
      </c>
      <c r="AO2495" t="s">
        <v>118</v>
      </c>
      <c r="AP2495">
        <v>22</v>
      </c>
      <c r="AQ2495">
        <v>62</v>
      </c>
      <c r="AR2495">
        <v>-704</v>
      </c>
      <c r="AZ2495">
        <v>1200</v>
      </c>
      <c r="BA2495">
        <v>1</v>
      </c>
      <c r="BB2495" t="str">
        <f t="shared" si="735"/>
        <v xml:space="preserve">N733KP  </v>
      </c>
      <c r="BC2495">
        <v>1</v>
      </c>
      <c r="BE2495">
        <v>0</v>
      </c>
      <c r="BF2495">
        <v>0</v>
      </c>
      <c r="BG2495">
        <v>0</v>
      </c>
      <c r="BH2495">
        <v>2275</v>
      </c>
      <c r="BI2495">
        <v>1</v>
      </c>
      <c r="BJ2495">
        <v>1</v>
      </c>
      <c r="BK2495">
        <v>0</v>
      </c>
      <c r="BL2495">
        <v>0</v>
      </c>
      <c r="BO2495">
        <v>0</v>
      </c>
      <c r="BP2495">
        <v>0</v>
      </c>
      <c r="BW2495" t="str">
        <f>"22:20:35.414"</f>
        <v>22:20:35.414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6</v>
      </c>
      <c r="CP2495" t="s">
        <v>119</v>
      </c>
      <c r="CQ2495">
        <v>364</v>
      </c>
      <c r="CR2495">
        <v>0</v>
      </c>
      <c r="CW2495">
        <v>1463181</v>
      </c>
      <c r="CY2495">
        <v>1</v>
      </c>
      <c r="CZ2495">
        <v>0</v>
      </c>
      <c r="DA2495">
        <v>1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>"03/24/2022 22:20:35.651"</f>
        <v>03/24/2022 22:20:35.651</v>
      </c>
      <c r="C2496" t="str">
        <f t="shared" si="734"/>
        <v>FFDFD3C0</v>
      </c>
      <c r="D2496" t="s">
        <v>126</v>
      </c>
      <c r="E2496">
        <v>3</v>
      </c>
      <c r="H2496">
        <v>160</v>
      </c>
      <c r="I2496" t="s">
        <v>121</v>
      </c>
      <c r="J2496" t="s">
        <v>127</v>
      </c>
      <c r="K2496">
        <v>0</v>
      </c>
      <c r="L2496">
        <v>3</v>
      </c>
      <c r="M2496">
        <v>0</v>
      </c>
      <c r="N2496">
        <v>2</v>
      </c>
      <c r="O2496">
        <v>0</v>
      </c>
      <c r="P2496">
        <v>1</v>
      </c>
      <c r="Q2496">
        <v>0</v>
      </c>
      <c r="S2496" t="str">
        <f t="shared" si="745"/>
        <v>22:20:35.000</v>
      </c>
      <c r="T2496" t="str">
        <f t="shared" si="745"/>
        <v>22:20:35.000</v>
      </c>
      <c r="U2496" t="str">
        <f t="shared" si="728"/>
        <v>A9D71F</v>
      </c>
      <c r="V2496">
        <v>0</v>
      </c>
      <c r="W2496">
        <v>0</v>
      </c>
      <c r="X2496">
        <v>2</v>
      </c>
      <c r="Z2496">
        <v>1</v>
      </c>
      <c r="AA2496">
        <v>8</v>
      </c>
      <c r="AB2496">
        <v>3</v>
      </c>
      <c r="AC2496">
        <v>0</v>
      </c>
      <c r="AD2496">
        <v>9</v>
      </c>
      <c r="AE2496">
        <v>0</v>
      </c>
      <c r="AF2496">
        <v>3</v>
      </c>
      <c r="AG2496">
        <v>1</v>
      </c>
      <c r="AH2496">
        <v>0</v>
      </c>
      <c r="AI2496" t="s">
        <v>1284</v>
      </c>
      <c r="AJ2496">
        <v>33.011040999999999</v>
      </c>
      <c r="AK2496" t="s">
        <v>1285</v>
      </c>
      <c r="AL2496">
        <v>-97.668263999999994</v>
      </c>
      <c r="AM2496">
        <v>25</v>
      </c>
      <c r="AN2496">
        <v>2200</v>
      </c>
      <c r="AO2496" t="s">
        <v>118</v>
      </c>
      <c r="AP2496">
        <v>22</v>
      </c>
      <c r="AQ2496">
        <v>62</v>
      </c>
      <c r="AR2496">
        <v>-704</v>
      </c>
      <c r="AZ2496">
        <v>1200</v>
      </c>
      <c r="BA2496">
        <v>1</v>
      </c>
      <c r="BB2496" t="str">
        <f t="shared" si="735"/>
        <v xml:space="preserve">N733KP  </v>
      </c>
      <c r="BC2496">
        <v>1</v>
      </c>
      <c r="BE2496">
        <v>0</v>
      </c>
      <c r="BF2496">
        <v>0</v>
      </c>
      <c r="BG2496">
        <v>0</v>
      </c>
      <c r="BH2496">
        <v>2275</v>
      </c>
      <c r="BI2496">
        <v>1</v>
      </c>
      <c r="BJ2496">
        <v>1</v>
      </c>
      <c r="BK2496">
        <v>0</v>
      </c>
      <c r="BL2496">
        <v>0</v>
      </c>
      <c r="BO2496">
        <v>0</v>
      </c>
      <c r="BP2496">
        <v>0</v>
      </c>
      <c r="BW2496" t="str">
        <f>"22:20:35.414"</f>
        <v>22:20:35.414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6</v>
      </c>
      <c r="CP2496" t="s">
        <v>119</v>
      </c>
      <c r="CQ2496">
        <v>364</v>
      </c>
      <c r="CR2496">
        <v>0</v>
      </c>
      <c r="CW2496">
        <v>1463181</v>
      </c>
      <c r="CY2496">
        <v>1</v>
      </c>
      <c r="CZ2496">
        <v>0</v>
      </c>
      <c r="DA2496">
        <v>1</v>
      </c>
      <c r="DB2496">
        <v>0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>"03/24/2022 22:20:37.011"</f>
        <v>03/24/2022 22:20:37.011</v>
      </c>
      <c r="C2497" t="str">
        <f t="shared" si="734"/>
        <v>FFDFD3C0</v>
      </c>
      <c r="D2497" t="s">
        <v>126</v>
      </c>
      <c r="E2497">
        <v>3</v>
      </c>
      <c r="H2497">
        <v>160</v>
      </c>
      <c r="I2497" t="s">
        <v>121</v>
      </c>
      <c r="J2497" t="s">
        <v>127</v>
      </c>
      <c r="K2497">
        <v>0</v>
      </c>
      <c r="L2497">
        <v>3</v>
      </c>
      <c r="M2497">
        <v>0</v>
      </c>
      <c r="N2497">
        <v>2</v>
      </c>
      <c r="O2497">
        <v>0</v>
      </c>
      <c r="P2497">
        <v>1</v>
      </c>
      <c r="Q2497">
        <v>0</v>
      </c>
      <c r="S2497" t="str">
        <f t="shared" ref="S2497:T2500" si="746">"22:20:36.000"</f>
        <v>22:20:36.000</v>
      </c>
      <c r="T2497" t="str">
        <f t="shared" si="746"/>
        <v>22:20:36.000</v>
      </c>
      <c r="U2497" t="str">
        <f t="shared" si="728"/>
        <v>A9D71F</v>
      </c>
      <c r="V2497">
        <v>0</v>
      </c>
      <c r="W2497">
        <v>0</v>
      </c>
      <c r="X2497">
        <v>2</v>
      </c>
      <c r="Z2497">
        <v>1</v>
      </c>
      <c r="AA2497">
        <v>8</v>
      </c>
      <c r="AB2497">
        <v>3</v>
      </c>
      <c r="AC2497">
        <v>0</v>
      </c>
      <c r="AD2497">
        <v>9</v>
      </c>
      <c r="AE2497">
        <v>0</v>
      </c>
      <c r="AF2497">
        <v>3</v>
      </c>
      <c r="AG2497">
        <v>1</v>
      </c>
      <c r="AH2497">
        <v>0</v>
      </c>
      <c r="AI2497" t="s">
        <v>1286</v>
      </c>
      <c r="AJ2497">
        <v>33.011319999999998</v>
      </c>
      <c r="AK2497" t="s">
        <v>1287</v>
      </c>
      <c r="AL2497">
        <v>-97.668135000000007</v>
      </c>
      <c r="AM2497">
        <v>25</v>
      </c>
      <c r="AN2497">
        <v>2200</v>
      </c>
      <c r="AO2497" t="s">
        <v>118</v>
      </c>
      <c r="AP2497">
        <v>26</v>
      </c>
      <c r="AQ2497">
        <v>62</v>
      </c>
      <c r="AR2497">
        <v>-576</v>
      </c>
      <c r="AZ2497">
        <v>1200</v>
      </c>
      <c r="BA2497">
        <v>1</v>
      </c>
      <c r="BB2497" t="str">
        <f t="shared" si="735"/>
        <v xml:space="preserve">N733KP  </v>
      </c>
      <c r="BC2497">
        <v>1</v>
      </c>
      <c r="BE2497">
        <v>0</v>
      </c>
      <c r="BF2497">
        <v>0</v>
      </c>
      <c r="BG2497">
        <v>0</v>
      </c>
      <c r="BH2497">
        <v>2250</v>
      </c>
      <c r="BI2497">
        <v>1</v>
      </c>
      <c r="BJ2497">
        <v>1</v>
      </c>
      <c r="BK2497">
        <v>0</v>
      </c>
      <c r="BL2497">
        <v>0</v>
      </c>
      <c r="BO2497">
        <v>0</v>
      </c>
      <c r="BP2497">
        <v>0</v>
      </c>
      <c r="BW2497" t="str">
        <f>"22:20:36.824"</f>
        <v>22:20:36.824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6</v>
      </c>
      <c r="CP2497" t="s">
        <v>119</v>
      </c>
      <c r="CQ2497">
        <v>364</v>
      </c>
      <c r="CR2497">
        <v>0</v>
      </c>
      <c r="CW2497">
        <v>1463384</v>
      </c>
      <c r="CY2497">
        <v>1</v>
      </c>
      <c r="CZ2497">
        <v>0</v>
      </c>
      <c r="DA2497">
        <v>0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>"03/24/2022 22:20:37.011"</f>
        <v>03/24/2022 22:20:37.011</v>
      </c>
      <c r="C2498" t="str">
        <f t="shared" si="734"/>
        <v>FFDFD3C0</v>
      </c>
      <c r="D2498" t="s">
        <v>120</v>
      </c>
      <c r="E2498">
        <v>14</v>
      </c>
      <c r="F2498">
        <v>1014</v>
      </c>
      <c r="G2498" t="s">
        <v>121</v>
      </c>
      <c r="J2498" t="s">
        <v>122</v>
      </c>
      <c r="K2498">
        <v>0</v>
      </c>
      <c r="L2498">
        <v>3</v>
      </c>
      <c r="M2498">
        <v>0</v>
      </c>
      <c r="N2498">
        <v>2</v>
      </c>
      <c r="O2498">
        <v>0</v>
      </c>
      <c r="P2498">
        <v>1</v>
      </c>
      <c r="Q2498">
        <v>0</v>
      </c>
      <c r="S2498" t="str">
        <f t="shared" si="746"/>
        <v>22:20:36.000</v>
      </c>
      <c r="T2498" t="str">
        <f t="shared" si="746"/>
        <v>22:20:36.000</v>
      </c>
      <c r="U2498" t="str">
        <f t="shared" ref="U2498:U2561" si="747">"A9D71F"</f>
        <v>A9D71F</v>
      </c>
      <c r="V2498">
        <v>0</v>
      </c>
      <c r="W2498">
        <v>0</v>
      </c>
      <c r="X2498">
        <v>2</v>
      </c>
      <c r="Z2498">
        <v>1</v>
      </c>
      <c r="AA2498">
        <v>8</v>
      </c>
      <c r="AB2498">
        <v>3</v>
      </c>
      <c r="AC2498">
        <v>0</v>
      </c>
      <c r="AD2498">
        <v>9</v>
      </c>
      <c r="AE2498">
        <v>0</v>
      </c>
      <c r="AF2498">
        <v>3</v>
      </c>
      <c r="AG2498">
        <v>1</v>
      </c>
      <c r="AH2498">
        <v>0</v>
      </c>
      <c r="AI2498" t="s">
        <v>1286</v>
      </c>
      <c r="AJ2498">
        <v>33.011319999999998</v>
      </c>
      <c r="AK2498" t="s">
        <v>1287</v>
      </c>
      <c r="AL2498">
        <v>-97.668135000000007</v>
      </c>
      <c r="AM2498">
        <v>25</v>
      </c>
      <c r="AN2498">
        <v>2200</v>
      </c>
      <c r="AO2498" t="s">
        <v>118</v>
      </c>
      <c r="AP2498">
        <v>26</v>
      </c>
      <c r="AQ2498">
        <v>62</v>
      </c>
      <c r="AR2498">
        <v>-576</v>
      </c>
      <c r="AZ2498">
        <v>1200</v>
      </c>
      <c r="BA2498">
        <v>1</v>
      </c>
      <c r="BB2498" t="str">
        <f t="shared" si="735"/>
        <v xml:space="preserve">N733KP  </v>
      </c>
      <c r="BC2498">
        <v>1</v>
      </c>
      <c r="BE2498">
        <v>0</v>
      </c>
      <c r="BF2498">
        <v>0</v>
      </c>
      <c r="BG2498">
        <v>0</v>
      </c>
      <c r="BH2498">
        <v>2250</v>
      </c>
      <c r="BI2498">
        <v>1</v>
      </c>
      <c r="BJ2498">
        <v>1</v>
      </c>
      <c r="BK2498">
        <v>0</v>
      </c>
      <c r="BL2498">
        <v>0</v>
      </c>
      <c r="BO2498">
        <v>0</v>
      </c>
      <c r="BP2498">
        <v>0</v>
      </c>
      <c r="BW2498" t="str">
        <f>"22:20:36.824"</f>
        <v>22:20:36.824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6</v>
      </c>
      <c r="CP2498" t="s">
        <v>119</v>
      </c>
      <c r="CQ2498">
        <v>364</v>
      </c>
      <c r="CR2498">
        <v>0</v>
      </c>
      <c r="CW2498">
        <v>1463384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>"03/24/2022 22:20:37.011"</f>
        <v>03/24/2022 22:20:37.011</v>
      </c>
      <c r="C2499" t="str">
        <f t="shared" si="734"/>
        <v>FFDFD3C0</v>
      </c>
      <c r="D2499" t="s">
        <v>113</v>
      </c>
      <c r="E2499">
        <v>24</v>
      </c>
      <c r="F2499">
        <v>2024</v>
      </c>
      <c r="G2499" t="s">
        <v>114</v>
      </c>
      <c r="J2499" t="s">
        <v>115</v>
      </c>
      <c r="K2499">
        <v>0</v>
      </c>
      <c r="L2499">
        <v>3</v>
      </c>
      <c r="M2499">
        <v>0</v>
      </c>
      <c r="N2499">
        <v>2</v>
      </c>
      <c r="O2499">
        <v>0</v>
      </c>
      <c r="P2499">
        <v>1</v>
      </c>
      <c r="Q2499">
        <v>0</v>
      </c>
      <c r="S2499" t="str">
        <f t="shared" si="746"/>
        <v>22:20:36.000</v>
      </c>
      <c r="T2499" t="str">
        <f t="shared" si="746"/>
        <v>22:20:36.000</v>
      </c>
      <c r="U2499" t="str">
        <f t="shared" si="747"/>
        <v>A9D71F</v>
      </c>
      <c r="V2499">
        <v>0</v>
      </c>
      <c r="W2499">
        <v>0</v>
      </c>
      <c r="X2499">
        <v>2</v>
      </c>
      <c r="Z2499">
        <v>1</v>
      </c>
      <c r="AA2499">
        <v>8</v>
      </c>
      <c r="AB2499">
        <v>3</v>
      </c>
      <c r="AC2499">
        <v>0</v>
      </c>
      <c r="AD2499">
        <v>9</v>
      </c>
      <c r="AE2499">
        <v>0</v>
      </c>
      <c r="AF2499">
        <v>3</v>
      </c>
      <c r="AG2499">
        <v>1</v>
      </c>
      <c r="AH2499">
        <v>0</v>
      </c>
      <c r="AI2499" t="s">
        <v>1286</v>
      </c>
      <c r="AJ2499">
        <v>33.011319999999998</v>
      </c>
      <c r="AK2499" t="s">
        <v>1287</v>
      </c>
      <c r="AL2499">
        <v>-97.668135000000007</v>
      </c>
      <c r="AM2499">
        <v>25</v>
      </c>
      <c r="AN2499">
        <v>2200</v>
      </c>
      <c r="AO2499" t="s">
        <v>118</v>
      </c>
      <c r="AP2499">
        <v>26</v>
      </c>
      <c r="AQ2499">
        <v>62</v>
      </c>
      <c r="AR2499">
        <v>-576</v>
      </c>
      <c r="AZ2499">
        <v>1200</v>
      </c>
      <c r="BA2499">
        <v>1</v>
      </c>
      <c r="BB2499" t="str">
        <f t="shared" si="735"/>
        <v xml:space="preserve">N733KP  </v>
      </c>
      <c r="BC2499">
        <v>1</v>
      </c>
      <c r="BE2499">
        <v>0</v>
      </c>
      <c r="BF2499">
        <v>0</v>
      </c>
      <c r="BG2499">
        <v>0</v>
      </c>
      <c r="BH2499">
        <v>2250</v>
      </c>
      <c r="BI2499">
        <v>1</v>
      </c>
      <c r="BJ2499">
        <v>1</v>
      </c>
      <c r="BK2499">
        <v>0</v>
      </c>
      <c r="BL2499">
        <v>0</v>
      </c>
      <c r="BO2499">
        <v>0</v>
      </c>
      <c r="BP2499">
        <v>0</v>
      </c>
      <c r="BW2499" t="str">
        <f>"22:20:36.824"</f>
        <v>22:20:36.824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6</v>
      </c>
      <c r="CP2499" t="s">
        <v>119</v>
      </c>
      <c r="CQ2499">
        <v>364</v>
      </c>
      <c r="CR2499">
        <v>0</v>
      </c>
      <c r="CW2499">
        <v>1463384</v>
      </c>
      <c r="CY2499">
        <v>1</v>
      </c>
      <c r="CZ2499">
        <v>0</v>
      </c>
      <c r="DA2499">
        <v>1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>"03/24/2022 22:20:37.026"</f>
        <v>03/24/2022 22:20:37.026</v>
      </c>
      <c r="C2500" t="str">
        <f t="shared" si="734"/>
        <v>FFDFD3C0</v>
      </c>
      <c r="D2500" t="s">
        <v>123</v>
      </c>
      <c r="E2500">
        <v>8</v>
      </c>
      <c r="H2500">
        <v>31</v>
      </c>
      <c r="I2500" t="s">
        <v>124</v>
      </c>
      <c r="J2500" t="s">
        <v>125</v>
      </c>
      <c r="K2500">
        <v>0</v>
      </c>
      <c r="L2500">
        <v>3</v>
      </c>
      <c r="M2500">
        <v>0</v>
      </c>
      <c r="N2500">
        <v>2</v>
      </c>
      <c r="O2500">
        <v>0</v>
      </c>
      <c r="P2500">
        <v>1</v>
      </c>
      <c r="Q2500">
        <v>0</v>
      </c>
      <c r="S2500" t="str">
        <f t="shared" si="746"/>
        <v>22:20:36.000</v>
      </c>
      <c r="T2500" t="str">
        <f t="shared" si="746"/>
        <v>22:20:36.000</v>
      </c>
      <c r="U2500" t="str">
        <f t="shared" si="747"/>
        <v>A9D71F</v>
      </c>
      <c r="V2500">
        <v>0</v>
      </c>
      <c r="W2500">
        <v>0</v>
      </c>
      <c r="X2500">
        <v>2</v>
      </c>
      <c r="Z2500">
        <v>1</v>
      </c>
      <c r="AA2500">
        <v>8</v>
      </c>
      <c r="AB2500">
        <v>3</v>
      </c>
      <c r="AC2500">
        <v>0</v>
      </c>
      <c r="AD2500">
        <v>9</v>
      </c>
      <c r="AE2500">
        <v>0</v>
      </c>
      <c r="AF2500">
        <v>3</v>
      </c>
      <c r="AG2500">
        <v>1</v>
      </c>
      <c r="AH2500">
        <v>0</v>
      </c>
      <c r="AI2500" t="s">
        <v>1286</v>
      </c>
      <c r="AJ2500">
        <v>33.011319999999998</v>
      </c>
      <c r="AK2500" t="s">
        <v>1287</v>
      </c>
      <c r="AL2500">
        <v>-97.668135000000007</v>
      </c>
      <c r="AM2500">
        <v>25</v>
      </c>
      <c r="AN2500">
        <v>2200</v>
      </c>
      <c r="AO2500" t="s">
        <v>118</v>
      </c>
      <c r="AP2500">
        <v>26</v>
      </c>
      <c r="AQ2500">
        <v>62</v>
      </c>
      <c r="AR2500">
        <v>-576</v>
      </c>
      <c r="AZ2500">
        <v>1200</v>
      </c>
      <c r="BA2500">
        <v>1</v>
      </c>
      <c r="BB2500" t="str">
        <f t="shared" si="735"/>
        <v xml:space="preserve">N733KP  </v>
      </c>
      <c r="BC2500">
        <v>1</v>
      </c>
      <c r="BE2500">
        <v>0</v>
      </c>
      <c r="BF2500">
        <v>0</v>
      </c>
      <c r="BG2500">
        <v>0</v>
      </c>
      <c r="BH2500">
        <v>2250</v>
      </c>
      <c r="BI2500">
        <v>1</v>
      </c>
      <c r="BJ2500">
        <v>1</v>
      </c>
      <c r="BK2500">
        <v>0</v>
      </c>
      <c r="BL2500">
        <v>0</v>
      </c>
      <c r="BO2500">
        <v>0</v>
      </c>
      <c r="BP2500">
        <v>0</v>
      </c>
      <c r="BW2500" t="str">
        <f>"22:20:36.824"</f>
        <v>22:20:36.824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6</v>
      </c>
      <c r="CP2500" t="s">
        <v>119</v>
      </c>
      <c r="CQ2500">
        <v>364</v>
      </c>
      <c r="CR2500">
        <v>0</v>
      </c>
      <c r="CW2500">
        <v>1463384</v>
      </c>
      <c r="CY2500">
        <v>1</v>
      </c>
      <c r="CZ2500">
        <v>0</v>
      </c>
      <c r="DA2500">
        <v>1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>"03/24/2022 22:20:37.574"</f>
        <v>03/24/2022 22:20:37.574</v>
      </c>
      <c r="C2501" t="str">
        <f t="shared" si="734"/>
        <v>FFDFD3C0</v>
      </c>
      <c r="D2501" t="s">
        <v>120</v>
      </c>
      <c r="E2501">
        <v>14</v>
      </c>
      <c r="F2501">
        <v>1014</v>
      </c>
      <c r="G2501" t="s">
        <v>121</v>
      </c>
      <c r="J2501" t="s">
        <v>122</v>
      </c>
      <c r="K2501">
        <v>0</v>
      </c>
      <c r="L2501">
        <v>3</v>
      </c>
      <c r="M2501">
        <v>0</v>
      </c>
      <c r="N2501">
        <v>2</v>
      </c>
      <c r="O2501">
        <v>0</v>
      </c>
      <c r="P2501">
        <v>1</v>
      </c>
      <c r="Q2501">
        <v>0</v>
      </c>
      <c r="S2501" t="str">
        <f t="shared" ref="S2501:T2504" si="748">"22:20:37.000"</f>
        <v>22:20:37.000</v>
      </c>
      <c r="T2501" t="str">
        <f t="shared" si="748"/>
        <v>22:20:37.000</v>
      </c>
      <c r="U2501" t="str">
        <f t="shared" si="747"/>
        <v>A9D71F</v>
      </c>
      <c r="V2501">
        <v>0</v>
      </c>
      <c r="W2501">
        <v>0</v>
      </c>
      <c r="X2501">
        <v>2</v>
      </c>
      <c r="Z2501">
        <v>1</v>
      </c>
      <c r="AA2501">
        <v>8</v>
      </c>
      <c r="AB2501">
        <v>3</v>
      </c>
      <c r="AC2501">
        <v>0</v>
      </c>
      <c r="AD2501">
        <v>9</v>
      </c>
      <c r="AE2501">
        <v>0</v>
      </c>
      <c r="AF2501">
        <v>3</v>
      </c>
      <c r="AG2501">
        <v>1</v>
      </c>
      <c r="AH2501">
        <v>0</v>
      </c>
      <c r="AI2501" t="s">
        <v>1288</v>
      </c>
      <c r="AJ2501">
        <v>33.011620000000001</v>
      </c>
      <c r="AK2501" t="s">
        <v>935</v>
      </c>
      <c r="AL2501">
        <v>-97.667985000000002</v>
      </c>
      <c r="AM2501">
        <v>25</v>
      </c>
      <c r="AN2501">
        <v>2200</v>
      </c>
      <c r="AO2501" t="s">
        <v>118</v>
      </c>
      <c r="AP2501">
        <v>29</v>
      </c>
      <c r="AQ2501">
        <v>61</v>
      </c>
      <c r="AR2501">
        <v>-640</v>
      </c>
      <c r="AZ2501">
        <v>1200</v>
      </c>
      <c r="BA2501">
        <v>1</v>
      </c>
      <c r="BB2501" t="str">
        <f t="shared" si="735"/>
        <v xml:space="preserve">N733KP  </v>
      </c>
      <c r="BC2501">
        <v>1</v>
      </c>
      <c r="BE2501">
        <v>0</v>
      </c>
      <c r="BF2501">
        <v>0</v>
      </c>
      <c r="BG2501">
        <v>0</v>
      </c>
      <c r="BH2501">
        <v>2250</v>
      </c>
      <c r="BI2501">
        <v>1</v>
      </c>
      <c r="BJ2501">
        <v>1</v>
      </c>
      <c r="BK2501">
        <v>0</v>
      </c>
      <c r="BL2501">
        <v>0</v>
      </c>
      <c r="BO2501">
        <v>0</v>
      </c>
      <c r="BP2501">
        <v>0</v>
      </c>
      <c r="BW2501" t="str">
        <f>"22:20:37.397"</f>
        <v>22:20:37.397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6</v>
      </c>
      <c r="CP2501" t="s">
        <v>119</v>
      </c>
      <c r="CQ2501">
        <v>364</v>
      </c>
      <c r="CR2501">
        <v>0</v>
      </c>
      <c r="CW2501">
        <v>1463469</v>
      </c>
      <c r="CY2501">
        <v>1</v>
      </c>
      <c r="CZ2501">
        <v>0</v>
      </c>
      <c r="DA2501">
        <v>0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>"03/24/2022 22:20:37.574"</f>
        <v>03/24/2022 22:20:37.574</v>
      </c>
      <c r="C2502" t="str">
        <f t="shared" si="734"/>
        <v>FFDFD3C0</v>
      </c>
      <c r="D2502" t="s">
        <v>113</v>
      </c>
      <c r="E2502">
        <v>24</v>
      </c>
      <c r="F2502">
        <v>2024</v>
      </c>
      <c r="G2502" t="s">
        <v>114</v>
      </c>
      <c r="J2502" t="s">
        <v>115</v>
      </c>
      <c r="K2502">
        <v>0</v>
      </c>
      <c r="L2502">
        <v>3</v>
      </c>
      <c r="M2502">
        <v>0</v>
      </c>
      <c r="N2502">
        <v>2</v>
      </c>
      <c r="O2502">
        <v>0</v>
      </c>
      <c r="P2502">
        <v>1</v>
      </c>
      <c r="Q2502">
        <v>0</v>
      </c>
      <c r="S2502" t="str">
        <f t="shared" si="748"/>
        <v>22:20:37.000</v>
      </c>
      <c r="T2502" t="str">
        <f t="shared" si="748"/>
        <v>22:20:37.000</v>
      </c>
      <c r="U2502" t="str">
        <f t="shared" si="747"/>
        <v>A9D71F</v>
      </c>
      <c r="V2502">
        <v>0</v>
      </c>
      <c r="W2502">
        <v>0</v>
      </c>
      <c r="X2502">
        <v>2</v>
      </c>
      <c r="Z2502">
        <v>1</v>
      </c>
      <c r="AA2502">
        <v>8</v>
      </c>
      <c r="AB2502">
        <v>3</v>
      </c>
      <c r="AC2502">
        <v>0</v>
      </c>
      <c r="AD2502">
        <v>9</v>
      </c>
      <c r="AE2502">
        <v>0</v>
      </c>
      <c r="AF2502">
        <v>3</v>
      </c>
      <c r="AG2502">
        <v>1</v>
      </c>
      <c r="AH2502">
        <v>0</v>
      </c>
      <c r="AI2502" t="s">
        <v>1288</v>
      </c>
      <c r="AJ2502">
        <v>33.011620000000001</v>
      </c>
      <c r="AK2502" t="s">
        <v>935</v>
      </c>
      <c r="AL2502">
        <v>-97.667985000000002</v>
      </c>
      <c r="AM2502">
        <v>25</v>
      </c>
      <c r="AN2502">
        <v>2200</v>
      </c>
      <c r="AO2502" t="s">
        <v>118</v>
      </c>
      <c r="AP2502">
        <v>29</v>
      </c>
      <c r="AQ2502">
        <v>61</v>
      </c>
      <c r="AR2502">
        <v>-640</v>
      </c>
      <c r="AZ2502">
        <v>1200</v>
      </c>
      <c r="BA2502">
        <v>1</v>
      </c>
      <c r="BB2502" t="str">
        <f t="shared" si="735"/>
        <v xml:space="preserve">N733KP  </v>
      </c>
      <c r="BC2502">
        <v>1</v>
      </c>
      <c r="BE2502">
        <v>0</v>
      </c>
      <c r="BF2502">
        <v>0</v>
      </c>
      <c r="BG2502">
        <v>0</v>
      </c>
      <c r="BH2502">
        <v>2250</v>
      </c>
      <c r="BI2502">
        <v>1</v>
      </c>
      <c r="BJ2502">
        <v>1</v>
      </c>
      <c r="BK2502">
        <v>0</v>
      </c>
      <c r="BL2502">
        <v>0</v>
      </c>
      <c r="BO2502">
        <v>0</v>
      </c>
      <c r="BP2502">
        <v>0</v>
      </c>
      <c r="BW2502" t="str">
        <f>"22:20:37.397"</f>
        <v>22:20:37.397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6</v>
      </c>
      <c r="CP2502" t="s">
        <v>119</v>
      </c>
      <c r="CQ2502">
        <v>364</v>
      </c>
      <c r="CR2502">
        <v>0</v>
      </c>
      <c r="CW2502">
        <v>1463469</v>
      </c>
      <c r="CY2502">
        <v>1</v>
      </c>
      <c r="CZ2502">
        <v>0</v>
      </c>
      <c r="DA2502">
        <v>1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>"03/24/2022 22:20:37.574"</f>
        <v>03/24/2022 22:20:37.574</v>
      </c>
      <c r="C2503" t="str">
        <f t="shared" si="734"/>
        <v>FFDFD3C0</v>
      </c>
      <c r="D2503" t="s">
        <v>123</v>
      </c>
      <c r="E2503">
        <v>8</v>
      </c>
      <c r="H2503">
        <v>31</v>
      </c>
      <c r="I2503" t="s">
        <v>124</v>
      </c>
      <c r="J2503" t="s">
        <v>125</v>
      </c>
      <c r="K2503">
        <v>0</v>
      </c>
      <c r="L2503">
        <v>3</v>
      </c>
      <c r="M2503">
        <v>0</v>
      </c>
      <c r="N2503">
        <v>2</v>
      </c>
      <c r="O2503">
        <v>0</v>
      </c>
      <c r="P2503">
        <v>1</v>
      </c>
      <c r="Q2503">
        <v>0</v>
      </c>
      <c r="S2503" t="str">
        <f t="shared" si="748"/>
        <v>22:20:37.000</v>
      </c>
      <c r="T2503" t="str">
        <f t="shared" si="748"/>
        <v>22:20:37.000</v>
      </c>
      <c r="U2503" t="str">
        <f t="shared" si="747"/>
        <v>A9D71F</v>
      </c>
      <c r="V2503">
        <v>0</v>
      </c>
      <c r="W2503">
        <v>0</v>
      </c>
      <c r="X2503">
        <v>2</v>
      </c>
      <c r="Z2503">
        <v>1</v>
      </c>
      <c r="AA2503">
        <v>8</v>
      </c>
      <c r="AB2503">
        <v>3</v>
      </c>
      <c r="AC2503">
        <v>0</v>
      </c>
      <c r="AD2503">
        <v>9</v>
      </c>
      <c r="AE2503">
        <v>0</v>
      </c>
      <c r="AF2503">
        <v>3</v>
      </c>
      <c r="AG2503">
        <v>1</v>
      </c>
      <c r="AH2503">
        <v>0</v>
      </c>
      <c r="AI2503" t="s">
        <v>1288</v>
      </c>
      <c r="AJ2503">
        <v>33.011620000000001</v>
      </c>
      <c r="AK2503" t="s">
        <v>935</v>
      </c>
      <c r="AL2503">
        <v>-97.667985000000002</v>
      </c>
      <c r="AM2503">
        <v>25</v>
      </c>
      <c r="AN2503">
        <v>2200</v>
      </c>
      <c r="AO2503" t="s">
        <v>118</v>
      </c>
      <c r="AP2503">
        <v>29</v>
      </c>
      <c r="AQ2503">
        <v>61</v>
      </c>
      <c r="AR2503">
        <v>-640</v>
      </c>
      <c r="AZ2503">
        <v>1200</v>
      </c>
      <c r="BA2503">
        <v>1</v>
      </c>
      <c r="BB2503" t="str">
        <f t="shared" si="735"/>
        <v xml:space="preserve">N733KP  </v>
      </c>
      <c r="BC2503">
        <v>1</v>
      </c>
      <c r="BE2503">
        <v>0</v>
      </c>
      <c r="BF2503">
        <v>0</v>
      </c>
      <c r="BG2503">
        <v>0</v>
      </c>
      <c r="BH2503">
        <v>2250</v>
      </c>
      <c r="BI2503">
        <v>1</v>
      </c>
      <c r="BJ2503">
        <v>1</v>
      </c>
      <c r="BK2503">
        <v>0</v>
      </c>
      <c r="BL2503">
        <v>0</v>
      </c>
      <c r="BO2503">
        <v>0</v>
      </c>
      <c r="BP2503">
        <v>0</v>
      </c>
      <c r="BW2503" t="str">
        <f>"22:20:37.397"</f>
        <v>22:20:37.397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6</v>
      </c>
      <c r="CP2503" t="s">
        <v>119</v>
      </c>
      <c r="CQ2503">
        <v>364</v>
      </c>
      <c r="CR2503">
        <v>0</v>
      </c>
      <c r="CW2503">
        <v>1463469</v>
      </c>
      <c r="CY2503">
        <v>1</v>
      </c>
      <c r="CZ2503">
        <v>0</v>
      </c>
      <c r="DA2503">
        <v>1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>"03/24/2022 22:20:37.653"</f>
        <v>03/24/2022 22:20:37.653</v>
      </c>
      <c r="C2504" t="str">
        <f t="shared" si="734"/>
        <v>FFDFD3C0</v>
      </c>
      <c r="D2504" t="s">
        <v>126</v>
      </c>
      <c r="E2504">
        <v>3</v>
      </c>
      <c r="H2504">
        <v>160</v>
      </c>
      <c r="I2504" t="s">
        <v>121</v>
      </c>
      <c r="J2504" t="s">
        <v>127</v>
      </c>
      <c r="K2504">
        <v>0</v>
      </c>
      <c r="L2504">
        <v>3</v>
      </c>
      <c r="M2504">
        <v>0</v>
      </c>
      <c r="N2504">
        <v>2</v>
      </c>
      <c r="O2504">
        <v>0</v>
      </c>
      <c r="P2504">
        <v>1</v>
      </c>
      <c r="Q2504">
        <v>0</v>
      </c>
      <c r="S2504" t="str">
        <f t="shared" si="748"/>
        <v>22:20:37.000</v>
      </c>
      <c r="T2504" t="str">
        <f t="shared" si="748"/>
        <v>22:20:37.000</v>
      </c>
      <c r="U2504" t="str">
        <f t="shared" si="747"/>
        <v>A9D71F</v>
      </c>
      <c r="V2504">
        <v>0</v>
      </c>
      <c r="W2504">
        <v>0</v>
      </c>
      <c r="X2504">
        <v>2</v>
      </c>
      <c r="Z2504">
        <v>1</v>
      </c>
      <c r="AA2504">
        <v>8</v>
      </c>
      <c r="AB2504">
        <v>3</v>
      </c>
      <c r="AC2504">
        <v>0</v>
      </c>
      <c r="AD2504">
        <v>9</v>
      </c>
      <c r="AE2504">
        <v>0</v>
      </c>
      <c r="AF2504">
        <v>3</v>
      </c>
      <c r="AG2504">
        <v>1</v>
      </c>
      <c r="AH2504">
        <v>0</v>
      </c>
      <c r="AI2504" t="s">
        <v>1288</v>
      </c>
      <c r="AJ2504">
        <v>33.011620000000001</v>
      </c>
      <c r="AK2504" t="s">
        <v>935</v>
      </c>
      <c r="AL2504">
        <v>-97.667985000000002</v>
      </c>
      <c r="AM2504">
        <v>25</v>
      </c>
      <c r="AN2504">
        <v>2200</v>
      </c>
      <c r="AO2504" t="s">
        <v>118</v>
      </c>
      <c r="AP2504">
        <v>29</v>
      </c>
      <c r="AQ2504">
        <v>61</v>
      </c>
      <c r="AR2504">
        <v>-640</v>
      </c>
      <c r="AZ2504">
        <v>1200</v>
      </c>
      <c r="BA2504">
        <v>1</v>
      </c>
      <c r="BB2504" t="str">
        <f t="shared" si="735"/>
        <v xml:space="preserve">N733KP  </v>
      </c>
      <c r="BC2504">
        <v>1</v>
      </c>
      <c r="BE2504">
        <v>0</v>
      </c>
      <c r="BF2504">
        <v>0</v>
      </c>
      <c r="BG2504">
        <v>0</v>
      </c>
      <c r="BH2504">
        <v>2250</v>
      </c>
      <c r="BI2504">
        <v>1</v>
      </c>
      <c r="BJ2504">
        <v>1</v>
      </c>
      <c r="BK2504">
        <v>0</v>
      </c>
      <c r="BL2504">
        <v>0</v>
      </c>
      <c r="BO2504">
        <v>0</v>
      </c>
      <c r="BP2504">
        <v>0</v>
      </c>
      <c r="BW2504" t="str">
        <f>"22:20:37.397"</f>
        <v>22:20:37.397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6</v>
      </c>
      <c r="CP2504" t="s">
        <v>119</v>
      </c>
      <c r="CQ2504">
        <v>364</v>
      </c>
      <c r="CR2504">
        <v>0</v>
      </c>
      <c r="CW2504">
        <v>1463469</v>
      </c>
      <c r="CY2504">
        <v>1</v>
      </c>
      <c r="CZ2504">
        <v>0</v>
      </c>
      <c r="DA2504">
        <v>1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>"03/24/2022 22:20:38.483"</f>
        <v>03/24/2022 22:20:38.483</v>
      </c>
      <c r="C2505" t="str">
        <f t="shared" si="734"/>
        <v>FFDFD3C0</v>
      </c>
      <c r="D2505" t="s">
        <v>120</v>
      </c>
      <c r="E2505">
        <v>14</v>
      </c>
      <c r="F2505">
        <v>1014</v>
      </c>
      <c r="G2505" t="s">
        <v>121</v>
      </c>
      <c r="J2505" t="s">
        <v>122</v>
      </c>
      <c r="K2505">
        <v>0</v>
      </c>
      <c r="L2505">
        <v>3</v>
      </c>
      <c r="M2505">
        <v>0</v>
      </c>
      <c r="N2505">
        <v>2</v>
      </c>
      <c r="O2505">
        <v>0</v>
      </c>
      <c r="P2505">
        <v>1</v>
      </c>
      <c r="Q2505">
        <v>0</v>
      </c>
      <c r="S2505" t="str">
        <f t="shared" ref="S2505:T2508" si="749">"22:20:38.000"</f>
        <v>22:20:38.000</v>
      </c>
      <c r="T2505" t="str">
        <f t="shared" si="749"/>
        <v>22:20:38.000</v>
      </c>
      <c r="U2505" t="str">
        <f t="shared" si="747"/>
        <v>A9D71F</v>
      </c>
      <c r="V2505">
        <v>0</v>
      </c>
      <c r="W2505">
        <v>0</v>
      </c>
      <c r="X2505">
        <v>2</v>
      </c>
      <c r="Z2505">
        <v>1</v>
      </c>
      <c r="AA2505">
        <v>8</v>
      </c>
      <c r="AB2505">
        <v>3</v>
      </c>
      <c r="AC2505">
        <v>0</v>
      </c>
      <c r="AD2505">
        <v>9</v>
      </c>
      <c r="AE2505">
        <v>0</v>
      </c>
      <c r="AF2505">
        <v>3</v>
      </c>
      <c r="AG2505">
        <v>1</v>
      </c>
      <c r="AH2505">
        <v>0</v>
      </c>
      <c r="AI2505" t="s">
        <v>1289</v>
      </c>
      <c r="AJ2505">
        <v>33.011899</v>
      </c>
      <c r="AK2505" t="s">
        <v>937</v>
      </c>
      <c r="AL2505">
        <v>-97.667812999999995</v>
      </c>
      <c r="AM2505">
        <v>25</v>
      </c>
      <c r="AN2505">
        <v>2200</v>
      </c>
      <c r="AO2505" t="s">
        <v>118</v>
      </c>
      <c r="AP2505">
        <v>31</v>
      </c>
      <c r="AQ2505">
        <v>62</v>
      </c>
      <c r="AR2505">
        <v>-512</v>
      </c>
      <c r="AZ2505">
        <v>1200</v>
      </c>
      <c r="BA2505">
        <v>1</v>
      </c>
      <c r="BB2505" t="str">
        <f t="shared" si="735"/>
        <v xml:space="preserve">N733KP  </v>
      </c>
      <c r="BC2505">
        <v>1</v>
      </c>
      <c r="BE2505">
        <v>0</v>
      </c>
      <c r="BF2505">
        <v>0</v>
      </c>
      <c r="BG2505">
        <v>0</v>
      </c>
      <c r="BH2505">
        <v>2225</v>
      </c>
      <c r="BI2505">
        <v>1</v>
      </c>
      <c r="BJ2505">
        <v>1</v>
      </c>
      <c r="BK2505">
        <v>0</v>
      </c>
      <c r="BL2505">
        <v>0</v>
      </c>
      <c r="BO2505">
        <v>0</v>
      </c>
      <c r="BP2505">
        <v>0</v>
      </c>
      <c r="BW2505" t="str">
        <f>"22:20:38.214"</f>
        <v>22:20:38.214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6</v>
      </c>
      <c r="CP2505" t="s">
        <v>119</v>
      </c>
      <c r="CQ2505">
        <v>364</v>
      </c>
      <c r="CR2505">
        <v>0</v>
      </c>
      <c r="CW2505">
        <v>1463570</v>
      </c>
      <c r="CY2505">
        <v>1</v>
      </c>
      <c r="CZ2505">
        <v>0</v>
      </c>
      <c r="DA2505">
        <v>0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>"03/24/2022 22:20:38.483"</f>
        <v>03/24/2022 22:20:38.483</v>
      </c>
      <c r="C2506" t="str">
        <f t="shared" si="734"/>
        <v>FFDFD3C0</v>
      </c>
      <c r="D2506" t="s">
        <v>123</v>
      </c>
      <c r="E2506">
        <v>8</v>
      </c>
      <c r="H2506">
        <v>31</v>
      </c>
      <c r="I2506" t="s">
        <v>124</v>
      </c>
      <c r="J2506" t="s">
        <v>125</v>
      </c>
      <c r="K2506">
        <v>0</v>
      </c>
      <c r="L2506">
        <v>3</v>
      </c>
      <c r="M2506">
        <v>0</v>
      </c>
      <c r="N2506">
        <v>2</v>
      </c>
      <c r="O2506">
        <v>0</v>
      </c>
      <c r="P2506">
        <v>1</v>
      </c>
      <c r="Q2506">
        <v>0</v>
      </c>
      <c r="S2506" t="str">
        <f t="shared" si="749"/>
        <v>22:20:38.000</v>
      </c>
      <c r="T2506" t="str">
        <f t="shared" si="749"/>
        <v>22:20:38.000</v>
      </c>
      <c r="U2506" t="str">
        <f t="shared" si="747"/>
        <v>A9D71F</v>
      </c>
      <c r="V2506">
        <v>0</v>
      </c>
      <c r="W2506">
        <v>0</v>
      </c>
      <c r="X2506">
        <v>2</v>
      </c>
      <c r="Z2506">
        <v>1</v>
      </c>
      <c r="AA2506">
        <v>8</v>
      </c>
      <c r="AB2506">
        <v>3</v>
      </c>
      <c r="AC2506">
        <v>0</v>
      </c>
      <c r="AD2506">
        <v>9</v>
      </c>
      <c r="AE2506">
        <v>0</v>
      </c>
      <c r="AF2506">
        <v>3</v>
      </c>
      <c r="AG2506">
        <v>1</v>
      </c>
      <c r="AH2506">
        <v>0</v>
      </c>
      <c r="AI2506" t="s">
        <v>1289</v>
      </c>
      <c r="AJ2506">
        <v>33.011899</v>
      </c>
      <c r="AK2506" t="s">
        <v>937</v>
      </c>
      <c r="AL2506">
        <v>-97.667812999999995</v>
      </c>
      <c r="AM2506">
        <v>25</v>
      </c>
      <c r="AN2506">
        <v>2200</v>
      </c>
      <c r="AO2506" t="s">
        <v>118</v>
      </c>
      <c r="AP2506">
        <v>31</v>
      </c>
      <c r="AQ2506">
        <v>62</v>
      </c>
      <c r="AR2506">
        <v>-512</v>
      </c>
      <c r="AZ2506">
        <v>1200</v>
      </c>
      <c r="BA2506">
        <v>1</v>
      </c>
      <c r="BB2506" t="str">
        <f t="shared" si="735"/>
        <v xml:space="preserve">N733KP  </v>
      </c>
      <c r="BC2506">
        <v>1</v>
      </c>
      <c r="BE2506">
        <v>0</v>
      </c>
      <c r="BF2506">
        <v>0</v>
      </c>
      <c r="BG2506">
        <v>0</v>
      </c>
      <c r="BH2506">
        <v>2225</v>
      </c>
      <c r="BI2506">
        <v>1</v>
      </c>
      <c r="BJ2506">
        <v>1</v>
      </c>
      <c r="BK2506">
        <v>0</v>
      </c>
      <c r="BL2506">
        <v>0</v>
      </c>
      <c r="BO2506">
        <v>0</v>
      </c>
      <c r="BP2506">
        <v>0</v>
      </c>
      <c r="BW2506" t="str">
        <f>"22:20:38.214"</f>
        <v>22:20:38.214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6</v>
      </c>
      <c r="CP2506" t="s">
        <v>119</v>
      </c>
      <c r="CQ2506">
        <v>364</v>
      </c>
      <c r="CR2506">
        <v>0</v>
      </c>
      <c r="CW2506">
        <v>1463570</v>
      </c>
      <c r="CY2506">
        <v>1</v>
      </c>
      <c r="CZ2506">
        <v>0</v>
      </c>
      <c r="DA2506">
        <v>1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>"03/24/2022 22:20:38.483"</f>
        <v>03/24/2022 22:20:38.483</v>
      </c>
      <c r="C2507" t="str">
        <f t="shared" si="734"/>
        <v>FFDFD3C0</v>
      </c>
      <c r="D2507" t="s">
        <v>113</v>
      </c>
      <c r="E2507">
        <v>24</v>
      </c>
      <c r="F2507">
        <v>2024</v>
      </c>
      <c r="G2507" t="s">
        <v>114</v>
      </c>
      <c r="J2507" t="s">
        <v>115</v>
      </c>
      <c r="K2507">
        <v>0</v>
      </c>
      <c r="L2507">
        <v>3</v>
      </c>
      <c r="M2507">
        <v>0</v>
      </c>
      <c r="N2507">
        <v>2</v>
      </c>
      <c r="O2507">
        <v>0</v>
      </c>
      <c r="P2507">
        <v>1</v>
      </c>
      <c r="Q2507">
        <v>0</v>
      </c>
      <c r="S2507" t="str">
        <f t="shared" si="749"/>
        <v>22:20:38.000</v>
      </c>
      <c r="T2507" t="str">
        <f t="shared" si="749"/>
        <v>22:20:38.000</v>
      </c>
      <c r="U2507" t="str">
        <f t="shared" si="747"/>
        <v>A9D71F</v>
      </c>
      <c r="V2507">
        <v>0</v>
      </c>
      <c r="W2507">
        <v>0</v>
      </c>
      <c r="X2507">
        <v>2</v>
      </c>
      <c r="Z2507">
        <v>1</v>
      </c>
      <c r="AA2507">
        <v>8</v>
      </c>
      <c r="AB2507">
        <v>3</v>
      </c>
      <c r="AC2507">
        <v>0</v>
      </c>
      <c r="AD2507">
        <v>9</v>
      </c>
      <c r="AE2507">
        <v>0</v>
      </c>
      <c r="AF2507">
        <v>3</v>
      </c>
      <c r="AG2507">
        <v>1</v>
      </c>
      <c r="AH2507">
        <v>0</v>
      </c>
      <c r="AI2507" t="s">
        <v>1289</v>
      </c>
      <c r="AJ2507">
        <v>33.011899</v>
      </c>
      <c r="AK2507" t="s">
        <v>937</v>
      </c>
      <c r="AL2507">
        <v>-97.667812999999995</v>
      </c>
      <c r="AM2507">
        <v>25</v>
      </c>
      <c r="AN2507">
        <v>2200</v>
      </c>
      <c r="AO2507" t="s">
        <v>118</v>
      </c>
      <c r="AP2507">
        <v>31</v>
      </c>
      <c r="AQ2507">
        <v>62</v>
      </c>
      <c r="AR2507">
        <v>-512</v>
      </c>
      <c r="AZ2507">
        <v>1200</v>
      </c>
      <c r="BA2507">
        <v>1</v>
      </c>
      <c r="BB2507" t="str">
        <f t="shared" si="735"/>
        <v xml:space="preserve">N733KP  </v>
      </c>
      <c r="BC2507">
        <v>1</v>
      </c>
      <c r="BE2507">
        <v>0</v>
      </c>
      <c r="BF2507">
        <v>0</v>
      </c>
      <c r="BG2507">
        <v>0</v>
      </c>
      <c r="BH2507">
        <v>2225</v>
      </c>
      <c r="BI2507">
        <v>1</v>
      </c>
      <c r="BJ2507">
        <v>1</v>
      </c>
      <c r="BK2507">
        <v>0</v>
      </c>
      <c r="BL2507">
        <v>0</v>
      </c>
      <c r="BO2507">
        <v>0</v>
      </c>
      <c r="BP2507">
        <v>0</v>
      </c>
      <c r="BW2507" t="str">
        <f>"22:20:38.214"</f>
        <v>22:20:38.214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6</v>
      </c>
      <c r="CP2507" t="s">
        <v>119</v>
      </c>
      <c r="CQ2507">
        <v>364</v>
      </c>
      <c r="CR2507">
        <v>0</v>
      </c>
      <c r="CW2507">
        <v>1463570</v>
      </c>
      <c r="CY2507">
        <v>1</v>
      </c>
      <c r="CZ2507">
        <v>0</v>
      </c>
      <c r="DA2507">
        <v>1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>"03/24/2022 22:20:38.483"</f>
        <v>03/24/2022 22:20:38.483</v>
      </c>
      <c r="C2508" t="str">
        <f t="shared" si="734"/>
        <v>FFDFD3C0</v>
      </c>
      <c r="D2508" t="s">
        <v>126</v>
      </c>
      <c r="E2508">
        <v>3</v>
      </c>
      <c r="H2508">
        <v>160</v>
      </c>
      <c r="I2508" t="s">
        <v>121</v>
      </c>
      <c r="J2508" t="s">
        <v>127</v>
      </c>
      <c r="K2508">
        <v>0</v>
      </c>
      <c r="L2508">
        <v>3</v>
      </c>
      <c r="M2508">
        <v>0</v>
      </c>
      <c r="N2508">
        <v>2</v>
      </c>
      <c r="O2508">
        <v>0</v>
      </c>
      <c r="P2508">
        <v>1</v>
      </c>
      <c r="Q2508">
        <v>0</v>
      </c>
      <c r="S2508" t="str">
        <f t="shared" si="749"/>
        <v>22:20:38.000</v>
      </c>
      <c r="T2508" t="str">
        <f t="shared" si="749"/>
        <v>22:20:38.000</v>
      </c>
      <c r="U2508" t="str">
        <f t="shared" si="747"/>
        <v>A9D71F</v>
      </c>
      <c r="V2508">
        <v>0</v>
      </c>
      <c r="W2508">
        <v>0</v>
      </c>
      <c r="X2508">
        <v>2</v>
      </c>
      <c r="Z2508">
        <v>1</v>
      </c>
      <c r="AA2508">
        <v>8</v>
      </c>
      <c r="AB2508">
        <v>3</v>
      </c>
      <c r="AC2508">
        <v>0</v>
      </c>
      <c r="AD2508">
        <v>9</v>
      </c>
      <c r="AE2508">
        <v>0</v>
      </c>
      <c r="AF2508">
        <v>3</v>
      </c>
      <c r="AG2508">
        <v>1</v>
      </c>
      <c r="AH2508">
        <v>0</v>
      </c>
      <c r="AI2508" t="s">
        <v>1289</v>
      </c>
      <c r="AJ2508">
        <v>33.011899</v>
      </c>
      <c r="AK2508" t="s">
        <v>937</v>
      </c>
      <c r="AL2508">
        <v>-97.667812999999995</v>
      </c>
      <c r="AM2508">
        <v>25</v>
      </c>
      <c r="AN2508">
        <v>2200</v>
      </c>
      <c r="AO2508" t="s">
        <v>118</v>
      </c>
      <c r="AP2508">
        <v>31</v>
      </c>
      <c r="AQ2508">
        <v>62</v>
      </c>
      <c r="AR2508">
        <v>-512</v>
      </c>
      <c r="AZ2508">
        <v>1200</v>
      </c>
      <c r="BA2508">
        <v>1</v>
      </c>
      <c r="BB2508" t="str">
        <f t="shared" si="735"/>
        <v xml:space="preserve">N733KP  </v>
      </c>
      <c r="BC2508">
        <v>1</v>
      </c>
      <c r="BE2508">
        <v>0</v>
      </c>
      <c r="BF2508">
        <v>0</v>
      </c>
      <c r="BG2508">
        <v>0</v>
      </c>
      <c r="BH2508">
        <v>2225</v>
      </c>
      <c r="BI2508">
        <v>1</v>
      </c>
      <c r="BJ2508">
        <v>1</v>
      </c>
      <c r="BK2508">
        <v>0</v>
      </c>
      <c r="BL2508">
        <v>0</v>
      </c>
      <c r="BO2508">
        <v>0</v>
      </c>
      <c r="BP2508">
        <v>0</v>
      </c>
      <c r="BW2508" t="str">
        <f>"22:20:38.214"</f>
        <v>22:20:38.214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6</v>
      </c>
      <c r="CP2508" t="s">
        <v>119</v>
      </c>
      <c r="CQ2508">
        <v>364</v>
      </c>
      <c r="CR2508">
        <v>0</v>
      </c>
      <c r="CW2508">
        <v>1463570</v>
      </c>
      <c r="CY2508">
        <v>1</v>
      </c>
      <c r="CZ2508">
        <v>0</v>
      </c>
      <c r="DA2508">
        <v>1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>"03/24/2022 22:20:39.749"</f>
        <v>03/24/2022 22:20:39.749</v>
      </c>
      <c r="C2509" t="str">
        <f t="shared" si="734"/>
        <v>FFDFD3C0</v>
      </c>
      <c r="D2509" t="s">
        <v>123</v>
      </c>
      <c r="E2509">
        <v>8</v>
      </c>
      <c r="H2509">
        <v>31</v>
      </c>
      <c r="I2509" t="s">
        <v>124</v>
      </c>
      <c r="J2509" t="s">
        <v>125</v>
      </c>
      <c r="K2509">
        <v>0</v>
      </c>
      <c r="L2509">
        <v>3</v>
      </c>
      <c r="M2509">
        <v>0</v>
      </c>
      <c r="N2509">
        <v>2</v>
      </c>
      <c r="O2509">
        <v>0</v>
      </c>
      <c r="P2509">
        <v>1</v>
      </c>
      <c r="Q2509">
        <v>0</v>
      </c>
      <c r="S2509" t="str">
        <f t="shared" ref="S2509:T2512" si="750">"22:20:39.000"</f>
        <v>22:20:39.000</v>
      </c>
      <c r="T2509" t="str">
        <f t="shared" si="750"/>
        <v>22:20:39.000</v>
      </c>
      <c r="U2509" t="str">
        <f t="shared" si="747"/>
        <v>A9D71F</v>
      </c>
      <c r="V2509">
        <v>0</v>
      </c>
      <c r="W2509">
        <v>0</v>
      </c>
      <c r="X2509">
        <v>2</v>
      </c>
      <c r="Z2509">
        <v>1</v>
      </c>
      <c r="AA2509">
        <v>8</v>
      </c>
      <c r="AB2509">
        <v>3</v>
      </c>
      <c r="AC2509">
        <v>0</v>
      </c>
      <c r="AD2509">
        <v>9</v>
      </c>
      <c r="AE2509">
        <v>0</v>
      </c>
      <c r="AF2509">
        <v>3</v>
      </c>
      <c r="AG2509">
        <v>1</v>
      </c>
      <c r="AH2509">
        <v>0</v>
      </c>
      <c r="AI2509" t="s">
        <v>1162</v>
      </c>
      <c r="AJ2509">
        <v>33.012155999999997</v>
      </c>
      <c r="AK2509" t="s">
        <v>1290</v>
      </c>
      <c r="AL2509">
        <v>-97.667619999999999</v>
      </c>
      <c r="AM2509">
        <v>25</v>
      </c>
      <c r="AN2509">
        <v>2200</v>
      </c>
      <c r="AO2509" t="s">
        <v>118</v>
      </c>
      <c r="AP2509">
        <v>35</v>
      </c>
      <c r="AQ2509">
        <v>60</v>
      </c>
      <c r="AR2509">
        <v>-256</v>
      </c>
      <c r="AZ2509">
        <v>1200</v>
      </c>
      <c r="BA2509">
        <v>1</v>
      </c>
      <c r="BB2509" t="str">
        <f t="shared" si="735"/>
        <v xml:space="preserve">N733KP  </v>
      </c>
      <c r="BC2509">
        <v>1</v>
      </c>
      <c r="BE2509">
        <v>0</v>
      </c>
      <c r="BF2509">
        <v>0</v>
      </c>
      <c r="BG2509">
        <v>0</v>
      </c>
      <c r="BH2509">
        <v>2225</v>
      </c>
      <c r="BI2509">
        <v>1</v>
      </c>
      <c r="BJ2509">
        <v>1</v>
      </c>
      <c r="BK2509">
        <v>0</v>
      </c>
      <c r="BL2509">
        <v>0</v>
      </c>
      <c r="BO2509">
        <v>0</v>
      </c>
      <c r="BP2509">
        <v>0</v>
      </c>
      <c r="BW2509" t="str">
        <f>"22:20:39.591"</f>
        <v>22:20:39.591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7</v>
      </c>
      <c r="CP2509" t="s">
        <v>119</v>
      </c>
      <c r="CQ2509">
        <v>364</v>
      </c>
      <c r="CR2509">
        <v>0</v>
      </c>
      <c r="CW2509">
        <v>1463774</v>
      </c>
      <c r="CY2509">
        <v>1</v>
      </c>
      <c r="CZ2509">
        <v>0</v>
      </c>
      <c r="DA2509">
        <v>0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>"03/24/2022 22:20:39.749"</f>
        <v>03/24/2022 22:20:39.749</v>
      </c>
      <c r="C2510" t="str">
        <f t="shared" si="734"/>
        <v>FFDFD3C0</v>
      </c>
      <c r="D2510" t="s">
        <v>120</v>
      </c>
      <c r="E2510">
        <v>14</v>
      </c>
      <c r="F2510">
        <v>1014</v>
      </c>
      <c r="G2510" t="s">
        <v>121</v>
      </c>
      <c r="J2510" t="s">
        <v>122</v>
      </c>
      <c r="K2510">
        <v>0</v>
      </c>
      <c r="L2510">
        <v>3</v>
      </c>
      <c r="M2510">
        <v>0</v>
      </c>
      <c r="N2510">
        <v>2</v>
      </c>
      <c r="O2510">
        <v>0</v>
      </c>
      <c r="P2510">
        <v>1</v>
      </c>
      <c r="Q2510">
        <v>0</v>
      </c>
      <c r="S2510" t="str">
        <f t="shared" si="750"/>
        <v>22:20:39.000</v>
      </c>
      <c r="T2510" t="str">
        <f t="shared" si="750"/>
        <v>22:20:39.000</v>
      </c>
      <c r="U2510" t="str">
        <f t="shared" si="747"/>
        <v>A9D71F</v>
      </c>
      <c r="V2510">
        <v>0</v>
      </c>
      <c r="W2510">
        <v>0</v>
      </c>
      <c r="X2510">
        <v>2</v>
      </c>
      <c r="Z2510">
        <v>1</v>
      </c>
      <c r="AA2510">
        <v>8</v>
      </c>
      <c r="AB2510">
        <v>3</v>
      </c>
      <c r="AC2510">
        <v>0</v>
      </c>
      <c r="AD2510">
        <v>9</v>
      </c>
      <c r="AE2510">
        <v>0</v>
      </c>
      <c r="AF2510">
        <v>3</v>
      </c>
      <c r="AG2510">
        <v>1</v>
      </c>
      <c r="AH2510">
        <v>0</v>
      </c>
      <c r="AI2510" t="s">
        <v>1162</v>
      </c>
      <c r="AJ2510">
        <v>33.012155999999997</v>
      </c>
      <c r="AK2510" t="s">
        <v>1290</v>
      </c>
      <c r="AL2510">
        <v>-97.667619999999999</v>
      </c>
      <c r="AM2510">
        <v>25</v>
      </c>
      <c r="AN2510">
        <v>2200</v>
      </c>
      <c r="AO2510" t="s">
        <v>118</v>
      </c>
      <c r="AP2510">
        <v>35</v>
      </c>
      <c r="AQ2510">
        <v>60</v>
      </c>
      <c r="AR2510">
        <v>-256</v>
      </c>
      <c r="AZ2510">
        <v>1200</v>
      </c>
      <c r="BA2510">
        <v>1</v>
      </c>
      <c r="BB2510" t="str">
        <f t="shared" si="735"/>
        <v xml:space="preserve">N733KP  </v>
      </c>
      <c r="BC2510">
        <v>1</v>
      </c>
      <c r="BE2510">
        <v>0</v>
      </c>
      <c r="BF2510">
        <v>0</v>
      </c>
      <c r="BG2510">
        <v>0</v>
      </c>
      <c r="BH2510">
        <v>2225</v>
      </c>
      <c r="BI2510">
        <v>1</v>
      </c>
      <c r="BJ2510">
        <v>1</v>
      </c>
      <c r="BK2510">
        <v>0</v>
      </c>
      <c r="BL2510">
        <v>0</v>
      </c>
      <c r="BO2510">
        <v>0</v>
      </c>
      <c r="BP2510">
        <v>0</v>
      </c>
      <c r="BW2510" t="str">
        <f>"22:20:39.591"</f>
        <v>22:20:39.591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7</v>
      </c>
      <c r="CP2510" t="s">
        <v>119</v>
      </c>
      <c r="CQ2510">
        <v>364</v>
      </c>
      <c r="CR2510">
        <v>0</v>
      </c>
      <c r="CW2510">
        <v>1463774</v>
      </c>
      <c r="CY2510">
        <v>1</v>
      </c>
      <c r="CZ2510">
        <v>0</v>
      </c>
      <c r="DA2510">
        <v>1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>"03/24/2022 22:20:39.749"</f>
        <v>03/24/2022 22:20:39.749</v>
      </c>
      <c r="C2511" t="str">
        <f t="shared" si="734"/>
        <v>FFDFD3C0</v>
      </c>
      <c r="D2511" t="s">
        <v>113</v>
      </c>
      <c r="E2511">
        <v>24</v>
      </c>
      <c r="F2511">
        <v>2024</v>
      </c>
      <c r="G2511" t="s">
        <v>114</v>
      </c>
      <c r="J2511" t="s">
        <v>115</v>
      </c>
      <c r="K2511">
        <v>0</v>
      </c>
      <c r="L2511">
        <v>3</v>
      </c>
      <c r="M2511">
        <v>0</v>
      </c>
      <c r="N2511">
        <v>2</v>
      </c>
      <c r="O2511">
        <v>0</v>
      </c>
      <c r="P2511">
        <v>1</v>
      </c>
      <c r="Q2511">
        <v>0</v>
      </c>
      <c r="S2511" t="str">
        <f t="shared" si="750"/>
        <v>22:20:39.000</v>
      </c>
      <c r="T2511" t="str">
        <f t="shared" si="750"/>
        <v>22:20:39.000</v>
      </c>
      <c r="U2511" t="str">
        <f t="shared" si="747"/>
        <v>A9D71F</v>
      </c>
      <c r="V2511">
        <v>0</v>
      </c>
      <c r="W2511">
        <v>0</v>
      </c>
      <c r="X2511">
        <v>2</v>
      </c>
      <c r="Z2511">
        <v>1</v>
      </c>
      <c r="AA2511">
        <v>8</v>
      </c>
      <c r="AB2511">
        <v>3</v>
      </c>
      <c r="AC2511">
        <v>0</v>
      </c>
      <c r="AD2511">
        <v>9</v>
      </c>
      <c r="AE2511">
        <v>0</v>
      </c>
      <c r="AF2511">
        <v>3</v>
      </c>
      <c r="AG2511">
        <v>1</v>
      </c>
      <c r="AH2511">
        <v>0</v>
      </c>
      <c r="AI2511" t="s">
        <v>1162</v>
      </c>
      <c r="AJ2511">
        <v>33.012155999999997</v>
      </c>
      <c r="AK2511" t="s">
        <v>1290</v>
      </c>
      <c r="AL2511">
        <v>-97.667619999999999</v>
      </c>
      <c r="AM2511">
        <v>25</v>
      </c>
      <c r="AN2511">
        <v>2200</v>
      </c>
      <c r="AO2511" t="s">
        <v>118</v>
      </c>
      <c r="AP2511">
        <v>35</v>
      </c>
      <c r="AQ2511">
        <v>60</v>
      </c>
      <c r="AR2511">
        <v>-256</v>
      </c>
      <c r="AZ2511">
        <v>1200</v>
      </c>
      <c r="BA2511">
        <v>1</v>
      </c>
      <c r="BB2511" t="str">
        <f t="shared" si="735"/>
        <v xml:space="preserve">N733KP  </v>
      </c>
      <c r="BC2511">
        <v>1</v>
      </c>
      <c r="BE2511">
        <v>0</v>
      </c>
      <c r="BF2511">
        <v>0</v>
      </c>
      <c r="BG2511">
        <v>0</v>
      </c>
      <c r="BH2511">
        <v>2225</v>
      </c>
      <c r="BI2511">
        <v>1</v>
      </c>
      <c r="BJ2511">
        <v>1</v>
      </c>
      <c r="BK2511">
        <v>0</v>
      </c>
      <c r="BL2511">
        <v>0</v>
      </c>
      <c r="BO2511">
        <v>0</v>
      </c>
      <c r="BP2511">
        <v>0</v>
      </c>
      <c r="BW2511" t="str">
        <f>"22:20:39.591"</f>
        <v>22:20:39.591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119</v>
      </c>
      <c r="CQ2511">
        <v>364</v>
      </c>
      <c r="CR2511">
        <v>0</v>
      </c>
      <c r="CW2511">
        <v>1463774</v>
      </c>
      <c r="CY2511">
        <v>1</v>
      </c>
      <c r="CZ2511">
        <v>0</v>
      </c>
      <c r="DA2511">
        <v>1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>"03/24/2022 22:20:39.780"</f>
        <v>03/24/2022 22:20:39.780</v>
      </c>
      <c r="C2512" t="str">
        <f t="shared" si="734"/>
        <v>FFDFD3C0</v>
      </c>
      <c r="D2512" t="s">
        <v>126</v>
      </c>
      <c r="E2512">
        <v>3</v>
      </c>
      <c r="H2512">
        <v>160</v>
      </c>
      <c r="I2512" t="s">
        <v>121</v>
      </c>
      <c r="J2512" t="s">
        <v>127</v>
      </c>
      <c r="K2512">
        <v>0</v>
      </c>
      <c r="L2512">
        <v>3</v>
      </c>
      <c r="M2512">
        <v>0</v>
      </c>
      <c r="N2512">
        <v>2</v>
      </c>
      <c r="O2512">
        <v>0</v>
      </c>
      <c r="P2512">
        <v>1</v>
      </c>
      <c r="Q2512">
        <v>0</v>
      </c>
      <c r="S2512" t="str">
        <f t="shared" si="750"/>
        <v>22:20:39.000</v>
      </c>
      <c r="T2512" t="str">
        <f t="shared" si="750"/>
        <v>22:20:39.000</v>
      </c>
      <c r="U2512" t="str">
        <f t="shared" si="747"/>
        <v>A9D71F</v>
      </c>
      <c r="V2512">
        <v>0</v>
      </c>
      <c r="W2512">
        <v>0</v>
      </c>
      <c r="X2512">
        <v>2</v>
      </c>
      <c r="Z2512">
        <v>1</v>
      </c>
      <c r="AA2512">
        <v>8</v>
      </c>
      <c r="AB2512">
        <v>3</v>
      </c>
      <c r="AC2512">
        <v>0</v>
      </c>
      <c r="AD2512">
        <v>9</v>
      </c>
      <c r="AE2512">
        <v>0</v>
      </c>
      <c r="AF2512">
        <v>3</v>
      </c>
      <c r="AG2512">
        <v>1</v>
      </c>
      <c r="AH2512">
        <v>0</v>
      </c>
      <c r="AI2512" t="s">
        <v>1162</v>
      </c>
      <c r="AJ2512">
        <v>33.012155999999997</v>
      </c>
      <c r="AK2512" t="s">
        <v>1290</v>
      </c>
      <c r="AL2512">
        <v>-97.667619999999999</v>
      </c>
      <c r="AM2512">
        <v>25</v>
      </c>
      <c r="AN2512">
        <v>2200</v>
      </c>
      <c r="AO2512" t="s">
        <v>118</v>
      </c>
      <c r="AP2512">
        <v>35</v>
      </c>
      <c r="AQ2512">
        <v>60</v>
      </c>
      <c r="AR2512">
        <v>-256</v>
      </c>
      <c r="AZ2512">
        <v>1200</v>
      </c>
      <c r="BA2512">
        <v>1</v>
      </c>
      <c r="BB2512" t="str">
        <f t="shared" si="735"/>
        <v xml:space="preserve">N733KP  </v>
      </c>
      <c r="BC2512">
        <v>1</v>
      </c>
      <c r="BE2512">
        <v>0</v>
      </c>
      <c r="BF2512">
        <v>0</v>
      </c>
      <c r="BG2512">
        <v>0</v>
      </c>
      <c r="BH2512">
        <v>2225</v>
      </c>
      <c r="BI2512">
        <v>1</v>
      </c>
      <c r="BJ2512">
        <v>1</v>
      </c>
      <c r="BK2512">
        <v>0</v>
      </c>
      <c r="BL2512">
        <v>0</v>
      </c>
      <c r="BO2512">
        <v>0</v>
      </c>
      <c r="BP2512">
        <v>0</v>
      </c>
      <c r="BW2512" t="str">
        <f>"22:20:39.591"</f>
        <v>22:20:39.591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364</v>
      </c>
      <c r="CR2512">
        <v>0</v>
      </c>
      <c r="CW2512">
        <v>1463774</v>
      </c>
      <c r="CY2512">
        <v>1</v>
      </c>
      <c r="CZ2512">
        <v>0</v>
      </c>
      <c r="DA2512">
        <v>1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>"03/24/2022 22:20:40.874"</f>
        <v>03/24/2022 22:20:40.874</v>
      </c>
      <c r="C2513" t="str">
        <f t="shared" si="734"/>
        <v>FFDFD3C0</v>
      </c>
      <c r="D2513" t="s">
        <v>126</v>
      </c>
      <c r="E2513">
        <v>3</v>
      </c>
      <c r="H2513">
        <v>160</v>
      </c>
      <c r="I2513" t="s">
        <v>121</v>
      </c>
      <c r="J2513" t="s">
        <v>127</v>
      </c>
      <c r="K2513">
        <v>0</v>
      </c>
      <c r="L2513">
        <v>3</v>
      </c>
      <c r="M2513">
        <v>0</v>
      </c>
      <c r="N2513">
        <v>2</v>
      </c>
      <c r="O2513">
        <v>0</v>
      </c>
      <c r="P2513">
        <v>1</v>
      </c>
      <c r="Q2513">
        <v>0</v>
      </c>
      <c r="S2513" t="str">
        <f t="shared" ref="S2513:T2516" si="751">"22:20:40.000"</f>
        <v>22:20:40.000</v>
      </c>
      <c r="T2513" t="str">
        <f t="shared" si="751"/>
        <v>22:20:40.000</v>
      </c>
      <c r="U2513" t="str">
        <f t="shared" si="747"/>
        <v>A9D71F</v>
      </c>
      <c r="V2513">
        <v>0</v>
      </c>
      <c r="W2513">
        <v>0</v>
      </c>
      <c r="X2513">
        <v>2</v>
      </c>
      <c r="Z2513">
        <v>1</v>
      </c>
      <c r="AA2513">
        <v>8</v>
      </c>
      <c r="AB2513">
        <v>3</v>
      </c>
      <c r="AC2513">
        <v>0</v>
      </c>
      <c r="AD2513">
        <v>9</v>
      </c>
      <c r="AE2513">
        <v>0</v>
      </c>
      <c r="AF2513">
        <v>3</v>
      </c>
      <c r="AG2513">
        <v>1</v>
      </c>
      <c r="AH2513">
        <v>0</v>
      </c>
      <c r="AI2513" t="s">
        <v>1291</v>
      </c>
      <c r="AJ2513">
        <v>33.012435000000004</v>
      </c>
      <c r="AK2513" t="s">
        <v>1292</v>
      </c>
      <c r="AL2513">
        <v>-97.667406</v>
      </c>
      <c r="AM2513">
        <v>25</v>
      </c>
      <c r="AN2513">
        <v>2200</v>
      </c>
      <c r="AO2513" t="s">
        <v>118</v>
      </c>
      <c r="AP2513">
        <v>42</v>
      </c>
      <c r="AQ2513">
        <v>56</v>
      </c>
      <c r="AR2513">
        <v>-128</v>
      </c>
      <c r="AZ2513">
        <v>1200</v>
      </c>
      <c r="BA2513">
        <v>1</v>
      </c>
      <c r="BB2513" t="str">
        <f t="shared" si="735"/>
        <v xml:space="preserve">N733KP  </v>
      </c>
      <c r="BC2513">
        <v>1</v>
      </c>
      <c r="BE2513">
        <v>0</v>
      </c>
      <c r="BF2513">
        <v>0</v>
      </c>
      <c r="BG2513">
        <v>0</v>
      </c>
      <c r="BH2513">
        <v>2225</v>
      </c>
      <c r="BI2513">
        <v>1</v>
      </c>
      <c r="BJ2513">
        <v>1</v>
      </c>
      <c r="BK2513">
        <v>0</v>
      </c>
      <c r="BL2513">
        <v>0</v>
      </c>
      <c r="BO2513">
        <v>0</v>
      </c>
      <c r="BP2513">
        <v>0</v>
      </c>
      <c r="BW2513" t="str">
        <f>"22:20:40.614"</f>
        <v>22:20:40.614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7</v>
      </c>
      <c r="CP2513" t="s">
        <v>119</v>
      </c>
      <c r="CQ2513">
        <v>364</v>
      </c>
      <c r="CR2513">
        <v>0</v>
      </c>
      <c r="CW2513">
        <v>1463915</v>
      </c>
      <c r="CY2513">
        <v>1</v>
      </c>
      <c r="CZ2513">
        <v>0</v>
      </c>
      <c r="DA2513">
        <v>0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>"03/24/2022 22:20:40.889"</f>
        <v>03/24/2022 22:20:40.889</v>
      </c>
      <c r="C2514" t="str">
        <f t="shared" si="734"/>
        <v>FFDFD3C0</v>
      </c>
      <c r="D2514" t="s">
        <v>123</v>
      </c>
      <c r="E2514">
        <v>8</v>
      </c>
      <c r="H2514">
        <v>31</v>
      </c>
      <c r="I2514" t="s">
        <v>124</v>
      </c>
      <c r="J2514" t="s">
        <v>125</v>
      </c>
      <c r="K2514">
        <v>0</v>
      </c>
      <c r="L2514">
        <v>3</v>
      </c>
      <c r="M2514">
        <v>0</v>
      </c>
      <c r="N2514">
        <v>2</v>
      </c>
      <c r="O2514">
        <v>0</v>
      </c>
      <c r="P2514">
        <v>1</v>
      </c>
      <c r="Q2514">
        <v>0</v>
      </c>
      <c r="S2514" t="str">
        <f t="shared" si="751"/>
        <v>22:20:40.000</v>
      </c>
      <c r="T2514" t="str">
        <f t="shared" si="751"/>
        <v>22:20:40.000</v>
      </c>
      <c r="U2514" t="str">
        <f t="shared" si="747"/>
        <v>A9D71F</v>
      </c>
      <c r="V2514">
        <v>0</v>
      </c>
      <c r="W2514">
        <v>0</v>
      </c>
      <c r="X2514">
        <v>2</v>
      </c>
      <c r="Z2514">
        <v>1</v>
      </c>
      <c r="AA2514">
        <v>8</v>
      </c>
      <c r="AB2514">
        <v>3</v>
      </c>
      <c r="AC2514">
        <v>0</v>
      </c>
      <c r="AD2514">
        <v>9</v>
      </c>
      <c r="AE2514">
        <v>0</v>
      </c>
      <c r="AF2514">
        <v>3</v>
      </c>
      <c r="AG2514">
        <v>1</v>
      </c>
      <c r="AH2514">
        <v>0</v>
      </c>
      <c r="AI2514" t="s">
        <v>1291</v>
      </c>
      <c r="AJ2514">
        <v>33.012435000000004</v>
      </c>
      <c r="AK2514" t="s">
        <v>1292</v>
      </c>
      <c r="AL2514">
        <v>-97.667406</v>
      </c>
      <c r="AM2514">
        <v>25</v>
      </c>
      <c r="AN2514">
        <v>2200</v>
      </c>
      <c r="AO2514" t="s">
        <v>118</v>
      </c>
      <c r="AP2514">
        <v>42</v>
      </c>
      <c r="AQ2514">
        <v>56</v>
      </c>
      <c r="AR2514">
        <v>-128</v>
      </c>
      <c r="AZ2514">
        <v>1200</v>
      </c>
      <c r="BA2514">
        <v>1</v>
      </c>
      <c r="BB2514" t="str">
        <f t="shared" si="735"/>
        <v xml:space="preserve">N733KP  </v>
      </c>
      <c r="BC2514">
        <v>1</v>
      </c>
      <c r="BE2514">
        <v>0</v>
      </c>
      <c r="BF2514">
        <v>0</v>
      </c>
      <c r="BG2514">
        <v>0</v>
      </c>
      <c r="BH2514">
        <v>2225</v>
      </c>
      <c r="BI2514">
        <v>1</v>
      </c>
      <c r="BJ2514">
        <v>1</v>
      </c>
      <c r="BK2514">
        <v>0</v>
      </c>
      <c r="BL2514">
        <v>0</v>
      </c>
      <c r="BO2514">
        <v>0</v>
      </c>
      <c r="BP2514">
        <v>0</v>
      </c>
      <c r="BW2514" t="str">
        <f>"22:20:40.614"</f>
        <v>22:20:40.614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364</v>
      </c>
      <c r="CR2514">
        <v>0</v>
      </c>
      <c r="CW2514">
        <v>1463915</v>
      </c>
      <c r="CY2514">
        <v>1</v>
      </c>
      <c r="CZ2514">
        <v>0</v>
      </c>
      <c r="DA2514">
        <v>1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>"03/24/2022 22:20:40.889"</f>
        <v>03/24/2022 22:20:40.889</v>
      </c>
      <c r="C2515" t="str">
        <f t="shared" si="734"/>
        <v>FFDFD3C0</v>
      </c>
      <c r="D2515" t="s">
        <v>113</v>
      </c>
      <c r="E2515">
        <v>24</v>
      </c>
      <c r="F2515">
        <v>2024</v>
      </c>
      <c r="G2515" t="s">
        <v>114</v>
      </c>
      <c r="J2515" t="s">
        <v>115</v>
      </c>
      <c r="K2515">
        <v>0</v>
      </c>
      <c r="L2515">
        <v>3</v>
      </c>
      <c r="M2515">
        <v>0</v>
      </c>
      <c r="N2515">
        <v>2</v>
      </c>
      <c r="O2515">
        <v>0</v>
      </c>
      <c r="P2515">
        <v>1</v>
      </c>
      <c r="Q2515">
        <v>0</v>
      </c>
      <c r="S2515" t="str">
        <f t="shared" si="751"/>
        <v>22:20:40.000</v>
      </c>
      <c r="T2515" t="str">
        <f t="shared" si="751"/>
        <v>22:20:40.000</v>
      </c>
      <c r="U2515" t="str">
        <f t="shared" si="747"/>
        <v>A9D71F</v>
      </c>
      <c r="V2515">
        <v>0</v>
      </c>
      <c r="W2515">
        <v>0</v>
      </c>
      <c r="X2515">
        <v>2</v>
      </c>
      <c r="Z2515">
        <v>1</v>
      </c>
      <c r="AA2515">
        <v>8</v>
      </c>
      <c r="AB2515">
        <v>3</v>
      </c>
      <c r="AC2515">
        <v>0</v>
      </c>
      <c r="AD2515">
        <v>9</v>
      </c>
      <c r="AE2515">
        <v>0</v>
      </c>
      <c r="AF2515">
        <v>3</v>
      </c>
      <c r="AG2515">
        <v>1</v>
      </c>
      <c r="AH2515">
        <v>0</v>
      </c>
      <c r="AI2515" t="s">
        <v>1291</v>
      </c>
      <c r="AJ2515">
        <v>33.012435000000004</v>
      </c>
      <c r="AK2515" t="s">
        <v>1292</v>
      </c>
      <c r="AL2515">
        <v>-97.667406</v>
      </c>
      <c r="AM2515">
        <v>25</v>
      </c>
      <c r="AN2515">
        <v>2200</v>
      </c>
      <c r="AO2515" t="s">
        <v>118</v>
      </c>
      <c r="AP2515">
        <v>42</v>
      </c>
      <c r="AQ2515">
        <v>56</v>
      </c>
      <c r="AR2515">
        <v>-128</v>
      </c>
      <c r="AZ2515">
        <v>1200</v>
      </c>
      <c r="BA2515">
        <v>1</v>
      </c>
      <c r="BB2515" t="str">
        <f t="shared" si="735"/>
        <v xml:space="preserve">N733KP  </v>
      </c>
      <c r="BC2515">
        <v>1</v>
      </c>
      <c r="BE2515">
        <v>0</v>
      </c>
      <c r="BF2515">
        <v>0</v>
      </c>
      <c r="BG2515">
        <v>0</v>
      </c>
      <c r="BH2515">
        <v>2225</v>
      </c>
      <c r="BI2515">
        <v>1</v>
      </c>
      <c r="BJ2515">
        <v>1</v>
      </c>
      <c r="BK2515">
        <v>0</v>
      </c>
      <c r="BL2515">
        <v>0</v>
      </c>
      <c r="BO2515">
        <v>0</v>
      </c>
      <c r="BP2515">
        <v>0</v>
      </c>
      <c r="BW2515" t="str">
        <f>"22:20:40.614"</f>
        <v>22:20:40.614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119</v>
      </c>
      <c r="CQ2515">
        <v>364</v>
      </c>
      <c r="CR2515">
        <v>0</v>
      </c>
      <c r="CW2515">
        <v>1463915</v>
      </c>
      <c r="CY2515">
        <v>1</v>
      </c>
      <c r="CZ2515">
        <v>0</v>
      </c>
      <c r="DA2515">
        <v>1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>"03/24/2022 22:20:40.889"</f>
        <v>03/24/2022 22:20:40.889</v>
      </c>
      <c r="C2516" t="str">
        <f t="shared" si="734"/>
        <v>FFDFD3C0</v>
      </c>
      <c r="D2516" t="s">
        <v>120</v>
      </c>
      <c r="E2516">
        <v>14</v>
      </c>
      <c r="F2516">
        <v>1014</v>
      </c>
      <c r="G2516" t="s">
        <v>121</v>
      </c>
      <c r="J2516" t="s">
        <v>122</v>
      </c>
      <c r="K2516">
        <v>0</v>
      </c>
      <c r="L2516">
        <v>3</v>
      </c>
      <c r="M2516">
        <v>0</v>
      </c>
      <c r="N2516">
        <v>2</v>
      </c>
      <c r="O2516">
        <v>0</v>
      </c>
      <c r="P2516">
        <v>1</v>
      </c>
      <c r="Q2516">
        <v>0</v>
      </c>
      <c r="S2516" t="str">
        <f t="shared" si="751"/>
        <v>22:20:40.000</v>
      </c>
      <c r="T2516" t="str">
        <f t="shared" si="751"/>
        <v>22:20:40.000</v>
      </c>
      <c r="U2516" t="str">
        <f t="shared" si="747"/>
        <v>A9D71F</v>
      </c>
      <c r="V2516">
        <v>0</v>
      </c>
      <c r="W2516">
        <v>0</v>
      </c>
      <c r="X2516">
        <v>2</v>
      </c>
      <c r="Z2516">
        <v>1</v>
      </c>
      <c r="AA2516">
        <v>8</v>
      </c>
      <c r="AB2516">
        <v>3</v>
      </c>
      <c r="AC2516">
        <v>0</v>
      </c>
      <c r="AD2516">
        <v>9</v>
      </c>
      <c r="AE2516">
        <v>0</v>
      </c>
      <c r="AF2516">
        <v>3</v>
      </c>
      <c r="AG2516">
        <v>1</v>
      </c>
      <c r="AH2516">
        <v>0</v>
      </c>
      <c r="AI2516" t="s">
        <v>1291</v>
      </c>
      <c r="AJ2516">
        <v>33.012435000000004</v>
      </c>
      <c r="AK2516" t="s">
        <v>1292</v>
      </c>
      <c r="AL2516">
        <v>-97.667406</v>
      </c>
      <c r="AM2516">
        <v>25</v>
      </c>
      <c r="AN2516">
        <v>2200</v>
      </c>
      <c r="AO2516" t="s">
        <v>118</v>
      </c>
      <c r="AP2516">
        <v>42</v>
      </c>
      <c r="AQ2516">
        <v>56</v>
      </c>
      <c r="AR2516">
        <v>-128</v>
      </c>
      <c r="AZ2516">
        <v>1200</v>
      </c>
      <c r="BA2516">
        <v>1</v>
      </c>
      <c r="BB2516" t="str">
        <f t="shared" si="735"/>
        <v xml:space="preserve">N733KP  </v>
      </c>
      <c r="BC2516">
        <v>1</v>
      </c>
      <c r="BE2516">
        <v>0</v>
      </c>
      <c r="BF2516">
        <v>0</v>
      </c>
      <c r="BG2516">
        <v>0</v>
      </c>
      <c r="BH2516">
        <v>2225</v>
      </c>
      <c r="BI2516">
        <v>1</v>
      </c>
      <c r="BJ2516">
        <v>1</v>
      </c>
      <c r="BK2516">
        <v>0</v>
      </c>
      <c r="BL2516">
        <v>0</v>
      </c>
      <c r="BO2516">
        <v>0</v>
      </c>
      <c r="BP2516">
        <v>0</v>
      </c>
      <c r="BW2516" t="str">
        <f>"22:20:40.614"</f>
        <v>22:20:40.614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119</v>
      </c>
      <c r="CQ2516">
        <v>364</v>
      </c>
      <c r="CR2516">
        <v>0</v>
      </c>
      <c r="CW2516">
        <v>1463915</v>
      </c>
      <c r="CY2516">
        <v>1</v>
      </c>
      <c r="CZ2516">
        <v>0</v>
      </c>
      <c r="DA2516">
        <v>1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>"03/24/2022 22:20:41.843"</f>
        <v>03/24/2022 22:20:41.843</v>
      </c>
      <c r="C2517" t="str">
        <f t="shared" si="734"/>
        <v>FFDFD3C0</v>
      </c>
      <c r="D2517" t="s">
        <v>123</v>
      </c>
      <c r="E2517">
        <v>8</v>
      </c>
      <c r="H2517">
        <v>31</v>
      </c>
      <c r="I2517" t="s">
        <v>124</v>
      </c>
      <c r="J2517" t="s">
        <v>125</v>
      </c>
      <c r="K2517">
        <v>0</v>
      </c>
      <c r="L2517">
        <v>3</v>
      </c>
      <c r="M2517">
        <v>0</v>
      </c>
      <c r="N2517">
        <v>2</v>
      </c>
      <c r="O2517">
        <v>0</v>
      </c>
      <c r="P2517">
        <v>1</v>
      </c>
      <c r="Q2517">
        <v>0</v>
      </c>
      <c r="S2517" t="str">
        <f t="shared" ref="S2517:T2520" si="752">"22:20:41.000"</f>
        <v>22:20:41.000</v>
      </c>
      <c r="T2517" t="str">
        <f t="shared" si="752"/>
        <v>22:20:41.000</v>
      </c>
      <c r="U2517" t="str">
        <f t="shared" si="747"/>
        <v>A9D71F</v>
      </c>
      <c r="V2517">
        <v>0</v>
      </c>
      <c r="W2517">
        <v>0</v>
      </c>
      <c r="X2517">
        <v>2</v>
      </c>
      <c r="Z2517">
        <v>1</v>
      </c>
      <c r="AA2517">
        <v>8</v>
      </c>
      <c r="AB2517">
        <v>3</v>
      </c>
      <c r="AC2517">
        <v>0</v>
      </c>
      <c r="AD2517">
        <v>9</v>
      </c>
      <c r="AE2517">
        <v>0</v>
      </c>
      <c r="AF2517">
        <v>3</v>
      </c>
      <c r="AG2517">
        <v>1</v>
      </c>
      <c r="AH2517">
        <v>0</v>
      </c>
      <c r="AI2517" t="s">
        <v>1293</v>
      </c>
      <c r="AJ2517">
        <v>33.012692999999999</v>
      </c>
      <c r="AK2517" t="s">
        <v>1294</v>
      </c>
      <c r="AL2517">
        <v>-97.667169999999999</v>
      </c>
      <c r="AM2517">
        <v>25</v>
      </c>
      <c r="AN2517">
        <v>2200</v>
      </c>
      <c r="AO2517" t="s">
        <v>118</v>
      </c>
      <c r="AP2517">
        <v>46</v>
      </c>
      <c r="AQ2517">
        <v>53</v>
      </c>
      <c r="AR2517">
        <v>-64</v>
      </c>
      <c r="AZ2517">
        <v>1200</v>
      </c>
      <c r="BA2517">
        <v>1</v>
      </c>
      <c r="BB2517" t="str">
        <f t="shared" si="735"/>
        <v xml:space="preserve">N733KP  </v>
      </c>
      <c r="BC2517">
        <v>1</v>
      </c>
      <c r="BE2517">
        <v>0</v>
      </c>
      <c r="BF2517">
        <v>0</v>
      </c>
      <c r="BG2517">
        <v>0</v>
      </c>
      <c r="BH2517">
        <v>2200</v>
      </c>
      <c r="BI2517">
        <v>1</v>
      </c>
      <c r="BJ2517">
        <v>1</v>
      </c>
      <c r="BK2517">
        <v>0</v>
      </c>
      <c r="BL2517">
        <v>0</v>
      </c>
      <c r="BO2517">
        <v>0</v>
      </c>
      <c r="BP2517">
        <v>0</v>
      </c>
      <c r="BW2517" t="str">
        <f>"22:20:41.597"</f>
        <v>22:20:41.597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7</v>
      </c>
      <c r="CP2517" t="s">
        <v>119</v>
      </c>
      <c r="CQ2517">
        <v>364</v>
      </c>
      <c r="CR2517">
        <v>0</v>
      </c>
      <c r="CW2517">
        <v>1464051</v>
      </c>
      <c r="CY2517">
        <v>1</v>
      </c>
      <c r="CZ2517">
        <v>0</v>
      </c>
      <c r="DA2517">
        <v>0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>"03/24/2022 22:20:41.843"</f>
        <v>03/24/2022 22:20:41.843</v>
      </c>
      <c r="C2518" t="str">
        <f t="shared" ref="C2518:C2581" si="753">"FFDFD3C0"</f>
        <v>FFDFD3C0</v>
      </c>
      <c r="D2518" t="s">
        <v>113</v>
      </c>
      <c r="E2518">
        <v>24</v>
      </c>
      <c r="F2518">
        <v>2024</v>
      </c>
      <c r="G2518" t="s">
        <v>114</v>
      </c>
      <c r="J2518" t="s">
        <v>115</v>
      </c>
      <c r="K2518">
        <v>0</v>
      </c>
      <c r="L2518">
        <v>3</v>
      </c>
      <c r="M2518">
        <v>0</v>
      </c>
      <c r="N2518">
        <v>2</v>
      </c>
      <c r="O2518">
        <v>0</v>
      </c>
      <c r="P2518">
        <v>1</v>
      </c>
      <c r="Q2518">
        <v>0</v>
      </c>
      <c r="S2518" t="str">
        <f t="shared" si="752"/>
        <v>22:20:41.000</v>
      </c>
      <c r="T2518" t="str">
        <f t="shared" si="752"/>
        <v>22:20:41.000</v>
      </c>
      <c r="U2518" t="str">
        <f t="shared" si="747"/>
        <v>A9D71F</v>
      </c>
      <c r="V2518">
        <v>0</v>
      </c>
      <c r="W2518">
        <v>0</v>
      </c>
      <c r="X2518">
        <v>2</v>
      </c>
      <c r="Z2518">
        <v>1</v>
      </c>
      <c r="AA2518">
        <v>8</v>
      </c>
      <c r="AB2518">
        <v>3</v>
      </c>
      <c r="AC2518">
        <v>0</v>
      </c>
      <c r="AD2518">
        <v>9</v>
      </c>
      <c r="AE2518">
        <v>0</v>
      </c>
      <c r="AF2518">
        <v>3</v>
      </c>
      <c r="AG2518">
        <v>1</v>
      </c>
      <c r="AH2518">
        <v>0</v>
      </c>
      <c r="AI2518" t="s">
        <v>1293</v>
      </c>
      <c r="AJ2518">
        <v>33.012692999999999</v>
      </c>
      <c r="AK2518" t="s">
        <v>1294</v>
      </c>
      <c r="AL2518">
        <v>-97.667169999999999</v>
      </c>
      <c r="AM2518">
        <v>25</v>
      </c>
      <c r="AN2518">
        <v>2200</v>
      </c>
      <c r="AO2518" t="s">
        <v>118</v>
      </c>
      <c r="AP2518">
        <v>46</v>
      </c>
      <c r="AQ2518">
        <v>53</v>
      </c>
      <c r="AR2518">
        <v>-64</v>
      </c>
      <c r="AZ2518">
        <v>1200</v>
      </c>
      <c r="BA2518">
        <v>1</v>
      </c>
      <c r="BB2518" t="str">
        <f t="shared" ref="BB2518:BB2581" si="754">"N733KP  "</f>
        <v xml:space="preserve">N733KP  </v>
      </c>
      <c r="BC2518">
        <v>1</v>
      </c>
      <c r="BE2518">
        <v>0</v>
      </c>
      <c r="BF2518">
        <v>0</v>
      </c>
      <c r="BG2518">
        <v>0</v>
      </c>
      <c r="BH2518">
        <v>2200</v>
      </c>
      <c r="BI2518">
        <v>1</v>
      </c>
      <c r="BJ2518">
        <v>1</v>
      </c>
      <c r="BK2518">
        <v>0</v>
      </c>
      <c r="BL2518">
        <v>0</v>
      </c>
      <c r="BO2518">
        <v>0</v>
      </c>
      <c r="BP2518">
        <v>0</v>
      </c>
      <c r="BW2518" t="str">
        <f>"22:20:41.597"</f>
        <v>22:20:41.597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7</v>
      </c>
      <c r="CP2518" t="s">
        <v>119</v>
      </c>
      <c r="CQ2518">
        <v>364</v>
      </c>
      <c r="CR2518">
        <v>0</v>
      </c>
      <c r="CW2518">
        <v>1464051</v>
      </c>
      <c r="CY2518">
        <v>1</v>
      </c>
      <c r="CZ2518">
        <v>0</v>
      </c>
      <c r="DA2518">
        <v>1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>"03/24/2022 22:20:41.843"</f>
        <v>03/24/2022 22:20:41.843</v>
      </c>
      <c r="C2519" t="str">
        <f t="shared" si="753"/>
        <v>FFDFD3C0</v>
      </c>
      <c r="D2519" t="s">
        <v>120</v>
      </c>
      <c r="E2519">
        <v>14</v>
      </c>
      <c r="F2519">
        <v>1014</v>
      </c>
      <c r="G2519" t="s">
        <v>121</v>
      </c>
      <c r="J2519" t="s">
        <v>122</v>
      </c>
      <c r="K2519">
        <v>0</v>
      </c>
      <c r="L2519">
        <v>3</v>
      </c>
      <c r="M2519">
        <v>0</v>
      </c>
      <c r="N2519">
        <v>2</v>
      </c>
      <c r="O2519">
        <v>0</v>
      </c>
      <c r="P2519">
        <v>1</v>
      </c>
      <c r="Q2519">
        <v>0</v>
      </c>
      <c r="S2519" t="str">
        <f t="shared" si="752"/>
        <v>22:20:41.000</v>
      </c>
      <c r="T2519" t="str">
        <f t="shared" si="752"/>
        <v>22:20:41.000</v>
      </c>
      <c r="U2519" t="str">
        <f t="shared" si="747"/>
        <v>A9D71F</v>
      </c>
      <c r="V2519">
        <v>0</v>
      </c>
      <c r="W2519">
        <v>0</v>
      </c>
      <c r="X2519">
        <v>2</v>
      </c>
      <c r="Z2519">
        <v>1</v>
      </c>
      <c r="AA2519">
        <v>8</v>
      </c>
      <c r="AB2519">
        <v>3</v>
      </c>
      <c r="AC2519">
        <v>0</v>
      </c>
      <c r="AD2519">
        <v>9</v>
      </c>
      <c r="AE2519">
        <v>0</v>
      </c>
      <c r="AF2519">
        <v>3</v>
      </c>
      <c r="AG2519">
        <v>1</v>
      </c>
      <c r="AH2519">
        <v>0</v>
      </c>
      <c r="AI2519" t="s">
        <v>1293</v>
      </c>
      <c r="AJ2519">
        <v>33.012692999999999</v>
      </c>
      <c r="AK2519" t="s">
        <v>1294</v>
      </c>
      <c r="AL2519">
        <v>-97.667169999999999</v>
      </c>
      <c r="AM2519">
        <v>25</v>
      </c>
      <c r="AN2519">
        <v>2200</v>
      </c>
      <c r="AO2519" t="s">
        <v>118</v>
      </c>
      <c r="AP2519">
        <v>46</v>
      </c>
      <c r="AQ2519">
        <v>53</v>
      </c>
      <c r="AR2519">
        <v>-64</v>
      </c>
      <c r="AZ2519">
        <v>1200</v>
      </c>
      <c r="BA2519">
        <v>1</v>
      </c>
      <c r="BB2519" t="str">
        <f t="shared" si="754"/>
        <v xml:space="preserve">N733KP  </v>
      </c>
      <c r="BC2519">
        <v>1</v>
      </c>
      <c r="BE2519">
        <v>0</v>
      </c>
      <c r="BF2519">
        <v>0</v>
      </c>
      <c r="BG2519">
        <v>0</v>
      </c>
      <c r="BH2519">
        <v>2200</v>
      </c>
      <c r="BI2519">
        <v>1</v>
      </c>
      <c r="BJ2519">
        <v>1</v>
      </c>
      <c r="BK2519">
        <v>0</v>
      </c>
      <c r="BL2519">
        <v>0</v>
      </c>
      <c r="BO2519">
        <v>0</v>
      </c>
      <c r="BP2519">
        <v>0</v>
      </c>
      <c r="BW2519" t="str">
        <f>"22:20:41.597"</f>
        <v>22:20:41.597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7</v>
      </c>
      <c r="CP2519" t="s">
        <v>119</v>
      </c>
      <c r="CQ2519">
        <v>364</v>
      </c>
      <c r="CR2519">
        <v>0</v>
      </c>
      <c r="CW2519">
        <v>1464051</v>
      </c>
      <c r="CY2519">
        <v>1</v>
      </c>
      <c r="CZ2519">
        <v>0</v>
      </c>
      <c r="DA2519">
        <v>1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>"03/24/2022 22:20:41.843"</f>
        <v>03/24/2022 22:20:41.843</v>
      </c>
      <c r="C2520" t="str">
        <f t="shared" si="753"/>
        <v>FFDFD3C0</v>
      </c>
      <c r="D2520" t="s">
        <v>126</v>
      </c>
      <c r="E2520">
        <v>3</v>
      </c>
      <c r="H2520">
        <v>160</v>
      </c>
      <c r="I2520" t="s">
        <v>121</v>
      </c>
      <c r="J2520" t="s">
        <v>127</v>
      </c>
      <c r="K2520">
        <v>0</v>
      </c>
      <c r="L2520">
        <v>3</v>
      </c>
      <c r="M2520">
        <v>0</v>
      </c>
      <c r="N2520">
        <v>2</v>
      </c>
      <c r="O2520">
        <v>0</v>
      </c>
      <c r="P2520">
        <v>1</v>
      </c>
      <c r="Q2520">
        <v>0</v>
      </c>
      <c r="S2520" t="str">
        <f t="shared" si="752"/>
        <v>22:20:41.000</v>
      </c>
      <c r="T2520" t="str">
        <f t="shared" si="752"/>
        <v>22:20:41.000</v>
      </c>
      <c r="U2520" t="str">
        <f t="shared" si="747"/>
        <v>A9D71F</v>
      </c>
      <c r="V2520">
        <v>0</v>
      </c>
      <c r="W2520">
        <v>0</v>
      </c>
      <c r="X2520">
        <v>2</v>
      </c>
      <c r="Z2520">
        <v>1</v>
      </c>
      <c r="AA2520">
        <v>8</v>
      </c>
      <c r="AB2520">
        <v>3</v>
      </c>
      <c r="AC2520">
        <v>0</v>
      </c>
      <c r="AD2520">
        <v>9</v>
      </c>
      <c r="AE2520">
        <v>0</v>
      </c>
      <c r="AF2520">
        <v>3</v>
      </c>
      <c r="AG2520">
        <v>1</v>
      </c>
      <c r="AH2520">
        <v>0</v>
      </c>
      <c r="AI2520" t="s">
        <v>1293</v>
      </c>
      <c r="AJ2520">
        <v>33.012692999999999</v>
      </c>
      <c r="AK2520" t="s">
        <v>1294</v>
      </c>
      <c r="AL2520">
        <v>-97.667169999999999</v>
      </c>
      <c r="AM2520">
        <v>25</v>
      </c>
      <c r="AN2520">
        <v>2200</v>
      </c>
      <c r="AO2520" t="s">
        <v>118</v>
      </c>
      <c r="AP2520">
        <v>46</v>
      </c>
      <c r="AQ2520">
        <v>53</v>
      </c>
      <c r="AR2520">
        <v>-64</v>
      </c>
      <c r="AZ2520">
        <v>1200</v>
      </c>
      <c r="BA2520">
        <v>1</v>
      </c>
      <c r="BB2520" t="str">
        <f t="shared" si="754"/>
        <v xml:space="preserve">N733KP  </v>
      </c>
      <c r="BC2520">
        <v>1</v>
      </c>
      <c r="BE2520">
        <v>0</v>
      </c>
      <c r="BF2520">
        <v>0</v>
      </c>
      <c r="BG2520">
        <v>0</v>
      </c>
      <c r="BH2520">
        <v>2200</v>
      </c>
      <c r="BI2520">
        <v>1</v>
      </c>
      <c r="BJ2520">
        <v>1</v>
      </c>
      <c r="BK2520">
        <v>0</v>
      </c>
      <c r="BL2520">
        <v>0</v>
      </c>
      <c r="BO2520">
        <v>0</v>
      </c>
      <c r="BP2520">
        <v>0</v>
      </c>
      <c r="BW2520" t="str">
        <f>"22:20:41.597"</f>
        <v>22:20:41.597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7</v>
      </c>
      <c r="CP2520" t="s">
        <v>119</v>
      </c>
      <c r="CQ2520">
        <v>364</v>
      </c>
      <c r="CR2520">
        <v>0</v>
      </c>
      <c r="CW2520">
        <v>1464051</v>
      </c>
      <c r="CY2520">
        <v>1</v>
      </c>
      <c r="CZ2520">
        <v>0</v>
      </c>
      <c r="DA2520">
        <v>1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>"03/24/2022 22:20:42.625"</f>
        <v>03/24/2022 22:20:42.625</v>
      </c>
      <c r="C2521" t="str">
        <f t="shared" si="753"/>
        <v>FFDFD3C0</v>
      </c>
      <c r="D2521" t="s">
        <v>126</v>
      </c>
      <c r="E2521">
        <v>3</v>
      </c>
      <c r="H2521">
        <v>160</v>
      </c>
      <c r="I2521" t="s">
        <v>121</v>
      </c>
      <c r="J2521" t="s">
        <v>127</v>
      </c>
      <c r="K2521">
        <v>0</v>
      </c>
      <c r="L2521">
        <v>3</v>
      </c>
      <c r="M2521">
        <v>0</v>
      </c>
      <c r="N2521">
        <v>2</v>
      </c>
      <c r="O2521">
        <v>0</v>
      </c>
      <c r="P2521">
        <v>1</v>
      </c>
      <c r="Q2521">
        <v>0</v>
      </c>
      <c r="S2521" t="str">
        <f t="shared" ref="S2521:T2524" si="755">"22:20:42.000"</f>
        <v>22:20:42.000</v>
      </c>
      <c r="T2521" t="str">
        <f t="shared" si="755"/>
        <v>22:20:42.000</v>
      </c>
      <c r="U2521" t="str">
        <f t="shared" si="747"/>
        <v>A9D71F</v>
      </c>
      <c r="V2521">
        <v>0</v>
      </c>
      <c r="W2521">
        <v>0</v>
      </c>
      <c r="X2521">
        <v>2</v>
      </c>
      <c r="Z2521">
        <v>1</v>
      </c>
      <c r="AA2521">
        <v>8</v>
      </c>
      <c r="AB2521">
        <v>3</v>
      </c>
      <c r="AC2521">
        <v>0</v>
      </c>
      <c r="AD2521">
        <v>9</v>
      </c>
      <c r="AE2521">
        <v>0</v>
      </c>
      <c r="AF2521">
        <v>3</v>
      </c>
      <c r="AG2521">
        <v>1</v>
      </c>
      <c r="AH2521">
        <v>0</v>
      </c>
      <c r="AI2521" t="s">
        <v>1295</v>
      </c>
      <c r="AJ2521">
        <v>33.012949999999996</v>
      </c>
      <c r="AK2521" t="s">
        <v>1296</v>
      </c>
      <c r="AL2521">
        <v>-97.666911999999996</v>
      </c>
      <c r="AM2521">
        <v>25</v>
      </c>
      <c r="AN2521">
        <v>2200</v>
      </c>
      <c r="AO2521" t="s">
        <v>118</v>
      </c>
      <c r="AP2521">
        <v>51</v>
      </c>
      <c r="AQ2521">
        <v>51</v>
      </c>
      <c r="AR2521">
        <v>-128</v>
      </c>
      <c r="AZ2521">
        <v>1200</v>
      </c>
      <c r="BA2521">
        <v>1</v>
      </c>
      <c r="BB2521" t="str">
        <f t="shared" si="754"/>
        <v xml:space="preserve">N733KP  </v>
      </c>
      <c r="BC2521">
        <v>1</v>
      </c>
      <c r="BE2521">
        <v>0</v>
      </c>
      <c r="BF2521">
        <v>0</v>
      </c>
      <c r="BG2521">
        <v>0</v>
      </c>
      <c r="BH2521">
        <v>2200</v>
      </c>
      <c r="BI2521">
        <v>1</v>
      </c>
      <c r="BJ2521">
        <v>1</v>
      </c>
      <c r="BK2521">
        <v>0</v>
      </c>
      <c r="BL2521">
        <v>0</v>
      </c>
      <c r="BO2521">
        <v>0</v>
      </c>
      <c r="BP2521">
        <v>0</v>
      </c>
      <c r="BW2521" t="str">
        <f>"22:20:42.426"</f>
        <v>22:20:42.426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7</v>
      </c>
      <c r="CP2521" t="s">
        <v>119</v>
      </c>
      <c r="CQ2521">
        <v>364</v>
      </c>
      <c r="CR2521">
        <v>0</v>
      </c>
      <c r="CW2521">
        <v>1464169</v>
      </c>
      <c r="CY2521">
        <v>1</v>
      </c>
      <c r="CZ2521">
        <v>0</v>
      </c>
      <c r="DA2521">
        <v>0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>"03/24/2022 22:20:42.656"</f>
        <v>03/24/2022 22:20:42.656</v>
      </c>
      <c r="C2522" t="str">
        <f t="shared" si="753"/>
        <v>FFDFD3C0</v>
      </c>
      <c r="D2522" t="s">
        <v>123</v>
      </c>
      <c r="E2522">
        <v>8</v>
      </c>
      <c r="H2522">
        <v>31</v>
      </c>
      <c r="I2522" t="s">
        <v>124</v>
      </c>
      <c r="J2522" t="s">
        <v>125</v>
      </c>
      <c r="K2522">
        <v>0</v>
      </c>
      <c r="L2522">
        <v>3</v>
      </c>
      <c r="M2522">
        <v>0</v>
      </c>
      <c r="N2522">
        <v>2</v>
      </c>
      <c r="O2522">
        <v>0</v>
      </c>
      <c r="P2522">
        <v>1</v>
      </c>
      <c r="Q2522">
        <v>0</v>
      </c>
      <c r="S2522" t="str">
        <f t="shared" si="755"/>
        <v>22:20:42.000</v>
      </c>
      <c r="T2522" t="str">
        <f t="shared" si="755"/>
        <v>22:20:42.000</v>
      </c>
      <c r="U2522" t="str">
        <f t="shared" si="747"/>
        <v>A9D71F</v>
      </c>
      <c r="V2522">
        <v>0</v>
      </c>
      <c r="W2522">
        <v>0</v>
      </c>
      <c r="X2522">
        <v>2</v>
      </c>
      <c r="Z2522">
        <v>1</v>
      </c>
      <c r="AA2522">
        <v>8</v>
      </c>
      <c r="AB2522">
        <v>3</v>
      </c>
      <c r="AC2522">
        <v>0</v>
      </c>
      <c r="AD2522">
        <v>9</v>
      </c>
      <c r="AE2522">
        <v>0</v>
      </c>
      <c r="AF2522">
        <v>3</v>
      </c>
      <c r="AG2522">
        <v>1</v>
      </c>
      <c r="AH2522">
        <v>0</v>
      </c>
      <c r="AI2522" t="s">
        <v>1295</v>
      </c>
      <c r="AJ2522">
        <v>33.012949999999996</v>
      </c>
      <c r="AK2522" t="s">
        <v>1296</v>
      </c>
      <c r="AL2522">
        <v>-97.666911999999996</v>
      </c>
      <c r="AM2522">
        <v>25</v>
      </c>
      <c r="AN2522">
        <v>2200</v>
      </c>
      <c r="AO2522" t="s">
        <v>118</v>
      </c>
      <c r="AP2522">
        <v>51</v>
      </c>
      <c r="AQ2522">
        <v>51</v>
      </c>
      <c r="AR2522">
        <v>-128</v>
      </c>
      <c r="AZ2522">
        <v>1200</v>
      </c>
      <c r="BA2522">
        <v>1</v>
      </c>
      <c r="BB2522" t="str">
        <f t="shared" si="754"/>
        <v xml:space="preserve">N733KP  </v>
      </c>
      <c r="BC2522">
        <v>1</v>
      </c>
      <c r="BE2522">
        <v>0</v>
      </c>
      <c r="BF2522">
        <v>0</v>
      </c>
      <c r="BG2522">
        <v>0</v>
      </c>
      <c r="BH2522">
        <v>2200</v>
      </c>
      <c r="BI2522">
        <v>1</v>
      </c>
      <c r="BJ2522">
        <v>1</v>
      </c>
      <c r="BK2522">
        <v>0</v>
      </c>
      <c r="BL2522">
        <v>0</v>
      </c>
      <c r="BO2522">
        <v>0</v>
      </c>
      <c r="BP2522">
        <v>0</v>
      </c>
      <c r="BW2522" t="str">
        <f>"22:20:42.426"</f>
        <v>22:20:42.426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7</v>
      </c>
      <c r="CP2522" t="s">
        <v>119</v>
      </c>
      <c r="CQ2522">
        <v>364</v>
      </c>
      <c r="CR2522">
        <v>0</v>
      </c>
      <c r="CW2522">
        <v>1464169</v>
      </c>
      <c r="CY2522">
        <v>1</v>
      </c>
      <c r="CZ2522">
        <v>0</v>
      </c>
      <c r="DA2522">
        <v>1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>"03/24/2022 22:20:42.734"</f>
        <v>03/24/2022 22:20:42.734</v>
      </c>
      <c r="C2523" t="str">
        <f t="shared" si="753"/>
        <v>FFDFD3C0</v>
      </c>
      <c r="D2523" t="s">
        <v>120</v>
      </c>
      <c r="E2523">
        <v>14</v>
      </c>
      <c r="F2523">
        <v>1014</v>
      </c>
      <c r="G2523" t="s">
        <v>121</v>
      </c>
      <c r="J2523" t="s">
        <v>122</v>
      </c>
      <c r="K2523">
        <v>0</v>
      </c>
      <c r="L2523">
        <v>3</v>
      </c>
      <c r="M2523">
        <v>0</v>
      </c>
      <c r="N2523">
        <v>2</v>
      </c>
      <c r="O2523">
        <v>0</v>
      </c>
      <c r="P2523">
        <v>1</v>
      </c>
      <c r="Q2523">
        <v>0</v>
      </c>
      <c r="S2523" t="str">
        <f t="shared" si="755"/>
        <v>22:20:42.000</v>
      </c>
      <c r="T2523" t="str">
        <f t="shared" si="755"/>
        <v>22:20:42.000</v>
      </c>
      <c r="U2523" t="str">
        <f t="shared" si="747"/>
        <v>A9D71F</v>
      </c>
      <c r="V2523">
        <v>0</v>
      </c>
      <c r="W2523">
        <v>0</v>
      </c>
      <c r="X2523">
        <v>2</v>
      </c>
      <c r="Z2523">
        <v>1</v>
      </c>
      <c r="AA2523">
        <v>8</v>
      </c>
      <c r="AB2523">
        <v>3</v>
      </c>
      <c r="AC2523">
        <v>0</v>
      </c>
      <c r="AD2523">
        <v>9</v>
      </c>
      <c r="AE2523">
        <v>0</v>
      </c>
      <c r="AF2523">
        <v>3</v>
      </c>
      <c r="AG2523">
        <v>1</v>
      </c>
      <c r="AH2523">
        <v>0</v>
      </c>
      <c r="AI2523" t="s">
        <v>1295</v>
      </c>
      <c r="AJ2523">
        <v>33.012949999999996</v>
      </c>
      <c r="AK2523" t="s">
        <v>1296</v>
      </c>
      <c r="AL2523">
        <v>-97.666911999999996</v>
      </c>
      <c r="AM2523">
        <v>25</v>
      </c>
      <c r="AN2523">
        <v>2200</v>
      </c>
      <c r="AO2523" t="s">
        <v>118</v>
      </c>
      <c r="AP2523">
        <v>51</v>
      </c>
      <c r="AQ2523">
        <v>51</v>
      </c>
      <c r="AR2523">
        <v>-128</v>
      </c>
      <c r="AZ2523">
        <v>1200</v>
      </c>
      <c r="BA2523">
        <v>1</v>
      </c>
      <c r="BB2523" t="str">
        <f t="shared" si="754"/>
        <v xml:space="preserve">N733KP  </v>
      </c>
      <c r="BC2523">
        <v>1</v>
      </c>
      <c r="BE2523">
        <v>0</v>
      </c>
      <c r="BF2523">
        <v>0</v>
      </c>
      <c r="BG2523">
        <v>0</v>
      </c>
      <c r="BH2523">
        <v>2200</v>
      </c>
      <c r="BI2523">
        <v>1</v>
      </c>
      <c r="BJ2523">
        <v>1</v>
      </c>
      <c r="BK2523">
        <v>0</v>
      </c>
      <c r="BL2523">
        <v>0</v>
      </c>
      <c r="BO2523">
        <v>0</v>
      </c>
      <c r="BP2523">
        <v>0</v>
      </c>
      <c r="BW2523" t="str">
        <f>"22:20:42.426"</f>
        <v>22:20:42.426</v>
      </c>
      <c r="CJ2523">
        <v>0</v>
      </c>
      <c r="CK2523">
        <v>2</v>
      </c>
      <c r="CL2523">
        <v>0</v>
      </c>
      <c r="CM2523">
        <v>2</v>
      </c>
      <c r="CN2523">
        <v>0</v>
      </c>
      <c r="CO2523">
        <v>7</v>
      </c>
      <c r="CP2523" t="s">
        <v>119</v>
      </c>
      <c r="CQ2523">
        <v>364</v>
      </c>
      <c r="CR2523">
        <v>0</v>
      </c>
      <c r="CW2523">
        <v>1464169</v>
      </c>
      <c r="CY2523">
        <v>1</v>
      </c>
      <c r="CZ2523">
        <v>0</v>
      </c>
      <c r="DA2523">
        <v>1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>"03/24/2022 22:20:42.734"</f>
        <v>03/24/2022 22:20:42.734</v>
      </c>
      <c r="C2524" t="str">
        <f t="shared" si="753"/>
        <v>FFDFD3C0</v>
      </c>
      <c r="D2524" t="s">
        <v>113</v>
      </c>
      <c r="E2524">
        <v>24</v>
      </c>
      <c r="F2524">
        <v>2024</v>
      </c>
      <c r="G2524" t="s">
        <v>114</v>
      </c>
      <c r="J2524" t="s">
        <v>115</v>
      </c>
      <c r="K2524">
        <v>0</v>
      </c>
      <c r="L2524">
        <v>3</v>
      </c>
      <c r="M2524">
        <v>0</v>
      </c>
      <c r="N2524">
        <v>2</v>
      </c>
      <c r="O2524">
        <v>0</v>
      </c>
      <c r="P2524">
        <v>1</v>
      </c>
      <c r="Q2524">
        <v>0</v>
      </c>
      <c r="S2524" t="str">
        <f t="shared" si="755"/>
        <v>22:20:42.000</v>
      </c>
      <c r="T2524" t="str">
        <f t="shared" si="755"/>
        <v>22:20:42.000</v>
      </c>
      <c r="U2524" t="str">
        <f t="shared" si="747"/>
        <v>A9D71F</v>
      </c>
      <c r="V2524">
        <v>0</v>
      </c>
      <c r="W2524">
        <v>0</v>
      </c>
      <c r="X2524">
        <v>2</v>
      </c>
      <c r="Z2524">
        <v>1</v>
      </c>
      <c r="AA2524">
        <v>8</v>
      </c>
      <c r="AB2524">
        <v>3</v>
      </c>
      <c r="AC2524">
        <v>0</v>
      </c>
      <c r="AD2524">
        <v>9</v>
      </c>
      <c r="AE2524">
        <v>0</v>
      </c>
      <c r="AF2524">
        <v>3</v>
      </c>
      <c r="AG2524">
        <v>1</v>
      </c>
      <c r="AH2524">
        <v>0</v>
      </c>
      <c r="AI2524" t="s">
        <v>1295</v>
      </c>
      <c r="AJ2524">
        <v>33.012949999999996</v>
      </c>
      <c r="AK2524" t="s">
        <v>1296</v>
      </c>
      <c r="AL2524">
        <v>-97.666911999999996</v>
      </c>
      <c r="AM2524">
        <v>25</v>
      </c>
      <c r="AN2524">
        <v>2200</v>
      </c>
      <c r="AO2524" t="s">
        <v>118</v>
      </c>
      <c r="AP2524">
        <v>51</v>
      </c>
      <c r="AQ2524">
        <v>51</v>
      </c>
      <c r="AR2524">
        <v>-128</v>
      </c>
      <c r="AZ2524">
        <v>1200</v>
      </c>
      <c r="BA2524">
        <v>1</v>
      </c>
      <c r="BB2524" t="str">
        <f t="shared" si="754"/>
        <v xml:space="preserve">N733KP  </v>
      </c>
      <c r="BC2524">
        <v>1</v>
      </c>
      <c r="BE2524">
        <v>0</v>
      </c>
      <c r="BF2524">
        <v>0</v>
      </c>
      <c r="BG2524">
        <v>0</v>
      </c>
      <c r="BH2524">
        <v>2200</v>
      </c>
      <c r="BI2524">
        <v>1</v>
      </c>
      <c r="BJ2524">
        <v>1</v>
      </c>
      <c r="BK2524">
        <v>0</v>
      </c>
      <c r="BL2524">
        <v>0</v>
      </c>
      <c r="BO2524">
        <v>0</v>
      </c>
      <c r="BP2524">
        <v>0</v>
      </c>
      <c r="BW2524" t="str">
        <f>"22:20:42.426"</f>
        <v>22:20:42.426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364</v>
      </c>
      <c r="CR2524">
        <v>0</v>
      </c>
      <c r="CW2524">
        <v>1464169</v>
      </c>
      <c r="CY2524">
        <v>1</v>
      </c>
      <c r="CZ2524">
        <v>0</v>
      </c>
      <c r="DA2524">
        <v>1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>"03/24/2022 22:20:43.423"</f>
        <v>03/24/2022 22:20:43.423</v>
      </c>
      <c r="C2525" t="str">
        <f t="shared" si="753"/>
        <v>FFDFD3C0</v>
      </c>
      <c r="D2525" t="s">
        <v>123</v>
      </c>
      <c r="E2525">
        <v>8</v>
      </c>
      <c r="H2525">
        <v>31</v>
      </c>
      <c r="I2525" t="s">
        <v>124</v>
      </c>
      <c r="J2525" t="s">
        <v>125</v>
      </c>
      <c r="K2525">
        <v>0</v>
      </c>
      <c r="L2525">
        <v>3</v>
      </c>
      <c r="M2525">
        <v>0</v>
      </c>
      <c r="N2525">
        <v>2</v>
      </c>
      <c r="O2525">
        <v>0</v>
      </c>
      <c r="P2525">
        <v>1</v>
      </c>
      <c r="Q2525">
        <v>0</v>
      </c>
      <c r="S2525" t="str">
        <f t="shared" ref="S2525:T2528" si="756">"22:20:43.000"</f>
        <v>22:20:43.000</v>
      </c>
      <c r="T2525" t="str">
        <f t="shared" si="756"/>
        <v>22:20:43.000</v>
      </c>
      <c r="U2525" t="str">
        <f t="shared" si="747"/>
        <v>A9D71F</v>
      </c>
      <c r="V2525">
        <v>0</v>
      </c>
      <c r="W2525">
        <v>0</v>
      </c>
      <c r="X2525">
        <v>2</v>
      </c>
      <c r="Z2525">
        <v>1</v>
      </c>
      <c r="AA2525">
        <v>8</v>
      </c>
      <c r="AB2525">
        <v>3</v>
      </c>
      <c r="AC2525">
        <v>0</v>
      </c>
      <c r="AD2525">
        <v>9</v>
      </c>
      <c r="AE2525">
        <v>0</v>
      </c>
      <c r="AF2525">
        <v>3</v>
      </c>
      <c r="AG2525">
        <v>1</v>
      </c>
      <c r="AH2525">
        <v>0</v>
      </c>
      <c r="AI2525" t="s">
        <v>1297</v>
      </c>
      <c r="AJ2525">
        <v>33.013207999999999</v>
      </c>
      <c r="AK2525" t="s">
        <v>1298</v>
      </c>
      <c r="AL2525">
        <v>-97.666633000000004</v>
      </c>
      <c r="AM2525">
        <v>25</v>
      </c>
      <c r="AN2525">
        <v>2200</v>
      </c>
      <c r="AO2525" t="s">
        <v>118</v>
      </c>
      <c r="AP2525">
        <v>51</v>
      </c>
      <c r="AQ2525">
        <v>51</v>
      </c>
      <c r="AR2525">
        <v>-256</v>
      </c>
      <c r="AZ2525">
        <v>1200</v>
      </c>
      <c r="BA2525">
        <v>1</v>
      </c>
      <c r="BB2525" t="str">
        <f t="shared" si="754"/>
        <v xml:space="preserve">N733KP  </v>
      </c>
      <c r="BC2525">
        <v>1</v>
      </c>
      <c r="BE2525">
        <v>0</v>
      </c>
      <c r="BF2525">
        <v>0</v>
      </c>
      <c r="BG2525">
        <v>0</v>
      </c>
      <c r="BH2525">
        <v>2200</v>
      </c>
      <c r="BI2525">
        <v>1</v>
      </c>
      <c r="BJ2525">
        <v>1</v>
      </c>
      <c r="BK2525">
        <v>0</v>
      </c>
      <c r="BL2525">
        <v>0</v>
      </c>
      <c r="BO2525">
        <v>0</v>
      </c>
      <c r="BP2525">
        <v>0</v>
      </c>
      <c r="BW2525" t="str">
        <f>"22:20:43.215"</f>
        <v>22:20:43.215</v>
      </c>
      <c r="CJ2525">
        <v>0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364</v>
      </c>
      <c r="CR2525">
        <v>0</v>
      </c>
      <c r="CW2525">
        <v>1464287</v>
      </c>
      <c r="CY2525">
        <v>1</v>
      </c>
      <c r="CZ2525">
        <v>0</v>
      </c>
      <c r="DA2525">
        <v>0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>"03/24/2022 22:20:43.423"</f>
        <v>03/24/2022 22:20:43.423</v>
      </c>
      <c r="C2526" t="str">
        <f t="shared" si="753"/>
        <v>FFDFD3C0</v>
      </c>
      <c r="D2526" t="s">
        <v>120</v>
      </c>
      <c r="E2526">
        <v>14</v>
      </c>
      <c r="F2526">
        <v>1014</v>
      </c>
      <c r="G2526" t="s">
        <v>121</v>
      </c>
      <c r="J2526" t="s">
        <v>122</v>
      </c>
      <c r="K2526">
        <v>0</v>
      </c>
      <c r="L2526">
        <v>3</v>
      </c>
      <c r="M2526">
        <v>0</v>
      </c>
      <c r="N2526">
        <v>2</v>
      </c>
      <c r="O2526">
        <v>0</v>
      </c>
      <c r="P2526">
        <v>1</v>
      </c>
      <c r="Q2526">
        <v>0</v>
      </c>
      <c r="S2526" t="str">
        <f t="shared" si="756"/>
        <v>22:20:43.000</v>
      </c>
      <c r="T2526" t="str">
        <f t="shared" si="756"/>
        <v>22:20:43.000</v>
      </c>
      <c r="U2526" t="str">
        <f t="shared" si="747"/>
        <v>A9D71F</v>
      </c>
      <c r="V2526">
        <v>0</v>
      </c>
      <c r="W2526">
        <v>0</v>
      </c>
      <c r="X2526">
        <v>2</v>
      </c>
      <c r="Z2526">
        <v>1</v>
      </c>
      <c r="AA2526">
        <v>8</v>
      </c>
      <c r="AB2526">
        <v>3</v>
      </c>
      <c r="AC2526">
        <v>0</v>
      </c>
      <c r="AD2526">
        <v>9</v>
      </c>
      <c r="AE2526">
        <v>0</v>
      </c>
      <c r="AF2526">
        <v>3</v>
      </c>
      <c r="AG2526">
        <v>1</v>
      </c>
      <c r="AH2526">
        <v>0</v>
      </c>
      <c r="AI2526" t="s">
        <v>1297</v>
      </c>
      <c r="AJ2526">
        <v>33.013207999999999</v>
      </c>
      <c r="AK2526" t="s">
        <v>1298</v>
      </c>
      <c r="AL2526">
        <v>-97.666633000000004</v>
      </c>
      <c r="AM2526">
        <v>25</v>
      </c>
      <c r="AN2526">
        <v>2200</v>
      </c>
      <c r="AO2526" t="s">
        <v>118</v>
      </c>
      <c r="AP2526">
        <v>51</v>
      </c>
      <c r="AQ2526">
        <v>51</v>
      </c>
      <c r="AR2526">
        <v>-256</v>
      </c>
      <c r="AZ2526">
        <v>1200</v>
      </c>
      <c r="BA2526">
        <v>1</v>
      </c>
      <c r="BB2526" t="str">
        <f t="shared" si="754"/>
        <v xml:space="preserve">N733KP  </v>
      </c>
      <c r="BC2526">
        <v>1</v>
      </c>
      <c r="BE2526">
        <v>0</v>
      </c>
      <c r="BF2526">
        <v>0</v>
      </c>
      <c r="BG2526">
        <v>0</v>
      </c>
      <c r="BH2526">
        <v>2200</v>
      </c>
      <c r="BI2526">
        <v>1</v>
      </c>
      <c r="BJ2526">
        <v>1</v>
      </c>
      <c r="BK2526">
        <v>0</v>
      </c>
      <c r="BL2526">
        <v>0</v>
      </c>
      <c r="BO2526">
        <v>0</v>
      </c>
      <c r="BP2526">
        <v>0</v>
      </c>
      <c r="BW2526" t="str">
        <f>"22:20:43.215"</f>
        <v>22:20:43.215</v>
      </c>
      <c r="CJ2526">
        <v>0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364</v>
      </c>
      <c r="CR2526">
        <v>0</v>
      </c>
      <c r="CW2526">
        <v>1464287</v>
      </c>
      <c r="CY2526">
        <v>1</v>
      </c>
      <c r="CZ2526">
        <v>0</v>
      </c>
      <c r="DA2526">
        <v>1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>"03/24/2022 22:20:43.423"</f>
        <v>03/24/2022 22:20:43.423</v>
      </c>
      <c r="C2527" t="str">
        <f t="shared" si="753"/>
        <v>FFDFD3C0</v>
      </c>
      <c r="D2527" t="s">
        <v>113</v>
      </c>
      <c r="E2527">
        <v>24</v>
      </c>
      <c r="F2527">
        <v>2024</v>
      </c>
      <c r="G2527" t="s">
        <v>114</v>
      </c>
      <c r="J2527" t="s">
        <v>115</v>
      </c>
      <c r="K2527">
        <v>0</v>
      </c>
      <c r="L2527">
        <v>3</v>
      </c>
      <c r="M2527">
        <v>0</v>
      </c>
      <c r="N2527">
        <v>2</v>
      </c>
      <c r="O2527">
        <v>0</v>
      </c>
      <c r="P2527">
        <v>1</v>
      </c>
      <c r="Q2527">
        <v>0</v>
      </c>
      <c r="S2527" t="str">
        <f t="shared" si="756"/>
        <v>22:20:43.000</v>
      </c>
      <c r="T2527" t="str">
        <f t="shared" si="756"/>
        <v>22:20:43.000</v>
      </c>
      <c r="U2527" t="str">
        <f t="shared" si="747"/>
        <v>A9D71F</v>
      </c>
      <c r="V2527">
        <v>0</v>
      </c>
      <c r="W2527">
        <v>0</v>
      </c>
      <c r="X2527">
        <v>2</v>
      </c>
      <c r="Z2527">
        <v>1</v>
      </c>
      <c r="AA2527">
        <v>8</v>
      </c>
      <c r="AB2527">
        <v>3</v>
      </c>
      <c r="AC2527">
        <v>0</v>
      </c>
      <c r="AD2527">
        <v>9</v>
      </c>
      <c r="AE2527">
        <v>0</v>
      </c>
      <c r="AF2527">
        <v>3</v>
      </c>
      <c r="AG2527">
        <v>1</v>
      </c>
      <c r="AH2527">
        <v>0</v>
      </c>
      <c r="AI2527" t="s">
        <v>1297</v>
      </c>
      <c r="AJ2527">
        <v>33.013207999999999</v>
      </c>
      <c r="AK2527" t="s">
        <v>1298</v>
      </c>
      <c r="AL2527">
        <v>-97.666633000000004</v>
      </c>
      <c r="AM2527">
        <v>25</v>
      </c>
      <c r="AN2527">
        <v>2200</v>
      </c>
      <c r="AO2527" t="s">
        <v>118</v>
      </c>
      <c r="AP2527">
        <v>51</v>
      </c>
      <c r="AQ2527">
        <v>51</v>
      </c>
      <c r="AR2527">
        <v>-256</v>
      </c>
      <c r="AZ2527">
        <v>1200</v>
      </c>
      <c r="BA2527">
        <v>1</v>
      </c>
      <c r="BB2527" t="str">
        <f t="shared" si="754"/>
        <v xml:space="preserve">N733KP  </v>
      </c>
      <c r="BC2527">
        <v>1</v>
      </c>
      <c r="BE2527">
        <v>0</v>
      </c>
      <c r="BF2527">
        <v>0</v>
      </c>
      <c r="BG2527">
        <v>0</v>
      </c>
      <c r="BH2527">
        <v>2200</v>
      </c>
      <c r="BI2527">
        <v>1</v>
      </c>
      <c r="BJ2527">
        <v>1</v>
      </c>
      <c r="BK2527">
        <v>0</v>
      </c>
      <c r="BL2527">
        <v>0</v>
      </c>
      <c r="BO2527">
        <v>0</v>
      </c>
      <c r="BP2527">
        <v>0</v>
      </c>
      <c r="BW2527" t="str">
        <f>"22:20:43.215"</f>
        <v>22:20:43.215</v>
      </c>
      <c r="CJ2527">
        <v>0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364</v>
      </c>
      <c r="CR2527">
        <v>0</v>
      </c>
      <c r="CW2527">
        <v>1464287</v>
      </c>
      <c r="CY2527">
        <v>1</v>
      </c>
      <c r="CZ2527">
        <v>0</v>
      </c>
      <c r="DA2527">
        <v>1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>"03/24/2022 22:20:43.440"</f>
        <v>03/24/2022 22:20:43.440</v>
      </c>
      <c r="C2528" t="str">
        <f t="shared" si="753"/>
        <v>FFDFD3C0</v>
      </c>
      <c r="D2528" t="s">
        <v>126</v>
      </c>
      <c r="E2528">
        <v>3</v>
      </c>
      <c r="H2528">
        <v>160</v>
      </c>
      <c r="I2528" t="s">
        <v>121</v>
      </c>
      <c r="J2528" t="s">
        <v>127</v>
      </c>
      <c r="K2528">
        <v>0</v>
      </c>
      <c r="L2528">
        <v>3</v>
      </c>
      <c r="M2528">
        <v>0</v>
      </c>
      <c r="N2528">
        <v>2</v>
      </c>
      <c r="O2528">
        <v>0</v>
      </c>
      <c r="P2528">
        <v>1</v>
      </c>
      <c r="Q2528">
        <v>0</v>
      </c>
      <c r="S2528" t="str">
        <f t="shared" si="756"/>
        <v>22:20:43.000</v>
      </c>
      <c r="T2528" t="str">
        <f t="shared" si="756"/>
        <v>22:20:43.000</v>
      </c>
      <c r="U2528" t="str">
        <f t="shared" si="747"/>
        <v>A9D71F</v>
      </c>
      <c r="V2528">
        <v>0</v>
      </c>
      <c r="W2528">
        <v>0</v>
      </c>
      <c r="X2528">
        <v>2</v>
      </c>
      <c r="Z2528">
        <v>1</v>
      </c>
      <c r="AA2528">
        <v>8</v>
      </c>
      <c r="AB2528">
        <v>3</v>
      </c>
      <c r="AC2528">
        <v>0</v>
      </c>
      <c r="AD2528">
        <v>9</v>
      </c>
      <c r="AE2528">
        <v>0</v>
      </c>
      <c r="AF2528">
        <v>3</v>
      </c>
      <c r="AG2528">
        <v>1</v>
      </c>
      <c r="AH2528">
        <v>0</v>
      </c>
      <c r="AI2528" t="s">
        <v>1297</v>
      </c>
      <c r="AJ2528">
        <v>33.013207999999999</v>
      </c>
      <c r="AK2528" t="s">
        <v>1298</v>
      </c>
      <c r="AL2528">
        <v>-97.666633000000004</v>
      </c>
      <c r="AM2528">
        <v>25</v>
      </c>
      <c r="AN2528">
        <v>2200</v>
      </c>
      <c r="AO2528" t="s">
        <v>118</v>
      </c>
      <c r="AP2528">
        <v>51</v>
      </c>
      <c r="AQ2528">
        <v>51</v>
      </c>
      <c r="AR2528">
        <v>-256</v>
      </c>
      <c r="AZ2528">
        <v>1200</v>
      </c>
      <c r="BA2528">
        <v>1</v>
      </c>
      <c r="BB2528" t="str">
        <f t="shared" si="754"/>
        <v xml:space="preserve">N733KP  </v>
      </c>
      <c r="BC2528">
        <v>1</v>
      </c>
      <c r="BE2528">
        <v>0</v>
      </c>
      <c r="BF2528">
        <v>0</v>
      </c>
      <c r="BG2528">
        <v>0</v>
      </c>
      <c r="BH2528">
        <v>2200</v>
      </c>
      <c r="BI2528">
        <v>1</v>
      </c>
      <c r="BJ2528">
        <v>1</v>
      </c>
      <c r="BK2528">
        <v>0</v>
      </c>
      <c r="BL2528">
        <v>0</v>
      </c>
      <c r="BO2528">
        <v>0</v>
      </c>
      <c r="BP2528">
        <v>0</v>
      </c>
      <c r="BW2528" t="str">
        <f>"22:20:43.215"</f>
        <v>22:20:43.215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7</v>
      </c>
      <c r="CP2528" t="s">
        <v>119</v>
      </c>
      <c r="CQ2528">
        <v>364</v>
      </c>
      <c r="CR2528">
        <v>0</v>
      </c>
      <c r="CW2528">
        <v>1464287</v>
      </c>
      <c r="CY2528">
        <v>1</v>
      </c>
      <c r="CZ2528">
        <v>0</v>
      </c>
      <c r="DA2528">
        <v>1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>"03/24/2022 22:20:45.068"</f>
        <v>03/24/2022 22:20:45.068</v>
      </c>
      <c r="C2529" t="str">
        <f t="shared" si="753"/>
        <v>FFDFD3C0</v>
      </c>
      <c r="D2529" t="s">
        <v>126</v>
      </c>
      <c r="E2529">
        <v>3</v>
      </c>
      <c r="H2529">
        <v>160</v>
      </c>
      <c r="I2529" t="s">
        <v>121</v>
      </c>
      <c r="J2529" t="s">
        <v>127</v>
      </c>
      <c r="K2529">
        <v>0</v>
      </c>
      <c r="L2529">
        <v>3</v>
      </c>
      <c r="M2529">
        <v>0</v>
      </c>
      <c r="N2529">
        <v>2</v>
      </c>
      <c r="O2529">
        <v>0</v>
      </c>
      <c r="P2529">
        <v>1</v>
      </c>
      <c r="Q2529">
        <v>0</v>
      </c>
      <c r="S2529" t="str">
        <f t="shared" ref="S2529:T2532" si="757">"22:20:44.000"</f>
        <v>22:20:44.000</v>
      </c>
      <c r="T2529" t="str">
        <f t="shared" si="757"/>
        <v>22:20:44.000</v>
      </c>
      <c r="U2529" t="str">
        <f t="shared" si="747"/>
        <v>A9D71F</v>
      </c>
      <c r="V2529">
        <v>0</v>
      </c>
      <c r="W2529">
        <v>0</v>
      </c>
      <c r="X2529">
        <v>2</v>
      </c>
      <c r="Z2529">
        <v>1</v>
      </c>
      <c r="AA2529">
        <v>8</v>
      </c>
      <c r="AB2529">
        <v>3</v>
      </c>
      <c r="AC2529">
        <v>0</v>
      </c>
      <c r="AD2529">
        <v>9</v>
      </c>
      <c r="AE2529">
        <v>0</v>
      </c>
      <c r="AF2529">
        <v>3</v>
      </c>
      <c r="AG2529">
        <v>1</v>
      </c>
      <c r="AH2529">
        <v>0</v>
      </c>
      <c r="AI2529" t="s">
        <v>1299</v>
      </c>
      <c r="AJ2529">
        <v>33.013444</v>
      </c>
      <c r="AK2529" t="s">
        <v>1300</v>
      </c>
      <c r="AL2529">
        <v>-97.666332999999995</v>
      </c>
      <c r="AM2529">
        <v>25</v>
      </c>
      <c r="AN2529">
        <v>2200</v>
      </c>
      <c r="AO2529" t="s">
        <v>118</v>
      </c>
      <c r="AP2529">
        <v>55</v>
      </c>
      <c r="AQ2529">
        <v>48</v>
      </c>
      <c r="AR2529">
        <v>-384</v>
      </c>
      <c r="AZ2529">
        <v>1200</v>
      </c>
      <c r="BA2529">
        <v>1</v>
      </c>
      <c r="BB2529" t="str">
        <f t="shared" si="754"/>
        <v xml:space="preserve">N733KP  </v>
      </c>
      <c r="BC2529">
        <v>1</v>
      </c>
      <c r="BE2529">
        <v>0</v>
      </c>
      <c r="BF2529">
        <v>0</v>
      </c>
      <c r="BG2529">
        <v>0</v>
      </c>
      <c r="BH2529">
        <v>2200</v>
      </c>
      <c r="BI2529">
        <v>1</v>
      </c>
      <c r="BJ2529">
        <v>1</v>
      </c>
      <c r="BK2529">
        <v>0</v>
      </c>
      <c r="BL2529">
        <v>0</v>
      </c>
      <c r="BO2529">
        <v>0</v>
      </c>
      <c r="BP2529">
        <v>0</v>
      </c>
      <c r="BW2529" t="str">
        <f>"22:20:44.850"</f>
        <v>22:20:44.850</v>
      </c>
      <c r="CJ2529">
        <v>0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119</v>
      </c>
      <c r="CQ2529">
        <v>364</v>
      </c>
      <c r="CR2529">
        <v>0</v>
      </c>
      <c r="CW2529">
        <v>1464533</v>
      </c>
      <c r="CY2529">
        <v>1</v>
      </c>
      <c r="CZ2529">
        <v>0</v>
      </c>
      <c r="DA2529">
        <v>0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>"03/24/2022 22:20:45.068"</f>
        <v>03/24/2022 22:20:45.068</v>
      </c>
      <c r="C2530" t="str">
        <f t="shared" si="753"/>
        <v>FFDFD3C0</v>
      </c>
      <c r="D2530" t="s">
        <v>123</v>
      </c>
      <c r="E2530">
        <v>8</v>
      </c>
      <c r="H2530">
        <v>31</v>
      </c>
      <c r="I2530" t="s">
        <v>124</v>
      </c>
      <c r="J2530" t="s">
        <v>125</v>
      </c>
      <c r="K2530">
        <v>0</v>
      </c>
      <c r="L2530">
        <v>3</v>
      </c>
      <c r="M2530">
        <v>0</v>
      </c>
      <c r="N2530">
        <v>2</v>
      </c>
      <c r="O2530">
        <v>0</v>
      </c>
      <c r="P2530">
        <v>1</v>
      </c>
      <c r="Q2530">
        <v>0</v>
      </c>
      <c r="S2530" t="str">
        <f t="shared" si="757"/>
        <v>22:20:44.000</v>
      </c>
      <c r="T2530" t="str">
        <f t="shared" si="757"/>
        <v>22:20:44.000</v>
      </c>
      <c r="U2530" t="str">
        <f t="shared" si="747"/>
        <v>A9D71F</v>
      </c>
      <c r="V2530">
        <v>0</v>
      </c>
      <c r="W2530">
        <v>0</v>
      </c>
      <c r="X2530">
        <v>2</v>
      </c>
      <c r="Z2530">
        <v>1</v>
      </c>
      <c r="AA2530">
        <v>8</v>
      </c>
      <c r="AB2530">
        <v>3</v>
      </c>
      <c r="AC2530">
        <v>0</v>
      </c>
      <c r="AD2530">
        <v>9</v>
      </c>
      <c r="AE2530">
        <v>0</v>
      </c>
      <c r="AF2530">
        <v>3</v>
      </c>
      <c r="AG2530">
        <v>1</v>
      </c>
      <c r="AH2530">
        <v>0</v>
      </c>
      <c r="AI2530" t="s">
        <v>1299</v>
      </c>
      <c r="AJ2530">
        <v>33.013444</v>
      </c>
      <c r="AK2530" t="s">
        <v>1300</v>
      </c>
      <c r="AL2530">
        <v>-97.666332999999995</v>
      </c>
      <c r="AM2530">
        <v>25</v>
      </c>
      <c r="AN2530">
        <v>2200</v>
      </c>
      <c r="AO2530" t="s">
        <v>118</v>
      </c>
      <c r="AP2530">
        <v>55</v>
      </c>
      <c r="AQ2530">
        <v>48</v>
      </c>
      <c r="AR2530">
        <v>-384</v>
      </c>
      <c r="AZ2530">
        <v>1200</v>
      </c>
      <c r="BA2530">
        <v>1</v>
      </c>
      <c r="BB2530" t="str">
        <f t="shared" si="754"/>
        <v xml:space="preserve">N733KP  </v>
      </c>
      <c r="BC2530">
        <v>1</v>
      </c>
      <c r="BE2530">
        <v>0</v>
      </c>
      <c r="BF2530">
        <v>0</v>
      </c>
      <c r="BG2530">
        <v>0</v>
      </c>
      <c r="BH2530">
        <v>2200</v>
      </c>
      <c r="BI2530">
        <v>1</v>
      </c>
      <c r="BJ2530">
        <v>1</v>
      </c>
      <c r="BK2530">
        <v>0</v>
      </c>
      <c r="BL2530">
        <v>0</v>
      </c>
      <c r="BO2530">
        <v>0</v>
      </c>
      <c r="BP2530">
        <v>0</v>
      </c>
      <c r="BW2530" t="str">
        <f>"22:20:44.850"</f>
        <v>22:20:44.850</v>
      </c>
      <c r="CJ2530">
        <v>0</v>
      </c>
      <c r="CK2530">
        <v>2</v>
      </c>
      <c r="CL2530">
        <v>0</v>
      </c>
      <c r="CM2530">
        <v>2</v>
      </c>
      <c r="CN2530">
        <v>0</v>
      </c>
      <c r="CO2530">
        <v>7</v>
      </c>
      <c r="CP2530" t="s">
        <v>119</v>
      </c>
      <c r="CQ2530">
        <v>364</v>
      </c>
      <c r="CR2530">
        <v>0</v>
      </c>
      <c r="CW2530">
        <v>1464533</v>
      </c>
      <c r="CY2530">
        <v>1</v>
      </c>
      <c r="CZ2530">
        <v>0</v>
      </c>
      <c r="DA2530">
        <v>1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>"03/24/2022 22:20:45.068"</f>
        <v>03/24/2022 22:20:45.068</v>
      </c>
      <c r="C2531" t="str">
        <f t="shared" si="753"/>
        <v>FFDFD3C0</v>
      </c>
      <c r="D2531" t="s">
        <v>120</v>
      </c>
      <c r="E2531">
        <v>14</v>
      </c>
      <c r="F2531">
        <v>1014</v>
      </c>
      <c r="G2531" t="s">
        <v>121</v>
      </c>
      <c r="J2531" t="s">
        <v>122</v>
      </c>
      <c r="K2531">
        <v>0</v>
      </c>
      <c r="L2531">
        <v>3</v>
      </c>
      <c r="M2531">
        <v>0</v>
      </c>
      <c r="N2531">
        <v>2</v>
      </c>
      <c r="O2531">
        <v>0</v>
      </c>
      <c r="P2531">
        <v>1</v>
      </c>
      <c r="Q2531">
        <v>0</v>
      </c>
      <c r="S2531" t="str">
        <f t="shared" si="757"/>
        <v>22:20:44.000</v>
      </c>
      <c r="T2531" t="str">
        <f t="shared" si="757"/>
        <v>22:20:44.000</v>
      </c>
      <c r="U2531" t="str">
        <f t="shared" si="747"/>
        <v>A9D71F</v>
      </c>
      <c r="V2531">
        <v>0</v>
      </c>
      <c r="W2531">
        <v>0</v>
      </c>
      <c r="X2531">
        <v>2</v>
      </c>
      <c r="Z2531">
        <v>1</v>
      </c>
      <c r="AA2531">
        <v>8</v>
      </c>
      <c r="AB2531">
        <v>3</v>
      </c>
      <c r="AC2531">
        <v>0</v>
      </c>
      <c r="AD2531">
        <v>9</v>
      </c>
      <c r="AE2531">
        <v>0</v>
      </c>
      <c r="AF2531">
        <v>3</v>
      </c>
      <c r="AG2531">
        <v>1</v>
      </c>
      <c r="AH2531">
        <v>0</v>
      </c>
      <c r="AI2531" t="s">
        <v>1299</v>
      </c>
      <c r="AJ2531">
        <v>33.013444</v>
      </c>
      <c r="AK2531" t="s">
        <v>1300</v>
      </c>
      <c r="AL2531">
        <v>-97.666332999999995</v>
      </c>
      <c r="AM2531">
        <v>25</v>
      </c>
      <c r="AN2531">
        <v>2200</v>
      </c>
      <c r="AO2531" t="s">
        <v>118</v>
      </c>
      <c r="AP2531">
        <v>55</v>
      </c>
      <c r="AQ2531">
        <v>48</v>
      </c>
      <c r="AR2531">
        <v>-384</v>
      </c>
      <c r="AZ2531">
        <v>1200</v>
      </c>
      <c r="BA2531">
        <v>1</v>
      </c>
      <c r="BB2531" t="str">
        <f t="shared" si="754"/>
        <v xml:space="preserve">N733KP  </v>
      </c>
      <c r="BC2531">
        <v>1</v>
      </c>
      <c r="BE2531">
        <v>0</v>
      </c>
      <c r="BF2531">
        <v>0</v>
      </c>
      <c r="BG2531">
        <v>0</v>
      </c>
      <c r="BH2531">
        <v>2200</v>
      </c>
      <c r="BI2531">
        <v>1</v>
      </c>
      <c r="BJ2531">
        <v>1</v>
      </c>
      <c r="BK2531">
        <v>0</v>
      </c>
      <c r="BL2531">
        <v>0</v>
      </c>
      <c r="BO2531">
        <v>0</v>
      </c>
      <c r="BP2531">
        <v>0</v>
      </c>
      <c r="BW2531" t="str">
        <f>"22:20:44.850"</f>
        <v>22:20:44.850</v>
      </c>
      <c r="CJ2531">
        <v>0</v>
      </c>
      <c r="CK2531">
        <v>2</v>
      </c>
      <c r="CL2531">
        <v>0</v>
      </c>
      <c r="CM2531">
        <v>2</v>
      </c>
      <c r="CN2531">
        <v>0</v>
      </c>
      <c r="CO2531">
        <v>7</v>
      </c>
      <c r="CP2531" t="s">
        <v>119</v>
      </c>
      <c r="CQ2531">
        <v>364</v>
      </c>
      <c r="CR2531">
        <v>0</v>
      </c>
      <c r="CW2531">
        <v>1464533</v>
      </c>
      <c r="CY2531">
        <v>1</v>
      </c>
      <c r="CZ2531">
        <v>0</v>
      </c>
      <c r="DA2531">
        <v>1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>"03/24/2022 22:20:45.068"</f>
        <v>03/24/2022 22:20:45.068</v>
      </c>
      <c r="C2532" t="str">
        <f t="shared" si="753"/>
        <v>FFDFD3C0</v>
      </c>
      <c r="D2532" t="s">
        <v>113</v>
      </c>
      <c r="E2532">
        <v>24</v>
      </c>
      <c r="F2532">
        <v>2024</v>
      </c>
      <c r="G2532" t="s">
        <v>114</v>
      </c>
      <c r="J2532" t="s">
        <v>115</v>
      </c>
      <c r="K2532">
        <v>0</v>
      </c>
      <c r="L2532">
        <v>3</v>
      </c>
      <c r="M2532">
        <v>0</v>
      </c>
      <c r="N2532">
        <v>2</v>
      </c>
      <c r="O2532">
        <v>0</v>
      </c>
      <c r="P2532">
        <v>1</v>
      </c>
      <c r="Q2532">
        <v>0</v>
      </c>
      <c r="S2532" t="str">
        <f t="shared" si="757"/>
        <v>22:20:44.000</v>
      </c>
      <c r="T2532" t="str">
        <f t="shared" si="757"/>
        <v>22:20:44.000</v>
      </c>
      <c r="U2532" t="str">
        <f t="shared" si="747"/>
        <v>A9D71F</v>
      </c>
      <c r="V2532">
        <v>0</v>
      </c>
      <c r="W2532">
        <v>0</v>
      </c>
      <c r="X2532">
        <v>2</v>
      </c>
      <c r="Z2532">
        <v>1</v>
      </c>
      <c r="AA2532">
        <v>8</v>
      </c>
      <c r="AB2532">
        <v>3</v>
      </c>
      <c r="AC2532">
        <v>0</v>
      </c>
      <c r="AD2532">
        <v>9</v>
      </c>
      <c r="AE2532">
        <v>0</v>
      </c>
      <c r="AF2532">
        <v>3</v>
      </c>
      <c r="AG2532">
        <v>1</v>
      </c>
      <c r="AH2532">
        <v>0</v>
      </c>
      <c r="AI2532" t="s">
        <v>1299</v>
      </c>
      <c r="AJ2532">
        <v>33.013444</v>
      </c>
      <c r="AK2532" t="s">
        <v>1300</v>
      </c>
      <c r="AL2532">
        <v>-97.666332999999995</v>
      </c>
      <c r="AM2532">
        <v>25</v>
      </c>
      <c r="AN2532">
        <v>2200</v>
      </c>
      <c r="AO2532" t="s">
        <v>118</v>
      </c>
      <c r="AP2532">
        <v>55</v>
      </c>
      <c r="AQ2532">
        <v>48</v>
      </c>
      <c r="AR2532">
        <v>-384</v>
      </c>
      <c r="AZ2532">
        <v>1200</v>
      </c>
      <c r="BA2532">
        <v>1</v>
      </c>
      <c r="BB2532" t="str">
        <f t="shared" si="754"/>
        <v xml:space="preserve">N733KP  </v>
      </c>
      <c r="BC2532">
        <v>1</v>
      </c>
      <c r="BE2532">
        <v>0</v>
      </c>
      <c r="BF2532">
        <v>0</v>
      </c>
      <c r="BG2532">
        <v>0</v>
      </c>
      <c r="BH2532">
        <v>2200</v>
      </c>
      <c r="BI2532">
        <v>1</v>
      </c>
      <c r="BJ2532">
        <v>1</v>
      </c>
      <c r="BK2532">
        <v>0</v>
      </c>
      <c r="BL2532">
        <v>0</v>
      </c>
      <c r="BO2532">
        <v>0</v>
      </c>
      <c r="BP2532">
        <v>0</v>
      </c>
      <c r="BW2532" t="str">
        <f>"22:20:44.850"</f>
        <v>22:20:44.850</v>
      </c>
      <c r="CJ2532">
        <v>0</v>
      </c>
      <c r="CK2532">
        <v>2</v>
      </c>
      <c r="CL2532">
        <v>0</v>
      </c>
      <c r="CM2532">
        <v>2</v>
      </c>
      <c r="CN2532">
        <v>0</v>
      </c>
      <c r="CO2532">
        <v>7</v>
      </c>
      <c r="CP2532" t="s">
        <v>119</v>
      </c>
      <c r="CQ2532">
        <v>364</v>
      </c>
      <c r="CR2532">
        <v>0</v>
      </c>
      <c r="CW2532">
        <v>1464533</v>
      </c>
      <c r="CY2532">
        <v>1</v>
      </c>
      <c r="CZ2532">
        <v>0</v>
      </c>
      <c r="DA2532">
        <v>1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>"03/24/2022 22:20:45.615"</f>
        <v>03/24/2022 22:20:45.615</v>
      </c>
      <c r="C2533" t="str">
        <f t="shared" si="753"/>
        <v>FFDFD3C0</v>
      </c>
      <c r="D2533" t="s">
        <v>123</v>
      </c>
      <c r="E2533">
        <v>8</v>
      </c>
      <c r="H2533">
        <v>31</v>
      </c>
      <c r="I2533" t="s">
        <v>124</v>
      </c>
      <c r="J2533" t="s">
        <v>125</v>
      </c>
      <c r="K2533">
        <v>0</v>
      </c>
      <c r="L2533">
        <v>3</v>
      </c>
      <c r="M2533">
        <v>0</v>
      </c>
      <c r="N2533">
        <v>2</v>
      </c>
      <c r="O2533">
        <v>0</v>
      </c>
      <c r="P2533">
        <v>1</v>
      </c>
      <c r="Q2533">
        <v>0</v>
      </c>
      <c r="S2533" t="str">
        <f t="shared" ref="S2533:T2536" si="758">"22:20:45.000"</f>
        <v>22:20:45.000</v>
      </c>
      <c r="T2533" t="str">
        <f t="shared" si="758"/>
        <v>22:20:45.000</v>
      </c>
      <c r="U2533" t="str">
        <f t="shared" si="747"/>
        <v>A9D71F</v>
      </c>
      <c r="V2533">
        <v>0</v>
      </c>
      <c r="W2533">
        <v>0</v>
      </c>
      <c r="X2533">
        <v>2</v>
      </c>
      <c r="Z2533">
        <v>1</v>
      </c>
      <c r="AA2533">
        <v>8</v>
      </c>
      <c r="AB2533">
        <v>3</v>
      </c>
      <c r="AC2533">
        <v>0</v>
      </c>
      <c r="AD2533">
        <v>9</v>
      </c>
      <c r="AE2533">
        <v>0</v>
      </c>
      <c r="AF2533">
        <v>3</v>
      </c>
      <c r="AG2533">
        <v>1</v>
      </c>
      <c r="AH2533">
        <v>0</v>
      </c>
      <c r="AI2533" t="s">
        <v>1154</v>
      </c>
      <c r="AJ2533">
        <v>33.013700999999998</v>
      </c>
      <c r="AK2533" t="s">
        <v>1301</v>
      </c>
      <c r="AL2533">
        <v>-97.666032000000001</v>
      </c>
      <c r="AM2533">
        <v>25</v>
      </c>
      <c r="AN2533">
        <v>2200</v>
      </c>
      <c r="AO2533" t="s">
        <v>118</v>
      </c>
      <c r="AP2533">
        <v>57</v>
      </c>
      <c r="AQ2533">
        <v>48</v>
      </c>
      <c r="AR2533">
        <v>-512</v>
      </c>
      <c r="AZ2533">
        <v>1200</v>
      </c>
      <c r="BA2533">
        <v>1</v>
      </c>
      <c r="BB2533" t="str">
        <f t="shared" si="754"/>
        <v xml:space="preserve">N733KP  </v>
      </c>
      <c r="BC2533">
        <v>1</v>
      </c>
      <c r="BE2533">
        <v>0</v>
      </c>
      <c r="BF2533">
        <v>0</v>
      </c>
      <c r="BG2533">
        <v>0</v>
      </c>
      <c r="BH2533">
        <v>2200</v>
      </c>
      <c r="BI2533">
        <v>1</v>
      </c>
      <c r="BJ2533">
        <v>1</v>
      </c>
      <c r="BK2533">
        <v>0</v>
      </c>
      <c r="BL2533">
        <v>0</v>
      </c>
      <c r="BO2533">
        <v>0</v>
      </c>
      <c r="BP2533">
        <v>0</v>
      </c>
      <c r="BW2533" t="str">
        <f>"22:20:45.446"</f>
        <v>22:20:45.446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7</v>
      </c>
      <c r="CP2533" t="s">
        <v>119</v>
      </c>
      <c r="CQ2533">
        <v>364</v>
      </c>
      <c r="CR2533">
        <v>0</v>
      </c>
      <c r="CW2533">
        <v>1464630</v>
      </c>
      <c r="CY2533">
        <v>1</v>
      </c>
      <c r="CZ2533">
        <v>0</v>
      </c>
      <c r="DA2533">
        <v>0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>"03/24/2022 22:20:45.615"</f>
        <v>03/24/2022 22:20:45.615</v>
      </c>
      <c r="C2534" t="str">
        <f t="shared" si="753"/>
        <v>FFDFD3C0</v>
      </c>
      <c r="D2534" t="s">
        <v>113</v>
      </c>
      <c r="E2534">
        <v>24</v>
      </c>
      <c r="F2534">
        <v>2024</v>
      </c>
      <c r="G2534" t="s">
        <v>114</v>
      </c>
      <c r="J2534" t="s">
        <v>115</v>
      </c>
      <c r="K2534">
        <v>0</v>
      </c>
      <c r="L2534">
        <v>3</v>
      </c>
      <c r="M2534">
        <v>0</v>
      </c>
      <c r="N2534">
        <v>2</v>
      </c>
      <c r="O2534">
        <v>0</v>
      </c>
      <c r="P2534">
        <v>1</v>
      </c>
      <c r="Q2534">
        <v>0</v>
      </c>
      <c r="S2534" t="str">
        <f t="shared" si="758"/>
        <v>22:20:45.000</v>
      </c>
      <c r="T2534" t="str">
        <f t="shared" si="758"/>
        <v>22:20:45.000</v>
      </c>
      <c r="U2534" t="str">
        <f t="shared" si="747"/>
        <v>A9D71F</v>
      </c>
      <c r="V2534">
        <v>0</v>
      </c>
      <c r="W2534">
        <v>0</v>
      </c>
      <c r="X2534">
        <v>2</v>
      </c>
      <c r="Z2534">
        <v>1</v>
      </c>
      <c r="AA2534">
        <v>8</v>
      </c>
      <c r="AB2534">
        <v>3</v>
      </c>
      <c r="AC2534">
        <v>0</v>
      </c>
      <c r="AD2534">
        <v>9</v>
      </c>
      <c r="AE2534">
        <v>0</v>
      </c>
      <c r="AF2534">
        <v>3</v>
      </c>
      <c r="AG2534">
        <v>1</v>
      </c>
      <c r="AH2534">
        <v>0</v>
      </c>
      <c r="AI2534" t="s">
        <v>1154</v>
      </c>
      <c r="AJ2534">
        <v>33.013700999999998</v>
      </c>
      <c r="AK2534" t="s">
        <v>1301</v>
      </c>
      <c r="AL2534">
        <v>-97.666032000000001</v>
      </c>
      <c r="AM2534">
        <v>25</v>
      </c>
      <c r="AN2534">
        <v>2200</v>
      </c>
      <c r="AO2534" t="s">
        <v>118</v>
      </c>
      <c r="AP2534">
        <v>57</v>
      </c>
      <c r="AQ2534">
        <v>48</v>
      </c>
      <c r="AR2534">
        <v>-512</v>
      </c>
      <c r="AZ2534">
        <v>1200</v>
      </c>
      <c r="BA2534">
        <v>1</v>
      </c>
      <c r="BB2534" t="str">
        <f t="shared" si="754"/>
        <v xml:space="preserve">N733KP  </v>
      </c>
      <c r="BC2534">
        <v>1</v>
      </c>
      <c r="BE2534">
        <v>0</v>
      </c>
      <c r="BF2534">
        <v>0</v>
      </c>
      <c r="BG2534">
        <v>0</v>
      </c>
      <c r="BH2534">
        <v>2200</v>
      </c>
      <c r="BI2534">
        <v>1</v>
      </c>
      <c r="BJ2534">
        <v>1</v>
      </c>
      <c r="BK2534">
        <v>0</v>
      </c>
      <c r="BL2534">
        <v>0</v>
      </c>
      <c r="BO2534">
        <v>0</v>
      </c>
      <c r="BP2534">
        <v>0</v>
      </c>
      <c r="BW2534" t="str">
        <f>"22:20:45.446"</f>
        <v>22:20:45.446</v>
      </c>
      <c r="CJ2534">
        <v>0</v>
      </c>
      <c r="CK2534">
        <v>2</v>
      </c>
      <c r="CL2534">
        <v>0</v>
      </c>
      <c r="CM2534">
        <v>2</v>
      </c>
      <c r="CN2534">
        <v>0</v>
      </c>
      <c r="CO2534">
        <v>7</v>
      </c>
      <c r="CP2534" t="s">
        <v>119</v>
      </c>
      <c r="CQ2534">
        <v>364</v>
      </c>
      <c r="CR2534">
        <v>0</v>
      </c>
      <c r="CW2534">
        <v>1464630</v>
      </c>
      <c r="CY2534">
        <v>1</v>
      </c>
      <c r="CZ2534">
        <v>0</v>
      </c>
      <c r="DA2534">
        <v>1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>"03/24/2022 22:20:45.615"</f>
        <v>03/24/2022 22:20:45.615</v>
      </c>
      <c r="C2535" t="str">
        <f t="shared" si="753"/>
        <v>FFDFD3C0</v>
      </c>
      <c r="D2535" t="s">
        <v>120</v>
      </c>
      <c r="E2535">
        <v>14</v>
      </c>
      <c r="F2535">
        <v>1014</v>
      </c>
      <c r="G2535" t="s">
        <v>121</v>
      </c>
      <c r="J2535" t="s">
        <v>122</v>
      </c>
      <c r="K2535">
        <v>0</v>
      </c>
      <c r="L2535">
        <v>3</v>
      </c>
      <c r="M2535">
        <v>0</v>
      </c>
      <c r="N2535">
        <v>2</v>
      </c>
      <c r="O2535">
        <v>0</v>
      </c>
      <c r="P2535">
        <v>1</v>
      </c>
      <c r="Q2535">
        <v>0</v>
      </c>
      <c r="S2535" t="str">
        <f t="shared" si="758"/>
        <v>22:20:45.000</v>
      </c>
      <c r="T2535" t="str">
        <f t="shared" si="758"/>
        <v>22:20:45.000</v>
      </c>
      <c r="U2535" t="str">
        <f t="shared" si="747"/>
        <v>A9D71F</v>
      </c>
      <c r="V2535">
        <v>0</v>
      </c>
      <c r="W2535">
        <v>0</v>
      </c>
      <c r="X2535">
        <v>2</v>
      </c>
      <c r="Z2535">
        <v>1</v>
      </c>
      <c r="AA2535">
        <v>8</v>
      </c>
      <c r="AB2535">
        <v>3</v>
      </c>
      <c r="AC2535">
        <v>0</v>
      </c>
      <c r="AD2535">
        <v>9</v>
      </c>
      <c r="AE2535">
        <v>0</v>
      </c>
      <c r="AF2535">
        <v>3</v>
      </c>
      <c r="AG2535">
        <v>1</v>
      </c>
      <c r="AH2535">
        <v>0</v>
      </c>
      <c r="AI2535" t="s">
        <v>1154</v>
      </c>
      <c r="AJ2535">
        <v>33.013700999999998</v>
      </c>
      <c r="AK2535" t="s">
        <v>1301</v>
      </c>
      <c r="AL2535">
        <v>-97.666032000000001</v>
      </c>
      <c r="AM2535">
        <v>25</v>
      </c>
      <c r="AN2535">
        <v>2200</v>
      </c>
      <c r="AO2535" t="s">
        <v>118</v>
      </c>
      <c r="AP2535">
        <v>57</v>
      </c>
      <c r="AQ2535">
        <v>48</v>
      </c>
      <c r="AR2535">
        <v>-512</v>
      </c>
      <c r="AZ2535">
        <v>1200</v>
      </c>
      <c r="BA2535">
        <v>1</v>
      </c>
      <c r="BB2535" t="str">
        <f t="shared" si="754"/>
        <v xml:space="preserve">N733KP  </v>
      </c>
      <c r="BC2535">
        <v>1</v>
      </c>
      <c r="BE2535">
        <v>0</v>
      </c>
      <c r="BF2535">
        <v>0</v>
      </c>
      <c r="BG2535">
        <v>0</v>
      </c>
      <c r="BH2535">
        <v>2200</v>
      </c>
      <c r="BI2535">
        <v>1</v>
      </c>
      <c r="BJ2535">
        <v>1</v>
      </c>
      <c r="BK2535">
        <v>0</v>
      </c>
      <c r="BL2535">
        <v>0</v>
      </c>
      <c r="BO2535">
        <v>0</v>
      </c>
      <c r="BP2535">
        <v>0</v>
      </c>
      <c r="BW2535" t="str">
        <f>"22:20:45.446"</f>
        <v>22:20:45.446</v>
      </c>
      <c r="CJ2535">
        <v>0</v>
      </c>
      <c r="CK2535">
        <v>2</v>
      </c>
      <c r="CL2535">
        <v>0</v>
      </c>
      <c r="CM2535">
        <v>2</v>
      </c>
      <c r="CN2535">
        <v>0</v>
      </c>
      <c r="CO2535">
        <v>7</v>
      </c>
      <c r="CP2535" t="s">
        <v>119</v>
      </c>
      <c r="CQ2535">
        <v>364</v>
      </c>
      <c r="CR2535">
        <v>0</v>
      </c>
      <c r="CW2535">
        <v>1464630</v>
      </c>
      <c r="CY2535">
        <v>1</v>
      </c>
      <c r="CZ2535">
        <v>0</v>
      </c>
      <c r="DA2535">
        <v>1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>"03/24/2022 22:20:45.709"</f>
        <v>03/24/2022 22:20:45.709</v>
      </c>
      <c r="C2536" t="str">
        <f t="shared" si="753"/>
        <v>FFDFD3C0</v>
      </c>
      <c r="D2536" t="s">
        <v>126</v>
      </c>
      <c r="E2536">
        <v>3</v>
      </c>
      <c r="H2536">
        <v>160</v>
      </c>
      <c r="I2536" t="s">
        <v>121</v>
      </c>
      <c r="J2536" t="s">
        <v>127</v>
      </c>
      <c r="K2536">
        <v>0</v>
      </c>
      <c r="L2536">
        <v>3</v>
      </c>
      <c r="M2536">
        <v>0</v>
      </c>
      <c r="N2536">
        <v>2</v>
      </c>
      <c r="O2536">
        <v>0</v>
      </c>
      <c r="P2536">
        <v>1</v>
      </c>
      <c r="Q2536">
        <v>0</v>
      </c>
      <c r="S2536" t="str">
        <f t="shared" si="758"/>
        <v>22:20:45.000</v>
      </c>
      <c r="T2536" t="str">
        <f t="shared" si="758"/>
        <v>22:20:45.000</v>
      </c>
      <c r="U2536" t="str">
        <f t="shared" si="747"/>
        <v>A9D71F</v>
      </c>
      <c r="V2536">
        <v>0</v>
      </c>
      <c r="W2536">
        <v>0</v>
      </c>
      <c r="X2536">
        <v>2</v>
      </c>
      <c r="Z2536">
        <v>1</v>
      </c>
      <c r="AA2536">
        <v>8</v>
      </c>
      <c r="AB2536">
        <v>3</v>
      </c>
      <c r="AC2536">
        <v>0</v>
      </c>
      <c r="AD2536">
        <v>9</v>
      </c>
      <c r="AE2536">
        <v>0</v>
      </c>
      <c r="AF2536">
        <v>3</v>
      </c>
      <c r="AG2536">
        <v>1</v>
      </c>
      <c r="AH2536">
        <v>0</v>
      </c>
      <c r="AI2536" t="s">
        <v>1154</v>
      </c>
      <c r="AJ2536">
        <v>33.013700999999998</v>
      </c>
      <c r="AK2536" t="s">
        <v>1301</v>
      </c>
      <c r="AL2536">
        <v>-97.666032000000001</v>
      </c>
      <c r="AM2536">
        <v>25</v>
      </c>
      <c r="AN2536">
        <v>2200</v>
      </c>
      <c r="AO2536" t="s">
        <v>118</v>
      </c>
      <c r="AP2536">
        <v>57</v>
      </c>
      <c r="AQ2536">
        <v>48</v>
      </c>
      <c r="AR2536">
        <v>-512</v>
      </c>
      <c r="AZ2536">
        <v>1200</v>
      </c>
      <c r="BA2536">
        <v>1</v>
      </c>
      <c r="BB2536" t="str">
        <f t="shared" si="754"/>
        <v xml:space="preserve">N733KP  </v>
      </c>
      <c r="BC2536">
        <v>1</v>
      </c>
      <c r="BE2536">
        <v>0</v>
      </c>
      <c r="BF2536">
        <v>0</v>
      </c>
      <c r="BG2536">
        <v>0</v>
      </c>
      <c r="BH2536">
        <v>2200</v>
      </c>
      <c r="BI2536">
        <v>1</v>
      </c>
      <c r="BJ2536">
        <v>1</v>
      </c>
      <c r="BK2536">
        <v>0</v>
      </c>
      <c r="BL2536">
        <v>0</v>
      </c>
      <c r="BO2536">
        <v>0</v>
      </c>
      <c r="BP2536">
        <v>0</v>
      </c>
      <c r="BW2536" t="str">
        <f>"22:20:45.446"</f>
        <v>22:20:45.446</v>
      </c>
      <c r="CJ2536">
        <v>0</v>
      </c>
      <c r="CK2536">
        <v>2</v>
      </c>
      <c r="CL2536">
        <v>0</v>
      </c>
      <c r="CM2536">
        <v>2</v>
      </c>
      <c r="CN2536">
        <v>0</v>
      </c>
      <c r="CO2536">
        <v>7</v>
      </c>
      <c r="CP2536" t="s">
        <v>119</v>
      </c>
      <c r="CQ2536">
        <v>364</v>
      </c>
      <c r="CR2536">
        <v>0</v>
      </c>
      <c r="CW2536">
        <v>1464630</v>
      </c>
      <c r="CY2536">
        <v>1</v>
      </c>
      <c r="CZ2536">
        <v>0</v>
      </c>
      <c r="DA2536">
        <v>1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>"03/24/2022 22:20:47.037"</f>
        <v>03/24/2022 22:20:47.037</v>
      </c>
      <c r="C2537" t="str">
        <f t="shared" si="753"/>
        <v>FFDFD3C0</v>
      </c>
      <c r="D2537" t="s">
        <v>123</v>
      </c>
      <c r="E2537">
        <v>8</v>
      </c>
      <c r="H2537">
        <v>31</v>
      </c>
      <c r="I2537" t="s">
        <v>124</v>
      </c>
      <c r="J2537" t="s">
        <v>125</v>
      </c>
      <c r="K2537">
        <v>0</v>
      </c>
      <c r="L2537">
        <v>3</v>
      </c>
      <c r="M2537">
        <v>0</v>
      </c>
      <c r="N2537">
        <v>2</v>
      </c>
      <c r="O2537">
        <v>0</v>
      </c>
      <c r="P2537">
        <v>1</v>
      </c>
      <c r="Q2537">
        <v>0</v>
      </c>
      <c r="S2537" t="str">
        <f t="shared" ref="S2537:T2540" si="759">"22:20:46.000"</f>
        <v>22:20:46.000</v>
      </c>
      <c r="T2537" t="str">
        <f t="shared" si="759"/>
        <v>22:20:46.000</v>
      </c>
      <c r="U2537" t="str">
        <f t="shared" si="747"/>
        <v>A9D71F</v>
      </c>
      <c r="V2537">
        <v>0</v>
      </c>
      <c r="W2537">
        <v>0</v>
      </c>
      <c r="X2537">
        <v>2</v>
      </c>
      <c r="Z2537">
        <v>1</v>
      </c>
      <c r="AA2537">
        <v>8</v>
      </c>
      <c r="AB2537">
        <v>3</v>
      </c>
      <c r="AC2537">
        <v>0</v>
      </c>
      <c r="AD2537">
        <v>9</v>
      </c>
      <c r="AE2537">
        <v>0</v>
      </c>
      <c r="AF2537">
        <v>3</v>
      </c>
      <c r="AG2537">
        <v>1</v>
      </c>
      <c r="AH2537">
        <v>0</v>
      </c>
      <c r="AI2537" t="s">
        <v>1302</v>
      </c>
      <c r="AJ2537">
        <v>33.013894999999998</v>
      </c>
      <c r="AK2537" t="s">
        <v>1303</v>
      </c>
      <c r="AL2537">
        <v>-97.665710000000004</v>
      </c>
      <c r="AM2537">
        <v>25</v>
      </c>
      <c r="AN2537">
        <v>2200</v>
      </c>
      <c r="AO2537" t="s">
        <v>118</v>
      </c>
      <c r="AP2537">
        <v>59</v>
      </c>
      <c r="AQ2537">
        <v>49</v>
      </c>
      <c r="AR2537">
        <v>-704</v>
      </c>
      <c r="AZ2537">
        <v>1200</v>
      </c>
      <c r="BA2537">
        <v>1</v>
      </c>
      <c r="BB2537" t="str">
        <f t="shared" si="754"/>
        <v xml:space="preserve">N733KP  </v>
      </c>
      <c r="BC2537">
        <v>1</v>
      </c>
      <c r="BE2537">
        <v>0</v>
      </c>
      <c r="BF2537">
        <v>0</v>
      </c>
      <c r="BG2537">
        <v>0</v>
      </c>
      <c r="BH2537">
        <v>2225</v>
      </c>
      <c r="BI2537">
        <v>1</v>
      </c>
      <c r="BJ2537">
        <v>1</v>
      </c>
      <c r="BK2537">
        <v>0</v>
      </c>
      <c r="BL2537">
        <v>0</v>
      </c>
      <c r="BO2537">
        <v>0</v>
      </c>
      <c r="BP2537">
        <v>0</v>
      </c>
      <c r="BW2537" t="str">
        <f>"22:20:46.886"</f>
        <v>22:20:46.886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7</v>
      </c>
      <c r="CP2537" t="s">
        <v>119</v>
      </c>
      <c r="CQ2537">
        <v>364</v>
      </c>
      <c r="CR2537">
        <v>0</v>
      </c>
      <c r="CW2537">
        <v>1464839</v>
      </c>
      <c r="CY2537">
        <v>1</v>
      </c>
      <c r="CZ2537">
        <v>0</v>
      </c>
      <c r="DA2537">
        <v>0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>"03/24/2022 22:20:47.037"</f>
        <v>03/24/2022 22:20:47.037</v>
      </c>
      <c r="C2538" t="str">
        <f t="shared" si="753"/>
        <v>FFDFD3C0</v>
      </c>
      <c r="D2538" t="s">
        <v>113</v>
      </c>
      <c r="E2538">
        <v>24</v>
      </c>
      <c r="F2538">
        <v>2024</v>
      </c>
      <c r="G2538" t="s">
        <v>114</v>
      </c>
      <c r="J2538" t="s">
        <v>115</v>
      </c>
      <c r="K2538">
        <v>0</v>
      </c>
      <c r="L2538">
        <v>3</v>
      </c>
      <c r="M2538">
        <v>0</v>
      </c>
      <c r="N2538">
        <v>2</v>
      </c>
      <c r="O2538">
        <v>0</v>
      </c>
      <c r="P2538">
        <v>1</v>
      </c>
      <c r="Q2538">
        <v>0</v>
      </c>
      <c r="S2538" t="str">
        <f t="shared" si="759"/>
        <v>22:20:46.000</v>
      </c>
      <c r="T2538" t="str">
        <f t="shared" si="759"/>
        <v>22:20:46.000</v>
      </c>
      <c r="U2538" t="str">
        <f t="shared" si="747"/>
        <v>A9D71F</v>
      </c>
      <c r="V2538">
        <v>0</v>
      </c>
      <c r="W2538">
        <v>0</v>
      </c>
      <c r="X2538">
        <v>2</v>
      </c>
      <c r="Z2538">
        <v>1</v>
      </c>
      <c r="AA2538">
        <v>8</v>
      </c>
      <c r="AB2538">
        <v>3</v>
      </c>
      <c r="AC2538">
        <v>0</v>
      </c>
      <c r="AD2538">
        <v>9</v>
      </c>
      <c r="AE2538">
        <v>0</v>
      </c>
      <c r="AF2538">
        <v>3</v>
      </c>
      <c r="AG2538">
        <v>1</v>
      </c>
      <c r="AH2538">
        <v>0</v>
      </c>
      <c r="AI2538" t="s">
        <v>1302</v>
      </c>
      <c r="AJ2538">
        <v>33.013894999999998</v>
      </c>
      <c r="AK2538" t="s">
        <v>1303</v>
      </c>
      <c r="AL2538">
        <v>-97.665710000000004</v>
      </c>
      <c r="AM2538">
        <v>25</v>
      </c>
      <c r="AN2538">
        <v>2200</v>
      </c>
      <c r="AO2538" t="s">
        <v>118</v>
      </c>
      <c r="AP2538">
        <v>59</v>
      </c>
      <c r="AQ2538">
        <v>49</v>
      </c>
      <c r="AR2538">
        <v>-704</v>
      </c>
      <c r="AZ2538">
        <v>1200</v>
      </c>
      <c r="BA2538">
        <v>1</v>
      </c>
      <c r="BB2538" t="str">
        <f t="shared" si="754"/>
        <v xml:space="preserve">N733KP  </v>
      </c>
      <c r="BC2538">
        <v>1</v>
      </c>
      <c r="BE2538">
        <v>0</v>
      </c>
      <c r="BF2538">
        <v>0</v>
      </c>
      <c r="BG2538">
        <v>0</v>
      </c>
      <c r="BH2538">
        <v>2225</v>
      </c>
      <c r="BI2538">
        <v>1</v>
      </c>
      <c r="BJ2538">
        <v>1</v>
      </c>
      <c r="BK2538">
        <v>0</v>
      </c>
      <c r="BL2538">
        <v>0</v>
      </c>
      <c r="BO2538">
        <v>0</v>
      </c>
      <c r="BP2538">
        <v>0</v>
      </c>
      <c r="BW2538" t="str">
        <f>"22:20:46.886"</f>
        <v>22:20:46.886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7</v>
      </c>
      <c r="CP2538" t="s">
        <v>119</v>
      </c>
      <c r="CQ2538">
        <v>364</v>
      </c>
      <c r="CR2538">
        <v>0</v>
      </c>
      <c r="CW2538">
        <v>1464839</v>
      </c>
      <c r="CY2538">
        <v>1</v>
      </c>
      <c r="CZ2538">
        <v>0</v>
      </c>
      <c r="DA2538">
        <v>1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>"03/24/2022 22:20:47.037"</f>
        <v>03/24/2022 22:20:47.037</v>
      </c>
      <c r="C2539" t="str">
        <f t="shared" si="753"/>
        <v>FFDFD3C0</v>
      </c>
      <c r="D2539" t="s">
        <v>120</v>
      </c>
      <c r="E2539">
        <v>14</v>
      </c>
      <c r="F2539">
        <v>1014</v>
      </c>
      <c r="G2539" t="s">
        <v>121</v>
      </c>
      <c r="J2539" t="s">
        <v>122</v>
      </c>
      <c r="K2539">
        <v>0</v>
      </c>
      <c r="L2539">
        <v>3</v>
      </c>
      <c r="M2539">
        <v>0</v>
      </c>
      <c r="N2539">
        <v>2</v>
      </c>
      <c r="O2539">
        <v>0</v>
      </c>
      <c r="P2539">
        <v>1</v>
      </c>
      <c r="Q2539">
        <v>0</v>
      </c>
      <c r="S2539" t="str">
        <f t="shared" si="759"/>
        <v>22:20:46.000</v>
      </c>
      <c r="T2539" t="str">
        <f t="shared" si="759"/>
        <v>22:20:46.000</v>
      </c>
      <c r="U2539" t="str">
        <f t="shared" si="747"/>
        <v>A9D71F</v>
      </c>
      <c r="V2539">
        <v>0</v>
      </c>
      <c r="W2539">
        <v>0</v>
      </c>
      <c r="X2539">
        <v>2</v>
      </c>
      <c r="Z2539">
        <v>1</v>
      </c>
      <c r="AA2539">
        <v>8</v>
      </c>
      <c r="AB2539">
        <v>3</v>
      </c>
      <c r="AC2539">
        <v>0</v>
      </c>
      <c r="AD2539">
        <v>9</v>
      </c>
      <c r="AE2539">
        <v>0</v>
      </c>
      <c r="AF2539">
        <v>3</v>
      </c>
      <c r="AG2539">
        <v>1</v>
      </c>
      <c r="AH2539">
        <v>0</v>
      </c>
      <c r="AI2539" t="s">
        <v>1302</v>
      </c>
      <c r="AJ2539">
        <v>33.013894999999998</v>
      </c>
      <c r="AK2539" t="s">
        <v>1303</v>
      </c>
      <c r="AL2539">
        <v>-97.665710000000004</v>
      </c>
      <c r="AM2539">
        <v>25</v>
      </c>
      <c r="AN2539">
        <v>2200</v>
      </c>
      <c r="AO2539" t="s">
        <v>118</v>
      </c>
      <c r="AP2539">
        <v>59</v>
      </c>
      <c r="AQ2539">
        <v>49</v>
      </c>
      <c r="AR2539">
        <v>-704</v>
      </c>
      <c r="AZ2539">
        <v>1200</v>
      </c>
      <c r="BA2539">
        <v>1</v>
      </c>
      <c r="BB2539" t="str">
        <f t="shared" si="754"/>
        <v xml:space="preserve">N733KP  </v>
      </c>
      <c r="BC2539">
        <v>1</v>
      </c>
      <c r="BE2539">
        <v>0</v>
      </c>
      <c r="BF2539">
        <v>0</v>
      </c>
      <c r="BG2539">
        <v>0</v>
      </c>
      <c r="BH2539">
        <v>2225</v>
      </c>
      <c r="BI2539">
        <v>1</v>
      </c>
      <c r="BJ2539">
        <v>1</v>
      </c>
      <c r="BK2539">
        <v>0</v>
      </c>
      <c r="BL2539">
        <v>0</v>
      </c>
      <c r="BO2539">
        <v>0</v>
      </c>
      <c r="BP2539">
        <v>0</v>
      </c>
      <c r="BW2539" t="str">
        <f>"22:20:46.886"</f>
        <v>22:20:46.886</v>
      </c>
      <c r="CJ2539">
        <v>0</v>
      </c>
      <c r="CK2539">
        <v>2</v>
      </c>
      <c r="CL2539">
        <v>0</v>
      </c>
      <c r="CM2539">
        <v>2</v>
      </c>
      <c r="CN2539">
        <v>0</v>
      </c>
      <c r="CO2539">
        <v>7</v>
      </c>
      <c r="CP2539" t="s">
        <v>119</v>
      </c>
      <c r="CQ2539">
        <v>364</v>
      </c>
      <c r="CR2539">
        <v>0</v>
      </c>
      <c r="CW2539">
        <v>1464839</v>
      </c>
      <c r="CY2539">
        <v>1</v>
      </c>
      <c r="CZ2539">
        <v>0</v>
      </c>
      <c r="DA2539">
        <v>1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>"03/24/2022 22:20:47.068"</f>
        <v>03/24/2022 22:20:47.068</v>
      </c>
      <c r="C2540" t="str">
        <f t="shared" si="753"/>
        <v>FFDFD3C0</v>
      </c>
      <c r="D2540" t="s">
        <v>126</v>
      </c>
      <c r="E2540">
        <v>3</v>
      </c>
      <c r="H2540">
        <v>160</v>
      </c>
      <c r="I2540" t="s">
        <v>121</v>
      </c>
      <c r="J2540" t="s">
        <v>127</v>
      </c>
      <c r="K2540">
        <v>0</v>
      </c>
      <c r="L2540">
        <v>3</v>
      </c>
      <c r="M2540">
        <v>0</v>
      </c>
      <c r="N2540">
        <v>2</v>
      </c>
      <c r="O2540">
        <v>0</v>
      </c>
      <c r="P2540">
        <v>1</v>
      </c>
      <c r="Q2540">
        <v>0</v>
      </c>
      <c r="S2540" t="str">
        <f t="shared" si="759"/>
        <v>22:20:46.000</v>
      </c>
      <c r="T2540" t="str">
        <f t="shared" si="759"/>
        <v>22:20:46.000</v>
      </c>
      <c r="U2540" t="str">
        <f t="shared" si="747"/>
        <v>A9D71F</v>
      </c>
      <c r="V2540">
        <v>0</v>
      </c>
      <c r="W2540">
        <v>0</v>
      </c>
      <c r="X2540">
        <v>2</v>
      </c>
      <c r="Z2540">
        <v>1</v>
      </c>
      <c r="AA2540">
        <v>8</v>
      </c>
      <c r="AB2540">
        <v>3</v>
      </c>
      <c r="AC2540">
        <v>0</v>
      </c>
      <c r="AD2540">
        <v>9</v>
      </c>
      <c r="AE2540">
        <v>0</v>
      </c>
      <c r="AF2540">
        <v>3</v>
      </c>
      <c r="AG2540">
        <v>1</v>
      </c>
      <c r="AH2540">
        <v>0</v>
      </c>
      <c r="AI2540" t="s">
        <v>1302</v>
      </c>
      <c r="AJ2540">
        <v>33.013894999999998</v>
      </c>
      <c r="AK2540" t="s">
        <v>1303</v>
      </c>
      <c r="AL2540">
        <v>-97.665710000000004</v>
      </c>
      <c r="AM2540">
        <v>25</v>
      </c>
      <c r="AN2540">
        <v>2200</v>
      </c>
      <c r="AO2540" t="s">
        <v>118</v>
      </c>
      <c r="AP2540">
        <v>59</v>
      </c>
      <c r="AQ2540">
        <v>49</v>
      </c>
      <c r="AR2540">
        <v>-704</v>
      </c>
      <c r="AZ2540">
        <v>1200</v>
      </c>
      <c r="BA2540">
        <v>1</v>
      </c>
      <c r="BB2540" t="str">
        <f t="shared" si="754"/>
        <v xml:space="preserve">N733KP  </v>
      </c>
      <c r="BC2540">
        <v>1</v>
      </c>
      <c r="BE2540">
        <v>0</v>
      </c>
      <c r="BF2540">
        <v>0</v>
      </c>
      <c r="BG2540">
        <v>0</v>
      </c>
      <c r="BH2540">
        <v>2225</v>
      </c>
      <c r="BI2540">
        <v>1</v>
      </c>
      <c r="BJ2540">
        <v>1</v>
      </c>
      <c r="BK2540">
        <v>0</v>
      </c>
      <c r="BL2540">
        <v>0</v>
      </c>
      <c r="BO2540">
        <v>0</v>
      </c>
      <c r="BP2540">
        <v>0</v>
      </c>
      <c r="BW2540" t="str">
        <f>"22:20:46.886"</f>
        <v>22:20:46.886</v>
      </c>
      <c r="CJ2540">
        <v>0</v>
      </c>
      <c r="CK2540">
        <v>2</v>
      </c>
      <c r="CL2540">
        <v>0</v>
      </c>
      <c r="CM2540">
        <v>2</v>
      </c>
      <c r="CN2540">
        <v>0</v>
      </c>
      <c r="CO2540">
        <v>7</v>
      </c>
      <c r="CP2540" t="s">
        <v>119</v>
      </c>
      <c r="CQ2540">
        <v>364</v>
      </c>
      <c r="CR2540">
        <v>0</v>
      </c>
      <c r="CW2540">
        <v>1464839</v>
      </c>
      <c r="CY2540">
        <v>1</v>
      </c>
      <c r="CZ2540">
        <v>0</v>
      </c>
      <c r="DA2540">
        <v>1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>"03/24/2022 22:20:47.679"</f>
        <v>03/24/2022 22:20:47.679</v>
      </c>
      <c r="C2541" t="str">
        <f t="shared" si="753"/>
        <v>FFDFD3C0</v>
      </c>
      <c r="D2541" t="s">
        <v>123</v>
      </c>
      <c r="E2541">
        <v>8</v>
      </c>
      <c r="H2541">
        <v>31</v>
      </c>
      <c r="I2541" t="s">
        <v>124</v>
      </c>
      <c r="J2541" t="s">
        <v>125</v>
      </c>
      <c r="K2541">
        <v>0</v>
      </c>
      <c r="L2541">
        <v>3</v>
      </c>
      <c r="M2541">
        <v>0</v>
      </c>
      <c r="N2541">
        <v>2</v>
      </c>
      <c r="O2541">
        <v>0</v>
      </c>
      <c r="P2541">
        <v>1</v>
      </c>
      <c r="Q2541">
        <v>0</v>
      </c>
      <c r="S2541" t="str">
        <f t="shared" ref="S2541:T2544" si="760">"22:20:47.000"</f>
        <v>22:20:47.000</v>
      </c>
      <c r="T2541" t="str">
        <f t="shared" si="760"/>
        <v>22:20:47.000</v>
      </c>
      <c r="U2541" t="str">
        <f t="shared" si="747"/>
        <v>A9D71F</v>
      </c>
      <c r="V2541">
        <v>0</v>
      </c>
      <c r="W2541">
        <v>0</v>
      </c>
      <c r="X2541">
        <v>2</v>
      </c>
      <c r="Z2541">
        <v>1</v>
      </c>
      <c r="AA2541">
        <v>8</v>
      </c>
      <c r="AB2541">
        <v>3</v>
      </c>
      <c r="AC2541">
        <v>0</v>
      </c>
      <c r="AD2541">
        <v>9</v>
      </c>
      <c r="AE2541">
        <v>0</v>
      </c>
      <c r="AF2541">
        <v>3</v>
      </c>
      <c r="AG2541">
        <v>1</v>
      </c>
      <c r="AH2541">
        <v>0</v>
      </c>
      <c r="AI2541" t="s">
        <v>1304</v>
      </c>
      <c r="AJ2541">
        <v>33.014152000000003</v>
      </c>
      <c r="AK2541" t="s">
        <v>963</v>
      </c>
      <c r="AL2541">
        <v>-97.665409999999994</v>
      </c>
      <c r="AM2541">
        <v>25</v>
      </c>
      <c r="AN2541">
        <v>2200</v>
      </c>
      <c r="AO2541" t="s">
        <v>118</v>
      </c>
      <c r="AP2541">
        <v>62</v>
      </c>
      <c r="AQ2541">
        <v>50</v>
      </c>
      <c r="AR2541">
        <v>-640</v>
      </c>
      <c r="AZ2541">
        <v>1200</v>
      </c>
      <c r="BA2541">
        <v>1</v>
      </c>
      <c r="BB2541" t="str">
        <f t="shared" si="754"/>
        <v xml:space="preserve">N733KP  </v>
      </c>
      <c r="BC2541">
        <v>1</v>
      </c>
      <c r="BE2541">
        <v>0</v>
      </c>
      <c r="BF2541">
        <v>0</v>
      </c>
      <c r="BG2541">
        <v>0</v>
      </c>
      <c r="BH2541">
        <v>2200</v>
      </c>
      <c r="BI2541">
        <v>1</v>
      </c>
      <c r="BJ2541">
        <v>1</v>
      </c>
      <c r="BK2541">
        <v>0</v>
      </c>
      <c r="BL2541">
        <v>0</v>
      </c>
      <c r="BO2541">
        <v>0</v>
      </c>
      <c r="BP2541">
        <v>0</v>
      </c>
      <c r="BW2541" t="str">
        <f>"22:20:47.489"</f>
        <v>22:20:47.489</v>
      </c>
      <c r="CJ2541">
        <v>0</v>
      </c>
      <c r="CK2541">
        <v>2</v>
      </c>
      <c r="CL2541">
        <v>0</v>
      </c>
      <c r="CM2541">
        <v>2</v>
      </c>
      <c r="CN2541">
        <v>0</v>
      </c>
      <c r="CO2541">
        <v>7</v>
      </c>
      <c r="CP2541" t="s">
        <v>119</v>
      </c>
      <c r="CQ2541">
        <v>364</v>
      </c>
      <c r="CR2541">
        <v>0</v>
      </c>
      <c r="CW2541">
        <v>1464931</v>
      </c>
      <c r="CY2541">
        <v>1</v>
      </c>
      <c r="CZ2541">
        <v>0</v>
      </c>
      <c r="DA2541">
        <v>0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>"03/24/2022 22:20:47.679"</f>
        <v>03/24/2022 22:20:47.679</v>
      </c>
      <c r="C2542" t="str">
        <f t="shared" si="753"/>
        <v>FFDFD3C0</v>
      </c>
      <c r="D2542" t="s">
        <v>113</v>
      </c>
      <c r="E2542">
        <v>24</v>
      </c>
      <c r="F2542">
        <v>2024</v>
      </c>
      <c r="G2542" t="s">
        <v>114</v>
      </c>
      <c r="J2542" t="s">
        <v>115</v>
      </c>
      <c r="K2542">
        <v>0</v>
      </c>
      <c r="L2542">
        <v>3</v>
      </c>
      <c r="M2542">
        <v>0</v>
      </c>
      <c r="N2542">
        <v>2</v>
      </c>
      <c r="O2542">
        <v>0</v>
      </c>
      <c r="P2542">
        <v>1</v>
      </c>
      <c r="Q2542">
        <v>0</v>
      </c>
      <c r="S2542" t="str">
        <f t="shared" si="760"/>
        <v>22:20:47.000</v>
      </c>
      <c r="T2542" t="str">
        <f t="shared" si="760"/>
        <v>22:20:47.000</v>
      </c>
      <c r="U2542" t="str">
        <f t="shared" si="747"/>
        <v>A9D71F</v>
      </c>
      <c r="V2542">
        <v>0</v>
      </c>
      <c r="W2542">
        <v>0</v>
      </c>
      <c r="X2542">
        <v>2</v>
      </c>
      <c r="Z2542">
        <v>1</v>
      </c>
      <c r="AA2542">
        <v>8</v>
      </c>
      <c r="AB2542">
        <v>3</v>
      </c>
      <c r="AC2542">
        <v>0</v>
      </c>
      <c r="AD2542">
        <v>9</v>
      </c>
      <c r="AE2542">
        <v>0</v>
      </c>
      <c r="AF2542">
        <v>3</v>
      </c>
      <c r="AG2542">
        <v>1</v>
      </c>
      <c r="AH2542">
        <v>0</v>
      </c>
      <c r="AI2542" t="s">
        <v>1304</v>
      </c>
      <c r="AJ2542">
        <v>33.014152000000003</v>
      </c>
      <c r="AK2542" t="s">
        <v>963</v>
      </c>
      <c r="AL2542">
        <v>-97.665409999999994</v>
      </c>
      <c r="AM2542">
        <v>25</v>
      </c>
      <c r="AN2542">
        <v>2200</v>
      </c>
      <c r="AO2542" t="s">
        <v>118</v>
      </c>
      <c r="AP2542">
        <v>62</v>
      </c>
      <c r="AQ2542">
        <v>50</v>
      </c>
      <c r="AR2542">
        <v>-640</v>
      </c>
      <c r="AZ2542">
        <v>1200</v>
      </c>
      <c r="BA2542">
        <v>1</v>
      </c>
      <c r="BB2542" t="str">
        <f t="shared" si="754"/>
        <v xml:space="preserve">N733KP  </v>
      </c>
      <c r="BC2542">
        <v>1</v>
      </c>
      <c r="BE2542">
        <v>0</v>
      </c>
      <c r="BF2542">
        <v>0</v>
      </c>
      <c r="BG2542">
        <v>0</v>
      </c>
      <c r="BH2542">
        <v>2200</v>
      </c>
      <c r="BI2542">
        <v>1</v>
      </c>
      <c r="BJ2542">
        <v>1</v>
      </c>
      <c r="BK2542">
        <v>0</v>
      </c>
      <c r="BL2542">
        <v>0</v>
      </c>
      <c r="BO2542">
        <v>0</v>
      </c>
      <c r="BP2542">
        <v>0</v>
      </c>
      <c r="BW2542" t="str">
        <f>"22:20:47.489"</f>
        <v>22:20:47.489</v>
      </c>
      <c r="CJ2542">
        <v>0</v>
      </c>
      <c r="CK2542">
        <v>2</v>
      </c>
      <c r="CL2542">
        <v>0</v>
      </c>
      <c r="CM2542">
        <v>2</v>
      </c>
      <c r="CN2542">
        <v>0</v>
      </c>
      <c r="CO2542">
        <v>7</v>
      </c>
      <c r="CP2542" t="s">
        <v>119</v>
      </c>
      <c r="CQ2542">
        <v>364</v>
      </c>
      <c r="CR2542">
        <v>0</v>
      </c>
      <c r="CW2542">
        <v>1464931</v>
      </c>
      <c r="CY2542">
        <v>1</v>
      </c>
      <c r="CZ2542">
        <v>0</v>
      </c>
      <c r="DA2542">
        <v>1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3">
      <c r="A2543" t="str">
        <f>"03/24/2022 22:20:47.679"</f>
        <v>03/24/2022 22:20:47.679</v>
      </c>
      <c r="C2543" t="str">
        <f t="shared" si="753"/>
        <v>FFDFD3C0</v>
      </c>
      <c r="D2543" t="s">
        <v>120</v>
      </c>
      <c r="E2543">
        <v>14</v>
      </c>
      <c r="F2543">
        <v>1014</v>
      </c>
      <c r="G2543" t="s">
        <v>121</v>
      </c>
      <c r="J2543" t="s">
        <v>122</v>
      </c>
      <c r="K2543">
        <v>0</v>
      </c>
      <c r="L2543">
        <v>3</v>
      </c>
      <c r="M2543">
        <v>0</v>
      </c>
      <c r="N2543">
        <v>2</v>
      </c>
      <c r="O2543">
        <v>0</v>
      </c>
      <c r="P2543">
        <v>1</v>
      </c>
      <c r="Q2543">
        <v>0</v>
      </c>
      <c r="S2543" t="str">
        <f t="shared" si="760"/>
        <v>22:20:47.000</v>
      </c>
      <c r="T2543" t="str">
        <f t="shared" si="760"/>
        <v>22:20:47.000</v>
      </c>
      <c r="U2543" t="str">
        <f t="shared" si="747"/>
        <v>A9D71F</v>
      </c>
      <c r="V2543">
        <v>0</v>
      </c>
      <c r="W2543">
        <v>0</v>
      </c>
      <c r="X2543">
        <v>2</v>
      </c>
      <c r="Z2543">
        <v>1</v>
      </c>
      <c r="AA2543">
        <v>8</v>
      </c>
      <c r="AB2543">
        <v>3</v>
      </c>
      <c r="AC2543">
        <v>0</v>
      </c>
      <c r="AD2543">
        <v>9</v>
      </c>
      <c r="AE2543">
        <v>0</v>
      </c>
      <c r="AF2543">
        <v>3</v>
      </c>
      <c r="AG2543">
        <v>1</v>
      </c>
      <c r="AH2543">
        <v>0</v>
      </c>
      <c r="AI2543" t="s">
        <v>1304</v>
      </c>
      <c r="AJ2543">
        <v>33.014152000000003</v>
      </c>
      <c r="AK2543" t="s">
        <v>963</v>
      </c>
      <c r="AL2543">
        <v>-97.665409999999994</v>
      </c>
      <c r="AM2543">
        <v>25</v>
      </c>
      <c r="AN2543">
        <v>2200</v>
      </c>
      <c r="AO2543" t="s">
        <v>118</v>
      </c>
      <c r="AP2543">
        <v>62</v>
      </c>
      <c r="AQ2543">
        <v>50</v>
      </c>
      <c r="AR2543">
        <v>-640</v>
      </c>
      <c r="AZ2543">
        <v>1200</v>
      </c>
      <c r="BA2543">
        <v>1</v>
      </c>
      <c r="BB2543" t="str">
        <f t="shared" si="754"/>
        <v xml:space="preserve">N733KP  </v>
      </c>
      <c r="BC2543">
        <v>1</v>
      </c>
      <c r="BE2543">
        <v>0</v>
      </c>
      <c r="BF2543">
        <v>0</v>
      </c>
      <c r="BG2543">
        <v>0</v>
      </c>
      <c r="BH2543">
        <v>2200</v>
      </c>
      <c r="BI2543">
        <v>1</v>
      </c>
      <c r="BJ2543">
        <v>1</v>
      </c>
      <c r="BK2543">
        <v>0</v>
      </c>
      <c r="BL2543">
        <v>0</v>
      </c>
      <c r="BO2543">
        <v>0</v>
      </c>
      <c r="BP2543">
        <v>0</v>
      </c>
      <c r="BW2543" t="str">
        <f>"22:20:47.489"</f>
        <v>22:20:47.489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7</v>
      </c>
      <c r="CP2543" t="s">
        <v>119</v>
      </c>
      <c r="CQ2543">
        <v>364</v>
      </c>
      <c r="CR2543">
        <v>0</v>
      </c>
      <c r="CW2543">
        <v>1464931</v>
      </c>
      <c r="CY2543">
        <v>1</v>
      </c>
      <c r="CZ2543">
        <v>0</v>
      </c>
      <c r="DA2543">
        <v>1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3">
      <c r="A2544" t="str">
        <f>"03/24/2022 22:20:47.679"</f>
        <v>03/24/2022 22:20:47.679</v>
      </c>
      <c r="C2544" t="str">
        <f t="shared" si="753"/>
        <v>FFDFD3C0</v>
      </c>
      <c r="D2544" t="s">
        <v>126</v>
      </c>
      <c r="E2544">
        <v>3</v>
      </c>
      <c r="H2544">
        <v>160</v>
      </c>
      <c r="I2544" t="s">
        <v>121</v>
      </c>
      <c r="J2544" t="s">
        <v>127</v>
      </c>
      <c r="K2544">
        <v>0</v>
      </c>
      <c r="L2544">
        <v>3</v>
      </c>
      <c r="M2544">
        <v>0</v>
      </c>
      <c r="N2544">
        <v>2</v>
      </c>
      <c r="O2544">
        <v>0</v>
      </c>
      <c r="P2544">
        <v>1</v>
      </c>
      <c r="Q2544">
        <v>0</v>
      </c>
      <c r="S2544" t="str">
        <f t="shared" si="760"/>
        <v>22:20:47.000</v>
      </c>
      <c r="T2544" t="str">
        <f t="shared" si="760"/>
        <v>22:20:47.000</v>
      </c>
      <c r="U2544" t="str">
        <f t="shared" si="747"/>
        <v>A9D71F</v>
      </c>
      <c r="V2544">
        <v>0</v>
      </c>
      <c r="W2544">
        <v>0</v>
      </c>
      <c r="X2544">
        <v>2</v>
      </c>
      <c r="Z2544">
        <v>1</v>
      </c>
      <c r="AA2544">
        <v>8</v>
      </c>
      <c r="AB2544">
        <v>3</v>
      </c>
      <c r="AC2544">
        <v>0</v>
      </c>
      <c r="AD2544">
        <v>9</v>
      </c>
      <c r="AE2544">
        <v>0</v>
      </c>
      <c r="AF2544">
        <v>3</v>
      </c>
      <c r="AG2544">
        <v>1</v>
      </c>
      <c r="AH2544">
        <v>0</v>
      </c>
      <c r="AI2544" t="s">
        <v>1304</v>
      </c>
      <c r="AJ2544">
        <v>33.014152000000003</v>
      </c>
      <c r="AK2544" t="s">
        <v>963</v>
      </c>
      <c r="AL2544">
        <v>-97.665409999999994</v>
      </c>
      <c r="AM2544">
        <v>25</v>
      </c>
      <c r="AN2544">
        <v>2200</v>
      </c>
      <c r="AO2544" t="s">
        <v>118</v>
      </c>
      <c r="AP2544">
        <v>62</v>
      </c>
      <c r="AQ2544">
        <v>50</v>
      </c>
      <c r="AR2544">
        <v>-640</v>
      </c>
      <c r="AZ2544">
        <v>1200</v>
      </c>
      <c r="BA2544">
        <v>1</v>
      </c>
      <c r="BB2544" t="str">
        <f t="shared" si="754"/>
        <v xml:space="preserve">N733KP  </v>
      </c>
      <c r="BC2544">
        <v>1</v>
      </c>
      <c r="BE2544">
        <v>0</v>
      </c>
      <c r="BF2544">
        <v>0</v>
      </c>
      <c r="BG2544">
        <v>0</v>
      </c>
      <c r="BH2544">
        <v>2200</v>
      </c>
      <c r="BI2544">
        <v>1</v>
      </c>
      <c r="BJ2544">
        <v>1</v>
      </c>
      <c r="BK2544">
        <v>0</v>
      </c>
      <c r="BL2544">
        <v>0</v>
      </c>
      <c r="BO2544">
        <v>0</v>
      </c>
      <c r="BP2544">
        <v>0</v>
      </c>
      <c r="BW2544" t="str">
        <f>"22:20:47.489"</f>
        <v>22:20:47.489</v>
      </c>
      <c r="CJ2544">
        <v>0</v>
      </c>
      <c r="CK2544">
        <v>2</v>
      </c>
      <c r="CL2544">
        <v>0</v>
      </c>
      <c r="CM2544">
        <v>2</v>
      </c>
      <c r="CN2544">
        <v>0</v>
      </c>
      <c r="CO2544">
        <v>7</v>
      </c>
      <c r="CP2544" t="s">
        <v>119</v>
      </c>
      <c r="CQ2544">
        <v>364</v>
      </c>
      <c r="CR2544">
        <v>0</v>
      </c>
      <c r="CW2544">
        <v>1464931</v>
      </c>
      <c r="CY2544">
        <v>1</v>
      </c>
      <c r="CZ2544">
        <v>0</v>
      </c>
      <c r="DA2544">
        <v>1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3">
      <c r="A2545" t="str">
        <f>"03/24/2022 22:20:48.509"</f>
        <v>03/24/2022 22:20:48.509</v>
      </c>
      <c r="C2545" t="str">
        <f t="shared" si="753"/>
        <v>FFDFD3C0</v>
      </c>
      <c r="D2545" t="s">
        <v>123</v>
      </c>
      <c r="E2545">
        <v>8</v>
      </c>
      <c r="H2545">
        <v>31</v>
      </c>
      <c r="I2545" t="s">
        <v>124</v>
      </c>
      <c r="J2545" t="s">
        <v>125</v>
      </c>
      <c r="K2545">
        <v>0</v>
      </c>
      <c r="L2545">
        <v>3</v>
      </c>
      <c r="M2545">
        <v>0</v>
      </c>
      <c r="N2545">
        <v>2</v>
      </c>
      <c r="O2545">
        <v>0</v>
      </c>
      <c r="P2545">
        <v>1</v>
      </c>
      <c r="Q2545">
        <v>0</v>
      </c>
      <c r="S2545" t="str">
        <f t="shared" ref="S2545:T2548" si="761">"22:20:48.000"</f>
        <v>22:20:48.000</v>
      </c>
      <c r="T2545" t="str">
        <f t="shared" si="761"/>
        <v>22:20:48.000</v>
      </c>
      <c r="U2545" t="str">
        <f t="shared" si="747"/>
        <v>A9D71F</v>
      </c>
      <c r="V2545">
        <v>0</v>
      </c>
      <c r="W2545">
        <v>0</v>
      </c>
      <c r="X2545">
        <v>2</v>
      </c>
      <c r="Z2545">
        <v>1</v>
      </c>
      <c r="AA2545">
        <v>8</v>
      </c>
      <c r="AB2545">
        <v>3</v>
      </c>
      <c r="AC2545">
        <v>0</v>
      </c>
      <c r="AD2545">
        <v>9</v>
      </c>
      <c r="AE2545">
        <v>0</v>
      </c>
      <c r="AF2545">
        <v>3</v>
      </c>
      <c r="AG2545">
        <v>1</v>
      </c>
      <c r="AH2545">
        <v>0</v>
      </c>
      <c r="AI2545" t="s">
        <v>1305</v>
      </c>
      <c r="AJ2545">
        <v>33.014409999999998</v>
      </c>
      <c r="AK2545" t="s">
        <v>1306</v>
      </c>
      <c r="AL2545">
        <v>-97.665045000000006</v>
      </c>
      <c r="AM2545">
        <v>25</v>
      </c>
      <c r="AN2545">
        <v>2100</v>
      </c>
      <c r="AO2545" t="s">
        <v>118</v>
      </c>
      <c r="AP2545">
        <v>63</v>
      </c>
      <c r="AQ2545">
        <v>49</v>
      </c>
      <c r="AR2545">
        <v>-640</v>
      </c>
      <c r="AZ2545">
        <v>1200</v>
      </c>
      <c r="BA2545">
        <v>1</v>
      </c>
      <c r="BB2545" t="str">
        <f t="shared" si="754"/>
        <v xml:space="preserve">N733KP  </v>
      </c>
      <c r="BC2545">
        <v>1</v>
      </c>
      <c r="BE2545">
        <v>0</v>
      </c>
      <c r="BF2545">
        <v>0</v>
      </c>
      <c r="BG2545">
        <v>0</v>
      </c>
      <c r="BH2545">
        <v>2200</v>
      </c>
      <c r="BI2545">
        <v>1</v>
      </c>
      <c r="BJ2545">
        <v>1</v>
      </c>
      <c r="BK2545">
        <v>0</v>
      </c>
      <c r="BL2545">
        <v>0</v>
      </c>
      <c r="BO2545">
        <v>0</v>
      </c>
      <c r="BP2545">
        <v>0</v>
      </c>
      <c r="BW2545" t="str">
        <f>"22:20:48.335"</f>
        <v>22:20:48.335</v>
      </c>
      <c r="CJ2545">
        <v>0</v>
      </c>
      <c r="CK2545">
        <v>2</v>
      </c>
      <c r="CL2545">
        <v>0</v>
      </c>
      <c r="CM2545">
        <v>2</v>
      </c>
      <c r="CN2545">
        <v>0</v>
      </c>
      <c r="CO2545">
        <v>7</v>
      </c>
      <c r="CP2545" t="s">
        <v>119</v>
      </c>
      <c r="CQ2545">
        <v>364</v>
      </c>
      <c r="CR2545">
        <v>0</v>
      </c>
      <c r="CW2545">
        <v>1465059</v>
      </c>
      <c r="CY2545">
        <v>1</v>
      </c>
      <c r="CZ2545">
        <v>0</v>
      </c>
      <c r="DA2545">
        <v>0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3">
      <c r="A2546" t="str">
        <f>"03/24/2022 22:20:48.509"</f>
        <v>03/24/2022 22:20:48.509</v>
      </c>
      <c r="C2546" t="str">
        <f t="shared" si="753"/>
        <v>FFDFD3C0</v>
      </c>
      <c r="D2546" t="s">
        <v>113</v>
      </c>
      <c r="E2546">
        <v>24</v>
      </c>
      <c r="F2546">
        <v>2024</v>
      </c>
      <c r="G2546" t="s">
        <v>114</v>
      </c>
      <c r="J2546" t="s">
        <v>115</v>
      </c>
      <c r="K2546">
        <v>0</v>
      </c>
      <c r="L2546">
        <v>3</v>
      </c>
      <c r="M2546">
        <v>0</v>
      </c>
      <c r="N2546">
        <v>2</v>
      </c>
      <c r="O2546">
        <v>0</v>
      </c>
      <c r="P2546">
        <v>1</v>
      </c>
      <c r="Q2546">
        <v>0</v>
      </c>
      <c r="S2546" t="str">
        <f t="shared" si="761"/>
        <v>22:20:48.000</v>
      </c>
      <c r="T2546" t="str">
        <f t="shared" si="761"/>
        <v>22:20:48.000</v>
      </c>
      <c r="U2546" t="str">
        <f t="shared" si="747"/>
        <v>A9D71F</v>
      </c>
      <c r="V2546">
        <v>0</v>
      </c>
      <c r="W2546">
        <v>0</v>
      </c>
      <c r="X2546">
        <v>2</v>
      </c>
      <c r="Z2546">
        <v>1</v>
      </c>
      <c r="AA2546">
        <v>8</v>
      </c>
      <c r="AB2546">
        <v>3</v>
      </c>
      <c r="AC2546">
        <v>0</v>
      </c>
      <c r="AD2546">
        <v>9</v>
      </c>
      <c r="AE2546">
        <v>0</v>
      </c>
      <c r="AF2546">
        <v>3</v>
      </c>
      <c r="AG2546">
        <v>1</v>
      </c>
      <c r="AH2546">
        <v>0</v>
      </c>
      <c r="AI2546" t="s">
        <v>1305</v>
      </c>
      <c r="AJ2546">
        <v>33.014409999999998</v>
      </c>
      <c r="AK2546" t="s">
        <v>1306</v>
      </c>
      <c r="AL2546">
        <v>-97.665045000000006</v>
      </c>
      <c r="AM2546">
        <v>25</v>
      </c>
      <c r="AN2546">
        <v>2100</v>
      </c>
      <c r="AO2546" t="s">
        <v>118</v>
      </c>
      <c r="AP2546">
        <v>63</v>
      </c>
      <c r="AQ2546">
        <v>49</v>
      </c>
      <c r="AR2546">
        <v>-640</v>
      </c>
      <c r="AZ2546">
        <v>1200</v>
      </c>
      <c r="BA2546">
        <v>1</v>
      </c>
      <c r="BB2546" t="str">
        <f t="shared" si="754"/>
        <v xml:space="preserve">N733KP  </v>
      </c>
      <c r="BC2546">
        <v>1</v>
      </c>
      <c r="BE2546">
        <v>0</v>
      </c>
      <c r="BF2546">
        <v>0</v>
      </c>
      <c r="BG2546">
        <v>0</v>
      </c>
      <c r="BH2546">
        <v>2200</v>
      </c>
      <c r="BI2546">
        <v>1</v>
      </c>
      <c r="BJ2546">
        <v>1</v>
      </c>
      <c r="BK2546">
        <v>0</v>
      </c>
      <c r="BL2546">
        <v>0</v>
      </c>
      <c r="BO2546">
        <v>0</v>
      </c>
      <c r="BP2546">
        <v>0</v>
      </c>
      <c r="BW2546" t="str">
        <f>"22:20:48.335"</f>
        <v>22:20:48.335</v>
      </c>
      <c r="CJ2546">
        <v>0</v>
      </c>
      <c r="CK2546">
        <v>2</v>
      </c>
      <c r="CL2546">
        <v>0</v>
      </c>
      <c r="CM2546">
        <v>2</v>
      </c>
      <c r="CN2546">
        <v>0</v>
      </c>
      <c r="CO2546">
        <v>7</v>
      </c>
      <c r="CP2546" t="s">
        <v>119</v>
      </c>
      <c r="CQ2546">
        <v>364</v>
      </c>
      <c r="CR2546">
        <v>0</v>
      </c>
      <c r="CW2546">
        <v>1465059</v>
      </c>
      <c r="CY2546">
        <v>1</v>
      </c>
      <c r="CZ2546">
        <v>0</v>
      </c>
      <c r="DA2546">
        <v>1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3">
      <c r="A2547" t="str">
        <f>"03/24/2022 22:20:48.509"</f>
        <v>03/24/2022 22:20:48.509</v>
      </c>
      <c r="C2547" t="str">
        <f t="shared" si="753"/>
        <v>FFDFD3C0</v>
      </c>
      <c r="D2547" t="s">
        <v>120</v>
      </c>
      <c r="E2547">
        <v>14</v>
      </c>
      <c r="F2547">
        <v>1014</v>
      </c>
      <c r="G2547" t="s">
        <v>121</v>
      </c>
      <c r="J2547" t="s">
        <v>122</v>
      </c>
      <c r="K2547">
        <v>0</v>
      </c>
      <c r="L2547">
        <v>3</v>
      </c>
      <c r="M2547">
        <v>0</v>
      </c>
      <c r="N2547">
        <v>2</v>
      </c>
      <c r="O2547">
        <v>0</v>
      </c>
      <c r="P2547">
        <v>1</v>
      </c>
      <c r="Q2547">
        <v>0</v>
      </c>
      <c r="S2547" t="str">
        <f t="shared" si="761"/>
        <v>22:20:48.000</v>
      </c>
      <c r="T2547" t="str">
        <f t="shared" si="761"/>
        <v>22:20:48.000</v>
      </c>
      <c r="U2547" t="str">
        <f t="shared" si="747"/>
        <v>A9D71F</v>
      </c>
      <c r="V2547">
        <v>0</v>
      </c>
      <c r="W2547">
        <v>0</v>
      </c>
      <c r="X2547">
        <v>2</v>
      </c>
      <c r="Z2547">
        <v>1</v>
      </c>
      <c r="AA2547">
        <v>8</v>
      </c>
      <c r="AB2547">
        <v>3</v>
      </c>
      <c r="AC2547">
        <v>0</v>
      </c>
      <c r="AD2547">
        <v>9</v>
      </c>
      <c r="AE2547">
        <v>0</v>
      </c>
      <c r="AF2547">
        <v>3</v>
      </c>
      <c r="AG2547">
        <v>1</v>
      </c>
      <c r="AH2547">
        <v>0</v>
      </c>
      <c r="AI2547" t="s">
        <v>1305</v>
      </c>
      <c r="AJ2547">
        <v>33.014409999999998</v>
      </c>
      <c r="AK2547" t="s">
        <v>1306</v>
      </c>
      <c r="AL2547">
        <v>-97.665045000000006</v>
      </c>
      <c r="AM2547">
        <v>25</v>
      </c>
      <c r="AN2547">
        <v>2100</v>
      </c>
      <c r="AO2547" t="s">
        <v>118</v>
      </c>
      <c r="AP2547">
        <v>63</v>
      </c>
      <c r="AQ2547">
        <v>49</v>
      </c>
      <c r="AR2547">
        <v>-640</v>
      </c>
      <c r="AZ2547">
        <v>1200</v>
      </c>
      <c r="BA2547">
        <v>1</v>
      </c>
      <c r="BB2547" t="str">
        <f t="shared" si="754"/>
        <v xml:space="preserve">N733KP  </v>
      </c>
      <c r="BC2547">
        <v>1</v>
      </c>
      <c r="BE2547">
        <v>0</v>
      </c>
      <c r="BF2547">
        <v>0</v>
      </c>
      <c r="BG2547">
        <v>0</v>
      </c>
      <c r="BH2547">
        <v>2200</v>
      </c>
      <c r="BI2547">
        <v>1</v>
      </c>
      <c r="BJ2547">
        <v>1</v>
      </c>
      <c r="BK2547">
        <v>0</v>
      </c>
      <c r="BL2547">
        <v>0</v>
      </c>
      <c r="BO2547">
        <v>0</v>
      </c>
      <c r="BP2547">
        <v>0</v>
      </c>
      <c r="BW2547" t="str">
        <f>"22:20:48.335"</f>
        <v>22:20:48.335</v>
      </c>
      <c r="CJ2547">
        <v>0</v>
      </c>
      <c r="CK2547">
        <v>2</v>
      </c>
      <c r="CL2547">
        <v>0</v>
      </c>
      <c r="CM2547">
        <v>2</v>
      </c>
      <c r="CN2547">
        <v>0</v>
      </c>
      <c r="CO2547">
        <v>7</v>
      </c>
      <c r="CP2547" t="s">
        <v>119</v>
      </c>
      <c r="CQ2547">
        <v>364</v>
      </c>
      <c r="CR2547">
        <v>0</v>
      </c>
      <c r="CW2547">
        <v>1465059</v>
      </c>
      <c r="CY2547">
        <v>1</v>
      </c>
      <c r="CZ2547">
        <v>0</v>
      </c>
      <c r="DA2547">
        <v>1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3">
      <c r="A2548" t="str">
        <f>"03/24/2022 22:20:48.571"</f>
        <v>03/24/2022 22:20:48.571</v>
      </c>
      <c r="C2548" t="str">
        <f t="shared" si="753"/>
        <v>FFDFD3C0</v>
      </c>
      <c r="D2548" t="s">
        <v>126</v>
      </c>
      <c r="E2548">
        <v>3</v>
      </c>
      <c r="H2548">
        <v>160</v>
      </c>
      <c r="I2548" t="s">
        <v>121</v>
      </c>
      <c r="J2548" t="s">
        <v>127</v>
      </c>
      <c r="K2548">
        <v>0</v>
      </c>
      <c r="L2548">
        <v>3</v>
      </c>
      <c r="M2548">
        <v>0</v>
      </c>
      <c r="N2548">
        <v>2</v>
      </c>
      <c r="O2548">
        <v>0</v>
      </c>
      <c r="P2548">
        <v>1</v>
      </c>
      <c r="Q2548">
        <v>0</v>
      </c>
      <c r="S2548" t="str">
        <f t="shared" si="761"/>
        <v>22:20:48.000</v>
      </c>
      <c r="T2548" t="str">
        <f t="shared" si="761"/>
        <v>22:20:48.000</v>
      </c>
      <c r="U2548" t="str">
        <f t="shared" si="747"/>
        <v>A9D71F</v>
      </c>
      <c r="V2548">
        <v>0</v>
      </c>
      <c r="W2548">
        <v>0</v>
      </c>
      <c r="X2548">
        <v>2</v>
      </c>
      <c r="Z2548">
        <v>1</v>
      </c>
      <c r="AA2548">
        <v>8</v>
      </c>
      <c r="AB2548">
        <v>3</v>
      </c>
      <c r="AC2548">
        <v>0</v>
      </c>
      <c r="AD2548">
        <v>9</v>
      </c>
      <c r="AE2548">
        <v>0</v>
      </c>
      <c r="AF2548">
        <v>3</v>
      </c>
      <c r="AG2548">
        <v>1</v>
      </c>
      <c r="AH2548">
        <v>0</v>
      </c>
      <c r="AI2548" t="s">
        <v>1305</v>
      </c>
      <c r="AJ2548">
        <v>33.014409999999998</v>
      </c>
      <c r="AK2548" t="s">
        <v>1306</v>
      </c>
      <c r="AL2548">
        <v>-97.665045000000006</v>
      </c>
      <c r="AM2548">
        <v>25</v>
      </c>
      <c r="AN2548">
        <v>2100</v>
      </c>
      <c r="AO2548" t="s">
        <v>118</v>
      </c>
      <c r="AP2548">
        <v>63</v>
      </c>
      <c r="AQ2548">
        <v>49</v>
      </c>
      <c r="AR2548">
        <v>-640</v>
      </c>
      <c r="AZ2548">
        <v>1200</v>
      </c>
      <c r="BA2548">
        <v>1</v>
      </c>
      <c r="BB2548" t="str">
        <f t="shared" si="754"/>
        <v xml:space="preserve">N733KP  </v>
      </c>
      <c r="BC2548">
        <v>1</v>
      </c>
      <c r="BE2548">
        <v>0</v>
      </c>
      <c r="BF2548">
        <v>0</v>
      </c>
      <c r="BG2548">
        <v>0</v>
      </c>
      <c r="BH2548">
        <v>2200</v>
      </c>
      <c r="BI2548">
        <v>1</v>
      </c>
      <c r="BJ2548">
        <v>1</v>
      </c>
      <c r="BK2548">
        <v>0</v>
      </c>
      <c r="BL2548">
        <v>0</v>
      </c>
      <c r="BO2548">
        <v>0</v>
      </c>
      <c r="BP2548">
        <v>0</v>
      </c>
      <c r="BW2548" t="str">
        <f>"22:20:48.335"</f>
        <v>22:20:48.335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7</v>
      </c>
      <c r="CP2548" t="s">
        <v>119</v>
      </c>
      <c r="CQ2548">
        <v>364</v>
      </c>
      <c r="CR2548">
        <v>0</v>
      </c>
      <c r="CW2548">
        <v>1465059</v>
      </c>
      <c r="CY2548">
        <v>1</v>
      </c>
      <c r="CZ2548">
        <v>0</v>
      </c>
      <c r="DA2548">
        <v>1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3">
      <c r="A2549" t="str">
        <f>"03/24/2022 22:20:50.150"</f>
        <v>03/24/2022 22:20:50.150</v>
      </c>
      <c r="C2549" t="str">
        <f t="shared" si="753"/>
        <v>FFDFD3C0</v>
      </c>
      <c r="D2549" t="s">
        <v>123</v>
      </c>
      <c r="E2549">
        <v>8</v>
      </c>
      <c r="H2549">
        <v>31</v>
      </c>
      <c r="I2549" t="s">
        <v>124</v>
      </c>
      <c r="J2549" t="s">
        <v>125</v>
      </c>
      <c r="K2549">
        <v>0</v>
      </c>
      <c r="L2549">
        <v>3</v>
      </c>
      <c r="M2549">
        <v>0</v>
      </c>
      <c r="N2549">
        <v>2</v>
      </c>
      <c r="O2549">
        <v>0</v>
      </c>
      <c r="P2549">
        <v>1</v>
      </c>
      <c r="Q2549">
        <v>0</v>
      </c>
      <c r="S2549" t="str">
        <f t="shared" ref="S2549:T2552" si="762">"22:20:49.000"</f>
        <v>22:20:49.000</v>
      </c>
      <c r="T2549" t="str">
        <f t="shared" si="762"/>
        <v>22:20:49.000</v>
      </c>
      <c r="U2549" t="str">
        <f t="shared" si="747"/>
        <v>A9D71F</v>
      </c>
      <c r="V2549">
        <v>0</v>
      </c>
      <c r="W2549">
        <v>0</v>
      </c>
      <c r="X2549">
        <v>2</v>
      </c>
      <c r="Z2549">
        <v>1</v>
      </c>
      <c r="AA2549">
        <v>8</v>
      </c>
      <c r="AB2549">
        <v>3</v>
      </c>
      <c r="AC2549">
        <v>0</v>
      </c>
      <c r="AD2549">
        <v>9</v>
      </c>
      <c r="AE2549">
        <v>0</v>
      </c>
      <c r="AF2549">
        <v>3</v>
      </c>
      <c r="AG2549">
        <v>1</v>
      </c>
      <c r="AH2549">
        <v>0</v>
      </c>
      <c r="AI2549" t="s">
        <v>1307</v>
      </c>
      <c r="AJ2549">
        <v>33.014623999999998</v>
      </c>
      <c r="AK2549" t="s">
        <v>1308</v>
      </c>
      <c r="AL2549">
        <v>-97.664702000000005</v>
      </c>
      <c r="AM2549">
        <v>25</v>
      </c>
      <c r="AN2549">
        <v>2100</v>
      </c>
      <c r="AO2549" t="s">
        <v>118</v>
      </c>
      <c r="AP2549">
        <v>66</v>
      </c>
      <c r="AQ2549">
        <v>48</v>
      </c>
      <c r="AR2549">
        <v>-576</v>
      </c>
      <c r="AZ2549">
        <v>1200</v>
      </c>
      <c r="BA2549">
        <v>1</v>
      </c>
      <c r="BB2549" t="str">
        <f t="shared" si="754"/>
        <v xml:space="preserve">N733KP  </v>
      </c>
      <c r="BC2549">
        <v>1</v>
      </c>
      <c r="BE2549">
        <v>0</v>
      </c>
      <c r="BF2549">
        <v>0</v>
      </c>
      <c r="BG2549">
        <v>0</v>
      </c>
      <c r="BH2549">
        <v>2200</v>
      </c>
      <c r="BI2549">
        <v>1</v>
      </c>
      <c r="BJ2549">
        <v>1</v>
      </c>
      <c r="BK2549">
        <v>0</v>
      </c>
      <c r="BL2549">
        <v>0</v>
      </c>
      <c r="BO2549">
        <v>0</v>
      </c>
      <c r="BP2549">
        <v>0</v>
      </c>
      <c r="BW2549" t="str">
        <f>"22:20:49.947"</f>
        <v>22:20:49.947</v>
      </c>
      <c r="CJ2549">
        <v>0</v>
      </c>
      <c r="CK2549">
        <v>2</v>
      </c>
      <c r="CL2549">
        <v>0</v>
      </c>
      <c r="CM2549">
        <v>2</v>
      </c>
      <c r="CN2549">
        <v>0</v>
      </c>
      <c r="CO2549">
        <v>6</v>
      </c>
      <c r="CP2549" t="s">
        <v>119</v>
      </c>
      <c r="CQ2549">
        <v>364</v>
      </c>
      <c r="CR2549">
        <v>0</v>
      </c>
      <c r="CW2549">
        <v>1465294</v>
      </c>
      <c r="CY2549">
        <v>1</v>
      </c>
      <c r="CZ2549">
        <v>0</v>
      </c>
      <c r="DA2549">
        <v>0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3">
      <c r="A2550" t="str">
        <f>"03/24/2022 22:20:50.150"</f>
        <v>03/24/2022 22:20:50.150</v>
      </c>
      <c r="C2550" t="str">
        <f t="shared" si="753"/>
        <v>FFDFD3C0</v>
      </c>
      <c r="D2550" t="s">
        <v>113</v>
      </c>
      <c r="E2550">
        <v>24</v>
      </c>
      <c r="F2550">
        <v>2024</v>
      </c>
      <c r="G2550" t="s">
        <v>114</v>
      </c>
      <c r="J2550" t="s">
        <v>115</v>
      </c>
      <c r="K2550">
        <v>0</v>
      </c>
      <c r="L2550">
        <v>3</v>
      </c>
      <c r="M2550">
        <v>0</v>
      </c>
      <c r="N2550">
        <v>2</v>
      </c>
      <c r="O2550">
        <v>0</v>
      </c>
      <c r="P2550">
        <v>1</v>
      </c>
      <c r="Q2550">
        <v>0</v>
      </c>
      <c r="S2550" t="str">
        <f t="shared" si="762"/>
        <v>22:20:49.000</v>
      </c>
      <c r="T2550" t="str">
        <f t="shared" si="762"/>
        <v>22:20:49.000</v>
      </c>
      <c r="U2550" t="str">
        <f t="shared" si="747"/>
        <v>A9D71F</v>
      </c>
      <c r="V2550">
        <v>0</v>
      </c>
      <c r="W2550">
        <v>0</v>
      </c>
      <c r="X2550">
        <v>2</v>
      </c>
      <c r="Z2550">
        <v>1</v>
      </c>
      <c r="AA2550">
        <v>8</v>
      </c>
      <c r="AB2550">
        <v>3</v>
      </c>
      <c r="AC2550">
        <v>0</v>
      </c>
      <c r="AD2550">
        <v>9</v>
      </c>
      <c r="AE2550">
        <v>0</v>
      </c>
      <c r="AF2550">
        <v>3</v>
      </c>
      <c r="AG2550">
        <v>1</v>
      </c>
      <c r="AH2550">
        <v>0</v>
      </c>
      <c r="AI2550" t="s">
        <v>1307</v>
      </c>
      <c r="AJ2550">
        <v>33.014623999999998</v>
      </c>
      <c r="AK2550" t="s">
        <v>1308</v>
      </c>
      <c r="AL2550">
        <v>-97.664702000000005</v>
      </c>
      <c r="AM2550">
        <v>25</v>
      </c>
      <c r="AN2550">
        <v>2100</v>
      </c>
      <c r="AO2550" t="s">
        <v>118</v>
      </c>
      <c r="AP2550">
        <v>66</v>
      </c>
      <c r="AQ2550">
        <v>48</v>
      </c>
      <c r="AR2550">
        <v>-576</v>
      </c>
      <c r="AZ2550">
        <v>1200</v>
      </c>
      <c r="BA2550">
        <v>1</v>
      </c>
      <c r="BB2550" t="str">
        <f t="shared" si="754"/>
        <v xml:space="preserve">N733KP  </v>
      </c>
      <c r="BC2550">
        <v>1</v>
      </c>
      <c r="BE2550">
        <v>0</v>
      </c>
      <c r="BF2550">
        <v>0</v>
      </c>
      <c r="BG2550">
        <v>0</v>
      </c>
      <c r="BH2550">
        <v>2200</v>
      </c>
      <c r="BI2550">
        <v>1</v>
      </c>
      <c r="BJ2550">
        <v>1</v>
      </c>
      <c r="BK2550">
        <v>0</v>
      </c>
      <c r="BL2550">
        <v>0</v>
      </c>
      <c r="BO2550">
        <v>0</v>
      </c>
      <c r="BP2550">
        <v>0</v>
      </c>
      <c r="BW2550" t="str">
        <f>"22:20:49.947"</f>
        <v>22:20:49.947</v>
      </c>
      <c r="CJ2550">
        <v>0</v>
      </c>
      <c r="CK2550">
        <v>2</v>
      </c>
      <c r="CL2550">
        <v>0</v>
      </c>
      <c r="CM2550">
        <v>2</v>
      </c>
      <c r="CN2550">
        <v>0</v>
      </c>
      <c r="CO2550">
        <v>6</v>
      </c>
      <c r="CP2550" t="s">
        <v>119</v>
      </c>
      <c r="CQ2550">
        <v>364</v>
      </c>
      <c r="CR2550">
        <v>0</v>
      </c>
      <c r="CW2550">
        <v>1465294</v>
      </c>
      <c r="CY2550">
        <v>1</v>
      </c>
      <c r="CZ2550">
        <v>0</v>
      </c>
      <c r="DA2550">
        <v>1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3">
      <c r="A2551" t="str">
        <f>"03/24/2022 22:20:50.165"</f>
        <v>03/24/2022 22:20:50.165</v>
      </c>
      <c r="C2551" t="str">
        <f t="shared" si="753"/>
        <v>FFDFD3C0</v>
      </c>
      <c r="D2551" t="s">
        <v>120</v>
      </c>
      <c r="E2551">
        <v>14</v>
      </c>
      <c r="F2551">
        <v>1014</v>
      </c>
      <c r="G2551" t="s">
        <v>121</v>
      </c>
      <c r="J2551" t="s">
        <v>122</v>
      </c>
      <c r="K2551">
        <v>0</v>
      </c>
      <c r="L2551">
        <v>3</v>
      </c>
      <c r="M2551">
        <v>0</v>
      </c>
      <c r="N2551">
        <v>2</v>
      </c>
      <c r="O2551">
        <v>0</v>
      </c>
      <c r="P2551">
        <v>1</v>
      </c>
      <c r="Q2551">
        <v>0</v>
      </c>
      <c r="S2551" t="str">
        <f t="shared" si="762"/>
        <v>22:20:49.000</v>
      </c>
      <c r="T2551" t="str">
        <f t="shared" si="762"/>
        <v>22:20:49.000</v>
      </c>
      <c r="U2551" t="str">
        <f t="shared" si="747"/>
        <v>A9D71F</v>
      </c>
      <c r="V2551">
        <v>0</v>
      </c>
      <c r="W2551">
        <v>0</v>
      </c>
      <c r="X2551">
        <v>2</v>
      </c>
      <c r="Z2551">
        <v>1</v>
      </c>
      <c r="AA2551">
        <v>8</v>
      </c>
      <c r="AB2551">
        <v>3</v>
      </c>
      <c r="AC2551">
        <v>0</v>
      </c>
      <c r="AD2551">
        <v>9</v>
      </c>
      <c r="AE2551">
        <v>0</v>
      </c>
      <c r="AF2551">
        <v>3</v>
      </c>
      <c r="AG2551">
        <v>1</v>
      </c>
      <c r="AH2551">
        <v>0</v>
      </c>
      <c r="AI2551" t="s">
        <v>1307</v>
      </c>
      <c r="AJ2551">
        <v>33.014623999999998</v>
      </c>
      <c r="AK2551" t="s">
        <v>1308</v>
      </c>
      <c r="AL2551">
        <v>-97.664702000000005</v>
      </c>
      <c r="AM2551">
        <v>25</v>
      </c>
      <c r="AN2551">
        <v>2100</v>
      </c>
      <c r="AO2551" t="s">
        <v>118</v>
      </c>
      <c r="AP2551">
        <v>66</v>
      </c>
      <c r="AQ2551">
        <v>48</v>
      </c>
      <c r="AR2551">
        <v>-576</v>
      </c>
      <c r="AZ2551">
        <v>1200</v>
      </c>
      <c r="BA2551">
        <v>1</v>
      </c>
      <c r="BB2551" t="str">
        <f t="shared" si="754"/>
        <v xml:space="preserve">N733KP  </v>
      </c>
      <c r="BC2551">
        <v>1</v>
      </c>
      <c r="BE2551">
        <v>0</v>
      </c>
      <c r="BF2551">
        <v>0</v>
      </c>
      <c r="BG2551">
        <v>0</v>
      </c>
      <c r="BH2551">
        <v>2200</v>
      </c>
      <c r="BI2551">
        <v>1</v>
      </c>
      <c r="BJ2551">
        <v>1</v>
      </c>
      <c r="BK2551">
        <v>0</v>
      </c>
      <c r="BL2551">
        <v>0</v>
      </c>
      <c r="BO2551">
        <v>0</v>
      </c>
      <c r="BP2551">
        <v>0</v>
      </c>
      <c r="BW2551" t="str">
        <f>"22:20:49.947"</f>
        <v>22:20:49.947</v>
      </c>
      <c r="CJ2551">
        <v>0</v>
      </c>
      <c r="CK2551">
        <v>2</v>
      </c>
      <c r="CL2551">
        <v>0</v>
      </c>
      <c r="CM2551">
        <v>2</v>
      </c>
      <c r="CN2551">
        <v>0</v>
      </c>
      <c r="CO2551">
        <v>6</v>
      </c>
      <c r="CP2551" t="s">
        <v>119</v>
      </c>
      <c r="CQ2551">
        <v>364</v>
      </c>
      <c r="CR2551">
        <v>0</v>
      </c>
      <c r="CW2551">
        <v>1465294</v>
      </c>
      <c r="CY2551">
        <v>1</v>
      </c>
      <c r="CZ2551">
        <v>0</v>
      </c>
      <c r="DA2551">
        <v>1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3">
      <c r="A2552" t="str">
        <f>"03/24/2022 22:20:50.165"</f>
        <v>03/24/2022 22:20:50.165</v>
      </c>
      <c r="C2552" t="str">
        <f t="shared" si="753"/>
        <v>FFDFD3C0</v>
      </c>
      <c r="D2552" t="s">
        <v>126</v>
      </c>
      <c r="E2552">
        <v>3</v>
      </c>
      <c r="H2552">
        <v>160</v>
      </c>
      <c r="I2552" t="s">
        <v>121</v>
      </c>
      <c r="J2552" t="s">
        <v>127</v>
      </c>
      <c r="K2552">
        <v>0</v>
      </c>
      <c r="L2552">
        <v>3</v>
      </c>
      <c r="M2552">
        <v>0</v>
      </c>
      <c r="N2552">
        <v>2</v>
      </c>
      <c r="O2552">
        <v>0</v>
      </c>
      <c r="P2552">
        <v>1</v>
      </c>
      <c r="Q2552">
        <v>0</v>
      </c>
      <c r="S2552" t="str">
        <f t="shared" si="762"/>
        <v>22:20:49.000</v>
      </c>
      <c r="T2552" t="str">
        <f t="shared" si="762"/>
        <v>22:20:49.000</v>
      </c>
      <c r="U2552" t="str">
        <f t="shared" si="747"/>
        <v>A9D71F</v>
      </c>
      <c r="V2552">
        <v>0</v>
      </c>
      <c r="W2552">
        <v>0</v>
      </c>
      <c r="X2552">
        <v>2</v>
      </c>
      <c r="Z2552">
        <v>1</v>
      </c>
      <c r="AA2552">
        <v>8</v>
      </c>
      <c r="AB2552">
        <v>3</v>
      </c>
      <c r="AC2552">
        <v>0</v>
      </c>
      <c r="AD2552">
        <v>9</v>
      </c>
      <c r="AE2552">
        <v>0</v>
      </c>
      <c r="AF2552">
        <v>3</v>
      </c>
      <c r="AG2552">
        <v>1</v>
      </c>
      <c r="AH2552">
        <v>0</v>
      </c>
      <c r="AI2552" t="s">
        <v>1307</v>
      </c>
      <c r="AJ2552">
        <v>33.014623999999998</v>
      </c>
      <c r="AK2552" t="s">
        <v>1308</v>
      </c>
      <c r="AL2552">
        <v>-97.664702000000005</v>
      </c>
      <c r="AM2552">
        <v>25</v>
      </c>
      <c r="AN2552">
        <v>2100</v>
      </c>
      <c r="AO2552" t="s">
        <v>118</v>
      </c>
      <c r="AP2552">
        <v>66</v>
      </c>
      <c r="AQ2552">
        <v>48</v>
      </c>
      <c r="AR2552">
        <v>-576</v>
      </c>
      <c r="AZ2552">
        <v>1200</v>
      </c>
      <c r="BA2552">
        <v>1</v>
      </c>
      <c r="BB2552" t="str">
        <f t="shared" si="754"/>
        <v xml:space="preserve">N733KP  </v>
      </c>
      <c r="BC2552">
        <v>1</v>
      </c>
      <c r="BE2552">
        <v>0</v>
      </c>
      <c r="BF2552">
        <v>0</v>
      </c>
      <c r="BG2552">
        <v>0</v>
      </c>
      <c r="BH2552">
        <v>2200</v>
      </c>
      <c r="BI2552">
        <v>1</v>
      </c>
      <c r="BJ2552">
        <v>1</v>
      </c>
      <c r="BK2552">
        <v>0</v>
      </c>
      <c r="BL2552">
        <v>0</v>
      </c>
      <c r="BO2552">
        <v>0</v>
      </c>
      <c r="BP2552">
        <v>0</v>
      </c>
      <c r="BW2552" t="str">
        <f>"22:20:49.947"</f>
        <v>22:20:49.947</v>
      </c>
      <c r="CJ2552">
        <v>0</v>
      </c>
      <c r="CK2552">
        <v>2</v>
      </c>
      <c r="CL2552">
        <v>0</v>
      </c>
      <c r="CM2552">
        <v>2</v>
      </c>
      <c r="CN2552">
        <v>0</v>
      </c>
      <c r="CO2552">
        <v>6</v>
      </c>
      <c r="CP2552" t="s">
        <v>119</v>
      </c>
      <c r="CQ2552">
        <v>364</v>
      </c>
      <c r="CR2552">
        <v>0</v>
      </c>
      <c r="CW2552">
        <v>1465294</v>
      </c>
      <c r="CY2552">
        <v>1</v>
      </c>
      <c r="CZ2552">
        <v>0</v>
      </c>
      <c r="DA2552">
        <v>1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3">
      <c r="A2553" t="str">
        <f>"03/24/2022 22:20:50.603"</f>
        <v>03/24/2022 22:20:50.603</v>
      </c>
      <c r="C2553" t="str">
        <f t="shared" si="753"/>
        <v>FFDFD3C0</v>
      </c>
      <c r="D2553" t="s">
        <v>123</v>
      </c>
      <c r="E2553">
        <v>8</v>
      </c>
      <c r="H2553">
        <v>31</v>
      </c>
      <c r="I2553" t="s">
        <v>124</v>
      </c>
      <c r="J2553" t="s">
        <v>125</v>
      </c>
      <c r="K2553">
        <v>0</v>
      </c>
      <c r="L2553">
        <v>3</v>
      </c>
      <c r="M2553">
        <v>0</v>
      </c>
      <c r="N2553">
        <v>2</v>
      </c>
      <c r="O2553">
        <v>0</v>
      </c>
      <c r="P2553">
        <v>1</v>
      </c>
      <c r="Q2553">
        <v>0</v>
      </c>
      <c r="S2553" t="str">
        <f t="shared" ref="S2553:T2556" si="763">"22:20:50.000"</f>
        <v>22:20:50.000</v>
      </c>
      <c r="T2553" t="str">
        <f t="shared" si="763"/>
        <v>22:20:50.000</v>
      </c>
      <c r="U2553" t="str">
        <f t="shared" si="747"/>
        <v>A9D71F</v>
      </c>
      <c r="V2553">
        <v>0</v>
      </c>
      <c r="W2553">
        <v>0</v>
      </c>
      <c r="X2553">
        <v>2</v>
      </c>
      <c r="Z2553">
        <v>1</v>
      </c>
      <c r="AA2553">
        <v>8</v>
      </c>
      <c r="AB2553">
        <v>3</v>
      </c>
      <c r="AC2553">
        <v>0</v>
      </c>
      <c r="AD2553">
        <v>9</v>
      </c>
      <c r="AE2553">
        <v>0</v>
      </c>
      <c r="AF2553">
        <v>3</v>
      </c>
      <c r="AG2553">
        <v>1</v>
      </c>
      <c r="AH2553">
        <v>0</v>
      </c>
      <c r="AI2553" t="s">
        <v>1309</v>
      </c>
      <c r="AJ2553">
        <v>33.014839000000002</v>
      </c>
      <c r="AK2553" t="s">
        <v>1310</v>
      </c>
      <c r="AL2553">
        <v>-97.664359000000005</v>
      </c>
      <c r="AM2553">
        <v>25</v>
      </c>
      <c r="AN2553">
        <v>2100</v>
      </c>
      <c r="AO2553" t="s">
        <v>118</v>
      </c>
      <c r="AP2553">
        <v>69</v>
      </c>
      <c r="AQ2553">
        <v>48</v>
      </c>
      <c r="AR2553">
        <v>-576</v>
      </c>
      <c r="AZ2553">
        <v>1200</v>
      </c>
      <c r="BA2553">
        <v>1</v>
      </c>
      <c r="BB2553" t="str">
        <f t="shared" si="754"/>
        <v xml:space="preserve">N733KP  </v>
      </c>
      <c r="BC2553">
        <v>1</v>
      </c>
      <c r="BE2553">
        <v>0</v>
      </c>
      <c r="BF2553">
        <v>0</v>
      </c>
      <c r="BG2553">
        <v>0</v>
      </c>
      <c r="BH2553">
        <v>2200</v>
      </c>
      <c r="BI2553">
        <v>1</v>
      </c>
      <c r="BJ2553">
        <v>1</v>
      </c>
      <c r="BK2553">
        <v>0</v>
      </c>
      <c r="BL2553">
        <v>0</v>
      </c>
      <c r="BO2553">
        <v>0</v>
      </c>
      <c r="BP2553">
        <v>0</v>
      </c>
      <c r="BW2553" t="str">
        <f>"22:20:50.397"</f>
        <v>22:20:50.397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7</v>
      </c>
      <c r="CP2553" t="s">
        <v>119</v>
      </c>
      <c r="CQ2553">
        <v>364</v>
      </c>
      <c r="CR2553">
        <v>0</v>
      </c>
      <c r="CW2553">
        <v>1465362</v>
      </c>
      <c r="CY2553">
        <v>1</v>
      </c>
      <c r="CZ2553">
        <v>0</v>
      </c>
      <c r="DA2553">
        <v>0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3">
      <c r="A2554" t="str">
        <f>"03/24/2022 22:20:50.603"</f>
        <v>03/24/2022 22:20:50.603</v>
      </c>
      <c r="C2554" t="str">
        <f t="shared" si="753"/>
        <v>FFDFD3C0</v>
      </c>
      <c r="D2554" t="s">
        <v>113</v>
      </c>
      <c r="E2554">
        <v>24</v>
      </c>
      <c r="F2554">
        <v>2024</v>
      </c>
      <c r="G2554" t="s">
        <v>114</v>
      </c>
      <c r="J2554" t="s">
        <v>115</v>
      </c>
      <c r="K2554">
        <v>0</v>
      </c>
      <c r="L2554">
        <v>3</v>
      </c>
      <c r="M2554">
        <v>0</v>
      </c>
      <c r="N2554">
        <v>2</v>
      </c>
      <c r="O2554">
        <v>0</v>
      </c>
      <c r="P2554">
        <v>1</v>
      </c>
      <c r="Q2554">
        <v>0</v>
      </c>
      <c r="S2554" t="str">
        <f t="shared" si="763"/>
        <v>22:20:50.000</v>
      </c>
      <c r="T2554" t="str">
        <f t="shared" si="763"/>
        <v>22:20:50.000</v>
      </c>
      <c r="U2554" t="str">
        <f t="shared" si="747"/>
        <v>A9D71F</v>
      </c>
      <c r="V2554">
        <v>0</v>
      </c>
      <c r="W2554">
        <v>0</v>
      </c>
      <c r="X2554">
        <v>2</v>
      </c>
      <c r="Z2554">
        <v>1</v>
      </c>
      <c r="AA2554">
        <v>8</v>
      </c>
      <c r="AB2554">
        <v>3</v>
      </c>
      <c r="AC2554">
        <v>0</v>
      </c>
      <c r="AD2554">
        <v>9</v>
      </c>
      <c r="AE2554">
        <v>0</v>
      </c>
      <c r="AF2554">
        <v>3</v>
      </c>
      <c r="AG2554">
        <v>1</v>
      </c>
      <c r="AH2554">
        <v>0</v>
      </c>
      <c r="AI2554" t="s">
        <v>1309</v>
      </c>
      <c r="AJ2554">
        <v>33.014839000000002</v>
      </c>
      <c r="AK2554" t="s">
        <v>1310</v>
      </c>
      <c r="AL2554">
        <v>-97.664359000000005</v>
      </c>
      <c r="AM2554">
        <v>25</v>
      </c>
      <c r="AN2554">
        <v>2100</v>
      </c>
      <c r="AO2554" t="s">
        <v>118</v>
      </c>
      <c r="AP2554">
        <v>69</v>
      </c>
      <c r="AQ2554">
        <v>48</v>
      </c>
      <c r="AR2554">
        <v>-576</v>
      </c>
      <c r="AZ2554">
        <v>1200</v>
      </c>
      <c r="BA2554">
        <v>1</v>
      </c>
      <c r="BB2554" t="str">
        <f t="shared" si="754"/>
        <v xml:space="preserve">N733KP  </v>
      </c>
      <c r="BC2554">
        <v>1</v>
      </c>
      <c r="BE2554">
        <v>0</v>
      </c>
      <c r="BF2554">
        <v>0</v>
      </c>
      <c r="BG2554">
        <v>0</v>
      </c>
      <c r="BH2554">
        <v>2200</v>
      </c>
      <c r="BI2554">
        <v>1</v>
      </c>
      <c r="BJ2554">
        <v>1</v>
      </c>
      <c r="BK2554">
        <v>0</v>
      </c>
      <c r="BL2554">
        <v>0</v>
      </c>
      <c r="BO2554">
        <v>0</v>
      </c>
      <c r="BP2554">
        <v>0</v>
      </c>
      <c r="BW2554" t="str">
        <f>"22:20:50.397"</f>
        <v>22:20:50.397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7</v>
      </c>
      <c r="CP2554" t="s">
        <v>119</v>
      </c>
      <c r="CQ2554">
        <v>364</v>
      </c>
      <c r="CR2554">
        <v>0</v>
      </c>
      <c r="CW2554">
        <v>1465362</v>
      </c>
      <c r="CY2554">
        <v>1</v>
      </c>
      <c r="CZ2554">
        <v>0</v>
      </c>
      <c r="DA2554">
        <v>1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3">
      <c r="A2555" t="str">
        <f>"03/24/2022 22:20:50.603"</f>
        <v>03/24/2022 22:20:50.603</v>
      </c>
      <c r="C2555" t="str">
        <f t="shared" si="753"/>
        <v>FFDFD3C0</v>
      </c>
      <c r="D2555" t="s">
        <v>120</v>
      </c>
      <c r="E2555">
        <v>14</v>
      </c>
      <c r="F2555">
        <v>1014</v>
      </c>
      <c r="G2555" t="s">
        <v>121</v>
      </c>
      <c r="J2555" t="s">
        <v>122</v>
      </c>
      <c r="K2555">
        <v>0</v>
      </c>
      <c r="L2555">
        <v>3</v>
      </c>
      <c r="M2555">
        <v>0</v>
      </c>
      <c r="N2555">
        <v>2</v>
      </c>
      <c r="O2555">
        <v>0</v>
      </c>
      <c r="P2555">
        <v>1</v>
      </c>
      <c r="Q2555">
        <v>0</v>
      </c>
      <c r="S2555" t="str">
        <f t="shared" si="763"/>
        <v>22:20:50.000</v>
      </c>
      <c r="T2555" t="str">
        <f t="shared" si="763"/>
        <v>22:20:50.000</v>
      </c>
      <c r="U2555" t="str">
        <f t="shared" si="747"/>
        <v>A9D71F</v>
      </c>
      <c r="V2555">
        <v>0</v>
      </c>
      <c r="W2555">
        <v>0</v>
      </c>
      <c r="X2555">
        <v>2</v>
      </c>
      <c r="Z2555">
        <v>1</v>
      </c>
      <c r="AA2555">
        <v>8</v>
      </c>
      <c r="AB2555">
        <v>3</v>
      </c>
      <c r="AC2555">
        <v>0</v>
      </c>
      <c r="AD2555">
        <v>9</v>
      </c>
      <c r="AE2555">
        <v>0</v>
      </c>
      <c r="AF2555">
        <v>3</v>
      </c>
      <c r="AG2555">
        <v>1</v>
      </c>
      <c r="AH2555">
        <v>0</v>
      </c>
      <c r="AI2555" t="s">
        <v>1309</v>
      </c>
      <c r="AJ2555">
        <v>33.014839000000002</v>
      </c>
      <c r="AK2555" t="s">
        <v>1310</v>
      </c>
      <c r="AL2555">
        <v>-97.664359000000005</v>
      </c>
      <c r="AM2555">
        <v>25</v>
      </c>
      <c r="AN2555">
        <v>2100</v>
      </c>
      <c r="AO2555" t="s">
        <v>118</v>
      </c>
      <c r="AP2555">
        <v>69</v>
      </c>
      <c r="AQ2555">
        <v>48</v>
      </c>
      <c r="AR2555">
        <v>-576</v>
      </c>
      <c r="AZ2555">
        <v>1200</v>
      </c>
      <c r="BA2555">
        <v>1</v>
      </c>
      <c r="BB2555" t="str">
        <f t="shared" si="754"/>
        <v xml:space="preserve">N733KP  </v>
      </c>
      <c r="BC2555">
        <v>1</v>
      </c>
      <c r="BE2555">
        <v>0</v>
      </c>
      <c r="BF2555">
        <v>0</v>
      </c>
      <c r="BG2555">
        <v>0</v>
      </c>
      <c r="BH2555">
        <v>2200</v>
      </c>
      <c r="BI2555">
        <v>1</v>
      </c>
      <c r="BJ2555">
        <v>1</v>
      </c>
      <c r="BK2555">
        <v>0</v>
      </c>
      <c r="BL2555">
        <v>0</v>
      </c>
      <c r="BO2555">
        <v>0</v>
      </c>
      <c r="BP2555">
        <v>0</v>
      </c>
      <c r="BW2555" t="str">
        <f>"22:20:50.397"</f>
        <v>22:20:50.397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7</v>
      </c>
      <c r="CP2555" t="s">
        <v>119</v>
      </c>
      <c r="CQ2555">
        <v>364</v>
      </c>
      <c r="CR2555">
        <v>0</v>
      </c>
      <c r="CW2555">
        <v>1465362</v>
      </c>
      <c r="CY2555">
        <v>1</v>
      </c>
      <c r="CZ2555">
        <v>0</v>
      </c>
      <c r="DA2555">
        <v>1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3">
      <c r="A2556" t="str">
        <f>"03/24/2022 22:20:50.603"</f>
        <v>03/24/2022 22:20:50.603</v>
      </c>
      <c r="C2556" t="str">
        <f t="shared" si="753"/>
        <v>FFDFD3C0</v>
      </c>
      <c r="D2556" t="s">
        <v>126</v>
      </c>
      <c r="E2556">
        <v>3</v>
      </c>
      <c r="H2556">
        <v>160</v>
      </c>
      <c r="I2556" t="s">
        <v>121</v>
      </c>
      <c r="J2556" t="s">
        <v>127</v>
      </c>
      <c r="K2556">
        <v>0</v>
      </c>
      <c r="L2556">
        <v>3</v>
      </c>
      <c r="M2556">
        <v>0</v>
      </c>
      <c r="N2556">
        <v>2</v>
      </c>
      <c r="O2556">
        <v>0</v>
      </c>
      <c r="P2556">
        <v>1</v>
      </c>
      <c r="Q2556">
        <v>0</v>
      </c>
      <c r="S2556" t="str">
        <f t="shared" si="763"/>
        <v>22:20:50.000</v>
      </c>
      <c r="T2556" t="str">
        <f t="shared" si="763"/>
        <v>22:20:50.000</v>
      </c>
      <c r="U2556" t="str">
        <f t="shared" si="747"/>
        <v>A9D71F</v>
      </c>
      <c r="V2556">
        <v>0</v>
      </c>
      <c r="W2556">
        <v>0</v>
      </c>
      <c r="X2556">
        <v>2</v>
      </c>
      <c r="Z2556">
        <v>1</v>
      </c>
      <c r="AA2556">
        <v>8</v>
      </c>
      <c r="AB2556">
        <v>3</v>
      </c>
      <c r="AC2556">
        <v>0</v>
      </c>
      <c r="AD2556">
        <v>9</v>
      </c>
      <c r="AE2556">
        <v>0</v>
      </c>
      <c r="AF2556">
        <v>3</v>
      </c>
      <c r="AG2556">
        <v>1</v>
      </c>
      <c r="AH2556">
        <v>0</v>
      </c>
      <c r="AI2556" t="s">
        <v>1309</v>
      </c>
      <c r="AJ2556">
        <v>33.014839000000002</v>
      </c>
      <c r="AK2556" t="s">
        <v>1310</v>
      </c>
      <c r="AL2556">
        <v>-97.664359000000005</v>
      </c>
      <c r="AM2556">
        <v>25</v>
      </c>
      <c r="AN2556">
        <v>2100</v>
      </c>
      <c r="AO2556" t="s">
        <v>118</v>
      </c>
      <c r="AP2556">
        <v>69</v>
      </c>
      <c r="AQ2556">
        <v>48</v>
      </c>
      <c r="AR2556">
        <v>-576</v>
      </c>
      <c r="AZ2556">
        <v>1200</v>
      </c>
      <c r="BA2556">
        <v>1</v>
      </c>
      <c r="BB2556" t="str">
        <f t="shared" si="754"/>
        <v xml:space="preserve">N733KP  </v>
      </c>
      <c r="BC2556">
        <v>1</v>
      </c>
      <c r="BE2556">
        <v>0</v>
      </c>
      <c r="BF2556">
        <v>0</v>
      </c>
      <c r="BG2556">
        <v>0</v>
      </c>
      <c r="BH2556">
        <v>2200</v>
      </c>
      <c r="BI2556">
        <v>1</v>
      </c>
      <c r="BJ2556">
        <v>1</v>
      </c>
      <c r="BK2556">
        <v>0</v>
      </c>
      <c r="BL2556">
        <v>0</v>
      </c>
      <c r="BO2556">
        <v>0</v>
      </c>
      <c r="BP2556">
        <v>0</v>
      </c>
      <c r="BW2556" t="str">
        <f>"22:20:50.397"</f>
        <v>22:20:50.397</v>
      </c>
      <c r="CJ2556">
        <v>0</v>
      </c>
      <c r="CK2556">
        <v>2</v>
      </c>
      <c r="CL2556">
        <v>0</v>
      </c>
      <c r="CM2556">
        <v>2</v>
      </c>
      <c r="CN2556">
        <v>0</v>
      </c>
      <c r="CO2556">
        <v>7</v>
      </c>
      <c r="CP2556" t="s">
        <v>119</v>
      </c>
      <c r="CQ2556">
        <v>364</v>
      </c>
      <c r="CR2556">
        <v>0</v>
      </c>
      <c r="CW2556">
        <v>1465362</v>
      </c>
      <c r="CY2556">
        <v>1</v>
      </c>
      <c r="CZ2556">
        <v>0</v>
      </c>
      <c r="DA2556">
        <v>1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3">
      <c r="A2557" t="str">
        <f>"03/24/2022 22:20:51.837"</f>
        <v>03/24/2022 22:20:51.837</v>
      </c>
      <c r="C2557" t="str">
        <f t="shared" si="753"/>
        <v>FFDFD3C0</v>
      </c>
      <c r="D2557" t="s">
        <v>123</v>
      </c>
      <c r="E2557">
        <v>8</v>
      </c>
      <c r="H2557">
        <v>31</v>
      </c>
      <c r="I2557" t="s">
        <v>124</v>
      </c>
      <c r="J2557" t="s">
        <v>125</v>
      </c>
      <c r="K2557">
        <v>0</v>
      </c>
      <c r="L2557">
        <v>3</v>
      </c>
      <c r="M2557">
        <v>0</v>
      </c>
      <c r="N2557">
        <v>2</v>
      </c>
      <c r="O2557">
        <v>0</v>
      </c>
      <c r="P2557">
        <v>1</v>
      </c>
      <c r="Q2557">
        <v>0</v>
      </c>
      <c r="S2557" t="str">
        <f t="shared" ref="S2557:T2560" si="764">"22:20:51.000"</f>
        <v>22:20:51.000</v>
      </c>
      <c r="T2557" t="str">
        <f t="shared" si="764"/>
        <v>22:20:51.000</v>
      </c>
      <c r="U2557" t="str">
        <f t="shared" si="747"/>
        <v>A9D71F</v>
      </c>
      <c r="V2557">
        <v>0</v>
      </c>
      <c r="W2557">
        <v>0</v>
      </c>
      <c r="X2557">
        <v>2</v>
      </c>
      <c r="Z2557">
        <v>1</v>
      </c>
      <c r="AA2557">
        <v>8</v>
      </c>
      <c r="AB2557">
        <v>3</v>
      </c>
      <c r="AC2557">
        <v>0</v>
      </c>
      <c r="AD2557">
        <v>9</v>
      </c>
      <c r="AE2557">
        <v>0</v>
      </c>
      <c r="AF2557">
        <v>3</v>
      </c>
      <c r="AG2557">
        <v>1</v>
      </c>
      <c r="AH2557">
        <v>0</v>
      </c>
      <c r="AI2557" t="s">
        <v>1311</v>
      </c>
      <c r="AJ2557">
        <v>33.015075000000003</v>
      </c>
      <c r="AK2557" t="s">
        <v>1312</v>
      </c>
      <c r="AL2557">
        <v>-97.663972000000001</v>
      </c>
      <c r="AM2557">
        <v>25</v>
      </c>
      <c r="AN2557">
        <v>2100</v>
      </c>
      <c r="AO2557" t="s">
        <v>118</v>
      </c>
      <c r="AP2557">
        <v>73</v>
      </c>
      <c r="AQ2557">
        <v>47</v>
      </c>
      <c r="AR2557">
        <v>-512</v>
      </c>
      <c r="AZ2557">
        <v>1200</v>
      </c>
      <c r="BA2557">
        <v>1</v>
      </c>
      <c r="BB2557" t="str">
        <f t="shared" si="754"/>
        <v xml:space="preserve">N733KP  </v>
      </c>
      <c r="BC2557">
        <v>1</v>
      </c>
      <c r="BE2557">
        <v>0</v>
      </c>
      <c r="BF2557">
        <v>0</v>
      </c>
      <c r="BG2557">
        <v>0</v>
      </c>
      <c r="BH2557">
        <v>2200</v>
      </c>
      <c r="BI2557">
        <v>1</v>
      </c>
      <c r="BJ2557">
        <v>1</v>
      </c>
      <c r="BK2557">
        <v>0</v>
      </c>
      <c r="BL2557">
        <v>0</v>
      </c>
      <c r="BO2557">
        <v>0</v>
      </c>
      <c r="BP2557">
        <v>0</v>
      </c>
      <c r="BW2557" t="str">
        <f>"22:20:51.618"</f>
        <v>22:20:51.618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7</v>
      </c>
      <c r="CP2557" t="s">
        <v>119</v>
      </c>
      <c r="CQ2557">
        <v>364</v>
      </c>
      <c r="CR2557">
        <v>0</v>
      </c>
      <c r="CW2557">
        <v>1465528</v>
      </c>
      <c r="CY2557">
        <v>1</v>
      </c>
      <c r="CZ2557">
        <v>0</v>
      </c>
      <c r="DA2557">
        <v>0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3">
      <c r="A2558" t="str">
        <f>"03/24/2022 22:20:51.869"</f>
        <v>03/24/2022 22:20:51.869</v>
      </c>
      <c r="C2558" t="str">
        <f t="shared" si="753"/>
        <v>FFDFD3C0</v>
      </c>
      <c r="D2558" t="s">
        <v>113</v>
      </c>
      <c r="E2558">
        <v>24</v>
      </c>
      <c r="F2558">
        <v>2024</v>
      </c>
      <c r="G2558" t="s">
        <v>114</v>
      </c>
      <c r="J2558" t="s">
        <v>115</v>
      </c>
      <c r="K2558">
        <v>0</v>
      </c>
      <c r="L2558">
        <v>3</v>
      </c>
      <c r="M2558">
        <v>0</v>
      </c>
      <c r="N2558">
        <v>2</v>
      </c>
      <c r="O2558">
        <v>0</v>
      </c>
      <c r="P2558">
        <v>1</v>
      </c>
      <c r="Q2558">
        <v>0</v>
      </c>
      <c r="S2558" t="str">
        <f t="shared" si="764"/>
        <v>22:20:51.000</v>
      </c>
      <c r="T2558" t="str">
        <f t="shared" si="764"/>
        <v>22:20:51.000</v>
      </c>
      <c r="U2558" t="str">
        <f t="shared" si="747"/>
        <v>A9D71F</v>
      </c>
      <c r="V2558">
        <v>0</v>
      </c>
      <c r="W2558">
        <v>0</v>
      </c>
      <c r="X2558">
        <v>2</v>
      </c>
      <c r="Z2558">
        <v>1</v>
      </c>
      <c r="AA2558">
        <v>8</v>
      </c>
      <c r="AB2558">
        <v>3</v>
      </c>
      <c r="AC2558">
        <v>0</v>
      </c>
      <c r="AD2558">
        <v>9</v>
      </c>
      <c r="AE2558">
        <v>0</v>
      </c>
      <c r="AF2558">
        <v>3</v>
      </c>
      <c r="AG2558">
        <v>1</v>
      </c>
      <c r="AH2558">
        <v>0</v>
      </c>
      <c r="AI2558" t="s">
        <v>1311</v>
      </c>
      <c r="AJ2558">
        <v>33.015075000000003</v>
      </c>
      <c r="AK2558" t="s">
        <v>1312</v>
      </c>
      <c r="AL2558">
        <v>-97.663972000000001</v>
      </c>
      <c r="AM2558">
        <v>25</v>
      </c>
      <c r="AN2558">
        <v>2100</v>
      </c>
      <c r="AO2558" t="s">
        <v>118</v>
      </c>
      <c r="AP2558">
        <v>73</v>
      </c>
      <c r="AQ2558">
        <v>47</v>
      </c>
      <c r="AR2558">
        <v>-512</v>
      </c>
      <c r="AZ2558">
        <v>1200</v>
      </c>
      <c r="BA2558">
        <v>1</v>
      </c>
      <c r="BB2558" t="str">
        <f t="shared" si="754"/>
        <v xml:space="preserve">N733KP  </v>
      </c>
      <c r="BC2558">
        <v>1</v>
      </c>
      <c r="BE2558">
        <v>0</v>
      </c>
      <c r="BF2558">
        <v>0</v>
      </c>
      <c r="BG2558">
        <v>0</v>
      </c>
      <c r="BH2558">
        <v>2200</v>
      </c>
      <c r="BI2558">
        <v>1</v>
      </c>
      <c r="BJ2558">
        <v>1</v>
      </c>
      <c r="BK2558">
        <v>0</v>
      </c>
      <c r="BL2558">
        <v>0</v>
      </c>
      <c r="BO2558">
        <v>0</v>
      </c>
      <c r="BP2558">
        <v>0</v>
      </c>
      <c r="BW2558" t="str">
        <f>"22:20:51.618"</f>
        <v>22:20:51.618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7</v>
      </c>
      <c r="CP2558" t="s">
        <v>119</v>
      </c>
      <c r="CQ2558">
        <v>364</v>
      </c>
      <c r="CR2558">
        <v>0</v>
      </c>
      <c r="CW2558">
        <v>1465528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3">
      <c r="A2559" t="str">
        <f>"03/24/2022 22:20:51.869"</f>
        <v>03/24/2022 22:20:51.869</v>
      </c>
      <c r="C2559" t="str">
        <f t="shared" si="753"/>
        <v>FFDFD3C0</v>
      </c>
      <c r="D2559" t="s">
        <v>120</v>
      </c>
      <c r="E2559">
        <v>14</v>
      </c>
      <c r="F2559">
        <v>1014</v>
      </c>
      <c r="G2559" t="s">
        <v>121</v>
      </c>
      <c r="J2559" t="s">
        <v>122</v>
      </c>
      <c r="K2559">
        <v>0</v>
      </c>
      <c r="L2559">
        <v>3</v>
      </c>
      <c r="M2559">
        <v>0</v>
      </c>
      <c r="N2559">
        <v>2</v>
      </c>
      <c r="O2559">
        <v>0</v>
      </c>
      <c r="P2559">
        <v>1</v>
      </c>
      <c r="Q2559">
        <v>0</v>
      </c>
      <c r="S2559" t="str">
        <f t="shared" si="764"/>
        <v>22:20:51.000</v>
      </c>
      <c r="T2559" t="str">
        <f t="shared" si="764"/>
        <v>22:20:51.000</v>
      </c>
      <c r="U2559" t="str">
        <f t="shared" si="747"/>
        <v>A9D71F</v>
      </c>
      <c r="V2559">
        <v>0</v>
      </c>
      <c r="W2559">
        <v>0</v>
      </c>
      <c r="X2559">
        <v>2</v>
      </c>
      <c r="Z2559">
        <v>1</v>
      </c>
      <c r="AA2559">
        <v>8</v>
      </c>
      <c r="AB2559">
        <v>3</v>
      </c>
      <c r="AC2559">
        <v>0</v>
      </c>
      <c r="AD2559">
        <v>9</v>
      </c>
      <c r="AE2559">
        <v>0</v>
      </c>
      <c r="AF2559">
        <v>3</v>
      </c>
      <c r="AG2559">
        <v>1</v>
      </c>
      <c r="AH2559">
        <v>0</v>
      </c>
      <c r="AI2559" t="s">
        <v>1311</v>
      </c>
      <c r="AJ2559">
        <v>33.015075000000003</v>
      </c>
      <c r="AK2559" t="s">
        <v>1312</v>
      </c>
      <c r="AL2559">
        <v>-97.663972000000001</v>
      </c>
      <c r="AM2559">
        <v>25</v>
      </c>
      <c r="AN2559">
        <v>2100</v>
      </c>
      <c r="AO2559" t="s">
        <v>118</v>
      </c>
      <c r="AP2559">
        <v>73</v>
      </c>
      <c r="AQ2559">
        <v>47</v>
      </c>
      <c r="AR2559">
        <v>-512</v>
      </c>
      <c r="AZ2559">
        <v>1200</v>
      </c>
      <c r="BA2559">
        <v>1</v>
      </c>
      <c r="BB2559" t="str">
        <f t="shared" si="754"/>
        <v xml:space="preserve">N733KP  </v>
      </c>
      <c r="BC2559">
        <v>1</v>
      </c>
      <c r="BE2559">
        <v>0</v>
      </c>
      <c r="BF2559">
        <v>0</v>
      </c>
      <c r="BG2559">
        <v>0</v>
      </c>
      <c r="BH2559">
        <v>2200</v>
      </c>
      <c r="BI2559">
        <v>1</v>
      </c>
      <c r="BJ2559">
        <v>1</v>
      </c>
      <c r="BK2559">
        <v>0</v>
      </c>
      <c r="BL2559">
        <v>0</v>
      </c>
      <c r="BO2559">
        <v>0</v>
      </c>
      <c r="BP2559">
        <v>0</v>
      </c>
      <c r="BW2559" t="str">
        <f>"22:20:51.618"</f>
        <v>22:20:51.618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7</v>
      </c>
      <c r="CP2559" t="s">
        <v>119</v>
      </c>
      <c r="CQ2559">
        <v>364</v>
      </c>
      <c r="CR2559">
        <v>0</v>
      </c>
      <c r="CW2559">
        <v>1465528</v>
      </c>
      <c r="CY2559">
        <v>1</v>
      </c>
      <c r="CZ2559">
        <v>0</v>
      </c>
      <c r="DA2559">
        <v>1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3">
      <c r="A2560" t="str">
        <f>"03/24/2022 22:20:51.869"</f>
        <v>03/24/2022 22:20:51.869</v>
      </c>
      <c r="C2560" t="str">
        <f t="shared" si="753"/>
        <v>FFDFD3C0</v>
      </c>
      <c r="D2560" t="s">
        <v>126</v>
      </c>
      <c r="E2560">
        <v>3</v>
      </c>
      <c r="H2560">
        <v>160</v>
      </c>
      <c r="I2560" t="s">
        <v>121</v>
      </c>
      <c r="J2560" t="s">
        <v>127</v>
      </c>
      <c r="K2560">
        <v>0</v>
      </c>
      <c r="L2560">
        <v>3</v>
      </c>
      <c r="M2560">
        <v>0</v>
      </c>
      <c r="N2560">
        <v>2</v>
      </c>
      <c r="O2560">
        <v>0</v>
      </c>
      <c r="P2560">
        <v>1</v>
      </c>
      <c r="Q2560">
        <v>0</v>
      </c>
      <c r="S2560" t="str">
        <f t="shared" si="764"/>
        <v>22:20:51.000</v>
      </c>
      <c r="T2560" t="str">
        <f t="shared" si="764"/>
        <v>22:20:51.000</v>
      </c>
      <c r="U2560" t="str">
        <f t="shared" si="747"/>
        <v>A9D71F</v>
      </c>
      <c r="V2560">
        <v>0</v>
      </c>
      <c r="W2560">
        <v>0</v>
      </c>
      <c r="X2560">
        <v>2</v>
      </c>
      <c r="Z2560">
        <v>1</v>
      </c>
      <c r="AA2560">
        <v>8</v>
      </c>
      <c r="AB2560">
        <v>3</v>
      </c>
      <c r="AC2560">
        <v>0</v>
      </c>
      <c r="AD2560">
        <v>9</v>
      </c>
      <c r="AE2560">
        <v>0</v>
      </c>
      <c r="AF2560">
        <v>3</v>
      </c>
      <c r="AG2560">
        <v>1</v>
      </c>
      <c r="AH2560">
        <v>0</v>
      </c>
      <c r="AI2560" t="s">
        <v>1311</v>
      </c>
      <c r="AJ2560">
        <v>33.015075000000003</v>
      </c>
      <c r="AK2560" t="s">
        <v>1312</v>
      </c>
      <c r="AL2560">
        <v>-97.663972000000001</v>
      </c>
      <c r="AM2560">
        <v>25</v>
      </c>
      <c r="AN2560">
        <v>2100</v>
      </c>
      <c r="AO2560" t="s">
        <v>118</v>
      </c>
      <c r="AP2560">
        <v>73</v>
      </c>
      <c r="AQ2560">
        <v>47</v>
      </c>
      <c r="AR2560">
        <v>-512</v>
      </c>
      <c r="AZ2560">
        <v>1200</v>
      </c>
      <c r="BA2560">
        <v>1</v>
      </c>
      <c r="BB2560" t="str">
        <f t="shared" si="754"/>
        <v xml:space="preserve">N733KP  </v>
      </c>
      <c r="BC2560">
        <v>1</v>
      </c>
      <c r="BE2560">
        <v>0</v>
      </c>
      <c r="BF2560">
        <v>0</v>
      </c>
      <c r="BG2560">
        <v>0</v>
      </c>
      <c r="BH2560">
        <v>2200</v>
      </c>
      <c r="BI2560">
        <v>1</v>
      </c>
      <c r="BJ2560">
        <v>1</v>
      </c>
      <c r="BK2560">
        <v>0</v>
      </c>
      <c r="BL2560">
        <v>0</v>
      </c>
      <c r="BO2560">
        <v>0</v>
      </c>
      <c r="BP2560">
        <v>0</v>
      </c>
      <c r="BW2560" t="str">
        <f>"22:20:51.618"</f>
        <v>22:20:51.618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7</v>
      </c>
      <c r="CP2560" t="s">
        <v>119</v>
      </c>
      <c r="CQ2560">
        <v>364</v>
      </c>
      <c r="CR2560">
        <v>0</v>
      </c>
      <c r="CW2560">
        <v>1465528</v>
      </c>
      <c r="CY2560">
        <v>1</v>
      </c>
      <c r="CZ2560">
        <v>0</v>
      </c>
      <c r="DA2560">
        <v>1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3">
      <c r="A2561" t="str">
        <f>"03/24/2022 22:20:53.026"</f>
        <v>03/24/2022 22:20:53.026</v>
      </c>
      <c r="C2561" t="str">
        <f t="shared" si="753"/>
        <v>FFDFD3C0</v>
      </c>
      <c r="D2561" t="s">
        <v>126</v>
      </c>
      <c r="E2561">
        <v>3</v>
      </c>
      <c r="H2561">
        <v>160</v>
      </c>
      <c r="I2561" t="s">
        <v>121</v>
      </c>
      <c r="J2561" t="s">
        <v>127</v>
      </c>
      <c r="K2561">
        <v>0</v>
      </c>
      <c r="L2561">
        <v>3</v>
      </c>
      <c r="M2561">
        <v>0</v>
      </c>
      <c r="N2561">
        <v>2</v>
      </c>
      <c r="O2561">
        <v>0</v>
      </c>
      <c r="P2561">
        <v>1</v>
      </c>
      <c r="Q2561">
        <v>0</v>
      </c>
      <c r="S2561" t="str">
        <f t="shared" ref="S2561:T2564" si="765">"22:20:52.000"</f>
        <v>22:20:52.000</v>
      </c>
      <c r="T2561" t="str">
        <f t="shared" si="765"/>
        <v>22:20:52.000</v>
      </c>
      <c r="U2561" t="str">
        <f t="shared" si="747"/>
        <v>A9D71F</v>
      </c>
      <c r="V2561">
        <v>0</v>
      </c>
      <c r="W2561">
        <v>0</v>
      </c>
      <c r="X2561">
        <v>2</v>
      </c>
      <c r="Z2561">
        <v>1</v>
      </c>
      <c r="AA2561">
        <v>8</v>
      </c>
      <c r="AB2561">
        <v>3</v>
      </c>
      <c r="AC2561">
        <v>0</v>
      </c>
      <c r="AD2561">
        <v>9</v>
      </c>
      <c r="AE2561">
        <v>0</v>
      </c>
      <c r="AF2561">
        <v>3</v>
      </c>
      <c r="AG2561">
        <v>1</v>
      </c>
      <c r="AH2561">
        <v>0</v>
      </c>
      <c r="AI2561" t="s">
        <v>1146</v>
      </c>
      <c r="AJ2561">
        <v>33.015289000000003</v>
      </c>
      <c r="AK2561" t="s">
        <v>1313</v>
      </c>
      <c r="AL2561">
        <v>-97.663565000000006</v>
      </c>
      <c r="AM2561">
        <v>25</v>
      </c>
      <c r="AN2561">
        <v>2100</v>
      </c>
      <c r="AO2561" t="s">
        <v>118</v>
      </c>
      <c r="AP2561">
        <v>77</v>
      </c>
      <c r="AQ2561">
        <v>43</v>
      </c>
      <c r="AR2561">
        <v>-384</v>
      </c>
      <c r="AZ2561">
        <v>1200</v>
      </c>
      <c r="BA2561">
        <v>1</v>
      </c>
      <c r="BB2561" t="str">
        <f t="shared" si="754"/>
        <v xml:space="preserve">N733KP  </v>
      </c>
      <c r="BC2561">
        <v>1</v>
      </c>
      <c r="BE2561">
        <v>0</v>
      </c>
      <c r="BF2561">
        <v>0</v>
      </c>
      <c r="BG2561">
        <v>0</v>
      </c>
      <c r="BH2561">
        <v>2175</v>
      </c>
      <c r="BI2561">
        <v>1</v>
      </c>
      <c r="BJ2561">
        <v>1</v>
      </c>
      <c r="BK2561">
        <v>0</v>
      </c>
      <c r="BL2561">
        <v>0</v>
      </c>
      <c r="BO2561">
        <v>0</v>
      </c>
      <c r="BP2561">
        <v>0</v>
      </c>
      <c r="BW2561" t="str">
        <f>"22:20:52.874"</f>
        <v>22:20:52.874</v>
      </c>
      <c r="CJ2561">
        <v>0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119</v>
      </c>
      <c r="CQ2561">
        <v>364</v>
      </c>
      <c r="CR2561">
        <v>0</v>
      </c>
      <c r="CW2561">
        <v>1465718</v>
      </c>
      <c r="CY2561">
        <v>1</v>
      </c>
      <c r="CZ2561">
        <v>0</v>
      </c>
      <c r="DA2561">
        <v>0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3">
      <c r="A2562" t="str">
        <f>"03/24/2022 22:20:53.026"</f>
        <v>03/24/2022 22:20:53.026</v>
      </c>
      <c r="C2562" t="str">
        <f t="shared" si="753"/>
        <v>FFDFD3C0</v>
      </c>
      <c r="D2562" t="s">
        <v>120</v>
      </c>
      <c r="E2562">
        <v>14</v>
      </c>
      <c r="F2562">
        <v>1014</v>
      </c>
      <c r="G2562" t="s">
        <v>121</v>
      </c>
      <c r="J2562" t="s">
        <v>122</v>
      </c>
      <c r="K2562">
        <v>0</v>
      </c>
      <c r="L2562">
        <v>3</v>
      </c>
      <c r="M2562">
        <v>0</v>
      </c>
      <c r="N2562">
        <v>2</v>
      </c>
      <c r="O2562">
        <v>0</v>
      </c>
      <c r="P2562">
        <v>1</v>
      </c>
      <c r="Q2562">
        <v>0</v>
      </c>
      <c r="S2562" t="str">
        <f t="shared" si="765"/>
        <v>22:20:52.000</v>
      </c>
      <c r="T2562" t="str">
        <f t="shared" si="765"/>
        <v>22:20:52.000</v>
      </c>
      <c r="U2562" t="str">
        <f t="shared" ref="U2562:U2625" si="766">"A9D71F"</f>
        <v>A9D71F</v>
      </c>
      <c r="V2562">
        <v>0</v>
      </c>
      <c r="W2562">
        <v>0</v>
      </c>
      <c r="X2562">
        <v>2</v>
      </c>
      <c r="Z2562">
        <v>1</v>
      </c>
      <c r="AA2562">
        <v>8</v>
      </c>
      <c r="AB2562">
        <v>3</v>
      </c>
      <c r="AC2562">
        <v>0</v>
      </c>
      <c r="AD2562">
        <v>9</v>
      </c>
      <c r="AE2562">
        <v>0</v>
      </c>
      <c r="AF2562">
        <v>3</v>
      </c>
      <c r="AG2562">
        <v>1</v>
      </c>
      <c r="AH2562">
        <v>0</v>
      </c>
      <c r="AI2562" t="s">
        <v>1146</v>
      </c>
      <c r="AJ2562">
        <v>33.015289000000003</v>
      </c>
      <c r="AK2562" t="s">
        <v>1313</v>
      </c>
      <c r="AL2562">
        <v>-97.663565000000006</v>
      </c>
      <c r="AM2562">
        <v>25</v>
      </c>
      <c r="AN2562">
        <v>2100</v>
      </c>
      <c r="AO2562" t="s">
        <v>118</v>
      </c>
      <c r="AP2562">
        <v>77</v>
      </c>
      <c r="AQ2562">
        <v>43</v>
      </c>
      <c r="AR2562">
        <v>-384</v>
      </c>
      <c r="AZ2562">
        <v>1200</v>
      </c>
      <c r="BA2562">
        <v>1</v>
      </c>
      <c r="BB2562" t="str">
        <f t="shared" si="754"/>
        <v xml:space="preserve">N733KP  </v>
      </c>
      <c r="BC2562">
        <v>1</v>
      </c>
      <c r="BE2562">
        <v>0</v>
      </c>
      <c r="BF2562">
        <v>0</v>
      </c>
      <c r="BG2562">
        <v>0</v>
      </c>
      <c r="BH2562">
        <v>2175</v>
      </c>
      <c r="BI2562">
        <v>1</v>
      </c>
      <c r="BJ2562">
        <v>1</v>
      </c>
      <c r="BK2562">
        <v>0</v>
      </c>
      <c r="BL2562">
        <v>0</v>
      </c>
      <c r="BO2562">
        <v>0</v>
      </c>
      <c r="BP2562">
        <v>0</v>
      </c>
      <c r="BW2562" t="str">
        <f>"22:20:52.874"</f>
        <v>22:20:52.874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7</v>
      </c>
      <c r="CP2562" t="s">
        <v>119</v>
      </c>
      <c r="CQ2562">
        <v>364</v>
      </c>
      <c r="CR2562">
        <v>0</v>
      </c>
      <c r="CW2562">
        <v>1465718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3">
      <c r="A2563" t="str">
        <f>"03/24/2022 22:20:53.073"</f>
        <v>03/24/2022 22:20:53.073</v>
      </c>
      <c r="C2563" t="str">
        <f t="shared" si="753"/>
        <v>FFDFD3C0</v>
      </c>
      <c r="D2563" t="s">
        <v>123</v>
      </c>
      <c r="E2563">
        <v>8</v>
      </c>
      <c r="H2563">
        <v>31</v>
      </c>
      <c r="I2563" t="s">
        <v>124</v>
      </c>
      <c r="J2563" t="s">
        <v>125</v>
      </c>
      <c r="K2563">
        <v>0</v>
      </c>
      <c r="L2563">
        <v>3</v>
      </c>
      <c r="M2563">
        <v>0</v>
      </c>
      <c r="N2563">
        <v>2</v>
      </c>
      <c r="O2563">
        <v>0</v>
      </c>
      <c r="P2563">
        <v>1</v>
      </c>
      <c r="Q2563">
        <v>0</v>
      </c>
      <c r="S2563" t="str">
        <f t="shared" si="765"/>
        <v>22:20:52.000</v>
      </c>
      <c r="T2563" t="str">
        <f t="shared" si="765"/>
        <v>22:20:52.000</v>
      </c>
      <c r="U2563" t="str">
        <f t="shared" si="766"/>
        <v>A9D71F</v>
      </c>
      <c r="V2563">
        <v>0</v>
      </c>
      <c r="W2563">
        <v>0</v>
      </c>
      <c r="X2563">
        <v>2</v>
      </c>
      <c r="Z2563">
        <v>1</v>
      </c>
      <c r="AA2563">
        <v>8</v>
      </c>
      <c r="AB2563">
        <v>3</v>
      </c>
      <c r="AC2563">
        <v>0</v>
      </c>
      <c r="AD2563">
        <v>9</v>
      </c>
      <c r="AE2563">
        <v>0</v>
      </c>
      <c r="AF2563">
        <v>3</v>
      </c>
      <c r="AG2563">
        <v>1</v>
      </c>
      <c r="AH2563">
        <v>0</v>
      </c>
      <c r="AI2563" t="s">
        <v>1146</v>
      </c>
      <c r="AJ2563">
        <v>33.015289000000003</v>
      </c>
      <c r="AK2563" t="s">
        <v>1313</v>
      </c>
      <c r="AL2563">
        <v>-97.663565000000006</v>
      </c>
      <c r="AM2563">
        <v>25</v>
      </c>
      <c r="AN2563">
        <v>2100</v>
      </c>
      <c r="AO2563" t="s">
        <v>118</v>
      </c>
      <c r="AP2563">
        <v>77</v>
      </c>
      <c r="AQ2563">
        <v>43</v>
      </c>
      <c r="AR2563">
        <v>-384</v>
      </c>
      <c r="AZ2563">
        <v>1200</v>
      </c>
      <c r="BA2563">
        <v>1</v>
      </c>
      <c r="BB2563" t="str">
        <f t="shared" si="754"/>
        <v xml:space="preserve">N733KP  </v>
      </c>
      <c r="BC2563">
        <v>1</v>
      </c>
      <c r="BE2563">
        <v>0</v>
      </c>
      <c r="BF2563">
        <v>0</v>
      </c>
      <c r="BG2563">
        <v>0</v>
      </c>
      <c r="BH2563">
        <v>2175</v>
      </c>
      <c r="BI2563">
        <v>1</v>
      </c>
      <c r="BJ2563">
        <v>1</v>
      </c>
      <c r="BK2563">
        <v>0</v>
      </c>
      <c r="BL2563">
        <v>0</v>
      </c>
      <c r="BO2563">
        <v>0</v>
      </c>
      <c r="BP2563">
        <v>0</v>
      </c>
      <c r="BW2563" t="str">
        <f>"22:20:52.874"</f>
        <v>22:20:52.874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7</v>
      </c>
      <c r="CP2563" t="s">
        <v>119</v>
      </c>
      <c r="CQ2563">
        <v>364</v>
      </c>
      <c r="CR2563">
        <v>0</v>
      </c>
      <c r="CW2563">
        <v>1465718</v>
      </c>
      <c r="CY2563">
        <v>1</v>
      </c>
      <c r="CZ2563">
        <v>0</v>
      </c>
      <c r="DA2563">
        <v>1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3">
      <c r="A2564" t="str">
        <f>"03/24/2022 22:20:53.073"</f>
        <v>03/24/2022 22:20:53.073</v>
      </c>
      <c r="C2564" t="str">
        <f t="shared" si="753"/>
        <v>FFDFD3C0</v>
      </c>
      <c r="D2564" t="s">
        <v>113</v>
      </c>
      <c r="E2564">
        <v>24</v>
      </c>
      <c r="F2564">
        <v>2024</v>
      </c>
      <c r="G2564" t="s">
        <v>114</v>
      </c>
      <c r="J2564" t="s">
        <v>115</v>
      </c>
      <c r="K2564">
        <v>0</v>
      </c>
      <c r="L2564">
        <v>3</v>
      </c>
      <c r="M2564">
        <v>0</v>
      </c>
      <c r="N2564">
        <v>2</v>
      </c>
      <c r="O2564">
        <v>0</v>
      </c>
      <c r="P2564">
        <v>1</v>
      </c>
      <c r="Q2564">
        <v>0</v>
      </c>
      <c r="S2564" t="str">
        <f t="shared" si="765"/>
        <v>22:20:52.000</v>
      </c>
      <c r="T2564" t="str">
        <f t="shared" si="765"/>
        <v>22:20:52.000</v>
      </c>
      <c r="U2564" t="str">
        <f t="shared" si="766"/>
        <v>A9D71F</v>
      </c>
      <c r="V2564">
        <v>0</v>
      </c>
      <c r="W2564">
        <v>0</v>
      </c>
      <c r="X2564">
        <v>2</v>
      </c>
      <c r="Z2564">
        <v>1</v>
      </c>
      <c r="AA2564">
        <v>8</v>
      </c>
      <c r="AB2564">
        <v>3</v>
      </c>
      <c r="AC2564">
        <v>0</v>
      </c>
      <c r="AD2564">
        <v>9</v>
      </c>
      <c r="AE2564">
        <v>0</v>
      </c>
      <c r="AF2564">
        <v>3</v>
      </c>
      <c r="AG2564">
        <v>1</v>
      </c>
      <c r="AH2564">
        <v>0</v>
      </c>
      <c r="AI2564" t="s">
        <v>1146</v>
      </c>
      <c r="AJ2564">
        <v>33.015289000000003</v>
      </c>
      <c r="AK2564" t="s">
        <v>1313</v>
      </c>
      <c r="AL2564">
        <v>-97.663565000000006</v>
      </c>
      <c r="AM2564">
        <v>25</v>
      </c>
      <c r="AN2564">
        <v>2100</v>
      </c>
      <c r="AO2564" t="s">
        <v>118</v>
      </c>
      <c r="AP2564">
        <v>77</v>
      </c>
      <c r="AQ2564">
        <v>43</v>
      </c>
      <c r="AR2564">
        <v>-384</v>
      </c>
      <c r="AZ2564">
        <v>1200</v>
      </c>
      <c r="BA2564">
        <v>1</v>
      </c>
      <c r="BB2564" t="str">
        <f t="shared" si="754"/>
        <v xml:space="preserve">N733KP  </v>
      </c>
      <c r="BC2564">
        <v>1</v>
      </c>
      <c r="BE2564">
        <v>0</v>
      </c>
      <c r="BF2564">
        <v>0</v>
      </c>
      <c r="BG2564">
        <v>0</v>
      </c>
      <c r="BH2564">
        <v>2175</v>
      </c>
      <c r="BI2564">
        <v>1</v>
      </c>
      <c r="BJ2564">
        <v>1</v>
      </c>
      <c r="BK2564">
        <v>0</v>
      </c>
      <c r="BL2564">
        <v>0</v>
      </c>
      <c r="BO2564">
        <v>0</v>
      </c>
      <c r="BP2564">
        <v>0</v>
      </c>
      <c r="BW2564" t="str">
        <f>"22:20:52.874"</f>
        <v>22:20:52.874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7</v>
      </c>
      <c r="CP2564" t="s">
        <v>119</v>
      </c>
      <c r="CQ2564">
        <v>364</v>
      </c>
      <c r="CR2564">
        <v>0</v>
      </c>
      <c r="CW2564">
        <v>1465718</v>
      </c>
      <c r="CY2564">
        <v>1</v>
      </c>
      <c r="CZ2564">
        <v>0</v>
      </c>
      <c r="DA2564">
        <v>1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3">
      <c r="A2565" t="str">
        <f>"03/24/2022 22:20:53.700"</f>
        <v>03/24/2022 22:20:53.700</v>
      </c>
      <c r="C2565" t="str">
        <f t="shared" si="753"/>
        <v>FFDFD3C0</v>
      </c>
      <c r="D2565" t="s">
        <v>123</v>
      </c>
      <c r="E2565">
        <v>8</v>
      </c>
      <c r="H2565">
        <v>31</v>
      </c>
      <c r="I2565" t="s">
        <v>124</v>
      </c>
      <c r="J2565" t="s">
        <v>125</v>
      </c>
      <c r="K2565">
        <v>0</v>
      </c>
      <c r="L2565">
        <v>3</v>
      </c>
      <c r="M2565">
        <v>0</v>
      </c>
      <c r="N2565">
        <v>2</v>
      </c>
      <c r="O2565">
        <v>0</v>
      </c>
      <c r="P2565">
        <v>1</v>
      </c>
      <c r="Q2565">
        <v>0</v>
      </c>
      <c r="S2565" t="str">
        <f t="shared" ref="S2565:T2568" si="767">"22:20:53.000"</f>
        <v>22:20:53.000</v>
      </c>
      <c r="T2565" t="str">
        <f t="shared" si="767"/>
        <v>22:20:53.000</v>
      </c>
      <c r="U2565" t="str">
        <f t="shared" si="766"/>
        <v>A9D71F</v>
      </c>
      <c r="V2565">
        <v>0</v>
      </c>
      <c r="W2565">
        <v>0</v>
      </c>
      <c r="X2565">
        <v>2</v>
      </c>
      <c r="Z2565">
        <v>1</v>
      </c>
      <c r="AA2565">
        <v>8</v>
      </c>
      <c r="AB2565">
        <v>3</v>
      </c>
      <c r="AC2565">
        <v>0</v>
      </c>
      <c r="AD2565">
        <v>9</v>
      </c>
      <c r="AE2565">
        <v>0</v>
      </c>
      <c r="AF2565">
        <v>3</v>
      </c>
      <c r="AG2565">
        <v>1</v>
      </c>
      <c r="AH2565">
        <v>0</v>
      </c>
      <c r="AI2565" t="s">
        <v>1314</v>
      </c>
      <c r="AJ2565">
        <v>33.015504</v>
      </c>
      <c r="AK2565" t="s">
        <v>995</v>
      </c>
      <c r="AL2565">
        <v>-97.663135999999994</v>
      </c>
      <c r="AM2565">
        <v>25</v>
      </c>
      <c r="AN2565">
        <v>2100</v>
      </c>
      <c r="AO2565" t="s">
        <v>118</v>
      </c>
      <c r="AP2565">
        <v>81</v>
      </c>
      <c r="AQ2565">
        <v>39</v>
      </c>
      <c r="AR2565">
        <v>-320</v>
      </c>
      <c r="AZ2565">
        <v>1200</v>
      </c>
      <c r="BA2565">
        <v>1</v>
      </c>
      <c r="BB2565" t="str">
        <f t="shared" si="754"/>
        <v xml:space="preserve">N733KP  </v>
      </c>
      <c r="BC2565">
        <v>1</v>
      </c>
      <c r="BE2565">
        <v>0</v>
      </c>
      <c r="BF2565">
        <v>0</v>
      </c>
      <c r="BG2565">
        <v>0</v>
      </c>
      <c r="BH2565">
        <v>2175</v>
      </c>
      <c r="BI2565">
        <v>1</v>
      </c>
      <c r="BJ2565">
        <v>1</v>
      </c>
      <c r="BK2565">
        <v>0</v>
      </c>
      <c r="BL2565">
        <v>0</v>
      </c>
      <c r="BO2565">
        <v>0</v>
      </c>
      <c r="BP2565">
        <v>0</v>
      </c>
      <c r="BW2565" t="str">
        <f>"22:20:53.504"</f>
        <v>22:20:53.504</v>
      </c>
      <c r="CJ2565">
        <v>0</v>
      </c>
      <c r="CK2565">
        <v>2</v>
      </c>
      <c r="CL2565">
        <v>0</v>
      </c>
      <c r="CM2565">
        <v>2</v>
      </c>
      <c r="CN2565">
        <v>0</v>
      </c>
      <c r="CO2565">
        <v>7</v>
      </c>
      <c r="CP2565" t="s">
        <v>119</v>
      </c>
      <c r="CQ2565">
        <v>364</v>
      </c>
      <c r="CR2565">
        <v>0</v>
      </c>
      <c r="CW2565">
        <v>1465812</v>
      </c>
      <c r="CY2565">
        <v>1</v>
      </c>
      <c r="CZ2565">
        <v>0</v>
      </c>
      <c r="DA2565">
        <v>0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3">
      <c r="A2566" t="str">
        <f>"03/24/2022 22:20:53.700"</f>
        <v>03/24/2022 22:20:53.700</v>
      </c>
      <c r="C2566" t="str">
        <f t="shared" si="753"/>
        <v>FFDFD3C0</v>
      </c>
      <c r="D2566" t="s">
        <v>113</v>
      </c>
      <c r="E2566">
        <v>24</v>
      </c>
      <c r="F2566">
        <v>2024</v>
      </c>
      <c r="G2566" t="s">
        <v>114</v>
      </c>
      <c r="J2566" t="s">
        <v>115</v>
      </c>
      <c r="K2566">
        <v>0</v>
      </c>
      <c r="L2566">
        <v>3</v>
      </c>
      <c r="M2566">
        <v>0</v>
      </c>
      <c r="N2566">
        <v>2</v>
      </c>
      <c r="O2566">
        <v>0</v>
      </c>
      <c r="P2566">
        <v>1</v>
      </c>
      <c r="Q2566">
        <v>0</v>
      </c>
      <c r="S2566" t="str">
        <f t="shared" si="767"/>
        <v>22:20:53.000</v>
      </c>
      <c r="T2566" t="str">
        <f t="shared" si="767"/>
        <v>22:20:53.000</v>
      </c>
      <c r="U2566" t="str">
        <f t="shared" si="766"/>
        <v>A9D71F</v>
      </c>
      <c r="V2566">
        <v>0</v>
      </c>
      <c r="W2566">
        <v>0</v>
      </c>
      <c r="X2566">
        <v>2</v>
      </c>
      <c r="Z2566">
        <v>1</v>
      </c>
      <c r="AA2566">
        <v>8</v>
      </c>
      <c r="AB2566">
        <v>3</v>
      </c>
      <c r="AC2566">
        <v>0</v>
      </c>
      <c r="AD2566">
        <v>9</v>
      </c>
      <c r="AE2566">
        <v>0</v>
      </c>
      <c r="AF2566">
        <v>3</v>
      </c>
      <c r="AG2566">
        <v>1</v>
      </c>
      <c r="AH2566">
        <v>0</v>
      </c>
      <c r="AI2566" t="s">
        <v>1314</v>
      </c>
      <c r="AJ2566">
        <v>33.015504</v>
      </c>
      <c r="AK2566" t="s">
        <v>995</v>
      </c>
      <c r="AL2566">
        <v>-97.663135999999994</v>
      </c>
      <c r="AM2566">
        <v>25</v>
      </c>
      <c r="AN2566">
        <v>2100</v>
      </c>
      <c r="AO2566" t="s">
        <v>118</v>
      </c>
      <c r="AP2566">
        <v>81</v>
      </c>
      <c r="AQ2566">
        <v>39</v>
      </c>
      <c r="AR2566">
        <v>-320</v>
      </c>
      <c r="AZ2566">
        <v>1200</v>
      </c>
      <c r="BA2566">
        <v>1</v>
      </c>
      <c r="BB2566" t="str">
        <f t="shared" si="754"/>
        <v xml:space="preserve">N733KP  </v>
      </c>
      <c r="BC2566">
        <v>1</v>
      </c>
      <c r="BE2566">
        <v>0</v>
      </c>
      <c r="BF2566">
        <v>0</v>
      </c>
      <c r="BG2566">
        <v>0</v>
      </c>
      <c r="BH2566">
        <v>2175</v>
      </c>
      <c r="BI2566">
        <v>1</v>
      </c>
      <c r="BJ2566">
        <v>1</v>
      </c>
      <c r="BK2566">
        <v>0</v>
      </c>
      <c r="BL2566">
        <v>0</v>
      </c>
      <c r="BO2566">
        <v>0</v>
      </c>
      <c r="BP2566">
        <v>0</v>
      </c>
      <c r="BW2566" t="str">
        <f>"22:20:53.504"</f>
        <v>22:20:53.504</v>
      </c>
      <c r="CJ2566">
        <v>0</v>
      </c>
      <c r="CK2566">
        <v>2</v>
      </c>
      <c r="CL2566">
        <v>0</v>
      </c>
      <c r="CM2566">
        <v>2</v>
      </c>
      <c r="CN2566">
        <v>0</v>
      </c>
      <c r="CO2566">
        <v>7</v>
      </c>
      <c r="CP2566" t="s">
        <v>119</v>
      </c>
      <c r="CQ2566">
        <v>364</v>
      </c>
      <c r="CR2566">
        <v>0</v>
      </c>
      <c r="CW2566">
        <v>1465812</v>
      </c>
      <c r="CY2566">
        <v>1</v>
      </c>
      <c r="CZ2566">
        <v>0</v>
      </c>
      <c r="DA2566">
        <v>1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3">
      <c r="A2567" t="str">
        <f>"03/24/2022 22:20:53.700"</f>
        <v>03/24/2022 22:20:53.700</v>
      </c>
      <c r="C2567" t="str">
        <f t="shared" si="753"/>
        <v>FFDFD3C0</v>
      </c>
      <c r="D2567" t="s">
        <v>126</v>
      </c>
      <c r="E2567">
        <v>3</v>
      </c>
      <c r="H2567">
        <v>160</v>
      </c>
      <c r="I2567" t="s">
        <v>121</v>
      </c>
      <c r="J2567" t="s">
        <v>127</v>
      </c>
      <c r="K2567">
        <v>0</v>
      </c>
      <c r="L2567">
        <v>3</v>
      </c>
      <c r="M2567">
        <v>0</v>
      </c>
      <c r="N2567">
        <v>2</v>
      </c>
      <c r="O2567">
        <v>0</v>
      </c>
      <c r="P2567">
        <v>1</v>
      </c>
      <c r="Q2567">
        <v>0</v>
      </c>
      <c r="S2567" t="str">
        <f t="shared" si="767"/>
        <v>22:20:53.000</v>
      </c>
      <c r="T2567" t="str">
        <f t="shared" si="767"/>
        <v>22:20:53.000</v>
      </c>
      <c r="U2567" t="str">
        <f t="shared" si="766"/>
        <v>A9D71F</v>
      </c>
      <c r="V2567">
        <v>0</v>
      </c>
      <c r="W2567">
        <v>0</v>
      </c>
      <c r="X2567">
        <v>2</v>
      </c>
      <c r="Z2567">
        <v>1</v>
      </c>
      <c r="AA2567">
        <v>8</v>
      </c>
      <c r="AB2567">
        <v>3</v>
      </c>
      <c r="AC2567">
        <v>0</v>
      </c>
      <c r="AD2567">
        <v>9</v>
      </c>
      <c r="AE2567">
        <v>0</v>
      </c>
      <c r="AF2567">
        <v>3</v>
      </c>
      <c r="AG2567">
        <v>1</v>
      </c>
      <c r="AH2567">
        <v>0</v>
      </c>
      <c r="AI2567" t="s">
        <v>1314</v>
      </c>
      <c r="AJ2567">
        <v>33.015504</v>
      </c>
      <c r="AK2567" t="s">
        <v>995</v>
      </c>
      <c r="AL2567">
        <v>-97.663135999999994</v>
      </c>
      <c r="AM2567">
        <v>25</v>
      </c>
      <c r="AN2567">
        <v>2100</v>
      </c>
      <c r="AO2567" t="s">
        <v>118</v>
      </c>
      <c r="AP2567">
        <v>81</v>
      </c>
      <c r="AQ2567">
        <v>39</v>
      </c>
      <c r="AR2567">
        <v>-320</v>
      </c>
      <c r="AZ2567">
        <v>1200</v>
      </c>
      <c r="BA2567">
        <v>1</v>
      </c>
      <c r="BB2567" t="str">
        <f t="shared" si="754"/>
        <v xml:space="preserve">N733KP  </v>
      </c>
      <c r="BC2567">
        <v>1</v>
      </c>
      <c r="BE2567">
        <v>0</v>
      </c>
      <c r="BF2567">
        <v>0</v>
      </c>
      <c r="BG2567">
        <v>0</v>
      </c>
      <c r="BH2567">
        <v>2175</v>
      </c>
      <c r="BI2567">
        <v>1</v>
      </c>
      <c r="BJ2567">
        <v>1</v>
      </c>
      <c r="BK2567">
        <v>0</v>
      </c>
      <c r="BL2567">
        <v>0</v>
      </c>
      <c r="BO2567">
        <v>0</v>
      </c>
      <c r="BP2567">
        <v>0</v>
      </c>
      <c r="BW2567" t="str">
        <f>"22:20:53.504"</f>
        <v>22:20:53.504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7</v>
      </c>
      <c r="CP2567" t="s">
        <v>119</v>
      </c>
      <c r="CQ2567">
        <v>364</v>
      </c>
      <c r="CR2567">
        <v>0</v>
      </c>
      <c r="CW2567">
        <v>1465812</v>
      </c>
      <c r="CY2567">
        <v>1</v>
      </c>
      <c r="CZ2567">
        <v>0</v>
      </c>
      <c r="DA2567">
        <v>1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3">
      <c r="A2568" t="str">
        <f>"03/24/2022 22:20:53.700"</f>
        <v>03/24/2022 22:20:53.700</v>
      </c>
      <c r="C2568" t="str">
        <f t="shared" si="753"/>
        <v>FFDFD3C0</v>
      </c>
      <c r="D2568" t="s">
        <v>120</v>
      </c>
      <c r="E2568">
        <v>14</v>
      </c>
      <c r="F2568">
        <v>1014</v>
      </c>
      <c r="G2568" t="s">
        <v>121</v>
      </c>
      <c r="J2568" t="s">
        <v>122</v>
      </c>
      <c r="K2568">
        <v>0</v>
      </c>
      <c r="L2568">
        <v>3</v>
      </c>
      <c r="M2568">
        <v>0</v>
      </c>
      <c r="N2568">
        <v>2</v>
      </c>
      <c r="O2568">
        <v>0</v>
      </c>
      <c r="P2568">
        <v>1</v>
      </c>
      <c r="Q2568">
        <v>0</v>
      </c>
      <c r="S2568" t="str">
        <f t="shared" si="767"/>
        <v>22:20:53.000</v>
      </c>
      <c r="T2568" t="str">
        <f t="shared" si="767"/>
        <v>22:20:53.000</v>
      </c>
      <c r="U2568" t="str">
        <f t="shared" si="766"/>
        <v>A9D71F</v>
      </c>
      <c r="V2568">
        <v>0</v>
      </c>
      <c r="W2568">
        <v>0</v>
      </c>
      <c r="X2568">
        <v>2</v>
      </c>
      <c r="Z2568">
        <v>1</v>
      </c>
      <c r="AA2568">
        <v>8</v>
      </c>
      <c r="AB2568">
        <v>3</v>
      </c>
      <c r="AC2568">
        <v>0</v>
      </c>
      <c r="AD2568">
        <v>9</v>
      </c>
      <c r="AE2568">
        <v>0</v>
      </c>
      <c r="AF2568">
        <v>3</v>
      </c>
      <c r="AG2568">
        <v>1</v>
      </c>
      <c r="AH2568">
        <v>0</v>
      </c>
      <c r="AI2568" t="s">
        <v>1314</v>
      </c>
      <c r="AJ2568">
        <v>33.015504</v>
      </c>
      <c r="AK2568" t="s">
        <v>995</v>
      </c>
      <c r="AL2568">
        <v>-97.663135999999994</v>
      </c>
      <c r="AM2568">
        <v>25</v>
      </c>
      <c r="AN2568">
        <v>2100</v>
      </c>
      <c r="AO2568" t="s">
        <v>118</v>
      </c>
      <c r="AP2568">
        <v>81</v>
      </c>
      <c r="AQ2568">
        <v>39</v>
      </c>
      <c r="AR2568">
        <v>-320</v>
      </c>
      <c r="AZ2568">
        <v>1200</v>
      </c>
      <c r="BA2568">
        <v>1</v>
      </c>
      <c r="BB2568" t="str">
        <f t="shared" si="754"/>
        <v xml:space="preserve">N733KP  </v>
      </c>
      <c r="BC2568">
        <v>1</v>
      </c>
      <c r="BE2568">
        <v>0</v>
      </c>
      <c r="BF2568">
        <v>0</v>
      </c>
      <c r="BG2568">
        <v>0</v>
      </c>
      <c r="BH2568">
        <v>2175</v>
      </c>
      <c r="BI2568">
        <v>1</v>
      </c>
      <c r="BJ2568">
        <v>1</v>
      </c>
      <c r="BK2568">
        <v>0</v>
      </c>
      <c r="BL2568">
        <v>0</v>
      </c>
      <c r="BO2568">
        <v>0</v>
      </c>
      <c r="BP2568">
        <v>0</v>
      </c>
      <c r="BW2568" t="str">
        <f>"22:20:53.504"</f>
        <v>22:20:53.504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7</v>
      </c>
      <c r="CP2568" t="s">
        <v>119</v>
      </c>
      <c r="CQ2568">
        <v>364</v>
      </c>
      <c r="CR2568">
        <v>0</v>
      </c>
      <c r="CW2568">
        <v>1465812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3">
      <c r="A2569" t="str">
        <f>"03/24/2022 22:20:55.013"</f>
        <v>03/24/2022 22:20:55.013</v>
      </c>
      <c r="C2569" t="str">
        <f t="shared" si="753"/>
        <v>FFDFD3C0</v>
      </c>
      <c r="D2569" t="s">
        <v>120</v>
      </c>
      <c r="E2569">
        <v>14</v>
      </c>
      <c r="F2569">
        <v>1014</v>
      </c>
      <c r="G2569" t="s">
        <v>121</v>
      </c>
      <c r="J2569" t="s">
        <v>122</v>
      </c>
      <c r="K2569">
        <v>0</v>
      </c>
      <c r="L2569">
        <v>3</v>
      </c>
      <c r="M2569">
        <v>0</v>
      </c>
      <c r="N2569">
        <v>2</v>
      </c>
      <c r="O2569">
        <v>0</v>
      </c>
      <c r="P2569">
        <v>1</v>
      </c>
      <c r="Q2569">
        <v>0</v>
      </c>
      <c r="S2569" t="str">
        <f t="shared" ref="S2569:T2572" si="768">"22:20:54.000"</f>
        <v>22:20:54.000</v>
      </c>
      <c r="T2569" t="str">
        <f t="shared" si="768"/>
        <v>22:20:54.000</v>
      </c>
      <c r="U2569" t="str">
        <f t="shared" si="766"/>
        <v>A9D71F</v>
      </c>
      <c r="V2569">
        <v>0</v>
      </c>
      <c r="W2569">
        <v>0</v>
      </c>
      <c r="X2569">
        <v>2</v>
      </c>
      <c r="Z2569">
        <v>1</v>
      </c>
      <c r="AA2569">
        <v>8</v>
      </c>
      <c r="AB2569">
        <v>3</v>
      </c>
      <c r="AC2569">
        <v>0</v>
      </c>
      <c r="AD2569">
        <v>9</v>
      </c>
      <c r="AE2569">
        <v>0</v>
      </c>
      <c r="AF2569">
        <v>3</v>
      </c>
      <c r="AG2569">
        <v>1</v>
      </c>
      <c r="AH2569">
        <v>0</v>
      </c>
      <c r="AI2569" t="s">
        <v>1144</v>
      </c>
      <c r="AJ2569">
        <v>33.015697000000003</v>
      </c>
      <c r="AK2569" t="s">
        <v>1315</v>
      </c>
      <c r="AL2569">
        <v>-97.662684999999996</v>
      </c>
      <c r="AM2569">
        <v>25</v>
      </c>
      <c r="AN2569">
        <v>2100</v>
      </c>
      <c r="AO2569" t="s">
        <v>118</v>
      </c>
      <c r="AP2569">
        <v>86</v>
      </c>
      <c r="AQ2569">
        <v>33</v>
      </c>
      <c r="AR2569">
        <v>-256</v>
      </c>
      <c r="AZ2569">
        <v>1200</v>
      </c>
      <c r="BA2569">
        <v>1</v>
      </c>
      <c r="BB2569" t="str">
        <f t="shared" si="754"/>
        <v xml:space="preserve">N733KP  </v>
      </c>
      <c r="BC2569">
        <v>1</v>
      </c>
      <c r="BE2569">
        <v>0</v>
      </c>
      <c r="BF2569">
        <v>0</v>
      </c>
      <c r="BG2569">
        <v>0</v>
      </c>
      <c r="BH2569">
        <v>2150</v>
      </c>
      <c r="BI2569">
        <v>1</v>
      </c>
      <c r="BJ2569">
        <v>1</v>
      </c>
      <c r="BK2569">
        <v>0</v>
      </c>
      <c r="BL2569">
        <v>0</v>
      </c>
      <c r="BO2569">
        <v>0</v>
      </c>
      <c r="BP2569">
        <v>0</v>
      </c>
      <c r="BW2569" t="str">
        <f>"22:20:54.764"</f>
        <v>22:20:54.764</v>
      </c>
      <c r="CJ2569">
        <v>0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119</v>
      </c>
      <c r="CQ2569">
        <v>364</v>
      </c>
      <c r="CR2569">
        <v>0</v>
      </c>
      <c r="CW2569">
        <v>1466008</v>
      </c>
      <c r="CY2569">
        <v>1</v>
      </c>
      <c r="CZ2569">
        <v>0</v>
      </c>
      <c r="DA2569">
        <v>0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3">
      <c r="A2570" t="str">
        <f>"03/24/2022 22:20:55.075"</f>
        <v>03/24/2022 22:20:55.075</v>
      </c>
      <c r="C2570" t="str">
        <f t="shared" si="753"/>
        <v>FFDFD3C0</v>
      </c>
      <c r="D2570" t="s">
        <v>123</v>
      </c>
      <c r="E2570">
        <v>8</v>
      </c>
      <c r="H2570">
        <v>31</v>
      </c>
      <c r="I2570" t="s">
        <v>124</v>
      </c>
      <c r="J2570" t="s">
        <v>125</v>
      </c>
      <c r="K2570">
        <v>0</v>
      </c>
      <c r="L2570">
        <v>3</v>
      </c>
      <c r="M2570">
        <v>0</v>
      </c>
      <c r="N2570">
        <v>2</v>
      </c>
      <c r="O2570">
        <v>0</v>
      </c>
      <c r="P2570">
        <v>1</v>
      </c>
      <c r="Q2570">
        <v>0</v>
      </c>
      <c r="S2570" t="str">
        <f t="shared" si="768"/>
        <v>22:20:54.000</v>
      </c>
      <c r="T2570" t="str">
        <f t="shared" si="768"/>
        <v>22:20:54.000</v>
      </c>
      <c r="U2570" t="str">
        <f t="shared" si="766"/>
        <v>A9D71F</v>
      </c>
      <c r="V2570">
        <v>0</v>
      </c>
      <c r="W2570">
        <v>0</v>
      </c>
      <c r="X2570">
        <v>2</v>
      </c>
      <c r="Z2570">
        <v>1</v>
      </c>
      <c r="AA2570">
        <v>8</v>
      </c>
      <c r="AB2570">
        <v>3</v>
      </c>
      <c r="AC2570">
        <v>0</v>
      </c>
      <c r="AD2570">
        <v>9</v>
      </c>
      <c r="AE2570">
        <v>0</v>
      </c>
      <c r="AF2570">
        <v>3</v>
      </c>
      <c r="AG2570">
        <v>1</v>
      </c>
      <c r="AH2570">
        <v>0</v>
      </c>
      <c r="AI2570" t="s">
        <v>1144</v>
      </c>
      <c r="AJ2570">
        <v>33.015697000000003</v>
      </c>
      <c r="AK2570" t="s">
        <v>1315</v>
      </c>
      <c r="AL2570">
        <v>-97.662684999999996</v>
      </c>
      <c r="AM2570">
        <v>25</v>
      </c>
      <c r="AN2570">
        <v>2100</v>
      </c>
      <c r="AO2570" t="s">
        <v>118</v>
      </c>
      <c r="AP2570">
        <v>86</v>
      </c>
      <c r="AQ2570">
        <v>33</v>
      </c>
      <c r="AR2570">
        <v>-256</v>
      </c>
      <c r="AZ2570">
        <v>1200</v>
      </c>
      <c r="BA2570">
        <v>1</v>
      </c>
      <c r="BB2570" t="str">
        <f t="shared" si="754"/>
        <v xml:space="preserve">N733KP  </v>
      </c>
      <c r="BC2570">
        <v>1</v>
      </c>
      <c r="BE2570">
        <v>0</v>
      </c>
      <c r="BF2570">
        <v>0</v>
      </c>
      <c r="BG2570">
        <v>0</v>
      </c>
      <c r="BH2570">
        <v>2150</v>
      </c>
      <c r="BI2570">
        <v>1</v>
      </c>
      <c r="BJ2570">
        <v>1</v>
      </c>
      <c r="BK2570">
        <v>0</v>
      </c>
      <c r="BL2570">
        <v>0</v>
      </c>
      <c r="BO2570">
        <v>0</v>
      </c>
      <c r="BP2570">
        <v>0</v>
      </c>
      <c r="BW2570" t="str">
        <f>"22:20:54.764"</f>
        <v>22:20:54.764</v>
      </c>
      <c r="CJ2570">
        <v>0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119</v>
      </c>
      <c r="CQ2570">
        <v>364</v>
      </c>
      <c r="CR2570">
        <v>0</v>
      </c>
      <c r="CW2570">
        <v>1466008</v>
      </c>
      <c r="CY2570">
        <v>1</v>
      </c>
      <c r="CZ2570">
        <v>0</v>
      </c>
      <c r="DA2570">
        <v>1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3">
      <c r="A2571" t="str">
        <f>"03/24/2022 22:20:55.075"</f>
        <v>03/24/2022 22:20:55.075</v>
      </c>
      <c r="C2571" t="str">
        <f t="shared" si="753"/>
        <v>FFDFD3C0</v>
      </c>
      <c r="D2571" t="s">
        <v>126</v>
      </c>
      <c r="E2571">
        <v>3</v>
      </c>
      <c r="H2571">
        <v>160</v>
      </c>
      <c r="I2571" t="s">
        <v>121</v>
      </c>
      <c r="J2571" t="s">
        <v>127</v>
      </c>
      <c r="K2571">
        <v>0</v>
      </c>
      <c r="L2571">
        <v>3</v>
      </c>
      <c r="M2571">
        <v>0</v>
      </c>
      <c r="N2571">
        <v>2</v>
      </c>
      <c r="O2571">
        <v>0</v>
      </c>
      <c r="P2571">
        <v>1</v>
      </c>
      <c r="Q2571">
        <v>0</v>
      </c>
      <c r="S2571" t="str">
        <f t="shared" si="768"/>
        <v>22:20:54.000</v>
      </c>
      <c r="T2571" t="str">
        <f t="shared" si="768"/>
        <v>22:20:54.000</v>
      </c>
      <c r="U2571" t="str">
        <f t="shared" si="766"/>
        <v>A9D71F</v>
      </c>
      <c r="V2571">
        <v>0</v>
      </c>
      <c r="W2571">
        <v>0</v>
      </c>
      <c r="X2571">
        <v>2</v>
      </c>
      <c r="Z2571">
        <v>1</v>
      </c>
      <c r="AA2571">
        <v>8</v>
      </c>
      <c r="AB2571">
        <v>3</v>
      </c>
      <c r="AC2571">
        <v>0</v>
      </c>
      <c r="AD2571">
        <v>9</v>
      </c>
      <c r="AE2571">
        <v>0</v>
      </c>
      <c r="AF2571">
        <v>3</v>
      </c>
      <c r="AG2571">
        <v>1</v>
      </c>
      <c r="AH2571">
        <v>0</v>
      </c>
      <c r="AI2571" t="s">
        <v>1144</v>
      </c>
      <c r="AJ2571">
        <v>33.015697000000003</v>
      </c>
      <c r="AK2571" t="s">
        <v>1315</v>
      </c>
      <c r="AL2571">
        <v>-97.662684999999996</v>
      </c>
      <c r="AM2571">
        <v>25</v>
      </c>
      <c r="AN2571">
        <v>2100</v>
      </c>
      <c r="AO2571" t="s">
        <v>118</v>
      </c>
      <c r="AP2571">
        <v>86</v>
      </c>
      <c r="AQ2571">
        <v>33</v>
      </c>
      <c r="AR2571">
        <v>-256</v>
      </c>
      <c r="AZ2571">
        <v>1200</v>
      </c>
      <c r="BA2571">
        <v>1</v>
      </c>
      <c r="BB2571" t="str">
        <f t="shared" si="754"/>
        <v xml:space="preserve">N733KP  </v>
      </c>
      <c r="BC2571">
        <v>1</v>
      </c>
      <c r="BE2571">
        <v>0</v>
      </c>
      <c r="BF2571">
        <v>0</v>
      </c>
      <c r="BG2571">
        <v>0</v>
      </c>
      <c r="BH2571">
        <v>2150</v>
      </c>
      <c r="BI2571">
        <v>1</v>
      </c>
      <c r="BJ2571">
        <v>1</v>
      </c>
      <c r="BK2571">
        <v>0</v>
      </c>
      <c r="BL2571">
        <v>0</v>
      </c>
      <c r="BO2571">
        <v>0</v>
      </c>
      <c r="BP2571">
        <v>0</v>
      </c>
      <c r="BW2571" t="str">
        <f>"22:20:54.764"</f>
        <v>22:20:54.764</v>
      </c>
      <c r="CJ2571">
        <v>0</v>
      </c>
      <c r="CK2571">
        <v>2</v>
      </c>
      <c r="CL2571">
        <v>0</v>
      </c>
      <c r="CM2571">
        <v>2</v>
      </c>
      <c r="CN2571">
        <v>0</v>
      </c>
      <c r="CO2571">
        <v>7</v>
      </c>
      <c r="CP2571" t="s">
        <v>119</v>
      </c>
      <c r="CQ2571">
        <v>364</v>
      </c>
      <c r="CR2571">
        <v>0</v>
      </c>
      <c r="CW2571">
        <v>1466008</v>
      </c>
      <c r="CY2571">
        <v>1</v>
      </c>
      <c r="CZ2571">
        <v>0</v>
      </c>
      <c r="DA2571">
        <v>1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3">
      <c r="A2572" t="str">
        <f>"03/24/2022 22:20:55.075"</f>
        <v>03/24/2022 22:20:55.075</v>
      </c>
      <c r="C2572" t="str">
        <f t="shared" si="753"/>
        <v>FFDFD3C0</v>
      </c>
      <c r="D2572" t="s">
        <v>113</v>
      </c>
      <c r="E2572">
        <v>24</v>
      </c>
      <c r="F2572">
        <v>2024</v>
      </c>
      <c r="G2572" t="s">
        <v>114</v>
      </c>
      <c r="J2572" t="s">
        <v>115</v>
      </c>
      <c r="K2572">
        <v>0</v>
      </c>
      <c r="L2572">
        <v>3</v>
      </c>
      <c r="M2572">
        <v>0</v>
      </c>
      <c r="N2572">
        <v>2</v>
      </c>
      <c r="O2572">
        <v>0</v>
      </c>
      <c r="P2572">
        <v>1</v>
      </c>
      <c r="Q2572">
        <v>0</v>
      </c>
      <c r="S2572" t="str">
        <f t="shared" si="768"/>
        <v>22:20:54.000</v>
      </c>
      <c r="T2572" t="str">
        <f t="shared" si="768"/>
        <v>22:20:54.000</v>
      </c>
      <c r="U2572" t="str">
        <f t="shared" si="766"/>
        <v>A9D71F</v>
      </c>
      <c r="V2572">
        <v>0</v>
      </c>
      <c r="W2572">
        <v>0</v>
      </c>
      <c r="X2572">
        <v>2</v>
      </c>
      <c r="Z2572">
        <v>1</v>
      </c>
      <c r="AA2572">
        <v>8</v>
      </c>
      <c r="AB2572">
        <v>3</v>
      </c>
      <c r="AC2572">
        <v>0</v>
      </c>
      <c r="AD2572">
        <v>9</v>
      </c>
      <c r="AE2572">
        <v>0</v>
      </c>
      <c r="AF2572">
        <v>3</v>
      </c>
      <c r="AG2572">
        <v>1</v>
      </c>
      <c r="AH2572">
        <v>0</v>
      </c>
      <c r="AI2572" t="s">
        <v>1144</v>
      </c>
      <c r="AJ2572">
        <v>33.015697000000003</v>
      </c>
      <c r="AK2572" t="s">
        <v>1315</v>
      </c>
      <c r="AL2572">
        <v>-97.662684999999996</v>
      </c>
      <c r="AM2572">
        <v>25</v>
      </c>
      <c r="AN2572">
        <v>2100</v>
      </c>
      <c r="AO2572" t="s">
        <v>118</v>
      </c>
      <c r="AP2572">
        <v>86</v>
      </c>
      <c r="AQ2572">
        <v>33</v>
      </c>
      <c r="AR2572">
        <v>-256</v>
      </c>
      <c r="AZ2572">
        <v>1200</v>
      </c>
      <c r="BA2572">
        <v>1</v>
      </c>
      <c r="BB2572" t="str">
        <f t="shared" si="754"/>
        <v xml:space="preserve">N733KP  </v>
      </c>
      <c r="BC2572">
        <v>1</v>
      </c>
      <c r="BE2572">
        <v>0</v>
      </c>
      <c r="BF2572">
        <v>0</v>
      </c>
      <c r="BG2572">
        <v>0</v>
      </c>
      <c r="BH2572">
        <v>2150</v>
      </c>
      <c r="BI2572">
        <v>1</v>
      </c>
      <c r="BJ2572">
        <v>1</v>
      </c>
      <c r="BK2572">
        <v>0</v>
      </c>
      <c r="BL2572">
        <v>0</v>
      </c>
      <c r="BO2572">
        <v>0</v>
      </c>
      <c r="BP2572">
        <v>0</v>
      </c>
      <c r="BW2572" t="str">
        <f>"22:20:54.764"</f>
        <v>22:20:54.764</v>
      </c>
      <c r="CJ2572">
        <v>0</v>
      </c>
      <c r="CK2572">
        <v>2</v>
      </c>
      <c r="CL2572">
        <v>0</v>
      </c>
      <c r="CM2572">
        <v>2</v>
      </c>
      <c r="CN2572">
        <v>0</v>
      </c>
      <c r="CO2572">
        <v>7</v>
      </c>
      <c r="CP2572" t="s">
        <v>119</v>
      </c>
      <c r="CQ2572">
        <v>364</v>
      </c>
      <c r="CR2572">
        <v>0</v>
      </c>
      <c r="CW2572">
        <v>1466008</v>
      </c>
      <c r="CY2572">
        <v>1</v>
      </c>
      <c r="CZ2572">
        <v>0</v>
      </c>
      <c r="DA2572">
        <v>1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3">
      <c r="A2573" t="str">
        <f>"03/24/2022 22:20:55.419"</f>
        <v>03/24/2022 22:20:55.419</v>
      </c>
      <c r="C2573" t="str">
        <f t="shared" si="753"/>
        <v>FFDFD3C0</v>
      </c>
      <c r="D2573" t="s">
        <v>123</v>
      </c>
      <c r="E2573">
        <v>8</v>
      </c>
      <c r="H2573">
        <v>31</v>
      </c>
      <c r="I2573" t="s">
        <v>124</v>
      </c>
      <c r="J2573" t="s">
        <v>125</v>
      </c>
      <c r="K2573">
        <v>0</v>
      </c>
      <c r="L2573">
        <v>3</v>
      </c>
      <c r="M2573">
        <v>0</v>
      </c>
      <c r="N2573">
        <v>2</v>
      </c>
      <c r="O2573">
        <v>0</v>
      </c>
      <c r="P2573">
        <v>1</v>
      </c>
      <c r="Q2573">
        <v>0</v>
      </c>
      <c r="S2573" t="str">
        <f t="shared" ref="S2573:T2576" si="769">"22:20:55.000"</f>
        <v>22:20:55.000</v>
      </c>
      <c r="T2573" t="str">
        <f t="shared" si="769"/>
        <v>22:20:55.000</v>
      </c>
      <c r="U2573" t="str">
        <f t="shared" si="766"/>
        <v>A9D71F</v>
      </c>
      <c r="V2573">
        <v>0</v>
      </c>
      <c r="W2573">
        <v>0</v>
      </c>
      <c r="X2573">
        <v>2</v>
      </c>
      <c r="Z2573">
        <v>1</v>
      </c>
      <c r="AA2573">
        <v>8</v>
      </c>
      <c r="AB2573">
        <v>3</v>
      </c>
      <c r="AC2573">
        <v>0</v>
      </c>
      <c r="AD2573">
        <v>9</v>
      </c>
      <c r="AE2573">
        <v>0</v>
      </c>
      <c r="AF2573">
        <v>3</v>
      </c>
      <c r="AG2573">
        <v>1</v>
      </c>
      <c r="AH2573">
        <v>0</v>
      </c>
      <c r="AI2573" t="s">
        <v>1316</v>
      </c>
      <c r="AJ2573">
        <v>33.015847000000001</v>
      </c>
      <c r="AK2573" t="s">
        <v>1009</v>
      </c>
      <c r="AL2573">
        <v>-97.662191000000007</v>
      </c>
      <c r="AM2573">
        <v>25</v>
      </c>
      <c r="AN2573">
        <v>2100</v>
      </c>
      <c r="AO2573" t="s">
        <v>118</v>
      </c>
      <c r="AP2573">
        <v>87</v>
      </c>
      <c r="AQ2573">
        <v>30</v>
      </c>
      <c r="AR2573">
        <v>-192</v>
      </c>
      <c r="AZ2573">
        <v>1200</v>
      </c>
      <c r="BA2573">
        <v>1</v>
      </c>
      <c r="BB2573" t="str">
        <f t="shared" si="754"/>
        <v xml:space="preserve">N733KP  </v>
      </c>
      <c r="BC2573">
        <v>1</v>
      </c>
      <c r="BE2573">
        <v>0</v>
      </c>
      <c r="BF2573">
        <v>0</v>
      </c>
      <c r="BG2573">
        <v>0</v>
      </c>
      <c r="BH2573">
        <v>2150</v>
      </c>
      <c r="BI2573">
        <v>1</v>
      </c>
      <c r="BJ2573">
        <v>1</v>
      </c>
      <c r="BK2573">
        <v>0</v>
      </c>
      <c r="BL2573">
        <v>0</v>
      </c>
      <c r="BO2573">
        <v>0</v>
      </c>
      <c r="BP2573">
        <v>0</v>
      </c>
      <c r="BW2573" t="str">
        <f>"22:20:55.205"</f>
        <v>22:20:55.205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7</v>
      </c>
      <c r="CP2573" t="s">
        <v>119</v>
      </c>
      <c r="CQ2573">
        <v>364</v>
      </c>
      <c r="CR2573">
        <v>0</v>
      </c>
      <c r="CW2573">
        <v>1466030</v>
      </c>
      <c r="CY2573">
        <v>1</v>
      </c>
      <c r="CZ2573">
        <v>0</v>
      </c>
      <c r="DA2573">
        <v>0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3">
      <c r="A2574" t="str">
        <f>"03/24/2022 22:20:55.419"</f>
        <v>03/24/2022 22:20:55.419</v>
      </c>
      <c r="C2574" t="str">
        <f t="shared" si="753"/>
        <v>FFDFD3C0</v>
      </c>
      <c r="D2574" t="s">
        <v>113</v>
      </c>
      <c r="E2574">
        <v>24</v>
      </c>
      <c r="F2574">
        <v>2024</v>
      </c>
      <c r="G2574" t="s">
        <v>114</v>
      </c>
      <c r="J2574" t="s">
        <v>115</v>
      </c>
      <c r="K2574">
        <v>0</v>
      </c>
      <c r="L2574">
        <v>3</v>
      </c>
      <c r="M2574">
        <v>0</v>
      </c>
      <c r="N2574">
        <v>2</v>
      </c>
      <c r="O2574">
        <v>0</v>
      </c>
      <c r="P2574">
        <v>1</v>
      </c>
      <c r="Q2574">
        <v>0</v>
      </c>
      <c r="S2574" t="str">
        <f t="shared" si="769"/>
        <v>22:20:55.000</v>
      </c>
      <c r="T2574" t="str">
        <f t="shared" si="769"/>
        <v>22:20:55.000</v>
      </c>
      <c r="U2574" t="str">
        <f t="shared" si="766"/>
        <v>A9D71F</v>
      </c>
      <c r="V2574">
        <v>0</v>
      </c>
      <c r="W2574">
        <v>0</v>
      </c>
      <c r="X2574">
        <v>2</v>
      </c>
      <c r="Z2574">
        <v>1</v>
      </c>
      <c r="AA2574">
        <v>8</v>
      </c>
      <c r="AB2574">
        <v>3</v>
      </c>
      <c r="AC2574">
        <v>0</v>
      </c>
      <c r="AD2574">
        <v>9</v>
      </c>
      <c r="AE2574">
        <v>0</v>
      </c>
      <c r="AF2574">
        <v>3</v>
      </c>
      <c r="AG2574">
        <v>1</v>
      </c>
      <c r="AH2574">
        <v>0</v>
      </c>
      <c r="AI2574" t="s">
        <v>1316</v>
      </c>
      <c r="AJ2574">
        <v>33.015847000000001</v>
      </c>
      <c r="AK2574" t="s">
        <v>1009</v>
      </c>
      <c r="AL2574">
        <v>-97.662191000000007</v>
      </c>
      <c r="AM2574">
        <v>25</v>
      </c>
      <c r="AN2574">
        <v>2100</v>
      </c>
      <c r="AO2574" t="s">
        <v>118</v>
      </c>
      <c r="AP2574">
        <v>87</v>
      </c>
      <c r="AQ2574">
        <v>30</v>
      </c>
      <c r="AR2574">
        <v>-192</v>
      </c>
      <c r="AZ2574">
        <v>1200</v>
      </c>
      <c r="BA2574">
        <v>1</v>
      </c>
      <c r="BB2574" t="str">
        <f t="shared" si="754"/>
        <v xml:space="preserve">N733KP  </v>
      </c>
      <c r="BC2574">
        <v>1</v>
      </c>
      <c r="BE2574">
        <v>0</v>
      </c>
      <c r="BF2574">
        <v>0</v>
      </c>
      <c r="BG2574">
        <v>0</v>
      </c>
      <c r="BH2574">
        <v>2150</v>
      </c>
      <c r="BI2574">
        <v>1</v>
      </c>
      <c r="BJ2574">
        <v>1</v>
      </c>
      <c r="BK2574">
        <v>0</v>
      </c>
      <c r="BL2574">
        <v>0</v>
      </c>
      <c r="BO2574">
        <v>0</v>
      </c>
      <c r="BP2574">
        <v>0</v>
      </c>
      <c r="BW2574" t="str">
        <f>"22:20:55.205"</f>
        <v>22:20:55.205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7</v>
      </c>
      <c r="CP2574" t="s">
        <v>119</v>
      </c>
      <c r="CQ2574">
        <v>364</v>
      </c>
      <c r="CR2574">
        <v>0</v>
      </c>
      <c r="CW2574">
        <v>1466030</v>
      </c>
      <c r="CY2574">
        <v>1</v>
      </c>
      <c r="CZ2574">
        <v>0</v>
      </c>
      <c r="DA2574">
        <v>1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3">
      <c r="A2575" t="str">
        <f>"03/24/2022 22:20:55.419"</f>
        <v>03/24/2022 22:20:55.419</v>
      </c>
      <c r="C2575" t="str">
        <f t="shared" si="753"/>
        <v>FFDFD3C0</v>
      </c>
      <c r="D2575" t="s">
        <v>126</v>
      </c>
      <c r="E2575">
        <v>3</v>
      </c>
      <c r="H2575">
        <v>160</v>
      </c>
      <c r="I2575" t="s">
        <v>121</v>
      </c>
      <c r="J2575" t="s">
        <v>127</v>
      </c>
      <c r="K2575">
        <v>0</v>
      </c>
      <c r="L2575">
        <v>3</v>
      </c>
      <c r="M2575">
        <v>0</v>
      </c>
      <c r="N2575">
        <v>2</v>
      </c>
      <c r="O2575">
        <v>0</v>
      </c>
      <c r="P2575">
        <v>1</v>
      </c>
      <c r="Q2575">
        <v>0</v>
      </c>
      <c r="S2575" t="str">
        <f t="shared" si="769"/>
        <v>22:20:55.000</v>
      </c>
      <c r="T2575" t="str">
        <f t="shared" si="769"/>
        <v>22:20:55.000</v>
      </c>
      <c r="U2575" t="str">
        <f t="shared" si="766"/>
        <v>A9D71F</v>
      </c>
      <c r="V2575">
        <v>0</v>
      </c>
      <c r="W2575">
        <v>0</v>
      </c>
      <c r="X2575">
        <v>2</v>
      </c>
      <c r="Z2575">
        <v>1</v>
      </c>
      <c r="AA2575">
        <v>8</v>
      </c>
      <c r="AB2575">
        <v>3</v>
      </c>
      <c r="AC2575">
        <v>0</v>
      </c>
      <c r="AD2575">
        <v>9</v>
      </c>
      <c r="AE2575">
        <v>0</v>
      </c>
      <c r="AF2575">
        <v>3</v>
      </c>
      <c r="AG2575">
        <v>1</v>
      </c>
      <c r="AH2575">
        <v>0</v>
      </c>
      <c r="AI2575" t="s">
        <v>1316</v>
      </c>
      <c r="AJ2575">
        <v>33.015847000000001</v>
      </c>
      <c r="AK2575" t="s">
        <v>1009</v>
      </c>
      <c r="AL2575">
        <v>-97.662191000000007</v>
      </c>
      <c r="AM2575">
        <v>25</v>
      </c>
      <c r="AN2575">
        <v>2100</v>
      </c>
      <c r="AO2575" t="s">
        <v>118</v>
      </c>
      <c r="AP2575">
        <v>87</v>
      </c>
      <c r="AQ2575">
        <v>30</v>
      </c>
      <c r="AR2575">
        <v>-192</v>
      </c>
      <c r="AZ2575">
        <v>1200</v>
      </c>
      <c r="BA2575">
        <v>1</v>
      </c>
      <c r="BB2575" t="str">
        <f t="shared" si="754"/>
        <v xml:space="preserve">N733KP  </v>
      </c>
      <c r="BC2575">
        <v>1</v>
      </c>
      <c r="BE2575">
        <v>0</v>
      </c>
      <c r="BF2575">
        <v>0</v>
      </c>
      <c r="BG2575">
        <v>0</v>
      </c>
      <c r="BH2575">
        <v>2150</v>
      </c>
      <c r="BI2575">
        <v>1</v>
      </c>
      <c r="BJ2575">
        <v>1</v>
      </c>
      <c r="BK2575">
        <v>0</v>
      </c>
      <c r="BL2575">
        <v>0</v>
      </c>
      <c r="BO2575">
        <v>0</v>
      </c>
      <c r="BP2575">
        <v>0</v>
      </c>
      <c r="BW2575" t="str">
        <f>"22:20:55.205"</f>
        <v>22:20:55.205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7</v>
      </c>
      <c r="CP2575" t="s">
        <v>119</v>
      </c>
      <c r="CQ2575">
        <v>364</v>
      </c>
      <c r="CR2575">
        <v>0</v>
      </c>
      <c r="CW2575">
        <v>1466030</v>
      </c>
      <c r="CY2575">
        <v>1</v>
      </c>
      <c r="CZ2575">
        <v>0</v>
      </c>
      <c r="DA2575">
        <v>1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3">
      <c r="A2576" t="str">
        <f>"03/24/2022 22:20:55.419"</f>
        <v>03/24/2022 22:20:55.419</v>
      </c>
      <c r="C2576" t="str">
        <f t="shared" si="753"/>
        <v>FFDFD3C0</v>
      </c>
      <c r="D2576" t="s">
        <v>120</v>
      </c>
      <c r="E2576">
        <v>14</v>
      </c>
      <c r="F2576">
        <v>1014</v>
      </c>
      <c r="G2576" t="s">
        <v>121</v>
      </c>
      <c r="J2576" t="s">
        <v>122</v>
      </c>
      <c r="K2576">
        <v>0</v>
      </c>
      <c r="L2576">
        <v>3</v>
      </c>
      <c r="M2576">
        <v>0</v>
      </c>
      <c r="N2576">
        <v>2</v>
      </c>
      <c r="O2576">
        <v>0</v>
      </c>
      <c r="P2576">
        <v>1</v>
      </c>
      <c r="Q2576">
        <v>0</v>
      </c>
      <c r="S2576" t="str">
        <f t="shared" si="769"/>
        <v>22:20:55.000</v>
      </c>
      <c r="T2576" t="str">
        <f t="shared" si="769"/>
        <v>22:20:55.000</v>
      </c>
      <c r="U2576" t="str">
        <f t="shared" si="766"/>
        <v>A9D71F</v>
      </c>
      <c r="V2576">
        <v>0</v>
      </c>
      <c r="W2576">
        <v>0</v>
      </c>
      <c r="X2576">
        <v>2</v>
      </c>
      <c r="Z2576">
        <v>1</v>
      </c>
      <c r="AA2576">
        <v>8</v>
      </c>
      <c r="AB2576">
        <v>3</v>
      </c>
      <c r="AC2576">
        <v>0</v>
      </c>
      <c r="AD2576">
        <v>9</v>
      </c>
      <c r="AE2576">
        <v>0</v>
      </c>
      <c r="AF2576">
        <v>3</v>
      </c>
      <c r="AG2576">
        <v>1</v>
      </c>
      <c r="AH2576">
        <v>0</v>
      </c>
      <c r="AI2576" t="s">
        <v>1316</v>
      </c>
      <c r="AJ2576">
        <v>33.015847000000001</v>
      </c>
      <c r="AK2576" t="s">
        <v>1009</v>
      </c>
      <c r="AL2576">
        <v>-97.662191000000007</v>
      </c>
      <c r="AM2576">
        <v>25</v>
      </c>
      <c r="AN2576">
        <v>2100</v>
      </c>
      <c r="AO2576" t="s">
        <v>118</v>
      </c>
      <c r="AP2576">
        <v>87</v>
      </c>
      <c r="AQ2576">
        <v>30</v>
      </c>
      <c r="AR2576">
        <v>-192</v>
      </c>
      <c r="AZ2576">
        <v>1200</v>
      </c>
      <c r="BA2576">
        <v>1</v>
      </c>
      <c r="BB2576" t="str">
        <f t="shared" si="754"/>
        <v xml:space="preserve">N733KP  </v>
      </c>
      <c r="BC2576">
        <v>1</v>
      </c>
      <c r="BE2576">
        <v>0</v>
      </c>
      <c r="BF2576">
        <v>0</v>
      </c>
      <c r="BG2576">
        <v>0</v>
      </c>
      <c r="BH2576">
        <v>2150</v>
      </c>
      <c r="BI2576">
        <v>1</v>
      </c>
      <c r="BJ2576">
        <v>1</v>
      </c>
      <c r="BK2576">
        <v>0</v>
      </c>
      <c r="BL2576">
        <v>0</v>
      </c>
      <c r="BO2576">
        <v>0</v>
      </c>
      <c r="BP2576">
        <v>0</v>
      </c>
      <c r="BW2576" t="str">
        <f>"22:20:55.205"</f>
        <v>22:20:55.205</v>
      </c>
      <c r="CJ2576">
        <v>0</v>
      </c>
      <c r="CK2576">
        <v>2</v>
      </c>
      <c r="CL2576">
        <v>0</v>
      </c>
      <c r="CM2576">
        <v>2</v>
      </c>
      <c r="CN2576">
        <v>0</v>
      </c>
      <c r="CO2576">
        <v>7</v>
      </c>
      <c r="CP2576" t="s">
        <v>119</v>
      </c>
      <c r="CQ2576">
        <v>364</v>
      </c>
      <c r="CR2576">
        <v>0</v>
      </c>
      <c r="CW2576">
        <v>1466030</v>
      </c>
      <c r="CY2576">
        <v>1</v>
      </c>
      <c r="CZ2576">
        <v>0</v>
      </c>
      <c r="DA2576">
        <v>1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3">
      <c r="A2577" t="str">
        <f>"03/24/2022 22:20:56.435"</f>
        <v>03/24/2022 22:20:56.435</v>
      </c>
      <c r="C2577" t="str">
        <f t="shared" si="753"/>
        <v>FFDFD3C0</v>
      </c>
      <c r="D2577" t="s">
        <v>120</v>
      </c>
      <c r="E2577">
        <v>14</v>
      </c>
      <c r="F2577">
        <v>1014</v>
      </c>
      <c r="G2577" t="s">
        <v>121</v>
      </c>
      <c r="J2577" t="s">
        <v>122</v>
      </c>
      <c r="K2577">
        <v>0</v>
      </c>
      <c r="L2577">
        <v>3</v>
      </c>
      <c r="M2577">
        <v>0</v>
      </c>
      <c r="N2577">
        <v>2</v>
      </c>
      <c r="O2577">
        <v>0</v>
      </c>
      <c r="P2577">
        <v>1</v>
      </c>
      <c r="Q2577">
        <v>0</v>
      </c>
      <c r="S2577" t="str">
        <f t="shared" ref="S2577:T2580" si="770">"22:20:56.000"</f>
        <v>22:20:56.000</v>
      </c>
      <c r="T2577" t="str">
        <f t="shared" si="770"/>
        <v>22:20:56.000</v>
      </c>
      <c r="U2577" t="str">
        <f t="shared" si="766"/>
        <v>A9D71F</v>
      </c>
      <c r="V2577">
        <v>0</v>
      </c>
      <c r="W2577">
        <v>0</v>
      </c>
      <c r="X2577">
        <v>2</v>
      </c>
      <c r="Z2577">
        <v>1</v>
      </c>
      <c r="AA2577">
        <v>8</v>
      </c>
      <c r="AB2577">
        <v>3</v>
      </c>
      <c r="AC2577">
        <v>0</v>
      </c>
      <c r="AD2577">
        <v>9</v>
      </c>
      <c r="AE2577">
        <v>0</v>
      </c>
      <c r="AF2577">
        <v>3</v>
      </c>
      <c r="AG2577">
        <v>1</v>
      </c>
      <c r="AH2577">
        <v>0</v>
      </c>
      <c r="AI2577" t="s">
        <v>1317</v>
      </c>
      <c r="AJ2577">
        <v>33.015996999999999</v>
      </c>
      <c r="AK2577" t="s">
        <v>1318</v>
      </c>
      <c r="AL2577">
        <v>-97.661676</v>
      </c>
      <c r="AM2577">
        <v>25</v>
      </c>
      <c r="AN2577">
        <v>2100</v>
      </c>
      <c r="AO2577" t="s">
        <v>118</v>
      </c>
      <c r="AP2577">
        <v>89</v>
      </c>
      <c r="AQ2577">
        <v>23</v>
      </c>
      <c r="AR2577">
        <v>-128</v>
      </c>
      <c r="AZ2577">
        <v>1200</v>
      </c>
      <c r="BA2577">
        <v>1</v>
      </c>
      <c r="BB2577" t="str">
        <f t="shared" si="754"/>
        <v xml:space="preserve">N733KP  </v>
      </c>
      <c r="BC2577">
        <v>1</v>
      </c>
      <c r="BE2577">
        <v>0</v>
      </c>
      <c r="BF2577">
        <v>0</v>
      </c>
      <c r="BG2577">
        <v>0</v>
      </c>
      <c r="BH2577">
        <v>2150</v>
      </c>
      <c r="BI2577">
        <v>1</v>
      </c>
      <c r="BJ2577">
        <v>1</v>
      </c>
      <c r="BK2577">
        <v>0</v>
      </c>
      <c r="BL2577">
        <v>0</v>
      </c>
      <c r="BO2577">
        <v>0</v>
      </c>
      <c r="BP2577">
        <v>0</v>
      </c>
      <c r="BW2577" t="str">
        <f>"22:20:56.269"</f>
        <v>22:20:56.269</v>
      </c>
      <c r="CJ2577">
        <v>0</v>
      </c>
      <c r="CK2577">
        <v>2</v>
      </c>
      <c r="CL2577">
        <v>0</v>
      </c>
      <c r="CM2577">
        <v>2</v>
      </c>
      <c r="CN2577">
        <v>0</v>
      </c>
      <c r="CO2577">
        <v>7</v>
      </c>
      <c r="CP2577" t="s">
        <v>119</v>
      </c>
      <c r="CQ2577">
        <v>364</v>
      </c>
      <c r="CR2577">
        <v>0</v>
      </c>
      <c r="CW2577">
        <v>1466204</v>
      </c>
      <c r="CY2577">
        <v>1</v>
      </c>
      <c r="CZ2577">
        <v>0</v>
      </c>
      <c r="DA2577">
        <v>0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3">
      <c r="A2578" t="str">
        <f>"03/24/2022 22:20:56.435"</f>
        <v>03/24/2022 22:20:56.435</v>
      </c>
      <c r="C2578" t="str">
        <f t="shared" si="753"/>
        <v>FFDFD3C0</v>
      </c>
      <c r="D2578" t="s">
        <v>123</v>
      </c>
      <c r="E2578">
        <v>8</v>
      </c>
      <c r="H2578">
        <v>31</v>
      </c>
      <c r="I2578" t="s">
        <v>124</v>
      </c>
      <c r="J2578" t="s">
        <v>125</v>
      </c>
      <c r="K2578">
        <v>0</v>
      </c>
      <c r="L2578">
        <v>3</v>
      </c>
      <c r="M2578">
        <v>0</v>
      </c>
      <c r="N2578">
        <v>2</v>
      </c>
      <c r="O2578">
        <v>0</v>
      </c>
      <c r="P2578">
        <v>1</v>
      </c>
      <c r="Q2578">
        <v>0</v>
      </c>
      <c r="S2578" t="str">
        <f t="shared" si="770"/>
        <v>22:20:56.000</v>
      </c>
      <c r="T2578" t="str">
        <f t="shared" si="770"/>
        <v>22:20:56.000</v>
      </c>
      <c r="U2578" t="str">
        <f t="shared" si="766"/>
        <v>A9D71F</v>
      </c>
      <c r="V2578">
        <v>0</v>
      </c>
      <c r="W2578">
        <v>0</v>
      </c>
      <c r="X2578">
        <v>2</v>
      </c>
      <c r="Z2578">
        <v>1</v>
      </c>
      <c r="AA2578">
        <v>8</v>
      </c>
      <c r="AB2578">
        <v>3</v>
      </c>
      <c r="AC2578">
        <v>0</v>
      </c>
      <c r="AD2578">
        <v>9</v>
      </c>
      <c r="AE2578">
        <v>0</v>
      </c>
      <c r="AF2578">
        <v>3</v>
      </c>
      <c r="AG2578">
        <v>1</v>
      </c>
      <c r="AH2578">
        <v>0</v>
      </c>
      <c r="AI2578" t="s">
        <v>1317</v>
      </c>
      <c r="AJ2578">
        <v>33.015996999999999</v>
      </c>
      <c r="AK2578" t="s">
        <v>1318</v>
      </c>
      <c r="AL2578">
        <v>-97.661676</v>
      </c>
      <c r="AM2578">
        <v>25</v>
      </c>
      <c r="AN2578">
        <v>2100</v>
      </c>
      <c r="AO2578" t="s">
        <v>118</v>
      </c>
      <c r="AP2578">
        <v>89</v>
      </c>
      <c r="AQ2578">
        <v>23</v>
      </c>
      <c r="AR2578">
        <v>-128</v>
      </c>
      <c r="AZ2578">
        <v>1200</v>
      </c>
      <c r="BA2578">
        <v>1</v>
      </c>
      <c r="BB2578" t="str">
        <f t="shared" si="754"/>
        <v xml:space="preserve">N733KP  </v>
      </c>
      <c r="BC2578">
        <v>1</v>
      </c>
      <c r="BE2578">
        <v>0</v>
      </c>
      <c r="BF2578">
        <v>0</v>
      </c>
      <c r="BG2578">
        <v>0</v>
      </c>
      <c r="BH2578">
        <v>2150</v>
      </c>
      <c r="BI2578">
        <v>1</v>
      </c>
      <c r="BJ2578">
        <v>1</v>
      </c>
      <c r="BK2578">
        <v>0</v>
      </c>
      <c r="BL2578">
        <v>0</v>
      </c>
      <c r="BO2578">
        <v>0</v>
      </c>
      <c r="BP2578">
        <v>0</v>
      </c>
      <c r="BW2578" t="str">
        <f>"22:20:56.269"</f>
        <v>22:20:56.269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7</v>
      </c>
      <c r="CP2578" t="s">
        <v>119</v>
      </c>
      <c r="CQ2578">
        <v>364</v>
      </c>
      <c r="CR2578">
        <v>0</v>
      </c>
      <c r="CW2578">
        <v>1466204</v>
      </c>
      <c r="CY2578">
        <v>1</v>
      </c>
      <c r="CZ2578">
        <v>0</v>
      </c>
      <c r="DA2578">
        <v>1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3">
      <c r="A2579" t="str">
        <f>"03/24/2022 22:20:56.450"</f>
        <v>03/24/2022 22:20:56.450</v>
      </c>
      <c r="C2579" t="str">
        <f t="shared" si="753"/>
        <v>FFDFD3C0</v>
      </c>
      <c r="D2579" t="s">
        <v>126</v>
      </c>
      <c r="E2579">
        <v>3</v>
      </c>
      <c r="H2579">
        <v>160</v>
      </c>
      <c r="I2579" t="s">
        <v>121</v>
      </c>
      <c r="J2579" t="s">
        <v>127</v>
      </c>
      <c r="K2579">
        <v>0</v>
      </c>
      <c r="L2579">
        <v>3</v>
      </c>
      <c r="M2579">
        <v>0</v>
      </c>
      <c r="N2579">
        <v>2</v>
      </c>
      <c r="O2579">
        <v>0</v>
      </c>
      <c r="P2579">
        <v>1</v>
      </c>
      <c r="Q2579">
        <v>0</v>
      </c>
      <c r="S2579" t="str">
        <f t="shared" si="770"/>
        <v>22:20:56.000</v>
      </c>
      <c r="T2579" t="str">
        <f t="shared" si="770"/>
        <v>22:20:56.000</v>
      </c>
      <c r="U2579" t="str">
        <f t="shared" si="766"/>
        <v>A9D71F</v>
      </c>
      <c r="V2579">
        <v>0</v>
      </c>
      <c r="W2579">
        <v>0</v>
      </c>
      <c r="X2579">
        <v>2</v>
      </c>
      <c r="Z2579">
        <v>1</v>
      </c>
      <c r="AA2579">
        <v>8</v>
      </c>
      <c r="AB2579">
        <v>3</v>
      </c>
      <c r="AC2579">
        <v>0</v>
      </c>
      <c r="AD2579">
        <v>9</v>
      </c>
      <c r="AE2579">
        <v>0</v>
      </c>
      <c r="AF2579">
        <v>3</v>
      </c>
      <c r="AG2579">
        <v>1</v>
      </c>
      <c r="AH2579">
        <v>0</v>
      </c>
      <c r="AI2579" t="s">
        <v>1317</v>
      </c>
      <c r="AJ2579">
        <v>33.015996999999999</v>
      </c>
      <c r="AK2579" t="s">
        <v>1318</v>
      </c>
      <c r="AL2579">
        <v>-97.661676</v>
      </c>
      <c r="AM2579">
        <v>25</v>
      </c>
      <c r="AN2579">
        <v>2100</v>
      </c>
      <c r="AO2579" t="s">
        <v>118</v>
      </c>
      <c r="AP2579">
        <v>89</v>
      </c>
      <c r="AQ2579">
        <v>23</v>
      </c>
      <c r="AR2579">
        <v>-128</v>
      </c>
      <c r="AZ2579">
        <v>1200</v>
      </c>
      <c r="BA2579">
        <v>1</v>
      </c>
      <c r="BB2579" t="str">
        <f t="shared" si="754"/>
        <v xml:space="preserve">N733KP  </v>
      </c>
      <c r="BC2579">
        <v>1</v>
      </c>
      <c r="BE2579">
        <v>0</v>
      </c>
      <c r="BF2579">
        <v>0</v>
      </c>
      <c r="BG2579">
        <v>0</v>
      </c>
      <c r="BH2579">
        <v>2150</v>
      </c>
      <c r="BI2579">
        <v>1</v>
      </c>
      <c r="BJ2579">
        <v>1</v>
      </c>
      <c r="BK2579">
        <v>0</v>
      </c>
      <c r="BL2579">
        <v>0</v>
      </c>
      <c r="BO2579">
        <v>0</v>
      </c>
      <c r="BP2579">
        <v>0</v>
      </c>
      <c r="BW2579" t="str">
        <f>"22:20:56.269"</f>
        <v>22:20:56.269</v>
      </c>
      <c r="CJ2579">
        <v>0</v>
      </c>
      <c r="CK2579">
        <v>2</v>
      </c>
      <c r="CL2579">
        <v>0</v>
      </c>
      <c r="CM2579">
        <v>2</v>
      </c>
      <c r="CN2579">
        <v>0</v>
      </c>
      <c r="CO2579">
        <v>7</v>
      </c>
      <c r="CP2579" t="s">
        <v>119</v>
      </c>
      <c r="CQ2579">
        <v>364</v>
      </c>
      <c r="CR2579">
        <v>0</v>
      </c>
      <c r="CW2579">
        <v>1466204</v>
      </c>
      <c r="CY2579">
        <v>1</v>
      </c>
      <c r="CZ2579">
        <v>0</v>
      </c>
      <c r="DA2579">
        <v>1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3">
      <c r="A2580" t="str">
        <f>"03/24/2022 22:20:56.450"</f>
        <v>03/24/2022 22:20:56.450</v>
      </c>
      <c r="C2580" t="str">
        <f t="shared" si="753"/>
        <v>FFDFD3C0</v>
      </c>
      <c r="D2580" t="s">
        <v>113</v>
      </c>
      <c r="E2580">
        <v>24</v>
      </c>
      <c r="F2580">
        <v>2024</v>
      </c>
      <c r="G2580" t="s">
        <v>114</v>
      </c>
      <c r="J2580" t="s">
        <v>115</v>
      </c>
      <c r="K2580">
        <v>0</v>
      </c>
      <c r="L2580">
        <v>3</v>
      </c>
      <c r="M2580">
        <v>0</v>
      </c>
      <c r="N2580">
        <v>2</v>
      </c>
      <c r="O2580">
        <v>0</v>
      </c>
      <c r="P2580">
        <v>1</v>
      </c>
      <c r="Q2580">
        <v>0</v>
      </c>
      <c r="S2580" t="str">
        <f t="shared" si="770"/>
        <v>22:20:56.000</v>
      </c>
      <c r="T2580" t="str">
        <f t="shared" si="770"/>
        <v>22:20:56.000</v>
      </c>
      <c r="U2580" t="str">
        <f t="shared" si="766"/>
        <v>A9D71F</v>
      </c>
      <c r="V2580">
        <v>0</v>
      </c>
      <c r="W2580">
        <v>0</v>
      </c>
      <c r="X2580">
        <v>2</v>
      </c>
      <c r="Z2580">
        <v>1</v>
      </c>
      <c r="AA2580">
        <v>8</v>
      </c>
      <c r="AB2580">
        <v>3</v>
      </c>
      <c r="AC2580">
        <v>0</v>
      </c>
      <c r="AD2580">
        <v>9</v>
      </c>
      <c r="AE2580">
        <v>0</v>
      </c>
      <c r="AF2580">
        <v>3</v>
      </c>
      <c r="AG2580">
        <v>1</v>
      </c>
      <c r="AH2580">
        <v>0</v>
      </c>
      <c r="AI2580" t="s">
        <v>1317</v>
      </c>
      <c r="AJ2580">
        <v>33.015996999999999</v>
      </c>
      <c r="AK2580" t="s">
        <v>1318</v>
      </c>
      <c r="AL2580">
        <v>-97.661676</v>
      </c>
      <c r="AM2580">
        <v>25</v>
      </c>
      <c r="AN2580">
        <v>2100</v>
      </c>
      <c r="AO2580" t="s">
        <v>118</v>
      </c>
      <c r="AP2580">
        <v>89</v>
      </c>
      <c r="AQ2580">
        <v>23</v>
      </c>
      <c r="AR2580">
        <v>-128</v>
      </c>
      <c r="AZ2580">
        <v>1200</v>
      </c>
      <c r="BA2580">
        <v>1</v>
      </c>
      <c r="BB2580" t="str">
        <f t="shared" si="754"/>
        <v xml:space="preserve">N733KP  </v>
      </c>
      <c r="BC2580">
        <v>1</v>
      </c>
      <c r="BE2580">
        <v>0</v>
      </c>
      <c r="BF2580">
        <v>0</v>
      </c>
      <c r="BG2580">
        <v>0</v>
      </c>
      <c r="BH2580">
        <v>2150</v>
      </c>
      <c r="BI2580">
        <v>1</v>
      </c>
      <c r="BJ2580">
        <v>1</v>
      </c>
      <c r="BK2580">
        <v>0</v>
      </c>
      <c r="BL2580">
        <v>0</v>
      </c>
      <c r="BO2580">
        <v>0</v>
      </c>
      <c r="BP2580">
        <v>0</v>
      </c>
      <c r="BW2580" t="str">
        <f>"22:20:56.269"</f>
        <v>22:20:56.269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7</v>
      </c>
      <c r="CP2580" t="s">
        <v>119</v>
      </c>
      <c r="CQ2580">
        <v>364</v>
      </c>
      <c r="CR2580">
        <v>0</v>
      </c>
      <c r="CW2580">
        <v>1466204</v>
      </c>
      <c r="CY2580">
        <v>1</v>
      </c>
      <c r="CZ2580">
        <v>0</v>
      </c>
      <c r="DA2580">
        <v>1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3">
      <c r="A2581" t="str">
        <f>"03/24/2022 22:20:57.717"</f>
        <v>03/24/2022 22:20:57.717</v>
      </c>
      <c r="C2581" t="str">
        <f t="shared" si="753"/>
        <v>FFDFD3C0</v>
      </c>
      <c r="D2581" t="s">
        <v>126</v>
      </c>
      <c r="E2581">
        <v>3</v>
      </c>
      <c r="H2581">
        <v>160</v>
      </c>
      <c r="I2581" t="s">
        <v>121</v>
      </c>
      <c r="J2581" t="s">
        <v>127</v>
      </c>
      <c r="K2581">
        <v>0</v>
      </c>
      <c r="L2581">
        <v>3</v>
      </c>
      <c r="M2581">
        <v>0</v>
      </c>
      <c r="N2581">
        <v>2</v>
      </c>
      <c r="O2581">
        <v>0</v>
      </c>
      <c r="P2581">
        <v>1</v>
      </c>
      <c r="Q2581">
        <v>0</v>
      </c>
      <c r="S2581" t="str">
        <f t="shared" ref="S2581:T2584" si="771">"22:20:57.000"</f>
        <v>22:20:57.000</v>
      </c>
      <c r="T2581" t="str">
        <f t="shared" si="771"/>
        <v>22:20:57.000</v>
      </c>
      <c r="U2581" t="str">
        <f t="shared" si="766"/>
        <v>A9D71F</v>
      </c>
      <c r="V2581">
        <v>0</v>
      </c>
      <c r="W2581">
        <v>0</v>
      </c>
      <c r="X2581">
        <v>2</v>
      </c>
      <c r="Z2581">
        <v>1</v>
      </c>
      <c r="AA2581">
        <v>8</v>
      </c>
      <c r="AB2581">
        <v>3</v>
      </c>
      <c r="AC2581">
        <v>0</v>
      </c>
      <c r="AD2581">
        <v>9</v>
      </c>
      <c r="AE2581">
        <v>0</v>
      </c>
      <c r="AF2581">
        <v>3</v>
      </c>
      <c r="AG2581">
        <v>1</v>
      </c>
      <c r="AH2581">
        <v>0</v>
      </c>
      <c r="AI2581" t="s">
        <v>1319</v>
      </c>
      <c r="AJ2581">
        <v>33.016105000000003</v>
      </c>
      <c r="AK2581" t="s">
        <v>1320</v>
      </c>
      <c r="AL2581">
        <v>-97.661182999999994</v>
      </c>
      <c r="AM2581">
        <v>25</v>
      </c>
      <c r="AN2581">
        <v>2100</v>
      </c>
      <c r="AO2581" t="s">
        <v>118</v>
      </c>
      <c r="AP2581">
        <v>91</v>
      </c>
      <c r="AQ2581">
        <v>13</v>
      </c>
      <c r="AR2581">
        <v>-64</v>
      </c>
      <c r="AZ2581">
        <v>1200</v>
      </c>
      <c r="BA2581">
        <v>1</v>
      </c>
      <c r="BB2581" t="str">
        <f t="shared" si="754"/>
        <v xml:space="preserve">N733KP  </v>
      </c>
      <c r="BC2581">
        <v>1</v>
      </c>
      <c r="BE2581">
        <v>0</v>
      </c>
      <c r="BF2581">
        <v>0</v>
      </c>
      <c r="BG2581">
        <v>0</v>
      </c>
      <c r="BH2581">
        <v>2125</v>
      </c>
      <c r="BI2581">
        <v>1</v>
      </c>
      <c r="BJ2581">
        <v>1</v>
      </c>
      <c r="BK2581">
        <v>0</v>
      </c>
      <c r="BL2581">
        <v>0</v>
      </c>
      <c r="BO2581">
        <v>0</v>
      </c>
      <c r="BP2581">
        <v>0</v>
      </c>
      <c r="BW2581" t="str">
        <f>"22:20:57.522"</f>
        <v>22:20:57.522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119</v>
      </c>
      <c r="CQ2581">
        <v>364</v>
      </c>
      <c r="CR2581">
        <v>0</v>
      </c>
      <c r="CW2581">
        <v>1466372</v>
      </c>
      <c r="CY2581">
        <v>1</v>
      </c>
      <c r="CZ2581">
        <v>0</v>
      </c>
      <c r="DA2581">
        <v>0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3">
      <c r="A2582" t="str">
        <f>"03/24/2022 22:20:57.717"</f>
        <v>03/24/2022 22:20:57.717</v>
      </c>
      <c r="C2582" t="str">
        <f t="shared" ref="C2582:C2645" si="772">"FFDFD3C0"</f>
        <v>FFDFD3C0</v>
      </c>
      <c r="D2582" t="s">
        <v>113</v>
      </c>
      <c r="E2582">
        <v>24</v>
      </c>
      <c r="F2582">
        <v>2024</v>
      </c>
      <c r="G2582" t="s">
        <v>114</v>
      </c>
      <c r="J2582" t="s">
        <v>115</v>
      </c>
      <c r="K2582">
        <v>0</v>
      </c>
      <c r="L2582">
        <v>3</v>
      </c>
      <c r="M2582">
        <v>0</v>
      </c>
      <c r="N2582">
        <v>2</v>
      </c>
      <c r="O2582">
        <v>0</v>
      </c>
      <c r="P2582">
        <v>1</v>
      </c>
      <c r="Q2582">
        <v>0</v>
      </c>
      <c r="S2582" t="str">
        <f t="shared" si="771"/>
        <v>22:20:57.000</v>
      </c>
      <c r="T2582" t="str">
        <f t="shared" si="771"/>
        <v>22:20:57.000</v>
      </c>
      <c r="U2582" t="str">
        <f t="shared" si="766"/>
        <v>A9D71F</v>
      </c>
      <c r="V2582">
        <v>0</v>
      </c>
      <c r="W2582">
        <v>0</v>
      </c>
      <c r="X2582">
        <v>2</v>
      </c>
      <c r="Z2582">
        <v>1</v>
      </c>
      <c r="AA2582">
        <v>8</v>
      </c>
      <c r="AB2582">
        <v>3</v>
      </c>
      <c r="AC2582">
        <v>0</v>
      </c>
      <c r="AD2582">
        <v>9</v>
      </c>
      <c r="AE2582">
        <v>0</v>
      </c>
      <c r="AF2582">
        <v>3</v>
      </c>
      <c r="AG2582">
        <v>1</v>
      </c>
      <c r="AH2582">
        <v>0</v>
      </c>
      <c r="AI2582" t="s">
        <v>1319</v>
      </c>
      <c r="AJ2582">
        <v>33.016105000000003</v>
      </c>
      <c r="AK2582" t="s">
        <v>1320</v>
      </c>
      <c r="AL2582">
        <v>-97.661182999999994</v>
      </c>
      <c r="AM2582">
        <v>25</v>
      </c>
      <c r="AN2582">
        <v>2100</v>
      </c>
      <c r="AO2582" t="s">
        <v>118</v>
      </c>
      <c r="AP2582">
        <v>91</v>
      </c>
      <c r="AQ2582">
        <v>13</v>
      </c>
      <c r="AR2582">
        <v>-64</v>
      </c>
      <c r="AZ2582">
        <v>1200</v>
      </c>
      <c r="BA2582">
        <v>1</v>
      </c>
      <c r="BB2582" t="str">
        <f t="shared" ref="BB2582:BB2645" si="773">"N733KP  "</f>
        <v xml:space="preserve">N733KP  </v>
      </c>
      <c r="BC2582">
        <v>1</v>
      </c>
      <c r="BE2582">
        <v>0</v>
      </c>
      <c r="BF2582">
        <v>0</v>
      </c>
      <c r="BG2582">
        <v>0</v>
      </c>
      <c r="BH2582">
        <v>2125</v>
      </c>
      <c r="BI2582">
        <v>1</v>
      </c>
      <c r="BJ2582">
        <v>1</v>
      </c>
      <c r="BK2582">
        <v>0</v>
      </c>
      <c r="BL2582">
        <v>0</v>
      </c>
      <c r="BO2582">
        <v>0</v>
      </c>
      <c r="BP2582">
        <v>0</v>
      </c>
      <c r="BW2582" t="str">
        <f>"22:20:57.522"</f>
        <v>22:20:57.522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119</v>
      </c>
      <c r="CQ2582">
        <v>364</v>
      </c>
      <c r="CR2582">
        <v>0</v>
      </c>
      <c r="CW2582">
        <v>1466372</v>
      </c>
      <c r="CY2582">
        <v>1</v>
      </c>
      <c r="CZ2582">
        <v>0</v>
      </c>
      <c r="DA2582">
        <v>1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3">
      <c r="A2583" t="str">
        <f>"03/24/2022 22:20:57.717"</f>
        <v>03/24/2022 22:20:57.717</v>
      </c>
      <c r="C2583" t="str">
        <f t="shared" si="772"/>
        <v>FFDFD3C0</v>
      </c>
      <c r="D2583" t="s">
        <v>120</v>
      </c>
      <c r="E2583">
        <v>14</v>
      </c>
      <c r="F2583">
        <v>1014</v>
      </c>
      <c r="G2583" t="s">
        <v>121</v>
      </c>
      <c r="J2583" t="s">
        <v>122</v>
      </c>
      <c r="K2583">
        <v>0</v>
      </c>
      <c r="L2583">
        <v>3</v>
      </c>
      <c r="M2583">
        <v>0</v>
      </c>
      <c r="N2583">
        <v>2</v>
      </c>
      <c r="O2583">
        <v>0</v>
      </c>
      <c r="P2583">
        <v>1</v>
      </c>
      <c r="Q2583">
        <v>0</v>
      </c>
      <c r="S2583" t="str">
        <f t="shared" si="771"/>
        <v>22:20:57.000</v>
      </c>
      <c r="T2583" t="str">
        <f t="shared" si="771"/>
        <v>22:20:57.000</v>
      </c>
      <c r="U2583" t="str">
        <f t="shared" si="766"/>
        <v>A9D71F</v>
      </c>
      <c r="V2583">
        <v>0</v>
      </c>
      <c r="W2583">
        <v>0</v>
      </c>
      <c r="X2583">
        <v>2</v>
      </c>
      <c r="Z2583">
        <v>1</v>
      </c>
      <c r="AA2583">
        <v>8</v>
      </c>
      <c r="AB2583">
        <v>3</v>
      </c>
      <c r="AC2583">
        <v>0</v>
      </c>
      <c r="AD2583">
        <v>9</v>
      </c>
      <c r="AE2583">
        <v>0</v>
      </c>
      <c r="AF2583">
        <v>3</v>
      </c>
      <c r="AG2583">
        <v>1</v>
      </c>
      <c r="AH2583">
        <v>0</v>
      </c>
      <c r="AI2583" t="s">
        <v>1319</v>
      </c>
      <c r="AJ2583">
        <v>33.016105000000003</v>
      </c>
      <c r="AK2583" t="s">
        <v>1320</v>
      </c>
      <c r="AL2583">
        <v>-97.661182999999994</v>
      </c>
      <c r="AM2583">
        <v>25</v>
      </c>
      <c r="AN2583">
        <v>2100</v>
      </c>
      <c r="AO2583" t="s">
        <v>118</v>
      </c>
      <c r="AP2583">
        <v>91</v>
      </c>
      <c r="AQ2583">
        <v>13</v>
      </c>
      <c r="AR2583">
        <v>-64</v>
      </c>
      <c r="AZ2583">
        <v>1200</v>
      </c>
      <c r="BA2583">
        <v>1</v>
      </c>
      <c r="BB2583" t="str">
        <f t="shared" si="773"/>
        <v xml:space="preserve">N733KP  </v>
      </c>
      <c r="BC2583">
        <v>1</v>
      </c>
      <c r="BE2583">
        <v>0</v>
      </c>
      <c r="BF2583">
        <v>0</v>
      </c>
      <c r="BG2583">
        <v>0</v>
      </c>
      <c r="BH2583">
        <v>2125</v>
      </c>
      <c r="BI2583">
        <v>1</v>
      </c>
      <c r="BJ2583">
        <v>1</v>
      </c>
      <c r="BK2583">
        <v>0</v>
      </c>
      <c r="BL2583">
        <v>0</v>
      </c>
      <c r="BO2583">
        <v>0</v>
      </c>
      <c r="BP2583">
        <v>0</v>
      </c>
      <c r="BW2583" t="str">
        <f>"22:20:57.522"</f>
        <v>22:20:57.522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7</v>
      </c>
      <c r="CP2583" t="s">
        <v>119</v>
      </c>
      <c r="CQ2583">
        <v>364</v>
      </c>
      <c r="CR2583">
        <v>0</v>
      </c>
      <c r="CW2583">
        <v>1466372</v>
      </c>
      <c r="CY2583">
        <v>1</v>
      </c>
      <c r="CZ2583">
        <v>0</v>
      </c>
      <c r="DA2583">
        <v>1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3">
      <c r="A2584" t="str">
        <f>"03/24/2022 22:20:57.717"</f>
        <v>03/24/2022 22:20:57.717</v>
      </c>
      <c r="C2584" t="str">
        <f t="shared" si="772"/>
        <v>FFDFD3C0</v>
      </c>
      <c r="D2584" t="s">
        <v>123</v>
      </c>
      <c r="E2584">
        <v>8</v>
      </c>
      <c r="H2584">
        <v>31</v>
      </c>
      <c r="I2584" t="s">
        <v>124</v>
      </c>
      <c r="J2584" t="s">
        <v>125</v>
      </c>
      <c r="K2584">
        <v>0</v>
      </c>
      <c r="L2584">
        <v>3</v>
      </c>
      <c r="M2584">
        <v>0</v>
      </c>
      <c r="N2584">
        <v>2</v>
      </c>
      <c r="O2584">
        <v>0</v>
      </c>
      <c r="P2584">
        <v>1</v>
      </c>
      <c r="Q2584">
        <v>0</v>
      </c>
      <c r="S2584" t="str">
        <f t="shared" si="771"/>
        <v>22:20:57.000</v>
      </c>
      <c r="T2584" t="str">
        <f t="shared" si="771"/>
        <v>22:20:57.000</v>
      </c>
      <c r="U2584" t="str">
        <f t="shared" si="766"/>
        <v>A9D71F</v>
      </c>
      <c r="V2584">
        <v>0</v>
      </c>
      <c r="W2584">
        <v>0</v>
      </c>
      <c r="X2584">
        <v>2</v>
      </c>
      <c r="Z2584">
        <v>1</v>
      </c>
      <c r="AA2584">
        <v>8</v>
      </c>
      <c r="AB2584">
        <v>3</v>
      </c>
      <c r="AC2584">
        <v>0</v>
      </c>
      <c r="AD2584">
        <v>9</v>
      </c>
      <c r="AE2584">
        <v>0</v>
      </c>
      <c r="AF2584">
        <v>3</v>
      </c>
      <c r="AG2584">
        <v>1</v>
      </c>
      <c r="AH2584">
        <v>0</v>
      </c>
      <c r="AI2584" t="s">
        <v>1319</v>
      </c>
      <c r="AJ2584">
        <v>33.016105000000003</v>
      </c>
      <c r="AK2584" t="s">
        <v>1320</v>
      </c>
      <c r="AL2584">
        <v>-97.661182999999994</v>
      </c>
      <c r="AM2584">
        <v>25</v>
      </c>
      <c r="AN2584">
        <v>2100</v>
      </c>
      <c r="AO2584" t="s">
        <v>118</v>
      </c>
      <c r="AP2584">
        <v>91</v>
      </c>
      <c r="AQ2584">
        <v>13</v>
      </c>
      <c r="AR2584">
        <v>-64</v>
      </c>
      <c r="AZ2584">
        <v>1200</v>
      </c>
      <c r="BA2584">
        <v>1</v>
      </c>
      <c r="BB2584" t="str">
        <f t="shared" si="773"/>
        <v xml:space="preserve">N733KP  </v>
      </c>
      <c r="BC2584">
        <v>1</v>
      </c>
      <c r="BE2584">
        <v>0</v>
      </c>
      <c r="BF2584">
        <v>0</v>
      </c>
      <c r="BG2584">
        <v>0</v>
      </c>
      <c r="BH2584">
        <v>2125</v>
      </c>
      <c r="BI2584">
        <v>1</v>
      </c>
      <c r="BJ2584">
        <v>1</v>
      </c>
      <c r="BK2584">
        <v>0</v>
      </c>
      <c r="BL2584">
        <v>0</v>
      </c>
      <c r="BO2584">
        <v>0</v>
      </c>
      <c r="BP2584">
        <v>0</v>
      </c>
      <c r="BW2584" t="str">
        <f>"22:20:57.522"</f>
        <v>22:20:57.522</v>
      </c>
      <c r="CJ2584">
        <v>0</v>
      </c>
      <c r="CK2584">
        <v>2</v>
      </c>
      <c r="CL2584">
        <v>0</v>
      </c>
      <c r="CM2584">
        <v>2</v>
      </c>
      <c r="CN2584">
        <v>0</v>
      </c>
      <c r="CO2584">
        <v>7</v>
      </c>
      <c r="CP2584" t="s">
        <v>119</v>
      </c>
      <c r="CQ2584">
        <v>364</v>
      </c>
      <c r="CR2584">
        <v>0</v>
      </c>
      <c r="CW2584">
        <v>1466372</v>
      </c>
      <c r="CY2584">
        <v>1</v>
      </c>
      <c r="CZ2584">
        <v>0</v>
      </c>
      <c r="DA2584">
        <v>1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3">
      <c r="A2585" t="str">
        <f>"03/24/2022 22:20:58.547"</f>
        <v>03/24/2022 22:20:58.547</v>
      </c>
      <c r="C2585" t="str">
        <f t="shared" si="772"/>
        <v>FFDFD3C0</v>
      </c>
      <c r="D2585" t="s">
        <v>113</v>
      </c>
      <c r="E2585">
        <v>24</v>
      </c>
      <c r="F2585">
        <v>2024</v>
      </c>
      <c r="G2585" t="s">
        <v>114</v>
      </c>
      <c r="J2585" t="s">
        <v>115</v>
      </c>
      <c r="K2585">
        <v>0</v>
      </c>
      <c r="L2585">
        <v>3</v>
      </c>
      <c r="M2585">
        <v>0</v>
      </c>
      <c r="N2585">
        <v>2</v>
      </c>
      <c r="O2585">
        <v>0</v>
      </c>
      <c r="P2585">
        <v>1</v>
      </c>
      <c r="Q2585">
        <v>0</v>
      </c>
      <c r="S2585" t="str">
        <f t="shared" ref="S2585:T2588" si="774">"22:20:58.000"</f>
        <v>22:20:58.000</v>
      </c>
      <c r="T2585" t="str">
        <f t="shared" si="774"/>
        <v>22:20:58.000</v>
      </c>
      <c r="U2585" t="str">
        <f t="shared" si="766"/>
        <v>A9D71F</v>
      </c>
      <c r="V2585">
        <v>0</v>
      </c>
      <c r="W2585">
        <v>0</v>
      </c>
      <c r="X2585">
        <v>2</v>
      </c>
      <c r="Z2585">
        <v>1</v>
      </c>
      <c r="AA2585">
        <v>8</v>
      </c>
      <c r="AB2585">
        <v>3</v>
      </c>
      <c r="AC2585">
        <v>0</v>
      </c>
      <c r="AD2585">
        <v>9</v>
      </c>
      <c r="AE2585">
        <v>0</v>
      </c>
      <c r="AF2585">
        <v>3</v>
      </c>
      <c r="AG2585">
        <v>1</v>
      </c>
      <c r="AH2585">
        <v>0</v>
      </c>
      <c r="AI2585" t="s">
        <v>1321</v>
      </c>
      <c r="AJ2585">
        <v>33.016148000000001</v>
      </c>
      <c r="AK2585" t="s">
        <v>1322</v>
      </c>
      <c r="AL2585">
        <v>-97.660689000000005</v>
      </c>
      <c r="AM2585">
        <v>25</v>
      </c>
      <c r="AN2585">
        <v>2100</v>
      </c>
      <c r="AO2585" t="s">
        <v>118</v>
      </c>
      <c r="AP2585">
        <v>93</v>
      </c>
      <c r="AQ2585">
        <v>6</v>
      </c>
      <c r="AR2585">
        <v>0</v>
      </c>
      <c r="AZ2585">
        <v>1200</v>
      </c>
      <c r="BA2585">
        <v>1</v>
      </c>
      <c r="BB2585" t="str">
        <f t="shared" si="773"/>
        <v xml:space="preserve">N733KP  </v>
      </c>
      <c r="BC2585">
        <v>1</v>
      </c>
      <c r="BE2585">
        <v>0</v>
      </c>
      <c r="BF2585">
        <v>0</v>
      </c>
      <c r="BG2585">
        <v>0</v>
      </c>
      <c r="BH2585">
        <v>2125</v>
      </c>
      <c r="BI2585">
        <v>1</v>
      </c>
      <c r="BJ2585">
        <v>1</v>
      </c>
      <c r="BK2585">
        <v>0</v>
      </c>
      <c r="BL2585">
        <v>0</v>
      </c>
      <c r="BO2585">
        <v>0</v>
      </c>
      <c r="BP2585">
        <v>0</v>
      </c>
      <c r="BW2585" t="str">
        <f>"22:20:58.388"</f>
        <v>22:20:58.388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7</v>
      </c>
      <c r="CP2585" t="s">
        <v>119</v>
      </c>
      <c r="CQ2585">
        <v>364</v>
      </c>
      <c r="CR2585">
        <v>0</v>
      </c>
      <c r="CW2585">
        <v>1466483</v>
      </c>
      <c r="CY2585">
        <v>1</v>
      </c>
      <c r="CZ2585">
        <v>0</v>
      </c>
      <c r="DA2585">
        <v>0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3">
      <c r="A2586" t="str">
        <f>"03/24/2022 22:20:58.547"</f>
        <v>03/24/2022 22:20:58.547</v>
      </c>
      <c r="C2586" t="str">
        <f t="shared" si="772"/>
        <v>FFDFD3C0</v>
      </c>
      <c r="D2586" t="s">
        <v>120</v>
      </c>
      <c r="E2586">
        <v>14</v>
      </c>
      <c r="F2586">
        <v>1014</v>
      </c>
      <c r="G2586" t="s">
        <v>121</v>
      </c>
      <c r="J2586" t="s">
        <v>122</v>
      </c>
      <c r="K2586">
        <v>0</v>
      </c>
      <c r="L2586">
        <v>3</v>
      </c>
      <c r="M2586">
        <v>0</v>
      </c>
      <c r="N2586">
        <v>2</v>
      </c>
      <c r="O2586">
        <v>0</v>
      </c>
      <c r="P2586">
        <v>1</v>
      </c>
      <c r="Q2586">
        <v>0</v>
      </c>
      <c r="S2586" t="str">
        <f t="shared" si="774"/>
        <v>22:20:58.000</v>
      </c>
      <c r="T2586" t="str">
        <f t="shared" si="774"/>
        <v>22:20:58.000</v>
      </c>
      <c r="U2586" t="str">
        <f t="shared" si="766"/>
        <v>A9D71F</v>
      </c>
      <c r="V2586">
        <v>0</v>
      </c>
      <c r="W2586">
        <v>0</v>
      </c>
      <c r="X2586">
        <v>2</v>
      </c>
      <c r="Z2586">
        <v>1</v>
      </c>
      <c r="AA2586">
        <v>8</v>
      </c>
      <c r="AB2586">
        <v>3</v>
      </c>
      <c r="AC2586">
        <v>0</v>
      </c>
      <c r="AD2586">
        <v>9</v>
      </c>
      <c r="AE2586">
        <v>0</v>
      </c>
      <c r="AF2586">
        <v>3</v>
      </c>
      <c r="AG2586">
        <v>1</v>
      </c>
      <c r="AH2586">
        <v>0</v>
      </c>
      <c r="AI2586" t="s">
        <v>1321</v>
      </c>
      <c r="AJ2586">
        <v>33.016148000000001</v>
      </c>
      <c r="AK2586" t="s">
        <v>1322</v>
      </c>
      <c r="AL2586">
        <v>-97.660689000000005</v>
      </c>
      <c r="AM2586">
        <v>25</v>
      </c>
      <c r="AN2586">
        <v>2100</v>
      </c>
      <c r="AO2586" t="s">
        <v>118</v>
      </c>
      <c r="AP2586">
        <v>93</v>
      </c>
      <c r="AQ2586">
        <v>6</v>
      </c>
      <c r="AR2586">
        <v>0</v>
      </c>
      <c r="AZ2586">
        <v>1200</v>
      </c>
      <c r="BA2586">
        <v>1</v>
      </c>
      <c r="BB2586" t="str">
        <f t="shared" si="773"/>
        <v xml:space="preserve">N733KP  </v>
      </c>
      <c r="BC2586">
        <v>1</v>
      </c>
      <c r="BE2586">
        <v>0</v>
      </c>
      <c r="BF2586">
        <v>0</v>
      </c>
      <c r="BG2586">
        <v>0</v>
      </c>
      <c r="BH2586">
        <v>2125</v>
      </c>
      <c r="BI2586">
        <v>1</v>
      </c>
      <c r="BJ2586">
        <v>1</v>
      </c>
      <c r="BK2586">
        <v>0</v>
      </c>
      <c r="BL2586">
        <v>0</v>
      </c>
      <c r="BO2586">
        <v>0</v>
      </c>
      <c r="BP2586">
        <v>0</v>
      </c>
      <c r="BW2586" t="str">
        <f>"22:20:58.388"</f>
        <v>22:20:58.388</v>
      </c>
      <c r="CJ2586">
        <v>0</v>
      </c>
      <c r="CK2586">
        <v>2</v>
      </c>
      <c r="CL2586">
        <v>0</v>
      </c>
      <c r="CM2586">
        <v>2</v>
      </c>
      <c r="CN2586">
        <v>0</v>
      </c>
      <c r="CO2586">
        <v>7</v>
      </c>
      <c r="CP2586" t="s">
        <v>119</v>
      </c>
      <c r="CQ2586">
        <v>364</v>
      </c>
      <c r="CR2586">
        <v>0</v>
      </c>
      <c r="CW2586">
        <v>1466483</v>
      </c>
      <c r="CY2586">
        <v>1</v>
      </c>
      <c r="CZ2586">
        <v>0</v>
      </c>
      <c r="DA2586">
        <v>1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3">
      <c r="A2587" t="str">
        <f>"03/24/2022 22:20:58.563"</f>
        <v>03/24/2022 22:20:58.563</v>
      </c>
      <c r="C2587" t="str">
        <f t="shared" si="772"/>
        <v>FFDFD3C0</v>
      </c>
      <c r="D2587" t="s">
        <v>123</v>
      </c>
      <c r="E2587">
        <v>8</v>
      </c>
      <c r="H2587">
        <v>31</v>
      </c>
      <c r="I2587" t="s">
        <v>124</v>
      </c>
      <c r="J2587" t="s">
        <v>125</v>
      </c>
      <c r="K2587">
        <v>0</v>
      </c>
      <c r="L2587">
        <v>3</v>
      </c>
      <c r="M2587">
        <v>0</v>
      </c>
      <c r="N2587">
        <v>2</v>
      </c>
      <c r="O2587">
        <v>0</v>
      </c>
      <c r="P2587">
        <v>1</v>
      </c>
      <c r="Q2587">
        <v>0</v>
      </c>
      <c r="S2587" t="str">
        <f t="shared" si="774"/>
        <v>22:20:58.000</v>
      </c>
      <c r="T2587" t="str">
        <f t="shared" si="774"/>
        <v>22:20:58.000</v>
      </c>
      <c r="U2587" t="str">
        <f t="shared" si="766"/>
        <v>A9D71F</v>
      </c>
      <c r="V2587">
        <v>0</v>
      </c>
      <c r="W2587">
        <v>0</v>
      </c>
      <c r="X2587">
        <v>2</v>
      </c>
      <c r="Z2587">
        <v>1</v>
      </c>
      <c r="AA2587">
        <v>8</v>
      </c>
      <c r="AB2587">
        <v>3</v>
      </c>
      <c r="AC2587">
        <v>0</v>
      </c>
      <c r="AD2587">
        <v>9</v>
      </c>
      <c r="AE2587">
        <v>0</v>
      </c>
      <c r="AF2587">
        <v>3</v>
      </c>
      <c r="AG2587">
        <v>1</v>
      </c>
      <c r="AH2587">
        <v>0</v>
      </c>
      <c r="AI2587" t="s">
        <v>1321</v>
      </c>
      <c r="AJ2587">
        <v>33.016148000000001</v>
      </c>
      <c r="AK2587" t="s">
        <v>1322</v>
      </c>
      <c r="AL2587">
        <v>-97.660689000000005</v>
      </c>
      <c r="AM2587">
        <v>25</v>
      </c>
      <c r="AN2587">
        <v>2100</v>
      </c>
      <c r="AO2587" t="s">
        <v>118</v>
      </c>
      <c r="AP2587">
        <v>93</v>
      </c>
      <c r="AQ2587">
        <v>6</v>
      </c>
      <c r="AR2587">
        <v>0</v>
      </c>
      <c r="AZ2587">
        <v>1200</v>
      </c>
      <c r="BA2587">
        <v>1</v>
      </c>
      <c r="BB2587" t="str">
        <f t="shared" si="773"/>
        <v xml:space="preserve">N733KP  </v>
      </c>
      <c r="BC2587">
        <v>1</v>
      </c>
      <c r="BE2587">
        <v>0</v>
      </c>
      <c r="BF2587">
        <v>0</v>
      </c>
      <c r="BG2587">
        <v>0</v>
      </c>
      <c r="BH2587">
        <v>2125</v>
      </c>
      <c r="BI2587">
        <v>1</v>
      </c>
      <c r="BJ2587">
        <v>1</v>
      </c>
      <c r="BK2587">
        <v>0</v>
      </c>
      <c r="BL2587">
        <v>0</v>
      </c>
      <c r="BO2587">
        <v>0</v>
      </c>
      <c r="BP2587">
        <v>0</v>
      </c>
      <c r="BW2587" t="str">
        <f>"22:20:58.388"</f>
        <v>22:20:58.388</v>
      </c>
      <c r="CJ2587">
        <v>0</v>
      </c>
      <c r="CK2587">
        <v>2</v>
      </c>
      <c r="CL2587">
        <v>0</v>
      </c>
      <c r="CM2587">
        <v>2</v>
      </c>
      <c r="CN2587">
        <v>0</v>
      </c>
      <c r="CO2587">
        <v>7</v>
      </c>
      <c r="CP2587" t="s">
        <v>119</v>
      </c>
      <c r="CQ2587">
        <v>364</v>
      </c>
      <c r="CR2587">
        <v>0</v>
      </c>
      <c r="CW2587">
        <v>1466483</v>
      </c>
      <c r="CY2587">
        <v>1</v>
      </c>
      <c r="CZ2587">
        <v>0</v>
      </c>
      <c r="DA2587">
        <v>1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3">
      <c r="A2588" t="str">
        <f>"03/24/2022 22:20:58.579"</f>
        <v>03/24/2022 22:20:58.579</v>
      </c>
      <c r="C2588" t="str">
        <f t="shared" si="772"/>
        <v>FFDFD3C0</v>
      </c>
      <c r="D2588" t="s">
        <v>126</v>
      </c>
      <c r="E2588">
        <v>3</v>
      </c>
      <c r="H2588">
        <v>160</v>
      </c>
      <c r="I2588" t="s">
        <v>121</v>
      </c>
      <c r="J2588" t="s">
        <v>127</v>
      </c>
      <c r="K2588">
        <v>0</v>
      </c>
      <c r="L2588">
        <v>3</v>
      </c>
      <c r="M2588">
        <v>0</v>
      </c>
      <c r="N2588">
        <v>2</v>
      </c>
      <c r="O2588">
        <v>0</v>
      </c>
      <c r="P2588">
        <v>1</v>
      </c>
      <c r="Q2588">
        <v>0</v>
      </c>
      <c r="S2588" t="str">
        <f t="shared" si="774"/>
        <v>22:20:58.000</v>
      </c>
      <c r="T2588" t="str">
        <f t="shared" si="774"/>
        <v>22:20:58.000</v>
      </c>
      <c r="U2588" t="str">
        <f t="shared" si="766"/>
        <v>A9D71F</v>
      </c>
      <c r="V2588">
        <v>0</v>
      </c>
      <c r="W2588">
        <v>0</v>
      </c>
      <c r="X2588">
        <v>2</v>
      </c>
      <c r="Z2588">
        <v>1</v>
      </c>
      <c r="AA2588">
        <v>8</v>
      </c>
      <c r="AB2588">
        <v>3</v>
      </c>
      <c r="AC2588">
        <v>0</v>
      </c>
      <c r="AD2588">
        <v>9</v>
      </c>
      <c r="AE2588">
        <v>0</v>
      </c>
      <c r="AF2588">
        <v>3</v>
      </c>
      <c r="AG2588">
        <v>1</v>
      </c>
      <c r="AH2588">
        <v>0</v>
      </c>
      <c r="AI2588" t="s">
        <v>1321</v>
      </c>
      <c r="AJ2588">
        <v>33.016148000000001</v>
      </c>
      <c r="AK2588" t="s">
        <v>1322</v>
      </c>
      <c r="AL2588">
        <v>-97.660689000000005</v>
      </c>
      <c r="AM2588">
        <v>25</v>
      </c>
      <c r="AN2588">
        <v>2100</v>
      </c>
      <c r="AO2588" t="s">
        <v>118</v>
      </c>
      <c r="AP2588">
        <v>93</v>
      </c>
      <c r="AQ2588">
        <v>6</v>
      </c>
      <c r="AR2588">
        <v>0</v>
      </c>
      <c r="AZ2588">
        <v>1200</v>
      </c>
      <c r="BA2588">
        <v>1</v>
      </c>
      <c r="BB2588" t="str">
        <f t="shared" si="773"/>
        <v xml:space="preserve">N733KP  </v>
      </c>
      <c r="BC2588">
        <v>1</v>
      </c>
      <c r="BE2588">
        <v>0</v>
      </c>
      <c r="BF2588">
        <v>0</v>
      </c>
      <c r="BG2588">
        <v>0</v>
      </c>
      <c r="BH2588">
        <v>2125</v>
      </c>
      <c r="BI2588">
        <v>1</v>
      </c>
      <c r="BJ2588">
        <v>1</v>
      </c>
      <c r="BK2588">
        <v>0</v>
      </c>
      <c r="BL2588">
        <v>0</v>
      </c>
      <c r="BO2588">
        <v>0</v>
      </c>
      <c r="BP2588">
        <v>0</v>
      </c>
      <c r="BW2588" t="str">
        <f>"22:20:58.388"</f>
        <v>22:20:58.388</v>
      </c>
      <c r="CJ2588">
        <v>0</v>
      </c>
      <c r="CK2588">
        <v>2</v>
      </c>
      <c r="CL2588">
        <v>0</v>
      </c>
      <c r="CM2588">
        <v>2</v>
      </c>
      <c r="CN2588">
        <v>0</v>
      </c>
      <c r="CO2588">
        <v>7</v>
      </c>
      <c r="CP2588" t="s">
        <v>119</v>
      </c>
      <c r="CQ2588">
        <v>364</v>
      </c>
      <c r="CR2588">
        <v>0</v>
      </c>
      <c r="CW2588">
        <v>1466483</v>
      </c>
      <c r="CY2588">
        <v>1</v>
      </c>
      <c r="CZ2588">
        <v>0</v>
      </c>
      <c r="DA2588">
        <v>1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3">
      <c r="A2589" t="str">
        <f>"03/24/2022 22:20:59.761"</f>
        <v>03/24/2022 22:20:59.761</v>
      </c>
      <c r="C2589" t="str">
        <f t="shared" si="772"/>
        <v>FFDFD3C0</v>
      </c>
      <c r="D2589" t="s">
        <v>120</v>
      </c>
      <c r="E2589">
        <v>14</v>
      </c>
      <c r="F2589">
        <v>1014</v>
      </c>
      <c r="G2589" t="s">
        <v>121</v>
      </c>
      <c r="J2589" t="s">
        <v>122</v>
      </c>
      <c r="K2589">
        <v>0</v>
      </c>
      <c r="L2589">
        <v>3</v>
      </c>
      <c r="M2589">
        <v>0</v>
      </c>
      <c r="N2589">
        <v>2</v>
      </c>
      <c r="O2589">
        <v>0</v>
      </c>
      <c r="P2589">
        <v>1</v>
      </c>
      <c r="Q2589">
        <v>0</v>
      </c>
      <c r="S2589" t="str">
        <f t="shared" ref="S2589:T2592" si="775">"22:20:59.000"</f>
        <v>22:20:59.000</v>
      </c>
      <c r="T2589" t="str">
        <f t="shared" si="775"/>
        <v>22:20:59.000</v>
      </c>
      <c r="U2589" t="str">
        <f t="shared" si="766"/>
        <v>A9D71F</v>
      </c>
      <c r="V2589">
        <v>0</v>
      </c>
      <c r="W2589">
        <v>0</v>
      </c>
      <c r="X2589">
        <v>2</v>
      </c>
      <c r="Z2589">
        <v>1</v>
      </c>
      <c r="AA2589">
        <v>8</v>
      </c>
      <c r="AB2589">
        <v>3</v>
      </c>
      <c r="AC2589">
        <v>0</v>
      </c>
      <c r="AD2589">
        <v>9</v>
      </c>
      <c r="AE2589">
        <v>0</v>
      </c>
      <c r="AF2589">
        <v>3</v>
      </c>
      <c r="AG2589">
        <v>1</v>
      </c>
      <c r="AH2589">
        <v>0</v>
      </c>
      <c r="AI2589" t="s">
        <v>1323</v>
      </c>
      <c r="AJ2589">
        <v>33.016190999999999</v>
      </c>
      <c r="AK2589" t="s">
        <v>1324</v>
      </c>
      <c r="AL2589">
        <v>-97.660173999999998</v>
      </c>
      <c r="AM2589">
        <v>25</v>
      </c>
      <c r="AN2589">
        <v>2100</v>
      </c>
      <c r="AO2589" t="s">
        <v>118</v>
      </c>
      <c r="AP2589">
        <v>95</v>
      </c>
      <c r="AQ2589">
        <v>-1</v>
      </c>
      <c r="AR2589">
        <v>-64</v>
      </c>
      <c r="AZ2589">
        <v>1200</v>
      </c>
      <c r="BA2589">
        <v>1</v>
      </c>
      <c r="BB2589" t="str">
        <f t="shared" si="773"/>
        <v xml:space="preserve">N733KP  </v>
      </c>
      <c r="BC2589">
        <v>1</v>
      </c>
      <c r="BE2589">
        <v>0</v>
      </c>
      <c r="BF2589">
        <v>0</v>
      </c>
      <c r="BG2589">
        <v>0</v>
      </c>
      <c r="BH2589">
        <v>2125</v>
      </c>
      <c r="BI2589">
        <v>1</v>
      </c>
      <c r="BJ2589">
        <v>1</v>
      </c>
      <c r="BK2589">
        <v>0</v>
      </c>
      <c r="BL2589">
        <v>0</v>
      </c>
      <c r="BO2589">
        <v>0</v>
      </c>
      <c r="BP2589">
        <v>0</v>
      </c>
      <c r="BW2589" t="str">
        <f>"22:20:59.453"</f>
        <v>22:20:59.453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7</v>
      </c>
      <c r="CP2589" t="s">
        <v>119</v>
      </c>
      <c r="CQ2589">
        <v>364</v>
      </c>
      <c r="CR2589">
        <v>0</v>
      </c>
      <c r="CW2589">
        <v>1466633</v>
      </c>
      <c r="CY2589">
        <v>1</v>
      </c>
      <c r="CZ2589">
        <v>0</v>
      </c>
      <c r="DA2589">
        <v>0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3">
      <c r="A2590" t="str">
        <f>"03/24/2022 22:20:59.761"</f>
        <v>03/24/2022 22:20:59.761</v>
      </c>
      <c r="C2590" t="str">
        <f t="shared" si="772"/>
        <v>FFDFD3C0</v>
      </c>
      <c r="D2590" t="s">
        <v>123</v>
      </c>
      <c r="E2590">
        <v>8</v>
      </c>
      <c r="H2590">
        <v>31</v>
      </c>
      <c r="I2590" t="s">
        <v>124</v>
      </c>
      <c r="J2590" t="s">
        <v>125</v>
      </c>
      <c r="K2590">
        <v>0</v>
      </c>
      <c r="L2590">
        <v>3</v>
      </c>
      <c r="M2590">
        <v>0</v>
      </c>
      <c r="N2590">
        <v>2</v>
      </c>
      <c r="O2590">
        <v>0</v>
      </c>
      <c r="P2590">
        <v>1</v>
      </c>
      <c r="Q2590">
        <v>0</v>
      </c>
      <c r="S2590" t="str">
        <f t="shared" si="775"/>
        <v>22:20:59.000</v>
      </c>
      <c r="T2590" t="str">
        <f t="shared" si="775"/>
        <v>22:20:59.000</v>
      </c>
      <c r="U2590" t="str">
        <f t="shared" si="766"/>
        <v>A9D71F</v>
      </c>
      <c r="V2590">
        <v>0</v>
      </c>
      <c r="W2590">
        <v>0</v>
      </c>
      <c r="X2590">
        <v>2</v>
      </c>
      <c r="Z2590">
        <v>1</v>
      </c>
      <c r="AA2590">
        <v>8</v>
      </c>
      <c r="AB2590">
        <v>3</v>
      </c>
      <c r="AC2590">
        <v>0</v>
      </c>
      <c r="AD2590">
        <v>9</v>
      </c>
      <c r="AE2590">
        <v>0</v>
      </c>
      <c r="AF2590">
        <v>3</v>
      </c>
      <c r="AG2590">
        <v>1</v>
      </c>
      <c r="AH2590">
        <v>0</v>
      </c>
      <c r="AI2590" t="s">
        <v>1323</v>
      </c>
      <c r="AJ2590">
        <v>33.016190999999999</v>
      </c>
      <c r="AK2590" t="s">
        <v>1324</v>
      </c>
      <c r="AL2590">
        <v>-97.660173999999998</v>
      </c>
      <c r="AM2590">
        <v>25</v>
      </c>
      <c r="AN2590">
        <v>2100</v>
      </c>
      <c r="AO2590" t="s">
        <v>118</v>
      </c>
      <c r="AP2590">
        <v>95</v>
      </c>
      <c r="AQ2590">
        <v>-1</v>
      </c>
      <c r="AR2590">
        <v>-64</v>
      </c>
      <c r="AZ2590">
        <v>1200</v>
      </c>
      <c r="BA2590">
        <v>1</v>
      </c>
      <c r="BB2590" t="str">
        <f t="shared" si="773"/>
        <v xml:space="preserve">N733KP  </v>
      </c>
      <c r="BC2590">
        <v>1</v>
      </c>
      <c r="BE2590">
        <v>0</v>
      </c>
      <c r="BF2590">
        <v>0</v>
      </c>
      <c r="BG2590">
        <v>0</v>
      </c>
      <c r="BH2590">
        <v>2125</v>
      </c>
      <c r="BI2590">
        <v>1</v>
      </c>
      <c r="BJ2590">
        <v>1</v>
      </c>
      <c r="BK2590">
        <v>0</v>
      </c>
      <c r="BL2590">
        <v>0</v>
      </c>
      <c r="BO2590">
        <v>0</v>
      </c>
      <c r="BP2590">
        <v>0</v>
      </c>
      <c r="BW2590" t="str">
        <f>"22:20:59.453"</f>
        <v>22:20:59.453</v>
      </c>
      <c r="CJ2590">
        <v>0</v>
      </c>
      <c r="CK2590">
        <v>2</v>
      </c>
      <c r="CL2590">
        <v>0</v>
      </c>
      <c r="CM2590">
        <v>2</v>
      </c>
      <c r="CN2590">
        <v>0</v>
      </c>
      <c r="CO2590">
        <v>7</v>
      </c>
      <c r="CP2590" t="s">
        <v>119</v>
      </c>
      <c r="CQ2590">
        <v>364</v>
      </c>
      <c r="CR2590">
        <v>0</v>
      </c>
      <c r="CW2590">
        <v>1466633</v>
      </c>
      <c r="CY2590">
        <v>1</v>
      </c>
      <c r="CZ2590">
        <v>0</v>
      </c>
      <c r="DA2590">
        <v>1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3">
      <c r="A2591" t="str">
        <f>"03/24/2022 22:20:59.761"</f>
        <v>03/24/2022 22:20:59.761</v>
      </c>
      <c r="C2591" t="str">
        <f t="shared" si="772"/>
        <v>FFDFD3C0</v>
      </c>
      <c r="D2591" t="s">
        <v>126</v>
      </c>
      <c r="E2591">
        <v>3</v>
      </c>
      <c r="H2591">
        <v>160</v>
      </c>
      <c r="I2591" t="s">
        <v>121</v>
      </c>
      <c r="J2591" t="s">
        <v>127</v>
      </c>
      <c r="K2591">
        <v>0</v>
      </c>
      <c r="L2591">
        <v>3</v>
      </c>
      <c r="M2591">
        <v>0</v>
      </c>
      <c r="N2591">
        <v>2</v>
      </c>
      <c r="O2591">
        <v>0</v>
      </c>
      <c r="P2591">
        <v>1</v>
      </c>
      <c r="Q2591">
        <v>0</v>
      </c>
      <c r="S2591" t="str">
        <f t="shared" si="775"/>
        <v>22:20:59.000</v>
      </c>
      <c r="T2591" t="str">
        <f t="shared" si="775"/>
        <v>22:20:59.000</v>
      </c>
      <c r="U2591" t="str">
        <f t="shared" si="766"/>
        <v>A9D71F</v>
      </c>
      <c r="V2591">
        <v>0</v>
      </c>
      <c r="W2591">
        <v>0</v>
      </c>
      <c r="X2591">
        <v>2</v>
      </c>
      <c r="Z2591">
        <v>1</v>
      </c>
      <c r="AA2591">
        <v>8</v>
      </c>
      <c r="AB2591">
        <v>3</v>
      </c>
      <c r="AC2591">
        <v>0</v>
      </c>
      <c r="AD2591">
        <v>9</v>
      </c>
      <c r="AE2591">
        <v>0</v>
      </c>
      <c r="AF2591">
        <v>3</v>
      </c>
      <c r="AG2591">
        <v>1</v>
      </c>
      <c r="AH2591">
        <v>0</v>
      </c>
      <c r="AI2591" t="s">
        <v>1323</v>
      </c>
      <c r="AJ2591">
        <v>33.016190999999999</v>
      </c>
      <c r="AK2591" t="s">
        <v>1324</v>
      </c>
      <c r="AL2591">
        <v>-97.660173999999998</v>
      </c>
      <c r="AM2591">
        <v>25</v>
      </c>
      <c r="AN2591">
        <v>2100</v>
      </c>
      <c r="AO2591" t="s">
        <v>118</v>
      </c>
      <c r="AP2591">
        <v>95</v>
      </c>
      <c r="AQ2591">
        <v>-1</v>
      </c>
      <c r="AR2591">
        <v>-64</v>
      </c>
      <c r="AZ2591">
        <v>1200</v>
      </c>
      <c r="BA2591">
        <v>1</v>
      </c>
      <c r="BB2591" t="str">
        <f t="shared" si="773"/>
        <v xml:space="preserve">N733KP  </v>
      </c>
      <c r="BC2591">
        <v>1</v>
      </c>
      <c r="BE2591">
        <v>0</v>
      </c>
      <c r="BF2591">
        <v>0</v>
      </c>
      <c r="BG2591">
        <v>0</v>
      </c>
      <c r="BH2591">
        <v>2125</v>
      </c>
      <c r="BI2591">
        <v>1</v>
      </c>
      <c r="BJ2591">
        <v>1</v>
      </c>
      <c r="BK2591">
        <v>0</v>
      </c>
      <c r="BL2591">
        <v>0</v>
      </c>
      <c r="BO2591">
        <v>0</v>
      </c>
      <c r="BP2591">
        <v>0</v>
      </c>
      <c r="BW2591" t="str">
        <f>"22:20:59.453"</f>
        <v>22:20:59.453</v>
      </c>
      <c r="CJ2591">
        <v>0</v>
      </c>
      <c r="CK2591">
        <v>2</v>
      </c>
      <c r="CL2591">
        <v>0</v>
      </c>
      <c r="CM2591">
        <v>2</v>
      </c>
      <c r="CN2591">
        <v>0</v>
      </c>
      <c r="CO2591">
        <v>7</v>
      </c>
      <c r="CP2591" t="s">
        <v>119</v>
      </c>
      <c r="CQ2591">
        <v>364</v>
      </c>
      <c r="CR2591">
        <v>0</v>
      </c>
      <c r="CW2591">
        <v>1466633</v>
      </c>
      <c r="CY2591">
        <v>1</v>
      </c>
      <c r="CZ2591">
        <v>0</v>
      </c>
      <c r="DA2591">
        <v>1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3">
      <c r="A2592" t="str">
        <f>"03/24/2022 22:20:59.761"</f>
        <v>03/24/2022 22:20:59.761</v>
      </c>
      <c r="C2592" t="str">
        <f t="shared" si="772"/>
        <v>FFDFD3C0</v>
      </c>
      <c r="D2592" t="s">
        <v>113</v>
      </c>
      <c r="E2592">
        <v>24</v>
      </c>
      <c r="F2592">
        <v>2024</v>
      </c>
      <c r="G2592" t="s">
        <v>114</v>
      </c>
      <c r="J2592" t="s">
        <v>115</v>
      </c>
      <c r="K2592">
        <v>0</v>
      </c>
      <c r="L2592">
        <v>3</v>
      </c>
      <c r="M2592">
        <v>0</v>
      </c>
      <c r="N2592">
        <v>2</v>
      </c>
      <c r="O2592">
        <v>0</v>
      </c>
      <c r="P2592">
        <v>1</v>
      </c>
      <c r="Q2592">
        <v>0</v>
      </c>
      <c r="S2592" t="str">
        <f t="shared" si="775"/>
        <v>22:20:59.000</v>
      </c>
      <c r="T2592" t="str">
        <f t="shared" si="775"/>
        <v>22:20:59.000</v>
      </c>
      <c r="U2592" t="str">
        <f t="shared" si="766"/>
        <v>A9D71F</v>
      </c>
      <c r="V2592">
        <v>0</v>
      </c>
      <c r="W2592">
        <v>0</v>
      </c>
      <c r="X2592">
        <v>2</v>
      </c>
      <c r="Z2592">
        <v>1</v>
      </c>
      <c r="AA2592">
        <v>8</v>
      </c>
      <c r="AB2592">
        <v>3</v>
      </c>
      <c r="AC2592">
        <v>0</v>
      </c>
      <c r="AD2592">
        <v>9</v>
      </c>
      <c r="AE2592">
        <v>0</v>
      </c>
      <c r="AF2592">
        <v>3</v>
      </c>
      <c r="AG2592">
        <v>1</v>
      </c>
      <c r="AH2592">
        <v>0</v>
      </c>
      <c r="AI2592" t="s">
        <v>1323</v>
      </c>
      <c r="AJ2592">
        <v>33.016190999999999</v>
      </c>
      <c r="AK2592" t="s">
        <v>1324</v>
      </c>
      <c r="AL2592">
        <v>-97.660173999999998</v>
      </c>
      <c r="AM2592">
        <v>25</v>
      </c>
      <c r="AN2592">
        <v>2100</v>
      </c>
      <c r="AO2592" t="s">
        <v>118</v>
      </c>
      <c r="AP2592">
        <v>95</v>
      </c>
      <c r="AQ2592">
        <v>-1</v>
      </c>
      <c r="AR2592">
        <v>-64</v>
      </c>
      <c r="AZ2592">
        <v>1200</v>
      </c>
      <c r="BA2592">
        <v>1</v>
      </c>
      <c r="BB2592" t="str">
        <f t="shared" si="773"/>
        <v xml:space="preserve">N733KP  </v>
      </c>
      <c r="BC2592">
        <v>1</v>
      </c>
      <c r="BE2592">
        <v>0</v>
      </c>
      <c r="BF2592">
        <v>0</v>
      </c>
      <c r="BG2592">
        <v>0</v>
      </c>
      <c r="BH2592">
        <v>2125</v>
      </c>
      <c r="BI2592">
        <v>1</v>
      </c>
      <c r="BJ2592">
        <v>1</v>
      </c>
      <c r="BK2592">
        <v>0</v>
      </c>
      <c r="BL2592">
        <v>0</v>
      </c>
      <c r="BO2592">
        <v>0</v>
      </c>
      <c r="BP2592">
        <v>0</v>
      </c>
      <c r="BW2592" t="str">
        <f>"22:20:59.453"</f>
        <v>22:20:59.453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7</v>
      </c>
      <c r="CP2592" t="s">
        <v>119</v>
      </c>
      <c r="CQ2592">
        <v>364</v>
      </c>
      <c r="CR2592">
        <v>0</v>
      </c>
      <c r="CW2592">
        <v>1466633</v>
      </c>
      <c r="CY2592">
        <v>1</v>
      </c>
      <c r="CZ2592">
        <v>0</v>
      </c>
      <c r="DA2592">
        <v>1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3">
      <c r="A2593" t="str">
        <f>"03/24/2022 22:21:00.949"</f>
        <v>03/24/2022 22:21:00.949</v>
      </c>
      <c r="C2593" t="str">
        <f t="shared" si="772"/>
        <v>FFDFD3C0</v>
      </c>
      <c r="D2593" t="s">
        <v>120</v>
      </c>
      <c r="E2593">
        <v>14</v>
      </c>
      <c r="F2593">
        <v>1014</v>
      </c>
      <c r="G2593" t="s">
        <v>121</v>
      </c>
      <c r="J2593" t="s">
        <v>122</v>
      </c>
      <c r="K2593">
        <v>0</v>
      </c>
      <c r="L2593">
        <v>3</v>
      </c>
      <c r="M2593">
        <v>0</v>
      </c>
      <c r="N2593">
        <v>2</v>
      </c>
      <c r="O2593">
        <v>0</v>
      </c>
      <c r="P2593">
        <v>1</v>
      </c>
      <c r="Q2593">
        <v>0</v>
      </c>
      <c r="S2593" t="str">
        <f t="shared" ref="S2593:T2596" si="776">"22:21:00.000"</f>
        <v>22:21:00.000</v>
      </c>
      <c r="T2593" t="str">
        <f t="shared" si="776"/>
        <v>22:21:00.000</v>
      </c>
      <c r="U2593" t="str">
        <f t="shared" si="766"/>
        <v>A9D71F</v>
      </c>
      <c r="V2593">
        <v>0</v>
      </c>
      <c r="W2593">
        <v>0</v>
      </c>
      <c r="X2593">
        <v>2</v>
      </c>
      <c r="Z2593">
        <v>1</v>
      </c>
      <c r="AA2593">
        <v>8</v>
      </c>
      <c r="AB2593">
        <v>3</v>
      </c>
      <c r="AC2593">
        <v>0</v>
      </c>
      <c r="AD2593">
        <v>9</v>
      </c>
      <c r="AE2593">
        <v>0</v>
      </c>
      <c r="AF2593">
        <v>3</v>
      </c>
      <c r="AG2593">
        <v>1</v>
      </c>
      <c r="AH2593">
        <v>0</v>
      </c>
      <c r="AI2593" t="s">
        <v>1323</v>
      </c>
      <c r="AJ2593">
        <v>33.016190999999999</v>
      </c>
      <c r="AK2593" t="s">
        <v>1325</v>
      </c>
      <c r="AL2593">
        <v>-97.659659000000005</v>
      </c>
      <c r="AM2593">
        <v>25</v>
      </c>
      <c r="AN2593">
        <v>2100</v>
      </c>
      <c r="AO2593" t="s">
        <v>118</v>
      </c>
      <c r="AP2593">
        <v>94</v>
      </c>
      <c r="AQ2593">
        <v>-12</v>
      </c>
      <c r="AR2593">
        <v>-64</v>
      </c>
      <c r="AZ2593">
        <v>1200</v>
      </c>
      <c r="BA2593">
        <v>1</v>
      </c>
      <c r="BB2593" t="str">
        <f t="shared" si="773"/>
        <v xml:space="preserve">N733KP  </v>
      </c>
      <c r="BC2593">
        <v>1</v>
      </c>
      <c r="BE2593">
        <v>0</v>
      </c>
      <c r="BF2593">
        <v>0</v>
      </c>
      <c r="BG2593">
        <v>0</v>
      </c>
      <c r="BH2593">
        <v>2125</v>
      </c>
      <c r="BI2593">
        <v>1</v>
      </c>
      <c r="BJ2593">
        <v>1</v>
      </c>
      <c r="BK2593">
        <v>0</v>
      </c>
      <c r="BL2593">
        <v>0</v>
      </c>
      <c r="BO2593">
        <v>0</v>
      </c>
      <c r="BP2593">
        <v>0</v>
      </c>
      <c r="BW2593" t="str">
        <f>"22:21:00.719"</f>
        <v>22:21:00.719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7</v>
      </c>
      <c r="CP2593" t="s">
        <v>119</v>
      </c>
      <c r="CQ2593">
        <v>364</v>
      </c>
      <c r="CR2593">
        <v>0</v>
      </c>
      <c r="CW2593">
        <v>1466806</v>
      </c>
      <c r="CY2593">
        <v>1</v>
      </c>
      <c r="CZ2593">
        <v>0</v>
      </c>
      <c r="DA2593">
        <v>0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3">
      <c r="A2594" t="str">
        <f>"03/24/2022 22:21:00.949"</f>
        <v>03/24/2022 22:21:00.949</v>
      </c>
      <c r="C2594" t="str">
        <f t="shared" si="772"/>
        <v>FFDFD3C0</v>
      </c>
      <c r="D2594" t="s">
        <v>123</v>
      </c>
      <c r="E2594">
        <v>8</v>
      </c>
      <c r="H2594">
        <v>31</v>
      </c>
      <c r="I2594" t="s">
        <v>124</v>
      </c>
      <c r="J2594" t="s">
        <v>125</v>
      </c>
      <c r="K2594">
        <v>0</v>
      </c>
      <c r="L2594">
        <v>3</v>
      </c>
      <c r="M2594">
        <v>0</v>
      </c>
      <c r="N2594">
        <v>2</v>
      </c>
      <c r="O2594">
        <v>0</v>
      </c>
      <c r="P2594">
        <v>1</v>
      </c>
      <c r="Q2594">
        <v>0</v>
      </c>
      <c r="S2594" t="str">
        <f t="shared" si="776"/>
        <v>22:21:00.000</v>
      </c>
      <c r="T2594" t="str">
        <f t="shared" si="776"/>
        <v>22:21:00.000</v>
      </c>
      <c r="U2594" t="str">
        <f t="shared" si="766"/>
        <v>A9D71F</v>
      </c>
      <c r="V2594">
        <v>0</v>
      </c>
      <c r="W2594">
        <v>0</v>
      </c>
      <c r="X2594">
        <v>2</v>
      </c>
      <c r="Z2594">
        <v>1</v>
      </c>
      <c r="AA2594">
        <v>8</v>
      </c>
      <c r="AB2594">
        <v>3</v>
      </c>
      <c r="AC2594">
        <v>0</v>
      </c>
      <c r="AD2594">
        <v>9</v>
      </c>
      <c r="AE2594">
        <v>0</v>
      </c>
      <c r="AF2594">
        <v>3</v>
      </c>
      <c r="AG2594">
        <v>1</v>
      </c>
      <c r="AH2594">
        <v>0</v>
      </c>
      <c r="AI2594" t="s">
        <v>1323</v>
      </c>
      <c r="AJ2594">
        <v>33.016190999999999</v>
      </c>
      <c r="AK2594" t="s">
        <v>1325</v>
      </c>
      <c r="AL2594">
        <v>-97.659659000000005</v>
      </c>
      <c r="AM2594">
        <v>25</v>
      </c>
      <c r="AN2594">
        <v>2100</v>
      </c>
      <c r="AO2594" t="s">
        <v>118</v>
      </c>
      <c r="AP2594">
        <v>94</v>
      </c>
      <c r="AQ2594">
        <v>-12</v>
      </c>
      <c r="AR2594">
        <v>-64</v>
      </c>
      <c r="AZ2594">
        <v>1200</v>
      </c>
      <c r="BA2594">
        <v>1</v>
      </c>
      <c r="BB2594" t="str">
        <f t="shared" si="773"/>
        <v xml:space="preserve">N733KP  </v>
      </c>
      <c r="BC2594">
        <v>1</v>
      </c>
      <c r="BE2594">
        <v>0</v>
      </c>
      <c r="BF2594">
        <v>0</v>
      </c>
      <c r="BG2594">
        <v>0</v>
      </c>
      <c r="BH2594">
        <v>2125</v>
      </c>
      <c r="BI2594">
        <v>1</v>
      </c>
      <c r="BJ2594">
        <v>1</v>
      </c>
      <c r="BK2594">
        <v>0</v>
      </c>
      <c r="BL2594">
        <v>0</v>
      </c>
      <c r="BO2594">
        <v>0</v>
      </c>
      <c r="BP2594">
        <v>0</v>
      </c>
      <c r="BW2594" t="str">
        <f>"22:21:00.719"</f>
        <v>22:21:00.719</v>
      </c>
      <c r="CJ2594">
        <v>0</v>
      </c>
      <c r="CK2594">
        <v>2</v>
      </c>
      <c r="CL2594">
        <v>0</v>
      </c>
      <c r="CM2594">
        <v>2</v>
      </c>
      <c r="CN2594">
        <v>0</v>
      </c>
      <c r="CO2594">
        <v>7</v>
      </c>
      <c r="CP2594" t="s">
        <v>119</v>
      </c>
      <c r="CQ2594">
        <v>364</v>
      </c>
      <c r="CR2594">
        <v>0</v>
      </c>
      <c r="CW2594">
        <v>1466806</v>
      </c>
      <c r="CY2594">
        <v>1</v>
      </c>
      <c r="CZ2594">
        <v>0</v>
      </c>
      <c r="DA2594">
        <v>1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3">
      <c r="A2595" t="str">
        <f>"03/24/2022 22:21:00.949"</f>
        <v>03/24/2022 22:21:00.949</v>
      </c>
      <c r="C2595" t="str">
        <f t="shared" si="772"/>
        <v>FFDFD3C0</v>
      </c>
      <c r="D2595" t="s">
        <v>126</v>
      </c>
      <c r="E2595">
        <v>3</v>
      </c>
      <c r="H2595">
        <v>160</v>
      </c>
      <c r="I2595" t="s">
        <v>121</v>
      </c>
      <c r="J2595" t="s">
        <v>127</v>
      </c>
      <c r="K2595">
        <v>0</v>
      </c>
      <c r="L2595">
        <v>3</v>
      </c>
      <c r="M2595">
        <v>0</v>
      </c>
      <c r="N2595">
        <v>2</v>
      </c>
      <c r="O2595">
        <v>0</v>
      </c>
      <c r="P2595">
        <v>1</v>
      </c>
      <c r="Q2595">
        <v>0</v>
      </c>
      <c r="S2595" t="str">
        <f t="shared" si="776"/>
        <v>22:21:00.000</v>
      </c>
      <c r="T2595" t="str">
        <f t="shared" si="776"/>
        <v>22:21:00.000</v>
      </c>
      <c r="U2595" t="str">
        <f t="shared" si="766"/>
        <v>A9D71F</v>
      </c>
      <c r="V2595">
        <v>0</v>
      </c>
      <c r="W2595">
        <v>0</v>
      </c>
      <c r="X2595">
        <v>2</v>
      </c>
      <c r="Z2595">
        <v>1</v>
      </c>
      <c r="AA2595">
        <v>8</v>
      </c>
      <c r="AB2595">
        <v>3</v>
      </c>
      <c r="AC2595">
        <v>0</v>
      </c>
      <c r="AD2595">
        <v>9</v>
      </c>
      <c r="AE2595">
        <v>0</v>
      </c>
      <c r="AF2595">
        <v>3</v>
      </c>
      <c r="AG2595">
        <v>1</v>
      </c>
      <c r="AH2595">
        <v>0</v>
      </c>
      <c r="AI2595" t="s">
        <v>1323</v>
      </c>
      <c r="AJ2595">
        <v>33.016190999999999</v>
      </c>
      <c r="AK2595" t="s">
        <v>1325</v>
      </c>
      <c r="AL2595">
        <v>-97.659659000000005</v>
      </c>
      <c r="AM2595">
        <v>25</v>
      </c>
      <c r="AN2595">
        <v>2100</v>
      </c>
      <c r="AO2595" t="s">
        <v>118</v>
      </c>
      <c r="AP2595">
        <v>94</v>
      </c>
      <c r="AQ2595">
        <v>-12</v>
      </c>
      <c r="AR2595">
        <v>-64</v>
      </c>
      <c r="AZ2595">
        <v>1200</v>
      </c>
      <c r="BA2595">
        <v>1</v>
      </c>
      <c r="BB2595" t="str">
        <f t="shared" si="773"/>
        <v xml:space="preserve">N733KP  </v>
      </c>
      <c r="BC2595">
        <v>1</v>
      </c>
      <c r="BE2595">
        <v>0</v>
      </c>
      <c r="BF2595">
        <v>0</v>
      </c>
      <c r="BG2595">
        <v>0</v>
      </c>
      <c r="BH2595">
        <v>2125</v>
      </c>
      <c r="BI2595">
        <v>1</v>
      </c>
      <c r="BJ2595">
        <v>1</v>
      </c>
      <c r="BK2595">
        <v>0</v>
      </c>
      <c r="BL2595">
        <v>0</v>
      </c>
      <c r="BO2595">
        <v>0</v>
      </c>
      <c r="BP2595">
        <v>0</v>
      </c>
      <c r="BW2595" t="str">
        <f>"22:21:00.719"</f>
        <v>22:21:00.719</v>
      </c>
      <c r="CJ2595">
        <v>0</v>
      </c>
      <c r="CK2595">
        <v>2</v>
      </c>
      <c r="CL2595">
        <v>0</v>
      </c>
      <c r="CM2595">
        <v>2</v>
      </c>
      <c r="CN2595">
        <v>0</v>
      </c>
      <c r="CO2595">
        <v>7</v>
      </c>
      <c r="CP2595" t="s">
        <v>119</v>
      </c>
      <c r="CQ2595">
        <v>364</v>
      </c>
      <c r="CR2595">
        <v>0</v>
      </c>
      <c r="CW2595">
        <v>1466806</v>
      </c>
      <c r="CY2595">
        <v>1</v>
      </c>
      <c r="CZ2595">
        <v>0</v>
      </c>
      <c r="DA2595">
        <v>1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3">
      <c r="A2596" t="str">
        <f>"03/24/2022 22:21:00.949"</f>
        <v>03/24/2022 22:21:00.949</v>
      </c>
      <c r="C2596" t="str">
        <f t="shared" si="772"/>
        <v>FFDFD3C0</v>
      </c>
      <c r="D2596" t="s">
        <v>113</v>
      </c>
      <c r="E2596">
        <v>24</v>
      </c>
      <c r="F2596">
        <v>2024</v>
      </c>
      <c r="G2596" t="s">
        <v>114</v>
      </c>
      <c r="J2596" t="s">
        <v>115</v>
      </c>
      <c r="K2596">
        <v>0</v>
      </c>
      <c r="L2596">
        <v>3</v>
      </c>
      <c r="M2596">
        <v>0</v>
      </c>
      <c r="N2596">
        <v>2</v>
      </c>
      <c r="O2596">
        <v>0</v>
      </c>
      <c r="P2596">
        <v>1</v>
      </c>
      <c r="Q2596">
        <v>0</v>
      </c>
      <c r="S2596" t="str">
        <f t="shared" si="776"/>
        <v>22:21:00.000</v>
      </c>
      <c r="T2596" t="str">
        <f t="shared" si="776"/>
        <v>22:21:00.000</v>
      </c>
      <c r="U2596" t="str">
        <f t="shared" si="766"/>
        <v>A9D71F</v>
      </c>
      <c r="V2596">
        <v>0</v>
      </c>
      <c r="W2596">
        <v>0</v>
      </c>
      <c r="X2596">
        <v>2</v>
      </c>
      <c r="Z2596">
        <v>1</v>
      </c>
      <c r="AA2596">
        <v>8</v>
      </c>
      <c r="AB2596">
        <v>3</v>
      </c>
      <c r="AC2596">
        <v>0</v>
      </c>
      <c r="AD2596">
        <v>9</v>
      </c>
      <c r="AE2596">
        <v>0</v>
      </c>
      <c r="AF2596">
        <v>3</v>
      </c>
      <c r="AG2596">
        <v>1</v>
      </c>
      <c r="AH2596">
        <v>0</v>
      </c>
      <c r="AI2596" t="s">
        <v>1323</v>
      </c>
      <c r="AJ2596">
        <v>33.016190999999999</v>
      </c>
      <c r="AK2596" t="s">
        <v>1325</v>
      </c>
      <c r="AL2596">
        <v>-97.659659000000005</v>
      </c>
      <c r="AM2596">
        <v>25</v>
      </c>
      <c r="AN2596">
        <v>2100</v>
      </c>
      <c r="AO2596" t="s">
        <v>118</v>
      </c>
      <c r="AP2596">
        <v>94</v>
      </c>
      <c r="AQ2596">
        <v>-12</v>
      </c>
      <c r="AR2596">
        <v>-64</v>
      </c>
      <c r="AZ2596">
        <v>1200</v>
      </c>
      <c r="BA2596">
        <v>1</v>
      </c>
      <c r="BB2596" t="str">
        <f t="shared" si="773"/>
        <v xml:space="preserve">N733KP  </v>
      </c>
      <c r="BC2596">
        <v>1</v>
      </c>
      <c r="BE2596">
        <v>0</v>
      </c>
      <c r="BF2596">
        <v>0</v>
      </c>
      <c r="BG2596">
        <v>0</v>
      </c>
      <c r="BH2596">
        <v>2125</v>
      </c>
      <c r="BI2596">
        <v>1</v>
      </c>
      <c r="BJ2596">
        <v>1</v>
      </c>
      <c r="BK2596">
        <v>0</v>
      </c>
      <c r="BL2596">
        <v>0</v>
      </c>
      <c r="BO2596">
        <v>0</v>
      </c>
      <c r="BP2596">
        <v>0</v>
      </c>
      <c r="BW2596" t="str">
        <f>"22:21:00.719"</f>
        <v>22:21:00.719</v>
      </c>
      <c r="CJ2596">
        <v>0</v>
      </c>
      <c r="CK2596">
        <v>2</v>
      </c>
      <c r="CL2596">
        <v>0</v>
      </c>
      <c r="CM2596">
        <v>2</v>
      </c>
      <c r="CN2596">
        <v>0</v>
      </c>
      <c r="CO2596">
        <v>7</v>
      </c>
      <c r="CP2596" t="s">
        <v>119</v>
      </c>
      <c r="CQ2596">
        <v>364</v>
      </c>
      <c r="CR2596">
        <v>0</v>
      </c>
      <c r="CW2596">
        <v>1466806</v>
      </c>
      <c r="CY2596">
        <v>1</v>
      </c>
      <c r="CZ2596">
        <v>0</v>
      </c>
      <c r="DA2596">
        <v>1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3">
      <c r="A2597" t="str">
        <f>"03/24/2022 22:21:02.027"</f>
        <v>03/24/2022 22:21:02.027</v>
      </c>
      <c r="C2597" t="str">
        <f t="shared" si="772"/>
        <v>FFDFD3C0</v>
      </c>
      <c r="D2597" t="s">
        <v>126</v>
      </c>
      <c r="E2597">
        <v>3</v>
      </c>
      <c r="H2597">
        <v>160</v>
      </c>
      <c r="I2597" t="s">
        <v>121</v>
      </c>
      <c r="J2597" t="s">
        <v>127</v>
      </c>
      <c r="K2597">
        <v>0</v>
      </c>
      <c r="L2597">
        <v>3</v>
      </c>
      <c r="M2597">
        <v>0</v>
      </c>
      <c r="N2597">
        <v>2</v>
      </c>
      <c r="O2597">
        <v>0</v>
      </c>
      <c r="P2597">
        <v>1</v>
      </c>
      <c r="Q2597">
        <v>0</v>
      </c>
      <c r="S2597" t="str">
        <f t="shared" ref="S2597:T2600" si="777">"22:21:01.000"</f>
        <v>22:21:01.000</v>
      </c>
      <c r="T2597" t="str">
        <f t="shared" si="777"/>
        <v>22:21:01.000</v>
      </c>
      <c r="U2597" t="str">
        <f t="shared" si="766"/>
        <v>A9D71F</v>
      </c>
      <c r="V2597">
        <v>0</v>
      </c>
      <c r="W2597">
        <v>0</v>
      </c>
      <c r="X2597">
        <v>2</v>
      </c>
      <c r="Z2597">
        <v>1</v>
      </c>
      <c r="AA2597">
        <v>8</v>
      </c>
      <c r="AB2597">
        <v>3</v>
      </c>
      <c r="AC2597">
        <v>0</v>
      </c>
      <c r="AD2597">
        <v>9</v>
      </c>
      <c r="AE2597">
        <v>0</v>
      </c>
      <c r="AF2597">
        <v>3</v>
      </c>
      <c r="AG2597">
        <v>1</v>
      </c>
      <c r="AH2597">
        <v>0</v>
      </c>
      <c r="AI2597" t="s">
        <v>1326</v>
      </c>
      <c r="AJ2597">
        <v>33.016126</v>
      </c>
      <c r="AK2597" t="s">
        <v>1327</v>
      </c>
      <c r="AL2597">
        <v>-97.659122999999994</v>
      </c>
      <c r="AM2597">
        <v>25</v>
      </c>
      <c r="AN2597">
        <v>2100</v>
      </c>
      <c r="AO2597" t="s">
        <v>118</v>
      </c>
      <c r="AP2597">
        <v>96</v>
      </c>
      <c r="AQ2597">
        <v>-22</v>
      </c>
      <c r="AR2597">
        <v>-512</v>
      </c>
      <c r="AZ2597">
        <v>1200</v>
      </c>
      <c r="BA2597">
        <v>1</v>
      </c>
      <c r="BB2597" t="str">
        <f t="shared" si="773"/>
        <v xml:space="preserve">N733KP  </v>
      </c>
      <c r="BC2597">
        <v>1</v>
      </c>
      <c r="BE2597">
        <v>0</v>
      </c>
      <c r="BF2597">
        <v>0</v>
      </c>
      <c r="BG2597">
        <v>0</v>
      </c>
      <c r="BH2597">
        <v>2125</v>
      </c>
      <c r="BI2597">
        <v>1</v>
      </c>
      <c r="BJ2597">
        <v>1</v>
      </c>
      <c r="BK2597">
        <v>0</v>
      </c>
      <c r="BL2597">
        <v>0</v>
      </c>
      <c r="BO2597">
        <v>0</v>
      </c>
      <c r="BP2597">
        <v>0</v>
      </c>
      <c r="BW2597" t="str">
        <f>"22:21:01.796"</f>
        <v>22:21:01.796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7</v>
      </c>
      <c r="CP2597" t="s">
        <v>119</v>
      </c>
      <c r="CQ2597">
        <v>364</v>
      </c>
      <c r="CR2597">
        <v>0</v>
      </c>
      <c r="CW2597">
        <v>1466951</v>
      </c>
      <c r="CY2597">
        <v>1</v>
      </c>
      <c r="CZ2597">
        <v>0</v>
      </c>
      <c r="DA2597">
        <v>0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3">
      <c r="A2598" t="str">
        <f>"03/24/2022 22:21:02.027"</f>
        <v>03/24/2022 22:21:02.027</v>
      </c>
      <c r="C2598" t="str">
        <f t="shared" si="772"/>
        <v>FFDFD3C0</v>
      </c>
      <c r="D2598" t="s">
        <v>113</v>
      </c>
      <c r="E2598">
        <v>24</v>
      </c>
      <c r="F2598">
        <v>2024</v>
      </c>
      <c r="G2598" t="s">
        <v>114</v>
      </c>
      <c r="J2598" t="s">
        <v>115</v>
      </c>
      <c r="K2598">
        <v>0</v>
      </c>
      <c r="L2598">
        <v>3</v>
      </c>
      <c r="M2598">
        <v>0</v>
      </c>
      <c r="N2598">
        <v>2</v>
      </c>
      <c r="O2598">
        <v>0</v>
      </c>
      <c r="P2598">
        <v>1</v>
      </c>
      <c r="Q2598">
        <v>0</v>
      </c>
      <c r="S2598" t="str">
        <f t="shared" si="777"/>
        <v>22:21:01.000</v>
      </c>
      <c r="T2598" t="str">
        <f t="shared" si="777"/>
        <v>22:21:01.000</v>
      </c>
      <c r="U2598" t="str">
        <f t="shared" si="766"/>
        <v>A9D71F</v>
      </c>
      <c r="V2598">
        <v>0</v>
      </c>
      <c r="W2598">
        <v>0</v>
      </c>
      <c r="X2598">
        <v>2</v>
      </c>
      <c r="Z2598">
        <v>1</v>
      </c>
      <c r="AA2598">
        <v>8</v>
      </c>
      <c r="AB2598">
        <v>3</v>
      </c>
      <c r="AC2598">
        <v>0</v>
      </c>
      <c r="AD2598">
        <v>9</v>
      </c>
      <c r="AE2598">
        <v>0</v>
      </c>
      <c r="AF2598">
        <v>3</v>
      </c>
      <c r="AG2598">
        <v>1</v>
      </c>
      <c r="AH2598">
        <v>0</v>
      </c>
      <c r="AI2598" t="s">
        <v>1326</v>
      </c>
      <c r="AJ2598">
        <v>33.016126</v>
      </c>
      <c r="AK2598" t="s">
        <v>1327</v>
      </c>
      <c r="AL2598">
        <v>-97.659122999999994</v>
      </c>
      <c r="AM2598">
        <v>25</v>
      </c>
      <c r="AN2598">
        <v>2100</v>
      </c>
      <c r="AO2598" t="s">
        <v>118</v>
      </c>
      <c r="AP2598">
        <v>96</v>
      </c>
      <c r="AQ2598">
        <v>-22</v>
      </c>
      <c r="AR2598">
        <v>-512</v>
      </c>
      <c r="AZ2598">
        <v>1200</v>
      </c>
      <c r="BA2598">
        <v>1</v>
      </c>
      <c r="BB2598" t="str">
        <f t="shared" si="773"/>
        <v xml:space="preserve">N733KP  </v>
      </c>
      <c r="BC2598">
        <v>1</v>
      </c>
      <c r="BE2598">
        <v>0</v>
      </c>
      <c r="BF2598">
        <v>0</v>
      </c>
      <c r="BG2598">
        <v>0</v>
      </c>
      <c r="BH2598">
        <v>2125</v>
      </c>
      <c r="BI2598">
        <v>1</v>
      </c>
      <c r="BJ2598">
        <v>1</v>
      </c>
      <c r="BK2598">
        <v>0</v>
      </c>
      <c r="BL2598">
        <v>0</v>
      </c>
      <c r="BO2598">
        <v>0</v>
      </c>
      <c r="BP2598">
        <v>0</v>
      </c>
      <c r="BW2598" t="str">
        <f>"22:21:01.796"</f>
        <v>22:21:01.796</v>
      </c>
      <c r="CJ2598">
        <v>0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119</v>
      </c>
      <c r="CQ2598">
        <v>364</v>
      </c>
      <c r="CR2598">
        <v>0</v>
      </c>
      <c r="CW2598">
        <v>1466951</v>
      </c>
      <c r="CY2598">
        <v>1</v>
      </c>
      <c r="CZ2598">
        <v>0</v>
      </c>
      <c r="DA2598">
        <v>1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3">
      <c r="A2599" t="str">
        <f>"03/24/2022 22:21:02.105"</f>
        <v>03/24/2022 22:21:02.105</v>
      </c>
      <c r="C2599" t="str">
        <f t="shared" si="772"/>
        <v>FFDFD3C0</v>
      </c>
      <c r="D2599" t="s">
        <v>120</v>
      </c>
      <c r="E2599">
        <v>14</v>
      </c>
      <c r="F2599">
        <v>1014</v>
      </c>
      <c r="G2599" t="s">
        <v>121</v>
      </c>
      <c r="J2599" t="s">
        <v>122</v>
      </c>
      <c r="K2599">
        <v>0</v>
      </c>
      <c r="L2599">
        <v>3</v>
      </c>
      <c r="M2599">
        <v>0</v>
      </c>
      <c r="N2599">
        <v>2</v>
      </c>
      <c r="O2599">
        <v>0</v>
      </c>
      <c r="P2599">
        <v>1</v>
      </c>
      <c r="Q2599">
        <v>0</v>
      </c>
      <c r="S2599" t="str">
        <f t="shared" si="777"/>
        <v>22:21:01.000</v>
      </c>
      <c r="T2599" t="str">
        <f t="shared" si="777"/>
        <v>22:21:01.000</v>
      </c>
      <c r="U2599" t="str">
        <f t="shared" si="766"/>
        <v>A9D71F</v>
      </c>
      <c r="V2599">
        <v>0</v>
      </c>
      <c r="W2599">
        <v>0</v>
      </c>
      <c r="X2599">
        <v>2</v>
      </c>
      <c r="Z2599">
        <v>1</v>
      </c>
      <c r="AA2599">
        <v>8</v>
      </c>
      <c r="AB2599">
        <v>3</v>
      </c>
      <c r="AC2599">
        <v>0</v>
      </c>
      <c r="AD2599">
        <v>9</v>
      </c>
      <c r="AE2599">
        <v>0</v>
      </c>
      <c r="AF2599">
        <v>3</v>
      </c>
      <c r="AG2599">
        <v>1</v>
      </c>
      <c r="AH2599">
        <v>0</v>
      </c>
      <c r="AI2599" t="s">
        <v>1326</v>
      </c>
      <c r="AJ2599">
        <v>33.016126</v>
      </c>
      <c r="AK2599" t="s">
        <v>1327</v>
      </c>
      <c r="AL2599">
        <v>-97.659122999999994</v>
      </c>
      <c r="AM2599">
        <v>25</v>
      </c>
      <c r="AN2599">
        <v>2100</v>
      </c>
      <c r="AO2599" t="s">
        <v>118</v>
      </c>
      <c r="AP2599">
        <v>96</v>
      </c>
      <c r="AQ2599">
        <v>-22</v>
      </c>
      <c r="AR2599">
        <v>-512</v>
      </c>
      <c r="AZ2599">
        <v>1200</v>
      </c>
      <c r="BA2599">
        <v>1</v>
      </c>
      <c r="BB2599" t="str">
        <f t="shared" si="773"/>
        <v xml:space="preserve">N733KP  </v>
      </c>
      <c r="BC2599">
        <v>1</v>
      </c>
      <c r="BE2599">
        <v>0</v>
      </c>
      <c r="BF2599">
        <v>0</v>
      </c>
      <c r="BG2599">
        <v>0</v>
      </c>
      <c r="BH2599">
        <v>2125</v>
      </c>
      <c r="BI2599">
        <v>1</v>
      </c>
      <c r="BJ2599">
        <v>1</v>
      </c>
      <c r="BK2599">
        <v>0</v>
      </c>
      <c r="BL2599">
        <v>0</v>
      </c>
      <c r="BO2599">
        <v>0</v>
      </c>
      <c r="BP2599">
        <v>0</v>
      </c>
      <c r="BW2599" t="str">
        <f>"22:21:01.796"</f>
        <v>22:21:01.796</v>
      </c>
      <c r="CJ2599">
        <v>0</v>
      </c>
      <c r="CK2599">
        <v>2</v>
      </c>
      <c r="CL2599">
        <v>0</v>
      </c>
      <c r="CM2599">
        <v>2</v>
      </c>
      <c r="CN2599">
        <v>0</v>
      </c>
      <c r="CO2599">
        <v>7</v>
      </c>
      <c r="CP2599" t="s">
        <v>119</v>
      </c>
      <c r="CQ2599">
        <v>364</v>
      </c>
      <c r="CR2599">
        <v>0</v>
      </c>
      <c r="CW2599">
        <v>1466951</v>
      </c>
      <c r="CY2599">
        <v>1</v>
      </c>
      <c r="CZ2599">
        <v>0</v>
      </c>
      <c r="DA2599">
        <v>0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3">
      <c r="A2600" t="str">
        <f>"03/24/2022 22:21:02.105"</f>
        <v>03/24/2022 22:21:02.105</v>
      </c>
      <c r="C2600" t="str">
        <f t="shared" si="772"/>
        <v>FFDFD3C0</v>
      </c>
      <c r="D2600" t="s">
        <v>123</v>
      </c>
      <c r="E2600">
        <v>8</v>
      </c>
      <c r="H2600">
        <v>31</v>
      </c>
      <c r="I2600" t="s">
        <v>124</v>
      </c>
      <c r="J2600" t="s">
        <v>125</v>
      </c>
      <c r="K2600">
        <v>0</v>
      </c>
      <c r="L2600">
        <v>3</v>
      </c>
      <c r="M2600">
        <v>0</v>
      </c>
      <c r="N2600">
        <v>2</v>
      </c>
      <c r="O2600">
        <v>0</v>
      </c>
      <c r="P2600">
        <v>1</v>
      </c>
      <c r="Q2600">
        <v>0</v>
      </c>
      <c r="S2600" t="str">
        <f t="shared" si="777"/>
        <v>22:21:01.000</v>
      </c>
      <c r="T2600" t="str">
        <f t="shared" si="777"/>
        <v>22:21:01.000</v>
      </c>
      <c r="U2600" t="str">
        <f t="shared" si="766"/>
        <v>A9D71F</v>
      </c>
      <c r="V2600">
        <v>0</v>
      </c>
      <c r="W2600">
        <v>0</v>
      </c>
      <c r="X2600">
        <v>2</v>
      </c>
      <c r="Z2600">
        <v>1</v>
      </c>
      <c r="AA2600">
        <v>8</v>
      </c>
      <c r="AB2600">
        <v>3</v>
      </c>
      <c r="AC2600">
        <v>0</v>
      </c>
      <c r="AD2600">
        <v>9</v>
      </c>
      <c r="AE2600">
        <v>0</v>
      </c>
      <c r="AF2600">
        <v>3</v>
      </c>
      <c r="AG2600">
        <v>1</v>
      </c>
      <c r="AH2600">
        <v>0</v>
      </c>
      <c r="AI2600" t="s">
        <v>1326</v>
      </c>
      <c r="AJ2600">
        <v>33.016126</v>
      </c>
      <c r="AK2600" t="s">
        <v>1327</v>
      </c>
      <c r="AL2600">
        <v>-97.659122999999994</v>
      </c>
      <c r="AM2600">
        <v>25</v>
      </c>
      <c r="AN2600">
        <v>2100</v>
      </c>
      <c r="AO2600" t="s">
        <v>118</v>
      </c>
      <c r="AP2600">
        <v>96</v>
      </c>
      <c r="AQ2600">
        <v>-22</v>
      </c>
      <c r="AR2600">
        <v>-512</v>
      </c>
      <c r="AZ2600">
        <v>1200</v>
      </c>
      <c r="BA2600">
        <v>1</v>
      </c>
      <c r="BB2600" t="str">
        <f t="shared" si="773"/>
        <v xml:space="preserve">N733KP  </v>
      </c>
      <c r="BC2600">
        <v>1</v>
      </c>
      <c r="BE2600">
        <v>0</v>
      </c>
      <c r="BF2600">
        <v>0</v>
      </c>
      <c r="BG2600">
        <v>0</v>
      </c>
      <c r="BH2600">
        <v>2125</v>
      </c>
      <c r="BI2600">
        <v>1</v>
      </c>
      <c r="BJ2600">
        <v>1</v>
      </c>
      <c r="BK2600">
        <v>0</v>
      </c>
      <c r="BL2600">
        <v>0</v>
      </c>
      <c r="BO2600">
        <v>0</v>
      </c>
      <c r="BP2600">
        <v>0</v>
      </c>
      <c r="BW2600" t="str">
        <f>"22:21:01.796"</f>
        <v>22:21:01.796</v>
      </c>
      <c r="CJ2600">
        <v>0</v>
      </c>
      <c r="CK2600">
        <v>2</v>
      </c>
      <c r="CL2600">
        <v>0</v>
      </c>
      <c r="CM2600">
        <v>2</v>
      </c>
      <c r="CN2600">
        <v>0</v>
      </c>
      <c r="CO2600">
        <v>7</v>
      </c>
      <c r="CP2600" t="s">
        <v>119</v>
      </c>
      <c r="CQ2600">
        <v>364</v>
      </c>
      <c r="CR2600">
        <v>0</v>
      </c>
      <c r="CW2600">
        <v>1466951</v>
      </c>
      <c r="CY2600">
        <v>1</v>
      </c>
      <c r="CZ2600">
        <v>0</v>
      </c>
      <c r="DA2600">
        <v>1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3">
      <c r="A2601" t="str">
        <f>"03/24/2022 22:21:02.715"</f>
        <v>03/24/2022 22:21:02.715</v>
      </c>
      <c r="C2601" t="str">
        <f t="shared" si="772"/>
        <v>FFDFD3C0</v>
      </c>
      <c r="D2601" t="s">
        <v>126</v>
      </c>
      <c r="E2601">
        <v>3</v>
      </c>
      <c r="H2601">
        <v>160</v>
      </c>
      <c r="I2601" t="s">
        <v>121</v>
      </c>
      <c r="J2601" t="s">
        <v>127</v>
      </c>
      <c r="K2601">
        <v>0</v>
      </c>
      <c r="L2601">
        <v>3</v>
      </c>
      <c r="M2601">
        <v>0</v>
      </c>
      <c r="N2601">
        <v>2</v>
      </c>
      <c r="O2601">
        <v>0</v>
      </c>
      <c r="P2601">
        <v>1</v>
      </c>
      <c r="Q2601">
        <v>0</v>
      </c>
      <c r="S2601" t="str">
        <f t="shared" ref="S2601:T2604" si="778">"22:21:02.000"</f>
        <v>22:21:02.000</v>
      </c>
      <c r="T2601" t="str">
        <f t="shared" si="778"/>
        <v>22:21:02.000</v>
      </c>
      <c r="U2601" t="str">
        <f t="shared" si="766"/>
        <v>A9D71F</v>
      </c>
      <c r="V2601">
        <v>0</v>
      </c>
      <c r="W2601">
        <v>0</v>
      </c>
      <c r="X2601">
        <v>2</v>
      </c>
      <c r="Z2601">
        <v>1</v>
      </c>
      <c r="AA2601">
        <v>8</v>
      </c>
      <c r="AB2601">
        <v>3</v>
      </c>
      <c r="AC2601">
        <v>0</v>
      </c>
      <c r="AD2601">
        <v>9</v>
      </c>
      <c r="AE2601">
        <v>0</v>
      </c>
      <c r="AF2601">
        <v>3</v>
      </c>
      <c r="AG2601">
        <v>1</v>
      </c>
      <c r="AH2601">
        <v>0</v>
      </c>
      <c r="AI2601" t="s">
        <v>1328</v>
      </c>
      <c r="AJ2601">
        <v>33.016039999999997</v>
      </c>
      <c r="AK2601" t="s">
        <v>1057</v>
      </c>
      <c r="AL2601">
        <v>-97.658608000000001</v>
      </c>
      <c r="AM2601">
        <v>25</v>
      </c>
      <c r="AN2601">
        <v>2100</v>
      </c>
      <c r="AO2601" t="s">
        <v>118</v>
      </c>
      <c r="AP2601">
        <v>96</v>
      </c>
      <c r="AQ2601">
        <v>-26</v>
      </c>
      <c r="AR2601">
        <v>-704</v>
      </c>
      <c r="AZ2601">
        <v>1200</v>
      </c>
      <c r="BA2601">
        <v>1</v>
      </c>
      <c r="BB2601" t="str">
        <f t="shared" si="773"/>
        <v xml:space="preserve">N733KP  </v>
      </c>
      <c r="BC2601">
        <v>1</v>
      </c>
      <c r="BE2601">
        <v>0</v>
      </c>
      <c r="BF2601">
        <v>0</v>
      </c>
      <c r="BG2601">
        <v>0</v>
      </c>
      <c r="BH2601">
        <v>2100</v>
      </c>
      <c r="BI2601">
        <v>1</v>
      </c>
      <c r="BJ2601">
        <v>1</v>
      </c>
      <c r="BK2601">
        <v>0</v>
      </c>
      <c r="BL2601">
        <v>0</v>
      </c>
      <c r="BO2601">
        <v>0</v>
      </c>
      <c r="BP2601">
        <v>0</v>
      </c>
      <c r="BW2601" t="str">
        <f>"22:21:02.260"</f>
        <v>22:21:02.260</v>
      </c>
      <c r="CJ2601">
        <v>0</v>
      </c>
      <c r="CK2601">
        <v>2</v>
      </c>
      <c r="CL2601">
        <v>0</v>
      </c>
      <c r="CM2601">
        <v>2</v>
      </c>
      <c r="CN2601">
        <v>0</v>
      </c>
      <c r="CO2601">
        <v>6</v>
      </c>
      <c r="CP2601" t="s">
        <v>119</v>
      </c>
      <c r="CQ2601">
        <v>364</v>
      </c>
      <c r="CR2601">
        <v>0</v>
      </c>
      <c r="CW2601">
        <v>1467020</v>
      </c>
      <c r="CY2601">
        <v>1</v>
      </c>
      <c r="CZ2601">
        <v>0</v>
      </c>
      <c r="DA2601">
        <v>0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3">
      <c r="A2602" t="str">
        <f>"03/24/2022 22:21:02.715"</f>
        <v>03/24/2022 22:21:02.715</v>
      </c>
      <c r="C2602" t="str">
        <f t="shared" si="772"/>
        <v>FFDFD3C0</v>
      </c>
      <c r="D2602" t="s">
        <v>113</v>
      </c>
      <c r="E2602">
        <v>24</v>
      </c>
      <c r="F2602">
        <v>2024</v>
      </c>
      <c r="G2602" t="s">
        <v>114</v>
      </c>
      <c r="J2602" t="s">
        <v>115</v>
      </c>
      <c r="K2602">
        <v>0</v>
      </c>
      <c r="L2602">
        <v>3</v>
      </c>
      <c r="M2602">
        <v>0</v>
      </c>
      <c r="N2602">
        <v>2</v>
      </c>
      <c r="O2602">
        <v>0</v>
      </c>
      <c r="P2602">
        <v>1</v>
      </c>
      <c r="Q2602">
        <v>0</v>
      </c>
      <c r="S2602" t="str">
        <f t="shared" si="778"/>
        <v>22:21:02.000</v>
      </c>
      <c r="T2602" t="str">
        <f t="shared" si="778"/>
        <v>22:21:02.000</v>
      </c>
      <c r="U2602" t="str">
        <f t="shared" si="766"/>
        <v>A9D71F</v>
      </c>
      <c r="V2602">
        <v>0</v>
      </c>
      <c r="W2602">
        <v>0</v>
      </c>
      <c r="X2602">
        <v>2</v>
      </c>
      <c r="Z2602">
        <v>1</v>
      </c>
      <c r="AA2602">
        <v>8</v>
      </c>
      <c r="AB2602">
        <v>3</v>
      </c>
      <c r="AC2602">
        <v>0</v>
      </c>
      <c r="AD2602">
        <v>9</v>
      </c>
      <c r="AE2602">
        <v>0</v>
      </c>
      <c r="AF2602">
        <v>3</v>
      </c>
      <c r="AG2602">
        <v>1</v>
      </c>
      <c r="AH2602">
        <v>0</v>
      </c>
      <c r="AI2602" t="s">
        <v>1328</v>
      </c>
      <c r="AJ2602">
        <v>33.016039999999997</v>
      </c>
      <c r="AK2602" t="s">
        <v>1057</v>
      </c>
      <c r="AL2602">
        <v>-97.658608000000001</v>
      </c>
      <c r="AM2602">
        <v>25</v>
      </c>
      <c r="AN2602">
        <v>2100</v>
      </c>
      <c r="AO2602" t="s">
        <v>118</v>
      </c>
      <c r="AP2602">
        <v>96</v>
      </c>
      <c r="AQ2602">
        <v>-26</v>
      </c>
      <c r="AR2602">
        <v>-704</v>
      </c>
      <c r="AZ2602">
        <v>1200</v>
      </c>
      <c r="BA2602">
        <v>1</v>
      </c>
      <c r="BB2602" t="str">
        <f t="shared" si="773"/>
        <v xml:space="preserve">N733KP  </v>
      </c>
      <c r="BC2602">
        <v>1</v>
      </c>
      <c r="BE2602">
        <v>0</v>
      </c>
      <c r="BF2602">
        <v>0</v>
      </c>
      <c r="BG2602">
        <v>0</v>
      </c>
      <c r="BH2602">
        <v>2100</v>
      </c>
      <c r="BI2602">
        <v>1</v>
      </c>
      <c r="BJ2602">
        <v>1</v>
      </c>
      <c r="BK2602">
        <v>0</v>
      </c>
      <c r="BL2602">
        <v>0</v>
      </c>
      <c r="BO2602">
        <v>0</v>
      </c>
      <c r="BP2602">
        <v>0</v>
      </c>
      <c r="BW2602" t="str">
        <f>"22:21:02.260"</f>
        <v>22:21:02.260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6</v>
      </c>
      <c r="CP2602" t="s">
        <v>119</v>
      </c>
      <c r="CQ2602">
        <v>364</v>
      </c>
      <c r="CR2602">
        <v>0</v>
      </c>
      <c r="CW2602">
        <v>1467020</v>
      </c>
      <c r="CY2602">
        <v>1</v>
      </c>
      <c r="CZ2602">
        <v>0</v>
      </c>
      <c r="DA2602">
        <v>1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3">
      <c r="A2603" t="str">
        <f>"03/24/2022 22:21:02.715"</f>
        <v>03/24/2022 22:21:02.715</v>
      </c>
      <c r="C2603" t="str">
        <f t="shared" si="772"/>
        <v>FFDFD3C0</v>
      </c>
      <c r="D2603" t="s">
        <v>120</v>
      </c>
      <c r="E2603">
        <v>14</v>
      </c>
      <c r="F2603">
        <v>1014</v>
      </c>
      <c r="G2603" t="s">
        <v>121</v>
      </c>
      <c r="J2603" t="s">
        <v>122</v>
      </c>
      <c r="K2603">
        <v>0</v>
      </c>
      <c r="L2603">
        <v>3</v>
      </c>
      <c r="M2603">
        <v>0</v>
      </c>
      <c r="N2603">
        <v>2</v>
      </c>
      <c r="O2603">
        <v>0</v>
      </c>
      <c r="P2603">
        <v>1</v>
      </c>
      <c r="Q2603">
        <v>0</v>
      </c>
      <c r="S2603" t="str">
        <f t="shared" si="778"/>
        <v>22:21:02.000</v>
      </c>
      <c r="T2603" t="str">
        <f t="shared" si="778"/>
        <v>22:21:02.000</v>
      </c>
      <c r="U2603" t="str">
        <f t="shared" si="766"/>
        <v>A9D71F</v>
      </c>
      <c r="V2603">
        <v>0</v>
      </c>
      <c r="W2603">
        <v>0</v>
      </c>
      <c r="X2603">
        <v>2</v>
      </c>
      <c r="Z2603">
        <v>1</v>
      </c>
      <c r="AA2603">
        <v>8</v>
      </c>
      <c r="AB2603">
        <v>3</v>
      </c>
      <c r="AC2603">
        <v>0</v>
      </c>
      <c r="AD2603">
        <v>9</v>
      </c>
      <c r="AE2603">
        <v>0</v>
      </c>
      <c r="AF2603">
        <v>3</v>
      </c>
      <c r="AG2603">
        <v>1</v>
      </c>
      <c r="AH2603">
        <v>0</v>
      </c>
      <c r="AI2603" t="s">
        <v>1328</v>
      </c>
      <c r="AJ2603">
        <v>33.016039999999997</v>
      </c>
      <c r="AK2603" t="s">
        <v>1057</v>
      </c>
      <c r="AL2603">
        <v>-97.658608000000001</v>
      </c>
      <c r="AM2603">
        <v>25</v>
      </c>
      <c r="AN2603">
        <v>2100</v>
      </c>
      <c r="AO2603" t="s">
        <v>118</v>
      </c>
      <c r="AP2603">
        <v>96</v>
      </c>
      <c r="AQ2603">
        <v>-26</v>
      </c>
      <c r="AR2603">
        <v>-704</v>
      </c>
      <c r="AZ2603">
        <v>1200</v>
      </c>
      <c r="BA2603">
        <v>1</v>
      </c>
      <c r="BB2603" t="str">
        <f t="shared" si="773"/>
        <v xml:space="preserve">N733KP  </v>
      </c>
      <c r="BC2603">
        <v>1</v>
      </c>
      <c r="BE2603">
        <v>0</v>
      </c>
      <c r="BF2603">
        <v>0</v>
      </c>
      <c r="BG2603">
        <v>0</v>
      </c>
      <c r="BH2603">
        <v>2100</v>
      </c>
      <c r="BI2603">
        <v>1</v>
      </c>
      <c r="BJ2603">
        <v>1</v>
      </c>
      <c r="BK2603">
        <v>0</v>
      </c>
      <c r="BL2603">
        <v>0</v>
      </c>
      <c r="BO2603">
        <v>0</v>
      </c>
      <c r="BP2603">
        <v>0</v>
      </c>
      <c r="BW2603" t="str">
        <f>"22:21:02.260"</f>
        <v>22:21:02.260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6</v>
      </c>
      <c r="CP2603" t="s">
        <v>119</v>
      </c>
      <c r="CQ2603">
        <v>364</v>
      </c>
      <c r="CR2603">
        <v>0</v>
      </c>
      <c r="CW2603">
        <v>1467020</v>
      </c>
      <c r="CY2603">
        <v>1</v>
      </c>
      <c r="CZ2603">
        <v>0</v>
      </c>
      <c r="DA2603">
        <v>1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3">
      <c r="A2604" t="str">
        <f>"03/24/2022 22:21:02.715"</f>
        <v>03/24/2022 22:21:02.715</v>
      </c>
      <c r="C2604" t="str">
        <f t="shared" si="772"/>
        <v>FFDFD3C0</v>
      </c>
      <c r="D2604" t="s">
        <v>123</v>
      </c>
      <c r="E2604">
        <v>8</v>
      </c>
      <c r="H2604">
        <v>31</v>
      </c>
      <c r="I2604" t="s">
        <v>124</v>
      </c>
      <c r="J2604" t="s">
        <v>125</v>
      </c>
      <c r="K2604">
        <v>0</v>
      </c>
      <c r="L2604">
        <v>3</v>
      </c>
      <c r="M2604">
        <v>0</v>
      </c>
      <c r="N2604">
        <v>2</v>
      </c>
      <c r="O2604">
        <v>0</v>
      </c>
      <c r="P2604">
        <v>1</v>
      </c>
      <c r="Q2604">
        <v>0</v>
      </c>
      <c r="S2604" t="str">
        <f t="shared" si="778"/>
        <v>22:21:02.000</v>
      </c>
      <c r="T2604" t="str">
        <f t="shared" si="778"/>
        <v>22:21:02.000</v>
      </c>
      <c r="U2604" t="str">
        <f t="shared" si="766"/>
        <v>A9D71F</v>
      </c>
      <c r="V2604">
        <v>0</v>
      </c>
      <c r="W2604">
        <v>0</v>
      </c>
      <c r="X2604">
        <v>2</v>
      </c>
      <c r="Z2604">
        <v>1</v>
      </c>
      <c r="AA2604">
        <v>8</v>
      </c>
      <c r="AB2604">
        <v>3</v>
      </c>
      <c r="AC2604">
        <v>0</v>
      </c>
      <c r="AD2604">
        <v>9</v>
      </c>
      <c r="AE2604">
        <v>0</v>
      </c>
      <c r="AF2604">
        <v>3</v>
      </c>
      <c r="AG2604">
        <v>1</v>
      </c>
      <c r="AH2604">
        <v>0</v>
      </c>
      <c r="AI2604" t="s">
        <v>1328</v>
      </c>
      <c r="AJ2604">
        <v>33.016039999999997</v>
      </c>
      <c r="AK2604" t="s">
        <v>1057</v>
      </c>
      <c r="AL2604">
        <v>-97.658608000000001</v>
      </c>
      <c r="AM2604">
        <v>25</v>
      </c>
      <c r="AN2604">
        <v>2100</v>
      </c>
      <c r="AO2604" t="s">
        <v>118</v>
      </c>
      <c r="AP2604">
        <v>96</v>
      </c>
      <c r="AQ2604">
        <v>-26</v>
      </c>
      <c r="AR2604">
        <v>-704</v>
      </c>
      <c r="AZ2604">
        <v>1200</v>
      </c>
      <c r="BA2604">
        <v>1</v>
      </c>
      <c r="BB2604" t="str">
        <f t="shared" si="773"/>
        <v xml:space="preserve">N733KP  </v>
      </c>
      <c r="BC2604">
        <v>1</v>
      </c>
      <c r="BE2604">
        <v>0</v>
      </c>
      <c r="BF2604">
        <v>0</v>
      </c>
      <c r="BG2604">
        <v>0</v>
      </c>
      <c r="BH2604">
        <v>2100</v>
      </c>
      <c r="BI2604">
        <v>1</v>
      </c>
      <c r="BJ2604">
        <v>1</v>
      </c>
      <c r="BK2604">
        <v>0</v>
      </c>
      <c r="BL2604">
        <v>0</v>
      </c>
      <c r="BO2604">
        <v>0</v>
      </c>
      <c r="BP2604">
        <v>0</v>
      </c>
      <c r="BW2604" t="str">
        <f>"22:21:02.260"</f>
        <v>22:21:02.260</v>
      </c>
      <c r="CJ2604">
        <v>0</v>
      </c>
      <c r="CK2604">
        <v>2</v>
      </c>
      <c r="CL2604">
        <v>0</v>
      </c>
      <c r="CM2604">
        <v>2</v>
      </c>
      <c r="CN2604">
        <v>0</v>
      </c>
      <c r="CO2604">
        <v>6</v>
      </c>
      <c r="CP2604" t="s">
        <v>119</v>
      </c>
      <c r="CQ2604">
        <v>364</v>
      </c>
      <c r="CR2604">
        <v>0</v>
      </c>
      <c r="CW2604">
        <v>1467020</v>
      </c>
      <c r="CY2604">
        <v>1</v>
      </c>
      <c r="CZ2604">
        <v>0</v>
      </c>
      <c r="DA2604">
        <v>1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3">
      <c r="A2605" t="str">
        <f>"03/24/2022 22:21:03.799"</f>
        <v>03/24/2022 22:21:03.799</v>
      </c>
      <c r="C2605" t="str">
        <f t="shared" si="772"/>
        <v>FFDFD3C0</v>
      </c>
      <c r="D2605" t="s">
        <v>113</v>
      </c>
      <c r="E2605">
        <v>24</v>
      </c>
      <c r="F2605">
        <v>2024</v>
      </c>
      <c r="G2605" t="s">
        <v>114</v>
      </c>
      <c r="J2605" t="s">
        <v>115</v>
      </c>
      <c r="K2605">
        <v>0</v>
      </c>
      <c r="L2605">
        <v>3</v>
      </c>
      <c r="M2605">
        <v>0</v>
      </c>
      <c r="N2605">
        <v>2</v>
      </c>
      <c r="O2605">
        <v>0</v>
      </c>
      <c r="P2605">
        <v>1</v>
      </c>
      <c r="Q2605">
        <v>0</v>
      </c>
      <c r="S2605" t="str">
        <f t="shared" ref="S2605:T2608" si="779">"22:21:03.000"</f>
        <v>22:21:03.000</v>
      </c>
      <c r="T2605" t="str">
        <f t="shared" si="779"/>
        <v>22:21:03.000</v>
      </c>
      <c r="U2605" t="str">
        <f t="shared" si="766"/>
        <v>A9D71F</v>
      </c>
      <c r="V2605">
        <v>0</v>
      </c>
      <c r="W2605">
        <v>0</v>
      </c>
      <c r="X2605">
        <v>2</v>
      </c>
      <c r="Z2605">
        <v>1</v>
      </c>
      <c r="AA2605">
        <v>8</v>
      </c>
      <c r="AB2605">
        <v>3</v>
      </c>
      <c r="AC2605">
        <v>0</v>
      </c>
      <c r="AD2605">
        <v>9</v>
      </c>
      <c r="AE2605">
        <v>0</v>
      </c>
      <c r="AF2605">
        <v>3</v>
      </c>
      <c r="AG2605">
        <v>1</v>
      </c>
      <c r="AH2605">
        <v>0</v>
      </c>
      <c r="AI2605" t="s">
        <v>1329</v>
      </c>
      <c r="AJ2605">
        <v>33.015912</v>
      </c>
      <c r="AK2605" t="s">
        <v>1330</v>
      </c>
      <c r="AL2605">
        <v>-97.658072000000004</v>
      </c>
      <c r="AM2605">
        <v>25</v>
      </c>
      <c r="AN2605">
        <v>2100</v>
      </c>
      <c r="AO2605" t="s">
        <v>118</v>
      </c>
      <c r="AP2605">
        <v>90</v>
      </c>
      <c r="AQ2605">
        <v>-39</v>
      </c>
      <c r="AR2605">
        <v>-768</v>
      </c>
      <c r="AZ2605">
        <v>1200</v>
      </c>
      <c r="BA2605">
        <v>1</v>
      </c>
      <c r="BB2605" t="str">
        <f t="shared" si="773"/>
        <v xml:space="preserve">N733KP  </v>
      </c>
      <c r="BC2605">
        <v>1</v>
      </c>
      <c r="BE2605">
        <v>0</v>
      </c>
      <c r="BF2605">
        <v>0</v>
      </c>
      <c r="BG2605">
        <v>0</v>
      </c>
      <c r="BH2605">
        <v>2100</v>
      </c>
      <c r="BI2605">
        <v>1</v>
      </c>
      <c r="BJ2605">
        <v>1</v>
      </c>
      <c r="BK2605">
        <v>0</v>
      </c>
      <c r="BL2605">
        <v>0</v>
      </c>
      <c r="BO2605">
        <v>0</v>
      </c>
      <c r="BP2605">
        <v>0</v>
      </c>
      <c r="BW2605" t="str">
        <f>"22:21:03.549"</f>
        <v>22:21:03.549</v>
      </c>
      <c r="CJ2605">
        <v>0</v>
      </c>
      <c r="CK2605">
        <v>2</v>
      </c>
      <c r="CL2605">
        <v>0</v>
      </c>
      <c r="CM2605">
        <v>2</v>
      </c>
      <c r="CN2605">
        <v>0</v>
      </c>
      <c r="CO2605">
        <v>6</v>
      </c>
      <c r="CP2605" t="s">
        <v>119</v>
      </c>
      <c r="CQ2605">
        <v>364</v>
      </c>
      <c r="CR2605">
        <v>0</v>
      </c>
      <c r="CW2605">
        <v>1467198</v>
      </c>
      <c r="CY2605">
        <v>1</v>
      </c>
      <c r="CZ2605">
        <v>0</v>
      </c>
      <c r="DA2605">
        <v>0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3">
      <c r="A2606" t="str">
        <f>"03/24/2022 22:21:03.799"</f>
        <v>03/24/2022 22:21:03.799</v>
      </c>
      <c r="C2606" t="str">
        <f t="shared" si="772"/>
        <v>FFDFD3C0</v>
      </c>
      <c r="D2606" t="s">
        <v>120</v>
      </c>
      <c r="E2606">
        <v>14</v>
      </c>
      <c r="F2606">
        <v>1014</v>
      </c>
      <c r="G2606" t="s">
        <v>121</v>
      </c>
      <c r="J2606" t="s">
        <v>122</v>
      </c>
      <c r="K2606">
        <v>0</v>
      </c>
      <c r="L2606">
        <v>3</v>
      </c>
      <c r="M2606">
        <v>0</v>
      </c>
      <c r="N2606">
        <v>2</v>
      </c>
      <c r="O2606">
        <v>0</v>
      </c>
      <c r="P2606">
        <v>1</v>
      </c>
      <c r="Q2606">
        <v>0</v>
      </c>
      <c r="S2606" t="str">
        <f t="shared" si="779"/>
        <v>22:21:03.000</v>
      </c>
      <c r="T2606" t="str">
        <f t="shared" si="779"/>
        <v>22:21:03.000</v>
      </c>
      <c r="U2606" t="str">
        <f t="shared" si="766"/>
        <v>A9D71F</v>
      </c>
      <c r="V2606">
        <v>0</v>
      </c>
      <c r="W2606">
        <v>0</v>
      </c>
      <c r="X2606">
        <v>2</v>
      </c>
      <c r="Z2606">
        <v>1</v>
      </c>
      <c r="AA2606">
        <v>8</v>
      </c>
      <c r="AB2606">
        <v>3</v>
      </c>
      <c r="AC2606">
        <v>0</v>
      </c>
      <c r="AD2606">
        <v>9</v>
      </c>
      <c r="AE2606">
        <v>0</v>
      </c>
      <c r="AF2606">
        <v>3</v>
      </c>
      <c r="AG2606">
        <v>1</v>
      </c>
      <c r="AH2606">
        <v>0</v>
      </c>
      <c r="AI2606" t="s">
        <v>1329</v>
      </c>
      <c r="AJ2606">
        <v>33.015912</v>
      </c>
      <c r="AK2606" t="s">
        <v>1330</v>
      </c>
      <c r="AL2606">
        <v>-97.658072000000004</v>
      </c>
      <c r="AM2606">
        <v>25</v>
      </c>
      <c r="AN2606">
        <v>2100</v>
      </c>
      <c r="AO2606" t="s">
        <v>118</v>
      </c>
      <c r="AP2606">
        <v>90</v>
      </c>
      <c r="AQ2606">
        <v>-39</v>
      </c>
      <c r="AR2606">
        <v>-768</v>
      </c>
      <c r="AZ2606">
        <v>1200</v>
      </c>
      <c r="BA2606">
        <v>1</v>
      </c>
      <c r="BB2606" t="str">
        <f t="shared" si="773"/>
        <v xml:space="preserve">N733KP  </v>
      </c>
      <c r="BC2606">
        <v>1</v>
      </c>
      <c r="BE2606">
        <v>0</v>
      </c>
      <c r="BF2606">
        <v>0</v>
      </c>
      <c r="BG2606">
        <v>0</v>
      </c>
      <c r="BH2606">
        <v>2100</v>
      </c>
      <c r="BI2606">
        <v>1</v>
      </c>
      <c r="BJ2606">
        <v>1</v>
      </c>
      <c r="BK2606">
        <v>0</v>
      </c>
      <c r="BL2606">
        <v>0</v>
      </c>
      <c r="BO2606">
        <v>0</v>
      </c>
      <c r="BP2606">
        <v>0</v>
      </c>
      <c r="BW2606" t="str">
        <f>"22:21:03.549"</f>
        <v>22:21:03.549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6</v>
      </c>
      <c r="CP2606" t="s">
        <v>119</v>
      </c>
      <c r="CQ2606">
        <v>364</v>
      </c>
      <c r="CR2606">
        <v>0</v>
      </c>
      <c r="CW2606">
        <v>1467198</v>
      </c>
      <c r="CY2606">
        <v>1</v>
      </c>
      <c r="CZ2606">
        <v>0</v>
      </c>
      <c r="DA2606">
        <v>1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3">
      <c r="A2607" t="str">
        <f>"03/24/2022 22:21:03.799"</f>
        <v>03/24/2022 22:21:03.799</v>
      </c>
      <c r="C2607" t="str">
        <f t="shared" si="772"/>
        <v>FFDFD3C0</v>
      </c>
      <c r="D2607" t="s">
        <v>123</v>
      </c>
      <c r="E2607">
        <v>8</v>
      </c>
      <c r="H2607">
        <v>31</v>
      </c>
      <c r="I2607" t="s">
        <v>124</v>
      </c>
      <c r="J2607" t="s">
        <v>125</v>
      </c>
      <c r="K2607">
        <v>0</v>
      </c>
      <c r="L2607">
        <v>3</v>
      </c>
      <c r="M2607">
        <v>0</v>
      </c>
      <c r="N2607">
        <v>2</v>
      </c>
      <c r="O2607">
        <v>0</v>
      </c>
      <c r="P2607">
        <v>1</v>
      </c>
      <c r="Q2607">
        <v>0</v>
      </c>
      <c r="S2607" t="str">
        <f t="shared" si="779"/>
        <v>22:21:03.000</v>
      </c>
      <c r="T2607" t="str">
        <f t="shared" si="779"/>
        <v>22:21:03.000</v>
      </c>
      <c r="U2607" t="str">
        <f t="shared" si="766"/>
        <v>A9D71F</v>
      </c>
      <c r="V2607">
        <v>0</v>
      </c>
      <c r="W2607">
        <v>0</v>
      </c>
      <c r="X2607">
        <v>2</v>
      </c>
      <c r="Z2607">
        <v>1</v>
      </c>
      <c r="AA2607">
        <v>8</v>
      </c>
      <c r="AB2607">
        <v>3</v>
      </c>
      <c r="AC2607">
        <v>0</v>
      </c>
      <c r="AD2607">
        <v>9</v>
      </c>
      <c r="AE2607">
        <v>0</v>
      </c>
      <c r="AF2607">
        <v>3</v>
      </c>
      <c r="AG2607">
        <v>1</v>
      </c>
      <c r="AH2607">
        <v>0</v>
      </c>
      <c r="AI2607" t="s">
        <v>1329</v>
      </c>
      <c r="AJ2607">
        <v>33.015912</v>
      </c>
      <c r="AK2607" t="s">
        <v>1330</v>
      </c>
      <c r="AL2607">
        <v>-97.658072000000004</v>
      </c>
      <c r="AM2607">
        <v>25</v>
      </c>
      <c r="AN2607">
        <v>2100</v>
      </c>
      <c r="AO2607" t="s">
        <v>118</v>
      </c>
      <c r="AP2607">
        <v>90</v>
      </c>
      <c r="AQ2607">
        <v>-39</v>
      </c>
      <c r="AR2607">
        <v>-768</v>
      </c>
      <c r="AZ2607">
        <v>1200</v>
      </c>
      <c r="BA2607">
        <v>1</v>
      </c>
      <c r="BB2607" t="str">
        <f t="shared" si="773"/>
        <v xml:space="preserve">N733KP  </v>
      </c>
      <c r="BC2607">
        <v>1</v>
      </c>
      <c r="BE2607">
        <v>0</v>
      </c>
      <c r="BF2607">
        <v>0</v>
      </c>
      <c r="BG2607">
        <v>0</v>
      </c>
      <c r="BH2607">
        <v>2100</v>
      </c>
      <c r="BI2607">
        <v>1</v>
      </c>
      <c r="BJ2607">
        <v>1</v>
      </c>
      <c r="BK2607">
        <v>0</v>
      </c>
      <c r="BL2607">
        <v>0</v>
      </c>
      <c r="BO2607">
        <v>0</v>
      </c>
      <c r="BP2607">
        <v>0</v>
      </c>
      <c r="BW2607" t="str">
        <f>"22:21:03.549"</f>
        <v>22:21:03.549</v>
      </c>
      <c r="CJ2607">
        <v>0</v>
      </c>
      <c r="CK2607">
        <v>2</v>
      </c>
      <c r="CL2607">
        <v>0</v>
      </c>
      <c r="CM2607">
        <v>2</v>
      </c>
      <c r="CN2607">
        <v>0</v>
      </c>
      <c r="CO2607">
        <v>6</v>
      </c>
      <c r="CP2607" t="s">
        <v>119</v>
      </c>
      <c r="CQ2607">
        <v>364</v>
      </c>
      <c r="CR2607">
        <v>0</v>
      </c>
      <c r="CW2607">
        <v>1467198</v>
      </c>
      <c r="CY2607">
        <v>1</v>
      </c>
      <c r="CZ2607">
        <v>0</v>
      </c>
      <c r="DA2607">
        <v>1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3">
      <c r="A2608" t="str">
        <f>"03/24/2022 22:21:03.799"</f>
        <v>03/24/2022 22:21:03.799</v>
      </c>
      <c r="C2608" t="str">
        <f t="shared" si="772"/>
        <v>FFDFD3C0</v>
      </c>
      <c r="D2608" t="s">
        <v>126</v>
      </c>
      <c r="E2608">
        <v>3</v>
      </c>
      <c r="H2608">
        <v>160</v>
      </c>
      <c r="I2608" t="s">
        <v>121</v>
      </c>
      <c r="J2608" t="s">
        <v>127</v>
      </c>
      <c r="K2608">
        <v>0</v>
      </c>
      <c r="L2608">
        <v>3</v>
      </c>
      <c r="M2608">
        <v>0</v>
      </c>
      <c r="N2608">
        <v>2</v>
      </c>
      <c r="O2608">
        <v>0</v>
      </c>
      <c r="P2608">
        <v>1</v>
      </c>
      <c r="Q2608">
        <v>0</v>
      </c>
      <c r="S2608" t="str">
        <f t="shared" si="779"/>
        <v>22:21:03.000</v>
      </c>
      <c r="T2608" t="str">
        <f t="shared" si="779"/>
        <v>22:21:03.000</v>
      </c>
      <c r="U2608" t="str">
        <f t="shared" si="766"/>
        <v>A9D71F</v>
      </c>
      <c r="V2608">
        <v>0</v>
      </c>
      <c r="W2608">
        <v>0</v>
      </c>
      <c r="X2608">
        <v>2</v>
      </c>
      <c r="Z2608">
        <v>1</v>
      </c>
      <c r="AA2608">
        <v>8</v>
      </c>
      <c r="AB2608">
        <v>3</v>
      </c>
      <c r="AC2608">
        <v>0</v>
      </c>
      <c r="AD2608">
        <v>9</v>
      </c>
      <c r="AE2608">
        <v>0</v>
      </c>
      <c r="AF2608">
        <v>3</v>
      </c>
      <c r="AG2608">
        <v>1</v>
      </c>
      <c r="AH2608">
        <v>0</v>
      </c>
      <c r="AI2608" t="s">
        <v>1329</v>
      </c>
      <c r="AJ2608">
        <v>33.015912</v>
      </c>
      <c r="AK2608" t="s">
        <v>1330</v>
      </c>
      <c r="AL2608">
        <v>-97.658072000000004</v>
      </c>
      <c r="AM2608">
        <v>25</v>
      </c>
      <c r="AN2608">
        <v>2100</v>
      </c>
      <c r="AO2608" t="s">
        <v>118</v>
      </c>
      <c r="AP2608">
        <v>90</v>
      </c>
      <c r="AQ2608">
        <v>-39</v>
      </c>
      <c r="AR2608">
        <v>-768</v>
      </c>
      <c r="AZ2608">
        <v>1200</v>
      </c>
      <c r="BA2608">
        <v>1</v>
      </c>
      <c r="BB2608" t="str">
        <f t="shared" si="773"/>
        <v xml:space="preserve">N733KP  </v>
      </c>
      <c r="BC2608">
        <v>1</v>
      </c>
      <c r="BE2608">
        <v>0</v>
      </c>
      <c r="BF2608">
        <v>0</v>
      </c>
      <c r="BG2608">
        <v>0</v>
      </c>
      <c r="BH2608">
        <v>2100</v>
      </c>
      <c r="BI2608">
        <v>1</v>
      </c>
      <c r="BJ2608">
        <v>1</v>
      </c>
      <c r="BK2608">
        <v>0</v>
      </c>
      <c r="BL2608">
        <v>0</v>
      </c>
      <c r="BO2608">
        <v>0</v>
      </c>
      <c r="BP2608">
        <v>0</v>
      </c>
      <c r="BW2608" t="str">
        <f>"22:21:03.549"</f>
        <v>22:21:03.549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6</v>
      </c>
      <c r="CP2608" t="s">
        <v>119</v>
      </c>
      <c r="CQ2608">
        <v>364</v>
      </c>
      <c r="CR2608">
        <v>0</v>
      </c>
      <c r="CW2608">
        <v>1467198</v>
      </c>
      <c r="CY2608">
        <v>1</v>
      </c>
      <c r="CZ2608">
        <v>0</v>
      </c>
      <c r="DA2608">
        <v>0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3">
      <c r="A2609" t="str">
        <f>"03/24/2022 22:21:04.862"</f>
        <v>03/24/2022 22:21:04.862</v>
      </c>
      <c r="C2609" t="str">
        <f t="shared" si="772"/>
        <v>FFDFD3C0</v>
      </c>
      <c r="D2609" t="s">
        <v>123</v>
      </c>
      <c r="E2609">
        <v>8</v>
      </c>
      <c r="H2609">
        <v>31</v>
      </c>
      <c r="I2609" t="s">
        <v>124</v>
      </c>
      <c r="J2609" t="s">
        <v>125</v>
      </c>
      <c r="K2609">
        <v>0</v>
      </c>
      <c r="L2609">
        <v>3</v>
      </c>
      <c r="M2609">
        <v>0</v>
      </c>
      <c r="N2609">
        <v>2</v>
      </c>
      <c r="O2609">
        <v>0</v>
      </c>
      <c r="P2609">
        <v>1</v>
      </c>
      <c r="Q2609">
        <v>0</v>
      </c>
      <c r="S2609" t="str">
        <f t="shared" ref="S2609:T2612" si="780">"22:21:04.000"</f>
        <v>22:21:04.000</v>
      </c>
      <c r="T2609" t="str">
        <f t="shared" si="780"/>
        <v>22:21:04.000</v>
      </c>
      <c r="U2609" t="str">
        <f t="shared" si="766"/>
        <v>A9D71F</v>
      </c>
      <c r="V2609">
        <v>0</v>
      </c>
      <c r="W2609">
        <v>0</v>
      </c>
      <c r="X2609">
        <v>2</v>
      </c>
      <c r="Z2609">
        <v>1</v>
      </c>
      <c r="AA2609">
        <v>8</v>
      </c>
      <c r="AB2609">
        <v>3</v>
      </c>
      <c r="AC2609">
        <v>0</v>
      </c>
      <c r="AD2609">
        <v>9</v>
      </c>
      <c r="AE2609">
        <v>0</v>
      </c>
      <c r="AF2609">
        <v>3</v>
      </c>
      <c r="AG2609">
        <v>1</v>
      </c>
      <c r="AH2609">
        <v>0</v>
      </c>
      <c r="AI2609" t="s">
        <v>1331</v>
      </c>
      <c r="AJ2609">
        <v>33.015718</v>
      </c>
      <c r="AK2609" t="s">
        <v>1332</v>
      </c>
      <c r="AL2609">
        <v>-97.657599000000005</v>
      </c>
      <c r="AM2609">
        <v>25</v>
      </c>
      <c r="AN2609">
        <v>2100</v>
      </c>
      <c r="AO2609" t="s">
        <v>118</v>
      </c>
      <c r="AP2609">
        <v>84</v>
      </c>
      <c r="AQ2609">
        <v>-47</v>
      </c>
      <c r="AR2609">
        <v>-448</v>
      </c>
      <c r="AZ2609">
        <v>7200</v>
      </c>
      <c r="BA2609">
        <v>1</v>
      </c>
      <c r="BB2609" t="str">
        <f t="shared" si="773"/>
        <v xml:space="preserve">N733KP  </v>
      </c>
      <c r="BC2609">
        <v>1</v>
      </c>
      <c r="BE2609">
        <v>0</v>
      </c>
      <c r="BF2609">
        <v>0</v>
      </c>
      <c r="BG2609">
        <v>0</v>
      </c>
      <c r="BH2609">
        <v>2075</v>
      </c>
      <c r="BI2609">
        <v>1</v>
      </c>
      <c r="BJ2609">
        <v>1</v>
      </c>
      <c r="BK2609">
        <v>0</v>
      </c>
      <c r="BL2609">
        <v>0</v>
      </c>
      <c r="BO2609">
        <v>0</v>
      </c>
      <c r="BP2609">
        <v>0</v>
      </c>
      <c r="BW2609" t="str">
        <f>"22:21:04.610"</f>
        <v>22:21:04.610</v>
      </c>
      <c r="CJ2609">
        <v>0</v>
      </c>
      <c r="CK2609">
        <v>2</v>
      </c>
      <c r="CL2609">
        <v>0</v>
      </c>
      <c r="CM2609">
        <v>2</v>
      </c>
      <c r="CN2609">
        <v>0</v>
      </c>
      <c r="CO2609">
        <v>7</v>
      </c>
      <c r="CP2609" t="s">
        <v>119</v>
      </c>
      <c r="CQ2609">
        <v>364</v>
      </c>
      <c r="CR2609">
        <v>0</v>
      </c>
      <c r="CW2609">
        <v>1467336</v>
      </c>
      <c r="CY2609">
        <v>1</v>
      </c>
      <c r="CZ2609">
        <v>0</v>
      </c>
      <c r="DA2609">
        <v>0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3">
      <c r="A2610" t="str">
        <f>"03/24/2022 22:21:04.862"</f>
        <v>03/24/2022 22:21:04.862</v>
      </c>
      <c r="C2610" t="str">
        <f t="shared" si="772"/>
        <v>FFDFD3C0</v>
      </c>
      <c r="D2610" t="s">
        <v>126</v>
      </c>
      <c r="E2610">
        <v>3</v>
      </c>
      <c r="H2610">
        <v>160</v>
      </c>
      <c r="I2610" t="s">
        <v>121</v>
      </c>
      <c r="J2610" t="s">
        <v>127</v>
      </c>
      <c r="K2610">
        <v>0</v>
      </c>
      <c r="L2610">
        <v>3</v>
      </c>
      <c r="M2610">
        <v>0</v>
      </c>
      <c r="N2610">
        <v>2</v>
      </c>
      <c r="O2610">
        <v>0</v>
      </c>
      <c r="P2610">
        <v>1</v>
      </c>
      <c r="Q2610">
        <v>0</v>
      </c>
      <c r="S2610" t="str">
        <f t="shared" si="780"/>
        <v>22:21:04.000</v>
      </c>
      <c r="T2610" t="str">
        <f t="shared" si="780"/>
        <v>22:21:04.000</v>
      </c>
      <c r="U2610" t="str">
        <f t="shared" si="766"/>
        <v>A9D71F</v>
      </c>
      <c r="V2610">
        <v>0</v>
      </c>
      <c r="W2610">
        <v>0</v>
      </c>
      <c r="X2610">
        <v>2</v>
      </c>
      <c r="Z2610">
        <v>1</v>
      </c>
      <c r="AA2610">
        <v>8</v>
      </c>
      <c r="AB2610">
        <v>3</v>
      </c>
      <c r="AC2610">
        <v>0</v>
      </c>
      <c r="AD2610">
        <v>9</v>
      </c>
      <c r="AE2610">
        <v>0</v>
      </c>
      <c r="AF2610">
        <v>3</v>
      </c>
      <c r="AG2610">
        <v>1</v>
      </c>
      <c r="AH2610">
        <v>0</v>
      </c>
      <c r="AI2610" t="s">
        <v>1331</v>
      </c>
      <c r="AJ2610">
        <v>33.015718</v>
      </c>
      <c r="AK2610" t="s">
        <v>1332</v>
      </c>
      <c r="AL2610">
        <v>-97.657599000000005</v>
      </c>
      <c r="AM2610">
        <v>25</v>
      </c>
      <c r="AN2610">
        <v>2100</v>
      </c>
      <c r="AO2610" t="s">
        <v>118</v>
      </c>
      <c r="AP2610">
        <v>84</v>
      </c>
      <c r="AQ2610">
        <v>-47</v>
      </c>
      <c r="AR2610">
        <v>-448</v>
      </c>
      <c r="AZ2610">
        <v>7200</v>
      </c>
      <c r="BA2610">
        <v>1</v>
      </c>
      <c r="BB2610" t="str">
        <f t="shared" si="773"/>
        <v xml:space="preserve">N733KP  </v>
      </c>
      <c r="BC2610">
        <v>1</v>
      </c>
      <c r="BE2610">
        <v>0</v>
      </c>
      <c r="BF2610">
        <v>0</v>
      </c>
      <c r="BG2610">
        <v>0</v>
      </c>
      <c r="BH2610">
        <v>2075</v>
      </c>
      <c r="BI2610">
        <v>1</v>
      </c>
      <c r="BJ2610">
        <v>1</v>
      </c>
      <c r="BK2610">
        <v>0</v>
      </c>
      <c r="BL2610">
        <v>0</v>
      </c>
      <c r="BO2610">
        <v>0</v>
      </c>
      <c r="BP2610">
        <v>0</v>
      </c>
      <c r="BW2610" t="str">
        <f>"22:21:04.610"</f>
        <v>22:21:04.610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7</v>
      </c>
      <c r="CP2610" t="s">
        <v>119</v>
      </c>
      <c r="CQ2610">
        <v>364</v>
      </c>
      <c r="CR2610">
        <v>0</v>
      </c>
      <c r="CW2610">
        <v>1467336</v>
      </c>
      <c r="CY2610">
        <v>1</v>
      </c>
      <c r="CZ2610">
        <v>0</v>
      </c>
      <c r="DA2610">
        <v>1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3">
      <c r="A2611" t="str">
        <f>"03/24/2022 22:21:04.862"</f>
        <v>03/24/2022 22:21:04.862</v>
      </c>
      <c r="C2611" t="str">
        <f t="shared" si="772"/>
        <v>FFDFD3C0</v>
      </c>
      <c r="D2611" t="s">
        <v>113</v>
      </c>
      <c r="E2611">
        <v>24</v>
      </c>
      <c r="F2611">
        <v>2024</v>
      </c>
      <c r="G2611" t="s">
        <v>114</v>
      </c>
      <c r="J2611" t="s">
        <v>115</v>
      </c>
      <c r="K2611">
        <v>0</v>
      </c>
      <c r="L2611">
        <v>3</v>
      </c>
      <c r="M2611">
        <v>0</v>
      </c>
      <c r="N2611">
        <v>2</v>
      </c>
      <c r="O2611">
        <v>0</v>
      </c>
      <c r="P2611">
        <v>1</v>
      </c>
      <c r="Q2611">
        <v>0</v>
      </c>
      <c r="S2611" t="str">
        <f t="shared" si="780"/>
        <v>22:21:04.000</v>
      </c>
      <c r="T2611" t="str">
        <f t="shared" si="780"/>
        <v>22:21:04.000</v>
      </c>
      <c r="U2611" t="str">
        <f t="shared" si="766"/>
        <v>A9D71F</v>
      </c>
      <c r="V2611">
        <v>0</v>
      </c>
      <c r="W2611">
        <v>0</v>
      </c>
      <c r="X2611">
        <v>2</v>
      </c>
      <c r="Z2611">
        <v>1</v>
      </c>
      <c r="AA2611">
        <v>8</v>
      </c>
      <c r="AB2611">
        <v>3</v>
      </c>
      <c r="AC2611">
        <v>0</v>
      </c>
      <c r="AD2611">
        <v>9</v>
      </c>
      <c r="AE2611">
        <v>0</v>
      </c>
      <c r="AF2611">
        <v>3</v>
      </c>
      <c r="AG2611">
        <v>1</v>
      </c>
      <c r="AH2611">
        <v>0</v>
      </c>
      <c r="AI2611" t="s">
        <v>1331</v>
      </c>
      <c r="AJ2611">
        <v>33.015718</v>
      </c>
      <c r="AK2611" t="s">
        <v>1332</v>
      </c>
      <c r="AL2611">
        <v>-97.657599000000005</v>
      </c>
      <c r="AM2611">
        <v>25</v>
      </c>
      <c r="AN2611">
        <v>2100</v>
      </c>
      <c r="AO2611" t="s">
        <v>118</v>
      </c>
      <c r="AP2611">
        <v>84</v>
      </c>
      <c r="AQ2611">
        <v>-47</v>
      </c>
      <c r="AR2611">
        <v>-448</v>
      </c>
      <c r="AZ2611">
        <v>7200</v>
      </c>
      <c r="BA2611">
        <v>1</v>
      </c>
      <c r="BB2611" t="str">
        <f t="shared" si="773"/>
        <v xml:space="preserve">N733KP  </v>
      </c>
      <c r="BC2611">
        <v>1</v>
      </c>
      <c r="BE2611">
        <v>0</v>
      </c>
      <c r="BF2611">
        <v>0</v>
      </c>
      <c r="BG2611">
        <v>0</v>
      </c>
      <c r="BH2611">
        <v>2075</v>
      </c>
      <c r="BI2611">
        <v>1</v>
      </c>
      <c r="BJ2611">
        <v>1</v>
      </c>
      <c r="BK2611">
        <v>0</v>
      </c>
      <c r="BL2611">
        <v>0</v>
      </c>
      <c r="BO2611">
        <v>0</v>
      </c>
      <c r="BP2611">
        <v>0</v>
      </c>
      <c r="BW2611" t="str">
        <f>"22:21:04.610"</f>
        <v>22:21:04.610</v>
      </c>
      <c r="CJ2611">
        <v>0</v>
      </c>
      <c r="CK2611">
        <v>2</v>
      </c>
      <c r="CL2611">
        <v>0</v>
      </c>
      <c r="CM2611">
        <v>2</v>
      </c>
      <c r="CN2611">
        <v>0</v>
      </c>
      <c r="CO2611">
        <v>7</v>
      </c>
      <c r="CP2611" t="s">
        <v>119</v>
      </c>
      <c r="CQ2611">
        <v>364</v>
      </c>
      <c r="CR2611">
        <v>0</v>
      </c>
      <c r="CW2611">
        <v>1467336</v>
      </c>
      <c r="CY2611">
        <v>1</v>
      </c>
      <c r="CZ2611">
        <v>0</v>
      </c>
      <c r="DA2611">
        <v>1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3">
      <c r="A2612" t="str">
        <f>"03/24/2022 22:21:04.862"</f>
        <v>03/24/2022 22:21:04.862</v>
      </c>
      <c r="C2612" t="str">
        <f t="shared" si="772"/>
        <v>FFDFD3C0</v>
      </c>
      <c r="D2612" t="s">
        <v>120</v>
      </c>
      <c r="E2612">
        <v>14</v>
      </c>
      <c r="F2612">
        <v>1014</v>
      </c>
      <c r="G2612" t="s">
        <v>121</v>
      </c>
      <c r="J2612" t="s">
        <v>122</v>
      </c>
      <c r="K2612">
        <v>0</v>
      </c>
      <c r="L2612">
        <v>3</v>
      </c>
      <c r="M2612">
        <v>0</v>
      </c>
      <c r="N2612">
        <v>2</v>
      </c>
      <c r="O2612">
        <v>0</v>
      </c>
      <c r="P2612">
        <v>1</v>
      </c>
      <c r="Q2612">
        <v>0</v>
      </c>
      <c r="S2612" t="str">
        <f t="shared" si="780"/>
        <v>22:21:04.000</v>
      </c>
      <c r="T2612" t="str">
        <f t="shared" si="780"/>
        <v>22:21:04.000</v>
      </c>
      <c r="U2612" t="str">
        <f t="shared" si="766"/>
        <v>A9D71F</v>
      </c>
      <c r="V2612">
        <v>0</v>
      </c>
      <c r="W2612">
        <v>0</v>
      </c>
      <c r="X2612">
        <v>2</v>
      </c>
      <c r="Z2612">
        <v>1</v>
      </c>
      <c r="AA2612">
        <v>8</v>
      </c>
      <c r="AB2612">
        <v>3</v>
      </c>
      <c r="AC2612">
        <v>0</v>
      </c>
      <c r="AD2612">
        <v>9</v>
      </c>
      <c r="AE2612">
        <v>0</v>
      </c>
      <c r="AF2612">
        <v>3</v>
      </c>
      <c r="AG2612">
        <v>1</v>
      </c>
      <c r="AH2612">
        <v>0</v>
      </c>
      <c r="AI2612" t="s">
        <v>1331</v>
      </c>
      <c r="AJ2612">
        <v>33.015718</v>
      </c>
      <c r="AK2612" t="s">
        <v>1332</v>
      </c>
      <c r="AL2612">
        <v>-97.657599000000005</v>
      </c>
      <c r="AM2612">
        <v>25</v>
      </c>
      <c r="AN2612">
        <v>2100</v>
      </c>
      <c r="AO2612" t="s">
        <v>118</v>
      </c>
      <c r="AP2612">
        <v>84</v>
      </c>
      <c r="AQ2612">
        <v>-47</v>
      </c>
      <c r="AR2612">
        <v>-448</v>
      </c>
      <c r="AZ2612">
        <v>7200</v>
      </c>
      <c r="BA2612">
        <v>1</v>
      </c>
      <c r="BB2612" t="str">
        <f t="shared" si="773"/>
        <v xml:space="preserve">N733KP  </v>
      </c>
      <c r="BC2612">
        <v>1</v>
      </c>
      <c r="BE2612">
        <v>0</v>
      </c>
      <c r="BF2612">
        <v>0</v>
      </c>
      <c r="BG2612">
        <v>0</v>
      </c>
      <c r="BH2612">
        <v>2075</v>
      </c>
      <c r="BI2612">
        <v>1</v>
      </c>
      <c r="BJ2612">
        <v>1</v>
      </c>
      <c r="BK2612">
        <v>0</v>
      </c>
      <c r="BL2612">
        <v>0</v>
      </c>
      <c r="BO2612">
        <v>0</v>
      </c>
      <c r="BP2612">
        <v>0</v>
      </c>
      <c r="BW2612" t="str">
        <f>"22:21:04.610"</f>
        <v>22:21:04.610</v>
      </c>
      <c r="CJ2612">
        <v>0</v>
      </c>
      <c r="CK2612">
        <v>2</v>
      </c>
      <c r="CL2612">
        <v>0</v>
      </c>
      <c r="CM2612">
        <v>2</v>
      </c>
      <c r="CN2612">
        <v>0</v>
      </c>
      <c r="CO2612">
        <v>7</v>
      </c>
      <c r="CP2612" t="s">
        <v>119</v>
      </c>
      <c r="CQ2612">
        <v>364</v>
      </c>
      <c r="CR2612">
        <v>0</v>
      </c>
      <c r="CW2612">
        <v>1467336</v>
      </c>
      <c r="CY2612">
        <v>1</v>
      </c>
      <c r="CZ2612">
        <v>0</v>
      </c>
      <c r="DA2612">
        <v>0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3">
      <c r="A2613" t="str">
        <f>"03/24/2022 22:21:06.143"</f>
        <v>03/24/2022 22:21:06.143</v>
      </c>
      <c r="C2613" t="str">
        <f t="shared" si="772"/>
        <v>FFDFD3C0</v>
      </c>
      <c r="D2613" t="s">
        <v>120</v>
      </c>
      <c r="E2613">
        <v>14</v>
      </c>
      <c r="F2613">
        <v>1014</v>
      </c>
      <c r="G2613" t="s">
        <v>121</v>
      </c>
      <c r="J2613" t="s">
        <v>122</v>
      </c>
      <c r="K2613">
        <v>0</v>
      </c>
      <c r="L2613">
        <v>3</v>
      </c>
      <c r="M2613">
        <v>0</v>
      </c>
      <c r="N2613">
        <v>2</v>
      </c>
      <c r="O2613">
        <v>0</v>
      </c>
      <c r="P2613">
        <v>1</v>
      </c>
      <c r="Q2613">
        <v>0</v>
      </c>
      <c r="S2613" t="str">
        <f t="shared" ref="S2613:T2616" si="781">"22:21:05.000"</f>
        <v>22:21:05.000</v>
      </c>
      <c r="T2613" t="str">
        <f t="shared" si="781"/>
        <v>22:21:05.000</v>
      </c>
      <c r="U2613" t="str">
        <f t="shared" si="766"/>
        <v>A9D71F</v>
      </c>
      <c r="V2613">
        <v>0</v>
      </c>
      <c r="W2613">
        <v>0</v>
      </c>
      <c r="X2613">
        <v>2</v>
      </c>
      <c r="Z2613">
        <v>1</v>
      </c>
      <c r="AA2613">
        <v>8</v>
      </c>
      <c r="AB2613">
        <v>3</v>
      </c>
      <c r="AC2613">
        <v>0</v>
      </c>
      <c r="AD2613">
        <v>9</v>
      </c>
      <c r="AE2613">
        <v>0</v>
      </c>
      <c r="AF2613">
        <v>3</v>
      </c>
      <c r="AG2613">
        <v>1</v>
      </c>
      <c r="AH2613">
        <v>0</v>
      </c>
      <c r="AI2613" t="s">
        <v>1314</v>
      </c>
      <c r="AJ2613">
        <v>33.015504</v>
      </c>
      <c r="AK2613" t="s">
        <v>1333</v>
      </c>
      <c r="AL2613">
        <v>-97.657105999999999</v>
      </c>
      <c r="AM2613">
        <v>25</v>
      </c>
      <c r="AN2613">
        <v>2100</v>
      </c>
      <c r="AO2613" t="s">
        <v>118</v>
      </c>
      <c r="AP2613">
        <v>75</v>
      </c>
      <c r="AQ2613">
        <v>-59</v>
      </c>
      <c r="AR2613">
        <v>-384</v>
      </c>
      <c r="AZ2613">
        <v>7200</v>
      </c>
      <c r="BA2613">
        <v>1</v>
      </c>
      <c r="BB2613" t="str">
        <f t="shared" si="773"/>
        <v xml:space="preserve">N733KP  </v>
      </c>
      <c r="BC2613">
        <v>1</v>
      </c>
      <c r="BE2613">
        <v>0</v>
      </c>
      <c r="BF2613">
        <v>0</v>
      </c>
      <c r="BG2613">
        <v>0</v>
      </c>
      <c r="BH2613">
        <v>2075</v>
      </c>
      <c r="BI2613">
        <v>1</v>
      </c>
      <c r="BJ2613">
        <v>1</v>
      </c>
      <c r="BK2613">
        <v>0</v>
      </c>
      <c r="BL2613">
        <v>0</v>
      </c>
      <c r="BO2613">
        <v>0</v>
      </c>
      <c r="BP2613">
        <v>0</v>
      </c>
      <c r="BW2613" t="str">
        <f>"22:21:05.910"</f>
        <v>22:21:05.910</v>
      </c>
      <c r="CJ2613">
        <v>0</v>
      </c>
      <c r="CK2613">
        <v>2</v>
      </c>
      <c r="CL2613">
        <v>0</v>
      </c>
      <c r="CM2613">
        <v>2</v>
      </c>
      <c r="CN2613">
        <v>0</v>
      </c>
      <c r="CO2613">
        <v>7</v>
      </c>
      <c r="CP2613" t="s">
        <v>119</v>
      </c>
      <c r="CQ2613">
        <v>364</v>
      </c>
      <c r="CR2613">
        <v>0</v>
      </c>
      <c r="CW2613">
        <v>1467523</v>
      </c>
      <c r="CY2613">
        <v>1</v>
      </c>
      <c r="CZ2613">
        <v>0</v>
      </c>
      <c r="DA2613">
        <v>0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3">
      <c r="A2614" t="str">
        <f>"03/24/2022 22:21:06.143"</f>
        <v>03/24/2022 22:21:06.143</v>
      </c>
      <c r="C2614" t="str">
        <f t="shared" si="772"/>
        <v>FFDFD3C0</v>
      </c>
      <c r="D2614" t="s">
        <v>123</v>
      </c>
      <c r="E2614">
        <v>8</v>
      </c>
      <c r="H2614">
        <v>31</v>
      </c>
      <c r="I2614" t="s">
        <v>124</v>
      </c>
      <c r="J2614" t="s">
        <v>125</v>
      </c>
      <c r="K2614">
        <v>0</v>
      </c>
      <c r="L2614">
        <v>3</v>
      </c>
      <c r="M2614">
        <v>0</v>
      </c>
      <c r="N2614">
        <v>2</v>
      </c>
      <c r="O2614">
        <v>0</v>
      </c>
      <c r="P2614">
        <v>1</v>
      </c>
      <c r="Q2614">
        <v>0</v>
      </c>
      <c r="S2614" t="str">
        <f t="shared" si="781"/>
        <v>22:21:05.000</v>
      </c>
      <c r="T2614" t="str">
        <f t="shared" si="781"/>
        <v>22:21:05.000</v>
      </c>
      <c r="U2614" t="str">
        <f t="shared" si="766"/>
        <v>A9D71F</v>
      </c>
      <c r="V2614">
        <v>0</v>
      </c>
      <c r="W2614">
        <v>0</v>
      </c>
      <c r="X2614">
        <v>2</v>
      </c>
      <c r="Z2614">
        <v>1</v>
      </c>
      <c r="AA2614">
        <v>8</v>
      </c>
      <c r="AB2614">
        <v>3</v>
      </c>
      <c r="AC2614">
        <v>0</v>
      </c>
      <c r="AD2614">
        <v>9</v>
      </c>
      <c r="AE2614">
        <v>0</v>
      </c>
      <c r="AF2614">
        <v>3</v>
      </c>
      <c r="AG2614">
        <v>1</v>
      </c>
      <c r="AH2614">
        <v>0</v>
      </c>
      <c r="AI2614" t="s">
        <v>1314</v>
      </c>
      <c r="AJ2614">
        <v>33.015504</v>
      </c>
      <c r="AK2614" t="s">
        <v>1333</v>
      </c>
      <c r="AL2614">
        <v>-97.657105999999999</v>
      </c>
      <c r="AM2614">
        <v>25</v>
      </c>
      <c r="AN2614">
        <v>2100</v>
      </c>
      <c r="AO2614" t="s">
        <v>118</v>
      </c>
      <c r="AP2614">
        <v>75</v>
      </c>
      <c r="AQ2614">
        <v>-59</v>
      </c>
      <c r="AR2614">
        <v>-384</v>
      </c>
      <c r="AZ2614">
        <v>7200</v>
      </c>
      <c r="BA2614">
        <v>1</v>
      </c>
      <c r="BB2614" t="str">
        <f t="shared" si="773"/>
        <v xml:space="preserve">N733KP  </v>
      </c>
      <c r="BC2614">
        <v>1</v>
      </c>
      <c r="BE2614">
        <v>0</v>
      </c>
      <c r="BF2614">
        <v>0</v>
      </c>
      <c r="BG2614">
        <v>0</v>
      </c>
      <c r="BH2614">
        <v>2075</v>
      </c>
      <c r="BI2614">
        <v>1</v>
      </c>
      <c r="BJ2614">
        <v>1</v>
      </c>
      <c r="BK2614">
        <v>0</v>
      </c>
      <c r="BL2614">
        <v>0</v>
      </c>
      <c r="BO2614">
        <v>0</v>
      </c>
      <c r="BP2614">
        <v>0</v>
      </c>
      <c r="BW2614" t="str">
        <f>"22:21:05.910"</f>
        <v>22:21:05.910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7</v>
      </c>
      <c r="CP2614" t="s">
        <v>119</v>
      </c>
      <c r="CQ2614">
        <v>364</v>
      </c>
      <c r="CR2614">
        <v>0</v>
      </c>
      <c r="CW2614">
        <v>1467523</v>
      </c>
      <c r="CY2614">
        <v>1</v>
      </c>
      <c r="CZ2614">
        <v>0</v>
      </c>
      <c r="DA2614">
        <v>1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3">
      <c r="A2615" t="str">
        <f>"03/24/2022 22:21:06.143"</f>
        <v>03/24/2022 22:21:06.143</v>
      </c>
      <c r="C2615" t="str">
        <f t="shared" si="772"/>
        <v>FFDFD3C0</v>
      </c>
      <c r="D2615" t="s">
        <v>126</v>
      </c>
      <c r="E2615">
        <v>3</v>
      </c>
      <c r="H2615">
        <v>160</v>
      </c>
      <c r="I2615" t="s">
        <v>121</v>
      </c>
      <c r="J2615" t="s">
        <v>127</v>
      </c>
      <c r="K2615">
        <v>0</v>
      </c>
      <c r="L2615">
        <v>3</v>
      </c>
      <c r="M2615">
        <v>0</v>
      </c>
      <c r="N2615">
        <v>2</v>
      </c>
      <c r="O2615">
        <v>0</v>
      </c>
      <c r="P2615">
        <v>1</v>
      </c>
      <c r="Q2615">
        <v>0</v>
      </c>
      <c r="S2615" t="str">
        <f t="shared" si="781"/>
        <v>22:21:05.000</v>
      </c>
      <c r="T2615" t="str">
        <f t="shared" si="781"/>
        <v>22:21:05.000</v>
      </c>
      <c r="U2615" t="str">
        <f t="shared" si="766"/>
        <v>A9D71F</v>
      </c>
      <c r="V2615">
        <v>0</v>
      </c>
      <c r="W2615">
        <v>0</v>
      </c>
      <c r="X2615">
        <v>2</v>
      </c>
      <c r="Z2615">
        <v>1</v>
      </c>
      <c r="AA2615">
        <v>8</v>
      </c>
      <c r="AB2615">
        <v>3</v>
      </c>
      <c r="AC2615">
        <v>0</v>
      </c>
      <c r="AD2615">
        <v>9</v>
      </c>
      <c r="AE2615">
        <v>0</v>
      </c>
      <c r="AF2615">
        <v>3</v>
      </c>
      <c r="AG2615">
        <v>1</v>
      </c>
      <c r="AH2615">
        <v>0</v>
      </c>
      <c r="AI2615" t="s">
        <v>1314</v>
      </c>
      <c r="AJ2615">
        <v>33.015504</v>
      </c>
      <c r="AK2615" t="s">
        <v>1333</v>
      </c>
      <c r="AL2615">
        <v>-97.657105999999999</v>
      </c>
      <c r="AM2615">
        <v>25</v>
      </c>
      <c r="AN2615">
        <v>2100</v>
      </c>
      <c r="AO2615" t="s">
        <v>118</v>
      </c>
      <c r="AP2615">
        <v>75</v>
      </c>
      <c r="AQ2615">
        <v>-59</v>
      </c>
      <c r="AR2615">
        <v>-384</v>
      </c>
      <c r="AZ2615">
        <v>7200</v>
      </c>
      <c r="BA2615">
        <v>1</v>
      </c>
      <c r="BB2615" t="str">
        <f t="shared" si="773"/>
        <v xml:space="preserve">N733KP  </v>
      </c>
      <c r="BC2615">
        <v>1</v>
      </c>
      <c r="BE2615">
        <v>0</v>
      </c>
      <c r="BF2615">
        <v>0</v>
      </c>
      <c r="BG2615">
        <v>0</v>
      </c>
      <c r="BH2615">
        <v>2075</v>
      </c>
      <c r="BI2615">
        <v>1</v>
      </c>
      <c r="BJ2615">
        <v>1</v>
      </c>
      <c r="BK2615">
        <v>0</v>
      </c>
      <c r="BL2615">
        <v>0</v>
      </c>
      <c r="BO2615">
        <v>0</v>
      </c>
      <c r="BP2615">
        <v>0</v>
      </c>
      <c r="BW2615" t="str">
        <f>"22:21:05.910"</f>
        <v>22:21:05.910</v>
      </c>
      <c r="CJ2615">
        <v>0</v>
      </c>
      <c r="CK2615">
        <v>2</v>
      </c>
      <c r="CL2615">
        <v>0</v>
      </c>
      <c r="CM2615">
        <v>2</v>
      </c>
      <c r="CN2615">
        <v>0</v>
      </c>
      <c r="CO2615">
        <v>7</v>
      </c>
      <c r="CP2615" t="s">
        <v>119</v>
      </c>
      <c r="CQ2615">
        <v>364</v>
      </c>
      <c r="CR2615">
        <v>0</v>
      </c>
      <c r="CW2615">
        <v>1467523</v>
      </c>
      <c r="CY2615">
        <v>1</v>
      </c>
      <c r="CZ2615">
        <v>0</v>
      </c>
      <c r="DA2615">
        <v>1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3">
      <c r="A2616" t="str">
        <f>"03/24/2022 22:21:06.143"</f>
        <v>03/24/2022 22:21:06.143</v>
      </c>
      <c r="C2616" t="str">
        <f t="shared" si="772"/>
        <v>FFDFD3C0</v>
      </c>
      <c r="D2616" t="s">
        <v>113</v>
      </c>
      <c r="E2616">
        <v>24</v>
      </c>
      <c r="F2616">
        <v>2024</v>
      </c>
      <c r="G2616" t="s">
        <v>114</v>
      </c>
      <c r="J2616" t="s">
        <v>115</v>
      </c>
      <c r="K2616">
        <v>0</v>
      </c>
      <c r="L2616">
        <v>3</v>
      </c>
      <c r="M2616">
        <v>0</v>
      </c>
      <c r="N2616">
        <v>2</v>
      </c>
      <c r="O2616">
        <v>0</v>
      </c>
      <c r="P2616">
        <v>1</v>
      </c>
      <c r="Q2616">
        <v>0</v>
      </c>
      <c r="S2616" t="str">
        <f t="shared" si="781"/>
        <v>22:21:05.000</v>
      </c>
      <c r="T2616" t="str">
        <f t="shared" si="781"/>
        <v>22:21:05.000</v>
      </c>
      <c r="U2616" t="str">
        <f t="shared" si="766"/>
        <v>A9D71F</v>
      </c>
      <c r="V2616">
        <v>0</v>
      </c>
      <c r="W2616">
        <v>0</v>
      </c>
      <c r="X2616">
        <v>2</v>
      </c>
      <c r="Z2616">
        <v>1</v>
      </c>
      <c r="AA2616">
        <v>8</v>
      </c>
      <c r="AB2616">
        <v>3</v>
      </c>
      <c r="AC2616">
        <v>0</v>
      </c>
      <c r="AD2616">
        <v>9</v>
      </c>
      <c r="AE2616">
        <v>0</v>
      </c>
      <c r="AF2616">
        <v>3</v>
      </c>
      <c r="AG2616">
        <v>1</v>
      </c>
      <c r="AH2616">
        <v>0</v>
      </c>
      <c r="AI2616" t="s">
        <v>1314</v>
      </c>
      <c r="AJ2616">
        <v>33.015504</v>
      </c>
      <c r="AK2616" t="s">
        <v>1333</v>
      </c>
      <c r="AL2616">
        <v>-97.657105999999999</v>
      </c>
      <c r="AM2616">
        <v>25</v>
      </c>
      <c r="AN2616">
        <v>2100</v>
      </c>
      <c r="AO2616" t="s">
        <v>118</v>
      </c>
      <c r="AP2616">
        <v>75</v>
      </c>
      <c r="AQ2616">
        <v>-59</v>
      </c>
      <c r="AR2616">
        <v>-384</v>
      </c>
      <c r="AZ2616">
        <v>7200</v>
      </c>
      <c r="BA2616">
        <v>1</v>
      </c>
      <c r="BB2616" t="str">
        <f t="shared" si="773"/>
        <v xml:space="preserve">N733KP  </v>
      </c>
      <c r="BC2616">
        <v>1</v>
      </c>
      <c r="BE2616">
        <v>0</v>
      </c>
      <c r="BF2616">
        <v>0</v>
      </c>
      <c r="BG2616">
        <v>0</v>
      </c>
      <c r="BH2616">
        <v>2075</v>
      </c>
      <c r="BI2616">
        <v>1</v>
      </c>
      <c r="BJ2616">
        <v>1</v>
      </c>
      <c r="BK2616">
        <v>0</v>
      </c>
      <c r="BL2616">
        <v>0</v>
      </c>
      <c r="BO2616">
        <v>0</v>
      </c>
      <c r="BP2616">
        <v>0</v>
      </c>
      <c r="BW2616" t="str">
        <f>"22:21:05.910"</f>
        <v>22:21:05.910</v>
      </c>
      <c r="CJ2616">
        <v>0</v>
      </c>
      <c r="CK2616">
        <v>2</v>
      </c>
      <c r="CL2616">
        <v>0</v>
      </c>
      <c r="CM2616">
        <v>2</v>
      </c>
      <c r="CN2616">
        <v>0</v>
      </c>
      <c r="CO2616">
        <v>7</v>
      </c>
      <c r="CP2616" t="s">
        <v>119</v>
      </c>
      <c r="CQ2616">
        <v>364</v>
      </c>
      <c r="CR2616">
        <v>0</v>
      </c>
      <c r="CW2616">
        <v>1467523</v>
      </c>
      <c r="CY2616">
        <v>1</v>
      </c>
      <c r="CZ2616">
        <v>0</v>
      </c>
      <c r="DA2616">
        <v>1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3">
      <c r="A2617" t="str">
        <f>"03/24/2022 22:21:07.269"</f>
        <v>03/24/2022 22:21:07.269</v>
      </c>
      <c r="C2617" t="str">
        <f t="shared" si="772"/>
        <v>FFDFD3C0</v>
      </c>
      <c r="D2617" t="s">
        <v>123</v>
      </c>
      <c r="E2617">
        <v>8</v>
      </c>
      <c r="H2617">
        <v>31</v>
      </c>
      <c r="I2617" t="s">
        <v>124</v>
      </c>
      <c r="J2617" t="s">
        <v>125</v>
      </c>
      <c r="K2617">
        <v>0</v>
      </c>
      <c r="L2617">
        <v>3</v>
      </c>
      <c r="M2617">
        <v>0</v>
      </c>
      <c r="N2617">
        <v>2</v>
      </c>
      <c r="O2617">
        <v>0</v>
      </c>
      <c r="P2617">
        <v>1</v>
      </c>
      <c r="Q2617">
        <v>0</v>
      </c>
      <c r="S2617" t="str">
        <f t="shared" ref="S2617:T2620" si="782">"22:21:06.000"</f>
        <v>22:21:06.000</v>
      </c>
      <c r="T2617" t="str">
        <f t="shared" si="782"/>
        <v>22:21:06.000</v>
      </c>
      <c r="U2617" t="str">
        <f t="shared" si="766"/>
        <v>A9D71F</v>
      </c>
      <c r="V2617">
        <v>0</v>
      </c>
      <c r="W2617">
        <v>0</v>
      </c>
      <c r="X2617">
        <v>2</v>
      </c>
      <c r="Z2617">
        <v>1</v>
      </c>
      <c r="AA2617">
        <v>8</v>
      </c>
      <c r="AB2617">
        <v>3</v>
      </c>
      <c r="AC2617">
        <v>0</v>
      </c>
      <c r="AD2617">
        <v>9</v>
      </c>
      <c r="AE2617">
        <v>0</v>
      </c>
      <c r="AF2617">
        <v>3</v>
      </c>
      <c r="AG2617">
        <v>1</v>
      </c>
      <c r="AH2617">
        <v>0</v>
      </c>
      <c r="AI2617" t="s">
        <v>1334</v>
      </c>
      <c r="AJ2617">
        <v>33.015245999999998</v>
      </c>
      <c r="AK2617" t="s">
        <v>1075</v>
      </c>
      <c r="AL2617">
        <v>-97.656677000000002</v>
      </c>
      <c r="AM2617">
        <v>25</v>
      </c>
      <c r="AN2617">
        <v>2100</v>
      </c>
      <c r="AO2617" t="s">
        <v>118</v>
      </c>
      <c r="AP2617">
        <v>67</v>
      </c>
      <c r="AQ2617">
        <v>-67</v>
      </c>
      <c r="AR2617">
        <v>-384</v>
      </c>
      <c r="AZ2617">
        <v>7200</v>
      </c>
      <c r="BA2617">
        <v>1</v>
      </c>
      <c r="BB2617" t="str">
        <f t="shared" si="773"/>
        <v xml:space="preserve">N733KP  </v>
      </c>
      <c r="BC2617">
        <v>1</v>
      </c>
      <c r="BE2617">
        <v>0</v>
      </c>
      <c r="BF2617">
        <v>0</v>
      </c>
      <c r="BG2617">
        <v>1</v>
      </c>
      <c r="BH2617">
        <v>2075</v>
      </c>
      <c r="BI2617">
        <v>1</v>
      </c>
      <c r="BJ2617">
        <v>1</v>
      </c>
      <c r="BK2617">
        <v>0</v>
      </c>
      <c r="BL2617">
        <v>0</v>
      </c>
      <c r="BO2617">
        <v>0</v>
      </c>
      <c r="BP2617">
        <v>0</v>
      </c>
      <c r="BW2617" t="str">
        <f>"22:21:06.966"</f>
        <v>22:21:06.966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6</v>
      </c>
      <c r="CP2617" t="s">
        <v>119</v>
      </c>
      <c r="CQ2617">
        <v>364</v>
      </c>
      <c r="CR2617">
        <v>0</v>
      </c>
      <c r="CW2617">
        <v>1467677</v>
      </c>
      <c r="CY2617">
        <v>1</v>
      </c>
      <c r="CZ2617">
        <v>0</v>
      </c>
      <c r="DA2617">
        <v>0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3">
      <c r="A2618" t="str">
        <f>"03/24/2022 22:21:07.269"</f>
        <v>03/24/2022 22:21:07.269</v>
      </c>
      <c r="C2618" t="str">
        <f t="shared" si="772"/>
        <v>FFDFD3C0</v>
      </c>
      <c r="D2618" t="s">
        <v>120</v>
      </c>
      <c r="E2618">
        <v>14</v>
      </c>
      <c r="F2618">
        <v>1014</v>
      </c>
      <c r="G2618" t="s">
        <v>121</v>
      </c>
      <c r="J2618" t="s">
        <v>122</v>
      </c>
      <c r="K2618">
        <v>0</v>
      </c>
      <c r="L2618">
        <v>3</v>
      </c>
      <c r="M2618">
        <v>0</v>
      </c>
      <c r="N2618">
        <v>2</v>
      </c>
      <c r="O2618">
        <v>0</v>
      </c>
      <c r="P2618">
        <v>1</v>
      </c>
      <c r="Q2618">
        <v>0</v>
      </c>
      <c r="S2618" t="str">
        <f t="shared" si="782"/>
        <v>22:21:06.000</v>
      </c>
      <c r="T2618" t="str">
        <f t="shared" si="782"/>
        <v>22:21:06.000</v>
      </c>
      <c r="U2618" t="str">
        <f t="shared" si="766"/>
        <v>A9D71F</v>
      </c>
      <c r="V2618">
        <v>0</v>
      </c>
      <c r="W2618">
        <v>0</v>
      </c>
      <c r="X2618">
        <v>2</v>
      </c>
      <c r="Z2618">
        <v>1</v>
      </c>
      <c r="AA2618">
        <v>8</v>
      </c>
      <c r="AB2618">
        <v>3</v>
      </c>
      <c r="AC2618">
        <v>0</v>
      </c>
      <c r="AD2618">
        <v>9</v>
      </c>
      <c r="AE2618">
        <v>0</v>
      </c>
      <c r="AF2618">
        <v>3</v>
      </c>
      <c r="AG2618">
        <v>1</v>
      </c>
      <c r="AH2618">
        <v>0</v>
      </c>
      <c r="AI2618" t="s">
        <v>1334</v>
      </c>
      <c r="AJ2618">
        <v>33.015245999999998</v>
      </c>
      <c r="AK2618" t="s">
        <v>1075</v>
      </c>
      <c r="AL2618">
        <v>-97.656677000000002</v>
      </c>
      <c r="AM2618">
        <v>25</v>
      </c>
      <c r="AN2618">
        <v>2100</v>
      </c>
      <c r="AO2618" t="s">
        <v>118</v>
      </c>
      <c r="AP2618">
        <v>67</v>
      </c>
      <c r="AQ2618">
        <v>-67</v>
      </c>
      <c r="AR2618">
        <v>-384</v>
      </c>
      <c r="AZ2618">
        <v>7200</v>
      </c>
      <c r="BA2618">
        <v>1</v>
      </c>
      <c r="BB2618" t="str">
        <f t="shared" si="773"/>
        <v xml:space="preserve">N733KP  </v>
      </c>
      <c r="BC2618">
        <v>1</v>
      </c>
      <c r="BE2618">
        <v>0</v>
      </c>
      <c r="BF2618">
        <v>0</v>
      </c>
      <c r="BG2618">
        <v>1</v>
      </c>
      <c r="BH2618">
        <v>2075</v>
      </c>
      <c r="BI2618">
        <v>1</v>
      </c>
      <c r="BJ2618">
        <v>1</v>
      </c>
      <c r="BK2618">
        <v>0</v>
      </c>
      <c r="BL2618">
        <v>0</v>
      </c>
      <c r="BO2618">
        <v>0</v>
      </c>
      <c r="BP2618">
        <v>0</v>
      </c>
      <c r="BW2618" t="str">
        <f>"22:21:06.966"</f>
        <v>22:21:06.966</v>
      </c>
      <c r="CJ2618">
        <v>0</v>
      </c>
      <c r="CK2618">
        <v>2</v>
      </c>
      <c r="CL2618">
        <v>0</v>
      </c>
      <c r="CM2618">
        <v>2</v>
      </c>
      <c r="CN2618">
        <v>0</v>
      </c>
      <c r="CO2618">
        <v>6</v>
      </c>
      <c r="CP2618" t="s">
        <v>119</v>
      </c>
      <c r="CQ2618">
        <v>364</v>
      </c>
      <c r="CR2618">
        <v>0</v>
      </c>
      <c r="CW2618">
        <v>1467677</v>
      </c>
      <c r="CY2618">
        <v>1</v>
      </c>
      <c r="CZ2618">
        <v>0</v>
      </c>
      <c r="DA2618">
        <v>1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3">
      <c r="A2619" t="str">
        <f>"03/24/2022 22:21:07.269"</f>
        <v>03/24/2022 22:21:07.269</v>
      </c>
      <c r="C2619" t="str">
        <f t="shared" si="772"/>
        <v>FFDFD3C0</v>
      </c>
      <c r="D2619" t="s">
        <v>126</v>
      </c>
      <c r="E2619">
        <v>3</v>
      </c>
      <c r="H2619">
        <v>160</v>
      </c>
      <c r="I2619" t="s">
        <v>121</v>
      </c>
      <c r="J2619" t="s">
        <v>127</v>
      </c>
      <c r="K2619">
        <v>0</v>
      </c>
      <c r="L2619">
        <v>3</v>
      </c>
      <c r="M2619">
        <v>0</v>
      </c>
      <c r="N2619">
        <v>2</v>
      </c>
      <c r="O2619">
        <v>0</v>
      </c>
      <c r="P2619">
        <v>1</v>
      </c>
      <c r="Q2619">
        <v>0</v>
      </c>
      <c r="S2619" t="str">
        <f t="shared" si="782"/>
        <v>22:21:06.000</v>
      </c>
      <c r="T2619" t="str">
        <f t="shared" si="782"/>
        <v>22:21:06.000</v>
      </c>
      <c r="U2619" t="str">
        <f t="shared" si="766"/>
        <v>A9D71F</v>
      </c>
      <c r="V2619">
        <v>0</v>
      </c>
      <c r="W2619">
        <v>0</v>
      </c>
      <c r="X2619">
        <v>2</v>
      </c>
      <c r="Z2619">
        <v>1</v>
      </c>
      <c r="AA2619">
        <v>8</v>
      </c>
      <c r="AB2619">
        <v>3</v>
      </c>
      <c r="AC2619">
        <v>0</v>
      </c>
      <c r="AD2619">
        <v>9</v>
      </c>
      <c r="AE2619">
        <v>0</v>
      </c>
      <c r="AF2619">
        <v>3</v>
      </c>
      <c r="AG2619">
        <v>1</v>
      </c>
      <c r="AH2619">
        <v>0</v>
      </c>
      <c r="AI2619" t="s">
        <v>1334</v>
      </c>
      <c r="AJ2619">
        <v>33.015245999999998</v>
      </c>
      <c r="AK2619" t="s">
        <v>1075</v>
      </c>
      <c r="AL2619">
        <v>-97.656677000000002</v>
      </c>
      <c r="AM2619">
        <v>25</v>
      </c>
      <c r="AN2619">
        <v>2100</v>
      </c>
      <c r="AO2619" t="s">
        <v>118</v>
      </c>
      <c r="AP2619">
        <v>67</v>
      </c>
      <c r="AQ2619">
        <v>-67</v>
      </c>
      <c r="AR2619">
        <v>-384</v>
      </c>
      <c r="AZ2619">
        <v>7200</v>
      </c>
      <c r="BA2619">
        <v>1</v>
      </c>
      <c r="BB2619" t="str">
        <f t="shared" si="773"/>
        <v xml:space="preserve">N733KP  </v>
      </c>
      <c r="BC2619">
        <v>1</v>
      </c>
      <c r="BE2619">
        <v>0</v>
      </c>
      <c r="BF2619">
        <v>0</v>
      </c>
      <c r="BG2619">
        <v>1</v>
      </c>
      <c r="BH2619">
        <v>2075</v>
      </c>
      <c r="BI2619">
        <v>1</v>
      </c>
      <c r="BJ2619">
        <v>1</v>
      </c>
      <c r="BK2619">
        <v>0</v>
      </c>
      <c r="BL2619">
        <v>0</v>
      </c>
      <c r="BO2619">
        <v>0</v>
      </c>
      <c r="BP2619">
        <v>0</v>
      </c>
      <c r="BW2619" t="str">
        <f>"22:21:06.966"</f>
        <v>22:21:06.966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6</v>
      </c>
      <c r="CP2619" t="s">
        <v>119</v>
      </c>
      <c r="CQ2619">
        <v>364</v>
      </c>
      <c r="CR2619">
        <v>0</v>
      </c>
      <c r="CW2619">
        <v>1467677</v>
      </c>
      <c r="CY2619">
        <v>1</v>
      </c>
      <c r="CZ2619">
        <v>0</v>
      </c>
      <c r="DA2619">
        <v>1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3">
      <c r="A2620" t="str">
        <f>"03/24/2022 22:21:07.269"</f>
        <v>03/24/2022 22:21:07.269</v>
      </c>
      <c r="C2620" t="str">
        <f t="shared" si="772"/>
        <v>FFDFD3C0</v>
      </c>
      <c r="D2620" t="s">
        <v>113</v>
      </c>
      <c r="E2620">
        <v>24</v>
      </c>
      <c r="F2620">
        <v>2024</v>
      </c>
      <c r="G2620" t="s">
        <v>114</v>
      </c>
      <c r="J2620" t="s">
        <v>115</v>
      </c>
      <c r="K2620">
        <v>0</v>
      </c>
      <c r="L2620">
        <v>3</v>
      </c>
      <c r="M2620">
        <v>0</v>
      </c>
      <c r="N2620">
        <v>2</v>
      </c>
      <c r="O2620">
        <v>0</v>
      </c>
      <c r="P2620">
        <v>1</v>
      </c>
      <c r="Q2620">
        <v>0</v>
      </c>
      <c r="S2620" t="str">
        <f t="shared" si="782"/>
        <v>22:21:06.000</v>
      </c>
      <c r="T2620" t="str">
        <f t="shared" si="782"/>
        <v>22:21:06.000</v>
      </c>
      <c r="U2620" t="str">
        <f t="shared" si="766"/>
        <v>A9D71F</v>
      </c>
      <c r="V2620">
        <v>0</v>
      </c>
      <c r="W2620">
        <v>0</v>
      </c>
      <c r="X2620">
        <v>2</v>
      </c>
      <c r="Z2620">
        <v>1</v>
      </c>
      <c r="AA2620">
        <v>8</v>
      </c>
      <c r="AB2620">
        <v>3</v>
      </c>
      <c r="AC2620">
        <v>0</v>
      </c>
      <c r="AD2620">
        <v>9</v>
      </c>
      <c r="AE2620">
        <v>0</v>
      </c>
      <c r="AF2620">
        <v>3</v>
      </c>
      <c r="AG2620">
        <v>1</v>
      </c>
      <c r="AH2620">
        <v>0</v>
      </c>
      <c r="AI2620" t="s">
        <v>1334</v>
      </c>
      <c r="AJ2620">
        <v>33.015245999999998</v>
      </c>
      <c r="AK2620" t="s">
        <v>1075</v>
      </c>
      <c r="AL2620">
        <v>-97.656677000000002</v>
      </c>
      <c r="AM2620">
        <v>25</v>
      </c>
      <c r="AN2620">
        <v>2100</v>
      </c>
      <c r="AO2620" t="s">
        <v>118</v>
      </c>
      <c r="AP2620">
        <v>67</v>
      </c>
      <c r="AQ2620">
        <v>-67</v>
      </c>
      <c r="AR2620">
        <v>-384</v>
      </c>
      <c r="AZ2620">
        <v>7200</v>
      </c>
      <c r="BA2620">
        <v>1</v>
      </c>
      <c r="BB2620" t="str">
        <f t="shared" si="773"/>
        <v xml:space="preserve">N733KP  </v>
      </c>
      <c r="BC2620">
        <v>1</v>
      </c>
      <c r="BE2620">
        <v>0</v>
      </c>
      <c r="BF2620">
        <v>0</v>
      </c>
      <c r="BG2620">
        <v>1</v>
      </c>
      <c r="BH2620">
        <v>2075</v>
      </c>
      <c r="BI2620">
        <v>1</v>
      </c>
      <c r="BJ2620">
        <v>1</v>
      </c>
      <c r="BK2620">
        <v>0</v>
      </c>
      <c r="BL2620">
        <v>0</v>
      </c>
      <c r="BO2620">
        <v>0</v>
      </c>
      <c r="BP2620">
        <v>0</v>
      </c>
      <c r="BW2620" t="str">
        <f>"22:21:06.966"</f>
        <v>22:21:06.966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6</v>
      </c>
      <c r="CP2620" t="s">
        <v>119</v>
      </c>
      <c r="CQ2620">
        <v>364</v>
      </c>
      <c r="CR2620">
        <v>0</v>
      </c>
      <c r="CW2620">
        <v>1467677</v>
      </c>
      <c r="CY2620">
        <v>1</v>
      </c>
      <c r="CZ2620">
        <v>0</v>
      </c>
      <c r="DA2620">
        <v>1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3">
      <c r="A2621" t="str">
        <f>"03/24/2022 22:21:08.098"</f>
        <v>03/24/2022 22:21:08.098</v>
      </c>
      <c r="C2621" t="str">
        <f t="shared" si="772"/>
        <v>FFDFD3C0</v>
      </c>
      <c r="D2621" t="s">
        <v>126</v>
      </c>
      <c r="E2621">
        <v>3</v>
      </c>
      <c r="H2621">
        <v>160</v>
      </c>
      <c r="I2621" t="s">
        <v>121</v>
      </c>
      <c r="J2621" t="s">
        <v>127</v>
      </c>
      <c r="K2621">
        <v>0</v>
      </c>
      <c r="L2621">
        <v>3</v>
      </c>
      <c r="M2621">
        <v>0</v>
      </c>
      <c r="N2621">
        <v>2</v>
      </c>
      <c r="O2621">
        <v>0</v>
      </c>
      <c r="P2621">
        <v>1</v>
      </c>
      <c r="Q2621">
        <v>0</v>
      </c>
      <c r="S2621" t="str">
        <f t="shared" ref="S2621:T2624" si="783">"22:21:07.000"</f>
        <v>22:21:07.000</v>
      </c>
      <c r="T2621" t="str">
        <f t="shared" si="783"/>
        <v>22:21:07.000</v>
      </c>
      <c r="U2621" t="str">
        <f t="shared" si="766"/>
        <v>A9D71F</v>
      </c>
      <c r="V2621">
        <v>0</v>
      </c>
      <c r="W2621">
        <v>0</v>
      </c>
      <c r="X2621">
        <v>2</v>
      </c>
      <c r="Z2621">
        <v>1</v>
      </c>
      <c r="AA2621">
        <v>8</v>
      </c>
      <c r="AB2621">
        <v>3</v>
      </c>
      <c r="AC2621">
        <v>0</v>
      </c>
      <c r="AD2621">
        <v>9</v>
      </c>
      <c r="AE2621">
        <v>0</v>
      </c>
      <c r="AF2621">
        <v>3</v>
      </c>
      <c r="AG2621">
        <v>1</v>
      </c>
      <c r="AH2621">
        <v>0</v>
      </c>
      <c r="AI2621" t="s">
        <v>1335</v>
      </c>
      <c r="AJ2621">
        <v>33.014966999999999</v>
      </c>
      <c r="AK2621" t="s">
        <v>1336</v>
      </c>
      <c r="AL2621">
        <v>-97.656312</v>
      </c>
      <c r="AM2621">
        <v>25</v>
      </c>
      <c r="AN2621">
        <v>2100</v>
      </c>
      <c r="AO2621" t="s">
        <v>118</v>
      </c>
      <c r="AP2621">
        <v>58</v>
      </c>
      <c r="AQ2621">
        <v>-72</v>
      </c>
      <c r="AR2621">
        <v>-384</v>
      </c>
      <c r="AZ2621">
        <v>7700</v>
      </c>
      <c r="BA2621">
        <v>1</v>
      </c>
      <c r="BB2621" t="str">
        <f t="shared" si="773"/>
        <v xml:space="preserve">N733KP  </v>
      </c>
      <c r="BC2621">
        <v>1</v>
      </c>
      <c r="BE2621">
        <v>0</v>
      </c>
      <c r="BF2621">
        <v>0</v>
      </c>
      <c r="BG2621">
        <v>1</v>
      </c>
      <c r="BH2621">
        <v>2075</v>
      </c>
      <c r="BI2621">
        <v>1</v>
      </c>
      <c r="BJ2621">
        <v>1</v>
      </c>
      <c r="BK2621">
        <v>0</v>
      </c>
      <c r="BL2621">
        <v>0</v>
      </c>
      <c r="BO2621">
        <v>0</v>
      </c>
      <c r="BP2621">
        <v>0</v>
      </c>
      <c r="BW2621" t="str">
        <f>"22:21:07.875"</f>
        <v>22:21:07.875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6</v>
      </c>
      <c r="CP2621" t="s">
        <v>119</v>
      </c>
      <c r="CQ2621">
        <v>364</v>
      </c>
      <c r="CR2621">
        <v>0</v>
      </c>
      <c r="CW2621">
        <v>1467809</v>
      </c>
      <c r="CY2621">
        <v>1</v>
      </c>
      <c r="CZ2621">
        <v>0</v>
      </c>
      <c r="DA2621">
        <v>0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3">
      <c r="A2622" t="str">
        <f>"03/24/2022 22:21:08.098"</f>
        <v>03/24/2022 22:21:08.098</v>
      </c>
      <c r="C2622" t="str">
        <f t="shared" si="772"/>
        <v>FFDFD3C0</v>
      </c>
      <c r="D2622" t="s">
        <v>113</v>
      </c>
      <c r="E2622">
        <v>24</v>
      </c>
      <c r="F2622">
        <v>2024</v>
      </c>
      <c r="G2622" t="s">
        <v>114</v>
      </c>
      <c r="J2622" t="s">
        <v>115</v>
      </c>
      <c r="K2622">
        <v>0</v>
      </c>
      <c r="L2622">
        <v>3</v>
      </c>
      <c r="M2622">
        <v>0</v>
      </c>
      <c r="N2622">
        <v>2</v>
      </c>
      <c r="O2622">
        <v>0</v>
      </c>
      <c r="P2622">
        <v>1</v>
      </c>
      <c r="Q2622">
        <v>0</v>
      </c>
      <c r="S2622" t="str">
        <f t="shared" si="783"/>
        <v>22:21:07.000</v>
      </c>
      <c r="T2622" t="str">
        <f t="shared" si="783"/>
        <v>22:21:07.000</v>
      </c>
      <c r="U2622" t="str">
        <f t="shared" si="766"/>
        <v>A9D71F</v>
      </c>
      <c r="V2622">
        <v>0</v>
      </c>
      <c r="W2622">
        <v>0</v>
      </c>
      <c r="X2622">
        <v>2</v>
      </c>
      <c r="Z2622">
        <v>1</v>
      </c>
      <c r="AA2622">
        <v>8</v>
      </c>
      <c r="AB2622">
        <v>3</v>
      </c>
      <c r="AC2622">
        <v>0</v>
      </c>
      <c r="AD2622">
        <v>9</v>
      </c>
      <c r="AE2622">
        <v>0</v>
      </c>
      <c r="AF2622">
        <v>3</v>
      </c>
      <c r="AG2622">
        <v>1</v>
      </c>
      <c r="AH2622">
        <v>0</v>
      </c>
      <c r="AI2622" t="s">
        <v>1335</v>
      </c>
      <c r="AJ2622">
        <v>33.014966999999999</v>
      </c>
      <c r="AK2622" t="s">
        <v>1336</v>
      </c>
      <c r="AL2622">
        <v>-97.656312</v>
      </c>
      <c r="AM2622">
        <v>25</v>
      </c>
      <c r="AN2622">
        <v>2100</v>
      </c>
      <c r="AO2622" t="s">
        <v>118</v>
      </c>
      <c r="AP2622">
        <v>58</v>
      </c>
      <c r="AQ2622">
        <v>-72</v>
      </c>
      <c r="AR2622">
        <v>-384</v>
      </c>
      <c r="AZ2622">
        <v>7700</v>
      </c>
      <c r="BA2622">
        <v>1</v>
      </c>
      <c r="BB2622" t="str">
        <f t="shared" si="773"/>
        <v xml:space="preserve">N733KP  </v>
      </c>
      <c r="BC2622">
        <v>1</v>
      </c>
      <c r="BE2622">
        <v>0</v>
      </c>
      <c r="BF2622">
        <v>0</v>
      </c>
      <c r="BG2622">
        <v>1</v>
      </c>
      <c r="BH2622">
        <v>2075</v>
      </c>
      <c r="BI2622">
        <v>1</v>
      </c>
      <c r="BJ2622">
        <v>1</v>
      </c>
      <c r="BK2622">
        <v>0</v>
      </c>
      <c r="BL2622">
        <v>0</v>
      </c>
      <c r="BO2622">
        <v>0</v>
      </c>
      <c r="BP2622">
        <v>0</v>
      </c>
      <c r="BW2622" t="str">
        <f>"22:21:07.875"</f>
        <v>22:21:07.875</v>
      </c>
      <c r="CJ2622">
        <v>0</v>
      </c>
      <c r="CK2622">
        <v>2</v>
      </c>
      <c r="CL2622">
        <v>0</v>
      </c>
      <c r="CM2622">
        <v>2</v>
      </c>
      <c r="CN2622">
        <v>0</v>
      </c>
      <c r="CO2622">
        <v>6</v>
      </c>
      <c r="CP2622" t="s">
        <v>119</v>
      </c>
      <c r="CQ2622">
        <v>364</v>
      </c>
      <c r="CR2622">
        <v>0</v>
      </c>
      <c r="CW2622">
        <v>1467809</v>
      </c>
      <c r="CY2622">
        <v>1</v>
      </c>
      <c r="CZ2622">
        <v>0</v>
      </c>
      <c r="DA2622">
        <v>1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3">
      <c r="A2623" t="str">
        <f>"03/24/2022 22:21:08.098"</f>
        <v>03/24/2022 22:21:08.098</v>
      </c>
      <c r="C2623" t="str">
        <f t="shared" si="772"/>
        <v>FFDFD3C0</v>
      </c>
      <c r="D2623" t="s">
        <v>123</v>
      </c>
      <c r="E2623">
        <v>8</v>
      </c>
      <c r="H2623">
        <v>31</v>
      </c>
      <c r="I2623" t="s">
        <v>124</v>
      </c>
      <c r="J2623" t="s">
        <v>125</v>
      </c>
      <c r="K2623">
        <v>0</v>
      </c>
      <c r="L2623">
        <v>3</v>
      </c>
      <c r="M2623">
        <v>0</v>
      </c>
      <c r="N2623">
        <v>2</v>
      </c>
      <c r="O2623">
        <v>0</v>
      </c>
      <c r="P2623">
        <v>1</v>
      </c>
      <c r="Q2623">
        <v>0</v>
      </c>
      <c r="S2623" t="str">
        <f t="shared" si="783"/>
        <v>22:21:07.000</v>
      </c>
      <c r="T2623" t="str">
        <f t="shared" si="783"/>
        <v>22:21:07.000</v>
      </c>
      <c r="U2623" t="str">
        <f t="shared" si="766"/>
        <v>A9D71F</v>
      </c>
      <c r="V2623">
        <v>0</v>
      </c>
      <c r="W2623">
        <v>0</v>
      </c>
      <c r="X2623">
        <v>2</v>
      </c>
      <c r="Z2623">
        <v>1</v>
      </c>
      <c r="AA2623">
        <v>8</v>
      </c>
      <c r="AB2623">
        <v>3</v>
      </c>
      <c r="AC2623">
        <v>0</v>
      </c>
      <c r="AD2623">
        <v>9</v>
      </c>
      <c r="AE2623">
        <v>0</v>
      </c>
      <c r="AF2623">
        <v>3</v>
      </c>
      <c r="AG2623">
        <v>1</v>
      </c>
      <c r="AH2623">
        <v>0</v>
      </c>
      <c r="AI2623" t="s">
        <v>1335</v>
      </c>
      <c r="AJ2623">
        <v>33.014966999999999</v>
      </c>
      <c r="AK2623" t="s">
        <v>1336</v>
      </c>
      <c r="AL2623">
        <v>-97.656312</v>
      </c>
      <c r="AM2623">
        <v>25</v>
      </c>
      <c r="AN2623">
        <v>2100</v>
      </c>
      <c r="AO2623" t="s">
        <v>118</v>
      </c>
      <c r="AP2623">
        <v>58</v>
      </c>
      <c r="AQ2623">
        <v>-72</v>
      </c>
      <c r="AR2623">
        <v>-384</v>
      </c>
      <c r="AZ2623">
        <v>7700</v>
      </c>
      <c r="BA2623">
        <v>1</v>
      </c>
      <c r="BB2623" t="str">
        <f t="shared" si="773"/>
        <v xml:space="preserve">N733KP  </v>
      </c>
      <c r="BC2623">
        <v>1</v>
      </c>
      <c r="BE2623">
        <v>0</v>
      </c>
      <c r="BF2623">
        <v>0</v>
      </c>
      <c r="BG2623">
        <v>1</v>
      </c>
      <c r="BH2623">
        <v>2075</v>
      </c>
      <c r="BI2623">
        <v>1</v>
      </c>
      <c r="BJ2623">
        <v>1</v>
      </c>
      <c r="BK2623">
        <v>0</v>
      </c>
      <c r="BL2623">
        <v>0</v>
      </c>
      <c r="BO2623">
        <v>0</v>
      </c>
      <c r="BP2623">
        <v>0</v>
      </c>
      <c r="BW2623" t="str">
        <f>"22:21:07.875"</f>
        <v>22:21:07.875</v>
      </c>
      <c r="CJ2623">
        <v>0</v>
      </c>
      <c r="CK2623">
        <v>2</v>
      </c>
      <c r="CL2623">
        <v>0</v>
      </c>
      <c r="CM2623">
        <v>2</v>
      </c>
      <c r="CN2623">
        <v>0</v>
      </c>
      <c r="CO2623">
        <v>6</v>
      </c>
      <c r="CP2623" t="s">
        <v>119</v>
      </c>
      <c r="CQ2623">
        <v>364</v>
      </c>
      <c r="CR2623">
        <v>0</v>
      </c>
      <c r="CW2623">
        <v>1467809</v>
      </c>
      <c r="CY2623">
        <v>1</v>
      </c>
      <c r="CZ2623">
        <v>0</v>
      </c>
      <c r="DA2623">
        <v>1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3">
      <c r="A2624" t="str">
        <f>"03/24/2022 22:21:08.098"</f>
        <v>03/24/2022 22:21:08.098</v>
      </c>
      <c r="C2624" t="str">
        <f t="shared" si="772"/>
        <v>FFDFD3C0</v>
      </c>
      <c r="D2624" t="s">
        <v>120</v>
      </c>
      <c r="E2624">
        <v>14</v>
      </c>
      <c r="F2624">
        <v>1014</v>
      </c>
      <c r="G2624" t="s">
        <v>121</v>
      </c>
      <c r="J2624" t="s">
        <v>122</v>
      </c>
      <c r="K2624">
        <v>0</v>
      </c>
      <c r="L2624">
        <v>3</v>
      </c>
      <c r="M2624">
        <v>0</v>
      </c>
      <c r="N2624">
        <v>2</v>
      </c>
      <c r="O2624">
        <v>0</v>
      </c>
      <c r="P2624">
        <v>1</v>
      </c>
      <c r="Q2624">
        <v>0</v>
      </c>
      <c r="S2624" t="str">
        <f t="shared" si="783"/>
        <v>22:21:07.000</v>
      </c>
      <c r="T2624" t="str">
        <f t="shared" si="783"/>
        <v>22:21:07.000</v>
      </c>
      <c r="U2624" t="str">
        <f t="shared" si="766"/>
        <v>A9D71F</v>
      </c>
      <c r="V2624">
        <v>0</v>
      </c>
      <c r="W2624">
        <v>0</v>
      </c>
      <c r="X2624">
        <v>2</v>
      </c>
      <c r="Z2624">
        <v>1</v>
      </c>
      <c r="AA2624">
        <v>8</v>
      </c>
      <c r="AB2624">
        <v>3</v>
      </c>
      <c r="AC2624">
        <v>0</v>
      </c>
      <c r="AD2624">
        <v>9</v>
      </c>
      <c r="AE2624">
        <v>0</v>
      </c>
      <c r="AF2624">
        <v>3</v>
      </c>
      <c r="AG2624">
        <v>1</v>
      </c>
      <c r="AH2624">
        <v>0</v>
      </c>
      <c r="AI2624" t="s">
        <v>1335</v>
      </c>
      <c r="AJ2624">
        <v>33.014966999999999</v>
      </c>
      <c r="AK2624" t="s">
        <v>1336</v>
      </c>
      <c r="AL2624">
        <v>-97.656312</v>
      </c>
      <c r="AM2624">
        <v>25</v>
      </c>
      <c r="AN2624">
        <v>2100</v>
      </c>
      <c r="AO2624" t="s">
        <v>118</v>
      </c>
      <c r="AP2624">
        <v>58</v>
      </c>
      <c r="AQ2624">
        <v>-72</v>
      </c>
      <c r="AR2624">
        <v>-384</v>
      </c>
      <c r="AZ2624">
        <v>7700</v>
      </c>
      <c r="BA2624">
        <v>1</v>
      </c>
      <c r="BB2624" t="str">
        <f t="shared" si="773"/>
        <v xml:space="preserve">N733KP  </v>
      </c>
      <c r="BC2624">
        <v>1</v>
      </c>
      <c r="BE2624">
        <v>0</v>
      </c>
      <c r="BF2624">
        <v>0</v>
      </c>
      <c r="BG2624">
        <v>1</v>
      </c>
      <c r="BH2624">
        <v>2075</v>
      </c>
      <c r="BI2624">
        <v>1</v>
      </c>
      <c r="BJ2624">
        <v>1</v>
      </c>
      <c r="BK2624">
        <v>0</v>
      </c>
      <c r="BL2624">
        <v>0</v>
      </c>
      <c r="BO2624">
        <v>0</v>
      </c>
      <c r="BP2624">
        <v>0</v>
      </c>
      <c r="BW2624" t="str">
        <f>"22:21:07.875"</f>
        <v>22:21:07.875</v>
      </c>
      <c r="CJ2624">
        <v>0</v>
      </c>
      <c r="CK2624">
        <v>2</v>
      </c>
      <c r="CL2624">
        <v>0</v>
      </c>
      <c r="CM2624">
        <v>2</v>
      </c>
      <c r="CN2624">
        <v>0</v>
      </c>
      <c r="CO2624">
        <v>6</v>
      </c>
      <c r="CP2624" t="s">
        <v>119</v>
      </c>
      <c r="CQ2624">
        <v>364</v>
      </c>
      <c r="CR2624">
        <v>0</v>
      </c>
      <c r="CW2624">
        <v>1467809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3">
      <c r="A2625" t="str">
        <f>"03/24/2022 22:21:09.115"</f>
        <v>03/24/2022 22:21:09.115</v>
      </c>
      <c r="C2625" t="str">
        <f t="shared" si="772"/>
        <v>FFDFD3C0</v>
      </c>
      <c r="D2625" t="s">
        <v>120</v>
      </c>
      <c r="E2625">
        <v>14</v>
      </c>
      <c r="F2625">
        <v>1014</v>
      </c>
      <c r="G2625" t="s">
        <v>121</v>
      </c>
      <c r="J2625" t="s">
        <v>122</v>
      </c>
      <c r="K2625">
        <v>0</v>
      </c>
      <c r="L2625">
        <v>3</v>
      </c>
      <c r="M2625">
        <v>0</v>
      </c>
      <c r="N2625">
        <v>2</v>
      </c>
      <c r="O2625">
        <v>0</v>
      </c>
      <c r="P2625">
        <v>1</v>
      </c>
      <c r="Q2625">
        <v>0</v>
      </c>
      <c r="S2625" t="str">
        <f t="shared" ref="S2625:T2628" si="784">"22:21:08.000"</f>
        <v>22:21:08.000</v>
      </c>
      <c r="T2625" t="str">
        <f t="shared" si="784"/>
        <v>22:21:08.000</v>
      </c>
      <c r="U2625" t="str">
        <f t="shared" si="766"/>
        <v>A9D71F</v>
      </c>
      <c r="V2625">
        <v>0</v>
      </c>
      <c r="W2625">
        <v>0</v>
      </c>
      <c r="X2625">
        <v>2</v>
      </c>
      <c r="Z2625">
        <v>1</v>
      </c>
      <c r="AA2625">
        <v>8</v>
      </c>
      <c r="AB2625">
        <v>3</v>
      </c>
      <c r="AC2625">
        <v>0</v>
      </c>
      <c r="AD2625">
        <v>9</v>
      </c>
      <c r="AE2625">
        <v>0</v>
      </c>
      <c r="AF2625">
        <v>3</v>
      </c>
      <c r="AG2625">
        <v>1</v>
      </c>
      <c r="AH2625">
        <v>0</v>
      </c>
      <c r="AI2625" t="s">
        <v>1337</v>
      </c>
      <c r="AJ2625">
        <v>33.014688</v>
      </c>
      <c r="AK2625" t="s">
        <v>1216</v>
      </c>
      <c r="AL2625">
        <v>-97.655968999999999</v>
      </c>
      <c r="AM2625">
        <v>25</v>
      </c>
      <c r="AN2625">
        <v>2100</v>
      </c>
      <c r="AO2625" t="s">
        <v>118</v>
      </c>
      <c r="AP2625">
        <v>48</v>
      </c>
      <c r="AQ2625">
        <v>-78</v>
      </c>
      <c r="AR2625">
        <v>-384</v>
      </c>
      <c r="AZ2625">
        <v>7700</v>
      </c>
      <c r="BA2625">
        <v>1</v>
      </c>
      <c r="BB2625" t="str">
        <f t="shared" si="773"/>
        <v xml:space="preserve">N733KP  </v>
      </c>
      <c r="BC2625">
        <v>1</v>
      </c>
      <c r="BE2625">
        <v>0</v>
      </c>
      <c r="BF2625">
        <v>0</v>
      </c>
      <c r="BG2625">
        <v>1</v>
      </c>
      <c r="BH2625">
        <v>2075</v>
      </c>
      <c r="BI2625">
        <v>1</v>
      </c>
      <c r="BJ2625">
        <v>1</v>
      </c>
      <c r="BK2625">
        <v>0</v>
      </c>
      <c r="BL2625">
        <v>0</v>
      </c>
      <c r="BO2625">
        <v>0</v>
      </c>
      <c r="BP2625">
        <v>0</v>
      </c>
      <c r="BW2625" t="str">
        <f>"22:21:08.924"</f>
        <v>22:21:08.924</v>
      </c>
      <c r="CJ2625">
        <v>0</v>
      </c>
      <c r="CK2625">
        <v>2</v>
      </c>
      <c r="CL2625">
        <v>0</v>
      </c>
      <c r="CM2625">
        <v>2</v>
      </c>
      <c r="CN2625">
        <v>0</v>
      </c>
      <c r="CO2625">
        <v>7</v>
      </c>
      <c r="CP2625" t="s">
        <v>119</v>
      </c>
      <c r="CQ2625">
        <v>364</v>
      </c>
      <c r="CR2625">
        <v>0</v>
      </c>
      <c r="CW2625">
        <v>1467961</v>
      </c>
      <c r="CY2625">
        <v>1</v>
      </c>
      <c r="CZ2625">
        <v>0</v>
      </c>
      <c r="DA2625">
        <v>0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3">
      <c r="A2626" t="str">
        <f>"03/24/2022 22:21:09.115"</f>
        <v>03/24/2022 22:21:09.115</v>
      </c>
      <c r="C2626" t="str">
        <f t="shared" si="772"/>
        <v>FFDFD3C0</v>
      </c>
      <c r="D2626" t="s">
        <v>126</v>
      </c>
      <c r="E2626">
        <v>3</v>
      </c>
      <c r="H2626">
        <v>160</v>
      </c>
      <c r="I2626" t="s">
        <v>121</v>
      </c>
      <c r="J2626" t="s">
        <v>127</v>
      </c>
      <c r="K2626">
        <v>0</v>
      </c>
      <c r="L2626">
        <v>3</v>
      </c>
      <c r="M2626">
        <v>0</v>
      </c>
      <c r="N2626">
        <v>2</v>
      </c>
      <c r="O2626">
        <v>0</v>
      </c>
      <c r="P2626">
        <v>1</v>
      </c>
      <c r="Q2626">
        <v>0</v>
      </c>
      <c r="S2626" t="str">
        <f t="shared" si="784"/>
        <v>22:21:08.000</v>
      </c>
      <c r="T2626" t="str">
        <f t="shared" si="784"/>
        <v>22:21:08.000</v>
      </c>
      <c r="U2626" t="str">
        <f t="shared" ref="U2626:U2689" si="785">"A9D71F"</f>
        <v>A9D71F</v>
      </c>
      <c r="V2626">
        <v>0</v>
      </c>
      <c r="W2626">
        <v>0</v>
      </c>
      <c r="X2626">
        <v>2</v>
      </c>
      <c r="Z2626">
        <v>1</v>
      </c>
      <c r="AA2626">
        <v>8</v>
      </c>
      <c r="AB2626">
        <v>3</v>
      </c>
      <c r="AC2626">
        <v>0</v>
      </c>
      <c r="AD2626">
        <v>9</v>
      </c>
      <c r="AE2626">
        <v>0</v>
      </c>
      <c r="AF2626">
        <v>3</v>
      </c>
      <c r="AG2626">
        <v>1</v>
      </c>
      <c r="AH2626">
        <v>0</v>
      </c>
      <c r="AI2626" t="s">
        <v>1337</v>
      </c>
      <c r="AJ2626">
        <v>33.014688</v>
      </c>
      <c r="AK2626" t="s">
        <v>1216</v>
      </c>
      <c r="AL2626">
        <v>-97.655968999999999</v>
      </c>
      <c r="AM2626">
        <v>25</v>
      </c>
      <c r="AN2626">
        <v>2100</v>
      </c>
      <c r="AO2626" t="s">
        <v>118</v>
      </c>
      <c r="AP2626">
        <v>48</v>
      </c>
      <c r="AQ2626">
        <v>-78</v>
      </c>
      <c r="AR2626">
        <v>-384</v>
      </c>
      <c r="AZ2626">
        <v>7700</v>
      </c>
      <c r="BA2626">
        <v>1</v>
      </c>
      <c r="BB2626" t="str">
        <f t="shared" si="773"/>
        <v xml:space="preserve">N733KP  </v>
      </c>
      <c r="BC2626">
        <v>1</v>
      </c>
      <c r="BE2626">
        <v>0</v>
      </c>
      <c r="BF2626">
        <v>0</v>
      </c>
      <c r="BG2626">
        <v>1</v>
      </c>
      <c r="BH2626">
        <v>2075</v>
      </c>
      <c r="BI2626">
        <v>1</v>
      </c>
      <c r="BJ2626">
        <v>1</v>
      </c>
      <c r="BK2626">
        <v>0</v>
      </c>
      <c r="BL2626">
        <v>0</v>
      </c>
      <c r="BO2626">
        <v>0</v>
      </c>
      <c r="BP2626">
        <v>0</v>
      </c>
      <c r="BW2626" t="str">
        <f>"22:21:08.924"</f>
        <v>22:21:08.924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7</v>
      </c>
      <c r="CP2626" t="s">
        <v>119</v>
      </c>
      <c r="CQ2626">
        <v>364</v>
      </c>
      <c r="CR2626">
        <v>0</v>
      </c>
      <c r="CW2626">
        <v>1467961</v>
      </c>
      <c r="CY2626">
        <v>1</v>
      </c>
      <c r="CZ2626">
        <v>0</v>
      </c>
      <c r="DA2626">
        <v>1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3">
      <c r="A2627" t="str">
        <f>"03/24/2022 22:21:09.115"</f>
        <v>03/24/2022 22:21:09.115</v>
      </c>
      <c r="C2627" t="str">
        <f t="shared" si="772"/>
        <v>FFDFD3C0</v>
      </c>
      <c r="D2627" t="s">
        <v>113</v>
      </c>
      <c r="E2627">
        <v>24</v>
      </c>
      <c r="F2627">
        <v>2024</v>
      </c>
      <c r="G2627" t="s">
        <v>114</v>
      </c>
      <c r="J2627" t="s">
        <v>115</v>
      </c>
      <c r="K2627">
        <v>0</v>
      </c>
      <c r="L2627">
        <v>3</v>
      </c>
      <c r="M2627">
        <v>0</v>
      </c>
      <c r="N2627">
        <v>2</v>
      </c>
      <c r="O2627">
        <v>0</v>
      </c>
      <c r="P2627">
        <v>1</v>
      </c>
      <c r="Q2627">
        <v>0</v>
      </c>
      <c r="S2627" t="str">
        <f t="shared" si="784"/>
        <v>22:21:08.000</v>
      </c>
      <c r="T2627" t="str">
        <f t="shared" si="784"/>
        <v>22:21:08.000</v>
      </c>
      <c r="U2627" t="str">
        <f t="shared" si="785"/>
        <v>A9D71F</v>
      </c>
      <c r="V2627">
        <v>0</v>
      </c>
      <c r="W2627">
        <v>0</v>
      </c>
      <c r="X2627">
        <v>2</v>
      </c>
      <c r="Z2627">
        <v>1</v>
      </c>
      <c r="AA2627">
        <v>8</v>
      </c>
      <c r="AB2627">
        <v>3</v>
      </c>
      <c r="AC2627">
        <v>0</v>
      </c>
      <c r="AD2627">
        <v>9</v>
      </c>
      <c r="AE2627">
        <v>0</v>
      </c>
      <c r="AF2627">
        <v>3</v>
      </c>
      <c r="AG2627">
        <v>1</v>
      </c>
      <c r="AH2627">
        <v>0</v>
      </c>
      <c r="AI2627" t="s">
        <v>1337</v>
      </c>
      <c r="AJ2627">
        <v>33.014688</v>
      </c>
      <c r="AK2627" t="s">
        <v>1216</v>
      </c>
      <c r="AL2627">
        <v>-97.655968999999999</v>
      </c>
      <c r="AM2627">
        <v>25</v>
      </c>
      <c r="AN2627">
        <v>2100</v>
      </c>
      <c r="AO2627" t="s">
        <v>118</v>
      </c>
      <c r="AP2627">
        <v>48</v>
      </c>
      <c r="AQ2627">
        <v>-78</v>
      </c>
      <c r="AR2627">
        <v>-384</v>
      </c>
      <c r="AZ2627">
        <v>7700</v>
      </c>
      <c r="BA2627">
        <v>1</v>
      </c>
      <c r="BB2627" t="str">
        <f t="shared" si="773"/>
        <v xml:space="preserve">N733KP  </v>
      </c>
      <c r="BC2627">
        <v>1</v>
      </c>
      <c r="BE2627">
        <v>0</v>
      </c>
      <c r="BF2627">
        <v>0</v>
      </c>
      <c r="BG2627">
        <v>1</v>
      </c>
      <c r="BH2627">
        <v>2075</v>
      </c>
      <c r="BI2627">
        <v>1</v>
      </c>
      <c r="BJ2627">
        <v>1</v>
      </c>
      <c r="BK2627">
        <v>0</v>
      </c>
      <c r="BL2627">
        <v>0</v>
      </c>
      <c r="BO2627">
        <v>0</v>
      </c>
      <c r="BP2627">
        <v>0</v>
      </c>
      <c r="BW2627" t="str">
        <f>"22:21:08.924"</f>
        <v>22:21:08.924</v>
      </c>
      <c r="CJ2627">
        <v>0</v>
      </c>
      <c r="CK2627">
        <v>2</v>
      </c>
      <c r="CL2627">
        <v>0</v>
      </c>
      <c r="CM2627">
        <v>2</v>
      </c>
      <c r="CN2627">
        <v>0</v>
      </c>
      <c r="CO2627">
        <v>7</v>
      </c>
      <c r="CP2627" t="s">
        <v>119</v>
      </c>
      <c r="CQ2627">
        <v>364</v>
      </c>
      <c r="CR2627">
        <v>0</v>
      </c>
      <c r="CW2627">
        <v>1467961</v>
      </c>
      <c r="CY2627">
        <v>1</v>
      </c>
      <c r="CZ2627">
        <v>0</v>
      </c>
      <c r="DA2627">
        <v>1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3">
      <c r="A2628" t="str">
        <f>"03/24/2022 22:21:09.115"</f>
        <v>03/24/2022 22:21:09.115</v>
      </c>
      <c r="C2628" t="str">
        <f t="shared" si="772"/>
        <v>FFDFD3C0</v>
      </c>
      <c r="D2628" t="s">
        <v>123</v>
      </c>
      <c r="E2628">
        <v>8</v>
      </c>
      <c r="H2628">
        <v>31</v>
      </c>
      <c r="I2628" t="s">
        <v>124</v>
      </c>
      <c r="J2628" t="s">
        <v>125</v>
      </c>
      <c r="K2628">
        <v>0</v>
      </c>
      <c r="L2628">
        <v>3</v>
      </c>
      <c r="M2628">
        <v>0</v>
      </c>
      <c r="N2628">
        <v>2</v>
      </c>
      <c r="O2628">
        <v>0</v>
      </c>
      <c r="P2628">
        <v>1</v>
      </c>
      <c r="Q2628">
        <v>0</v>
      </c>
      <c r="S2628" t="str">
        <f t="shared" si="784"/>
        <v>22:21:08.000</v>
      </c>
      <c r="T2628" t="str">
        <f t="shared" si="784"/>
        <v>22:21:08.000</v>
      </c>
      <c r="U2628" t="str">
        <f t="shared" si="785"/>
        <v>A9D71F</v>
      </c>
      <c r="V2628">
        <v>0</v>
      </c>
      <c r="W2628">
        <v>0</v>
      </c>
      <c r="X2628">
        <v>2</v>
      </c>
      <c r="Z2628">
        <v>1</v>
      </c>
      <c r="AA2628">
        <v>8</v>
      </c>
      <c r="AB2628">
        <v>3</v>
      </c>
      <c r="AC2628">
        <v>0</v>
      </c>
      <c r="AD2628">
        <v>9</v>
      </c>
      <c r="AE2628">
        <v>0</v>
      </c>
      <c r="AF2628">
        <v>3</v>
      </c>
      <c r="AG2628">
        <v>1</v>
      </c>
      <c r="AH2628">
        <v>0</v>
      </c>
      <c r="AI2628" t="s">
        <v>1337</v>
      </c>
      <c r="AJ2628">
        <v>33.014688</v>
      </c>
      <c r="AK2628" t="s">
        <v>1216</v>
      </c>
      <c r="AL2628">
        <v>-97.655968999999999</v>
      </c>
      <c r="AM2628">
        <v>25</v>
      </c>
      <c r="AN2628">
        <v>2100</v>
      </c>
      <c r="AO2628" t="s">
        <v>118</v>
      </c>
      <c r="AP2628">
        <v>48</v>
      </c>
      <c r="AQ2628">
        <v>-78</v>
      </c>
      <c r="AR2628">
        <v>-384</v>
      </c>
      <c r="AZ2628">
        <v>7700</v>
      </c>
      <c r="BA2628">
        <v>1</v>
      </c>
      <c r="BB2628" t="str">
        <f t="shared" si="773"/>
        <v xml:space="preserve">N733KP  </v>
      </c>
      <c r="BC2628">
        <v>1</v>
      </c>
      <c r="BE2628">
        <v>0</v>
      </c>
      <c r="BF2628">
        <v>0</v>
      </c>
      <c r="BG2628">
        <v>1</v>
      </c>
      <c r="BH2628">
        <v>2075</v>
      </c>
      <c r="BI2628">
        <v>1</v>
      </c>
      <c r="BJ2628">
        <v>1</v>
      </c>
      <c r="BK2628">
        <v>0</v>
      </c>
      <c r="BL2628">
        <v>0</v>
      </c>
      <c r="BO2628">
        <v>0</v>
      </c>
      <c r="BP2628">
        <v>0</v>
      </c>
      <c r="BW2628" t="str">
        <f>"22:21:08.924"</f>
        <v>22:21:08.924</v>
      </c>
      <c r="CJ2628">
        <v>0</v>
      </c>
      <c r="CK2628">
        <v>2</v>
      </c>
      <c r="CL2628">
        <v>0</v>
      </c>
      <c r="CM2628">
        <v>2</v>
      </c>
      <c r="CN2628">
        <v>0</v>
      </c>
      <c r="CO2628">
        <v>7</v>
      </c>
      <c r="CP2628" t="s">
        <v>119</v>
      </c>
      <c r="CQ2628">
        <v>364</v>
      </c>
      <c r="CR2628">
        <v>0</v>
      </c>
      <c r="CW2628">
        <v>1467961</v>
      </c>
      <c r="CY2628">
        <v>1</v>
      </c>
      <c r="CZ2628">
        <v>0</v>
      </c>
      <c r="DA2628">
        <v>1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3">
      <c r="A2629" t="str">
        <f>"03/24/2022 22:21:09.662"</f>
        <v>03/24/2022 22:21:09.662</v>
      </c>
      <c r="C2629" t="str">
        <f t="shared" si="772"/>
        <v>FFDFD3C0</v>
      </c>
      <c r="D2629" t="s">
        <v>123</v>
      </c>
      <c r="E2629">
        <v>8</v>
      </c>
      <c r="H2629">
        <v>31</v>
      </c>
      <c r="I2629" t="s">
        <v>124</v>
      </c>
      <c r="J2629" t="s">
        <v>125</v>
      </c>
      <c r="K2629">
        <v>0</v>
      </c>
      <c r="L2629">
        <v>3</v>
      </c>
      <c r="M2629">
        <v>0</v>
      </c>
      <c r="N2629">
        <v>2</v>
      </c>
      <c r="O2629">
        <v>0</v>
      </c>
      <c r="P2629">
        <v>1</v>
      </c>
      <c r="Q2629">
        <v>0</v>
      </c>
      <c r="S2629" t="str">
        <f t="shared" ref="S2629:T2632" si="786">"22:21:09.000"</f>
        <v>22:21:09.000</v>
      </c>
      <c r="T2629" t="str">
        <f t="shared" si="786"/>
        <v>22:21:09.000</v>
      </c>
      <c r="U2629" t="str">
        <f t="shared" si="785"/>
        <v>A9D71F</v>
      </c>
      <c r="V2629">
        <v>0</v>
      </c>
      <c r="W2629">
        <v>0</v>
      </c>
      <c r="X2629">
        <v>2</v>
      </c>
      <c r="Z2629">
        <v>1</v>
      </c>
      <c r="AA2629">
        <v>8</v>
      </c>
      <c r="AB2629">
        <v>3</v>
      </c>
      <c r="AC2629">
        <v>0</v>
      </c>
      <c r="AD2629">
        <v>9</v>
      </c>
      <c r="AE2629">
        <v>0</v>
      </c>
      <c r="AF2629">
        <v>3</v>
      </c>
      <c r="AG2629">
        <v>1</v>
      </c>
      <c r="AH2629">
        <v>0</v>
      </c>
      <c r="AI2629" t="s">
        <v>1338</v>
      </c>
      <c r="AJ2629">
        <v>33.014302000000001</v>
      </c>
      <c r="AK2629" t="s">
        <v>1339</v>
      </c>
      <c r="AL2629">
        <v>-97.655668000000006</v>
      </c>
      <c r="AM2629">
        <v>25</v>
      </c>
      <c r="AN2629">
        <v>2100</v>
      </c>
      <c r="AO2629" t="s">
        <v>118</v>
      </c>
      <c r="AP2629">
        <v>43</v>
      </c>
      <c r="AQ2629">
        <v>-79</v>
      </c>
      <c r="AR2629">
        <v>-384</v>
      </c>
      <c r="AZ2629">
        <v>7700</v>
      </c>
      <c r="BA2629">
        <v>1</v>
      </c>
      <c r="BB2629" t="str">
        <f t="shared" si="773"/>
        <v xml:space="preserve">N733KP  </v>
      </c>
      <c r="BC2629">
        <v>1</v>
      </c>
      <c r="BE2629">
        <v>0</v>
      </c>
      <c r="BF2629">
        <v>0</v>
      </c>
      <c r="BG2629">
        <v>1</v>
      </c>
      <c r="BH2629">
        <v>2050</v>
      </c>
      <c r="BI2629">
        <v>1</v>
      </c>
      <c r="BJ2629">
        <v>1</v>
      </c>
      <c r="BK2629">
        <v>0</v>
      </c>
      <c r="BL2629">
        <v>0</v>
      </c>
      <c r="BO2629">
        <v>0</v>
      </c>
      <c r="BP2629">
        <v>0</v>
      </c>
      <c r="BW2629" t="str">
        <f>"22:21:09.442"</f>
        <v>22:21:09.442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5</v>
      </c>
      <c r="CP2629" t="s">
        <v>119</v>
      </c>
      <c r="CQ2629">
        <v>365</v>
      </c>
      <c r="CR2629">
        <v>0</v>
      </c>
      <c r="CW2629">
        <v>11559539</v>
      </c>
      <c r="CY2629">
        <v>1</v>
      </c>
      <c r="CZ2629">
        <v>0</v>
      </c>
      <c r="DA2629">
        <v>0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3">
      <c r="A2630" t="str">
        <f>"03/24/2022 22:21:09.662"</f>
        <v>03/24/2022 22:21:09.662</v>
      </c>
      <c r="C2630" t="str">
        <f t="shared" si="772"/>
        <v>FFDFD3C0</v>
      </c>
      <c r="D2630" t="s">
        <v>120</v>
      </c>
      <c r="E2630">
        <v>14</v>
      </c>
      <c r="F2630">
        <v>1014</v>
      </c>
      <c r="G2630" t="s">
        <v>121</v>
      </c>
      <c r="J2630" t="s">
        <v>122</v>
      </c>
      <c r="K2630">
        <v>0</v>
      </c>
      <c r="L2630">
        <v>3</v>
      </c>
      <c r="M2630">
        <v>0</v>
      </c>
      <c r="N2630">
        <v>2</v>
      </c>
      <c r="O2630">
        <v>0</v>
      </c>
      <c r="P2630">
        <v>1</v>
      </c>
      <c r="Q2630">
        <v>0</v>
      </c>
      <c r="S2630" t="str">
        <f t="shared" si="786"/>
        <v>22:21:09.000</v>
      </c>
      <c r="T2630" t="str">
        <f t="shared" si="786"/>
        <v>22:21:09.000</v>
      </c>
      <c r="U2630" t="str">
        <f t="shared" si="785"/>
        <v>A9D71F</v>
      </c>
      <c r="V2630">
        <v>0</v>
      </c>
      <c r="W2630">
        <v>0</v>
      </c>
      <c r="X2630">
        <v>2</v>
      </c>
      <c r="Z2630">
        <v>1</v>
      </c>
      <c r="AA2630">
        <v>8</v>
      </c>
      <c r="AB2630">
        <v>3</v>
      </c>
      <c r="AC2630">
        <v>0</v>
      </c>
      <c r="AD2630">
        <v>9</v>
      </c>
      <c r="AE2630">
        <v>0</v>
      </c>
      <c r="AF2630">
        <v>3</v>
      </c>
      <c r="AG2630">
        <v>1</v>
      </c>
      <c r="AH2630">
        <v>0</v>
      </c>
      <c r="AI2630" t="s">
        <v>1338</v>
      </c>
      <c r="AJ2630">
        <v>33.014302000000001</v>
      </c>
      <c r="AK2630" t="s">
        <v>1339</v>
      </c>
      <c r="AL2630">
        <v>-97.655668000000006</v>
      </c>
      <c r="AM2630">
        <v>25</v>
      </c>
      <c r="AN2630">
        <v>2100</v>
      </c>
      <c r="AO2630" t="s">
        <v>118</v>
      </c>
      <c r="AP2630">
        <v>43</v>
      </c>
      <c r="AQ2630">
        <v>-79</v>
      </c>
      <c r="AR2630">
        <v>-384</v>
      </c>
      <c r="AZ2630">
        <v>7700</v>
      </c>
      <c r="BA2630">
        <v>1</v>
      </c>
      <c r="BB2630" t="str">
        <f t="shared" si="773"/>
        <v xml:space="preserve">N733KP  </v>
      </c>
      <c r="BC2630">
        <v>1</v>
      </c>
      <c r="BE2630">
        <v>0</v>
      </c>
      <c r="BF2630">
        <v>0</v>
      </c>
      <c r="BG2630">
        <v>1</v>
      </c>
      <c r="BH2630">
        <v>2050</v>
      </c>
      <c r="BI2630">
        <v>1</v>
      </c>
      <c r="BJ2630">
        <v>1</v>
      </c>
      <c r="BK2630">
        <v>0</v>
      </c>
      <c r="BL2630">
        <v>0</v>
      </c>
      <c r="BO2630">
        <v>0</v>
      </c>
      <c r="BP2630">
        <v>0</v>
      </c>
      <c r="BW2630" t="str">
        <f>"22:21:09.442"</f>
        <v>22:21:09.442</v>
      </c>
      <c r="CJ2630">
        <v>0</v>
      </c>
      <c r="CK2630">
        <v>2</v>
      </c>
      <c r="CL2630">
        <v>0</v>
      </c>
      <c r="CM2630">
        <v>2</v>
      </c>
      <c r="CN2630">
        <v>0</v>
      </c>
      <c r="CO2630">
        <v>5</v>
      </c>
      <c r="CP2630" t="s">
        <v>119</v>
      </c>
      <c r="CQ2630">
        <v>365</v>
      </c>
      <c r="CR2630">
        <v>0</v>
      </c>
      <c r="CW2630">
        <v>11559539</v>
      </c>
      <c r="CY2630">
        <v>1</v>
      </c>
      <c r="CZ2630">
        <v>0</v>
      </c>
      <c r="DA2630">
        <v>1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3">
      <c r="A2631" t="str">
        <f>"03/24/2022 22:21:09.662"</f>
        <v>03/24/2022 22:21:09.662</v>
      </c>
      <c r="C2631" t="str">
        <f t="shared" si="772"/>
        <v>FFDFD3C0</v>
      </c>
      <c r="D2631" t="s">
        <v>126</v>
      </c>
      <c r="E2631">
        <v>3</v>
      </c>
      <c r="H2631">
        <v>160</v>
      </c>
      <c r="I2631" t="s">
        <v>121</v>
      </c>
      <c r="J2631" t="s">
        <v>127</v>
      </c>
      <c r="K2631">
        <v>0</v>
      </c>
      <c r="L2631">
        <v>3</v>
      </c>
      <c r="M2631">
        <v>0</v>
      </c>
      <c r="N2631">
        <v>2</v>
      </c>
      <c r="O2631">
        <v>0</v>
      </c>
      <c r="P2631">
        <v>1</v>
      </c>
      <c r="Q2631">
        <v>0</v>
      </c>
      <c r="S2631" t="str">
        <f t="shared" si="786"/>
        <v>22:21:09.000</v>
      </c>
      <c r="T2631" t="str">
        <f t="shared" si="786"/>
        <v>22:21:09.000</v>
      </c>
      <c r="U2631" t="str">
        <f t="shared" si="785"/>
        <v>A9D71F</v>
      </c>
      <c r="V2631">
        <v>0</v>
      </c>
      <c r="W2631">
        <v>0</v>
      </c>
      <c r="X2631">
        <v>2</v>
      </c>
      <c r="Z2631">
        <v>1</v>
      </c>
      <c r="AA2631">
        <v>8</v>
      </c>
      <c r="AB2631">
        <v>3</v>
      </c>
      <c r="AC2631">
        <v>0</v>
      </c>
      <c r="AD2631">
        <v>9</v>
      </c>
      <c r="AE2631">
        <v>0</v>
      </c>
      <c r="AF2631">
        <v>3</v>
      </c>
      <c r="AG2631">
        <v>1</v>
      </c>
      <c r="AH2631">
        <v>0</v>
      </c>
      <c r="AI2631" t="s">
        <v>1338</v>
      </c>
      <c r="AJ2631">
        <v>33.014302000000001</v>
      </c>
      <c r="AK2631" t="s">
        <v>1339</v>
      </c>
      <c r="AL2631">
        <v>-97.655668000000006</v>
      </c>
      <c r="AM2631">
        <v>25</v>
      </c>
      <c r="AN2631">
        <v>2100</v>
      </c>
      <c r="AO2631" t="s">
        <v>118</v>
      </c>
      <c r="AP2631">
        <v>43</v>
      </c>
      <c r="AQ2631">
        <v>-79</v>
      </c>
      <c r="AR2631">
        <v>-384</v>
      </c>
      <c r="AZ2631">
        <v>7700</v>
      </c>
      <c r="BA2631">
        <v>1</v>
      </c>
      <c r="BB2631" t="str">
        <f t="shared" si="773"/>
        <v xml:space="preserve">N733KP  </v>
      </c>
      <c r="BC2631">
        <v>1</v>
      </c>
      <c r="BE2631">
        <v>0</v>
      </c>
      <c r="BF2631">
        <v>0</v>
      </c>
      <c r="BG2631">
        <v>1</v>
      </c>
      <c r="BH2631">
        <v>2050</v>
      </c>
      <c r="BI2631">
        <v>1</v>
      </c>
      <c r="BJ2631">
        <v>1</v>
      </c>
      <c r="BK2631">
        <v>0</v>
      </c>
      <c r="BL2631">
        <v>0</v>
      </c>
      <c r="BO2631">
        <v>0</v>
      </c>
      <c r="BP2631">
        <v>0</v>
      </c>
      <c r="BW2631" t="str">
        <f>"22:21:09.442"</f>
        <v>22:21:09.442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5</v>
      </c>
      <c r="CP2631" t="s">
        <v>119</v>
      </c>
      <c r="CQ2631">
        <v>365</v>
      </c>
      <c r="CR2631">
        <v>0</v>
      </c>
      <c r="CW2631">
        <v>11559539</v>
      </c>
      <c r="CY2631">
        <v>1</v>
      </c>
      <c r="CZ2631">
        <v>0</v>
      </c>
      <c r="DA2631">
        <v>1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3">
      <c r="A2632" t="str">
        <f>"03/24/2022 22:21:09.662"</f>
        <v>03/24/2022 22:21:09.662</v>
      </c>
      <c r="C2632" t="str">
        <f t="shared" si="772"/>
        <v>FFDFD3C0</v>
      </c>
      <c r="D2632" t="s">
        <v>113</v>
      </c>
      <c r="E2632">
        <v>24</v>
      </c>
      <c r="F2632">
        <v>2024</v>
      </c>
      <c r="G2632" t="s">
        <v>114</v>
      </c>
      <c r="J2632" t="s">
        <v>115</v>
      </c>
      <c r="K2632">
        <v>0</v>
      </c>
      <c r="L2632">
        <v>3</v>
      </c>
      <c r="M2632">
        <v>0</v>
      </c>
      <c r="N2632">
        <v>2</v>
      </c>
      <c r="O2632">
        <v>0</v>
      </c>
      <c r="P2632">
        <v>1</v>
      </c>
      <c r="Q2632">
        <v>0</v>
      </c>
      <c r="S2632" t="str">
        <f t="shared" si="786"/>
        <v>22:21:09.000</v>
      </c>
      <c r="T2632" t="str">
        <f t="shared" si="786"/>
        <v>22:21:09.000</v>
      </c>
      <c r="U2632" t="str">
        <f t="shared" si="785"/>
        <v>A9D71F</v>
      </c>
      <c r="V2632">
        <v>0</v>
      </c>
      <c r="W2632">
        <v>0</v>
      </c>
      <c r="X2632">
        <v>2</v>
      </c>
      <c r="Z2632">
        <v>1</v>
      </c>
      <c r="AA2632">
        <v>8</v>
      </c>
      <c r="AB2632">
        <v>3</v>
      </c>
      <c r="AC2632">
        <v>0</v>
      </c>
      <c r="AD2632">
        <v>9</v>
      </c>
      <c r="AE2632">
        <v>0</v>
      </c>
      <c r="AF2632">
        <v>3</v>
      </c>
      <c r="AG2632">
        <v>1</v>
      </c>
      <c r="AH2632">
        <v>0</v>
      </c>
      <c r="AI2632" t="s">
        <v>1338</v>
      </c>
      <c r="AJ2632">
        <v>33.014302000000001</v>
      </c>
      <c r="AK2632" t="s">
        <v>1339</v>
      </c>
      <c r="AL2632">
        <v>-97.655668000000006</v>
      </c>
      <c r="AM2632">
        <v>25</v>
      </c>
      <c r="AN2632">
        <v>2100</v>
      </c>
      <c r="AO2632" t="s">
        <v>118</v>
      </c>
      <c r="AP2632">
        <v>43</v>
      </c>
      <c r="AQ2632">
        <v>-79</v>
      </c>
      <c r="AR2632">
        <v>-384</v>
      </c>
      <c r="AZ2632">
        <v>7700</v>
      </c>
      <c r="BA2632">
        <v>1</v>
      </c>
      <c r="BB2632" t="str">
        <f t="shared" si="773"/>
        <v xml:space="preserve">N733KP  </v>
      </c>
      <c r="BC2632">
        <v>1</v>
      </c>
      <c r="BE2632">
        <v>0</v>
      </c>
      <c r="BF2632">
        <v>0</v>
      </c>
      <c r="BG2632">
        <v>1</v>
      </c>
      <c r="BH2632">
        <v>2050</v>
      </c>
      <c r="BI2632">
        <v>1</v>
      </c>
      <c r="BJ2632">
        <v>1</v>
      </c>
      <c r="BK2632">
        <v>0</v>
      </c>
      <c r="BL2632">
        <v>0</v>
      </c>
      <c r="BO2632">
        <v>0</v>
      </c>
      <c r="BP2632">
        <v>0</v>
      </c>
      <c r="BW2632" t="str">
        <f>"22:21:09.442"</f>
        <v>22:21:09.442</v>
      </c>
      <c r="CJ2632">
        <v>0</v>
      </c>
      <c r="CK2632">
        <v>2</v>
      </c>
      <c r="CL2632">
        <v>0</v>
      </c>
      <c r="CM2632">
        <v>2</v>
      </c>
      <c r="CN2632">
        <v>0</v>
      </c>
      <c r="CO2632">
        <v>5</v>
      </c>
      <c r="CP2632" t="s">
        <v>119</v>
      </c>
      <c r="CQ2632">
        <v>365</v>
      </c>
      <c r="CR2632">
        <v>0</v>
      </c>
      <c r="CW2632">
        <v>11559539</v>
      </c>
      <c r="CY2632">
        <v>1</v>
      </c>
      <c r="CZ2632">
        <v>0</v>
      </c>
      <c r="DA2632">
        <v>1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3">
      <c r="A2633" t="str">
        <f>"03/24/2022 22:21:10.662"</f>
        <v>03/24/2022 22:21:10.662</v>
      </c>
      <c r="C2633" t="str">
        <f t="shared" si="772"/>
        <v>FFDFD3C0</v>
      </c>
      <c r="D2633" t="s">
        <v>120</v>
      </c>
      <c r="E2633">
        <v>14</v>
      </c>
      <c r="F2633">
        <v>1014</v>
      </c>
      <c r="G2633" t="s">
        <v>121</v>
      </c>
      <c r="J2633" t="s">
        <v>122</v>
      </c>
      <c r="K2633">
        <v>0</v>
      </c>
      <c r="L2633">
        <v>3</v>
      </c>
      <c r="M2633">
        <v>0</v>
      </c>
      <c r="N2633">
        <v>2</v>
      </c>
      <c r="O2633">
        <v>0</v>
      </c>
      <c r="P2633">
        <v>1</v>
      </c>
      <c r="Q2633">
        <v>0</v>
      </c>
      <c r="S2633" t="str">
        <f t="shared" ref="S2633:T2636" si="787">"22:21:10.000"</f>
        <v>22:21:10.000</v>
      </c>
      <c r="T2633" t="str">
        <f t="shared" si="787"/>
        <v>22:21:10.000</v>
      </c>
      <c r="U2633" t="str">
        <f t="shared" si="785"/>
        <v>A9D71F</v>
      </c>
      <c r="V2633">
        <v>0</v>
      </c>
      <c r="W2633">
        <v>0</v>
      </c>
      <c r="X2633">
        <v>2</v>
      </c>
      <c r="Z2633">
        <v>1</v>
      </c>
      <c r="AA2633">
        <v>8</v>
      </c>
      <c r="AB2633">
        <v>3</v>
      </c>
      <c r="AC2633">
        <v>0</v>
      </c>
      <c r="AD2633">
        <v>9</v>
      </c>
      <c r="AE2633">
        <v>0</v>
      </c>
      <c r="AF2633">
        <v>3</v>
      </c>
      <c r="AG2633">
        <v>1</v>
      </c>
      <c r="AH2633">
        <v>0</v>
      </c>
      <c r="AI2633" t="s">
        <v>1340</v>
      </c>
      <c r="AJ2633">
        <v>33.013916000000002</v>
      </c>
      <c r="AK2633" t="s">
        <v>1089</v>
      </c>
      <c r="AL2633">
        <v>-97.655411000000001</v>
      </c>
      <c r="AM2633">
        <v>25</v>
      </c>
      <c r="AN2633">
        <v>2000</v>
      </c>
      <c r="AO2633" t="s">
        <v>118</v>
      </c>
      <c r="AP2633">
        <v>31</v>
      </c>
      <c r="AQ2633">
        <v>-84</v>
      </c>
      <c r="AR2633">
        <v>-448</v>
      </c>
      <c r="AZ2633">
        <v>7700</v>
      </c>
      <c r="BA2633">
        <v>1</v>
      </c>
      <c r="BB2633" t="str">
        <f t="shared" si="773"/>
        <v xml:space="preserve">N733KP  </v>
      </c>
      <c r="BC2633">
        <v>1</v>
      </c>
      <c r="BE2633">
        <v>0</v>
      </c>
      <c r="BF2633">
        <v>0</v>
      </c>
      <c r="BG2633">
        <v>1</v>
      </c>
      <c r="BH2633">
        <v>2050</v>
      </c>
      <c r="BI2633">
        <v>1</v>
      </c>
      <c r="BJ2633">
        <v>1</v>
      </c>
      <c r="BK2633">
        <v>0</v>
      </c>
      <c r="BL2633">
        <v>0</v>
      </c>
      <c r="BO2633">
        <v>0</v>
      </c>
      <c r="BP2633">
        <v>0</v>
      </c>
      <c r="BW2633" t="str">
        <f>"22:21:10.481"</f>
        <v>22:21:10.481</v>
      </c>
      <c r="CJ2633">
        <v>0</v>
      </c>
      <c r="CK2633">
        <v>2</v>
      </c>
      <c r="CL2633">
        <v>0</v>
      </c>
      <c r="CM2633">
        <v>2</v>
      </c>
      <c r="CN2633">
        <v>0</v>
      </c>
      <c r="CO2633">
        <v>6</v>
      </c>
      <c r="CP2633" t="s">
        <v>119</v>
      </c>
      <c r="CQ2633">
        <v>364</v>
      </c>
      <c r="CR2633">
        <v>0</v>
      </c>
      <c r="CW2633">
        <v>1468185</v>
      </c>
      <c r="CY2633">
        <v>1</v>
      </c>
      <c r="CZ2633">
        <v>0</v>
      </c>
      <c r="DA2633">
        <v>0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3">
      <c r="A2634" t="str">
        <f>"03/24/2022 22:21:10.662"</f>
        <v>03/24/2022 22:21:10.662</v>
      </c>
      <c r="C2634" t="str">
        <f t="shared" si="772"/>
        <v>FFDFD3C0</v>
      </c>
      <c r="D2634" t="s">
        <v>126</v>
      </c>
      <c r="E2634">
        <v>3</v>
      </c>
      <c r="H2634">
        <v>160</v>
      </c>
      <c r="I2634" t="s">
        <v>121</v>
      </c>
      <c r="J2634" t="s">
        <v>127</v>
      </c>
      <c r="K2634">
        <v>0</v>
      </c>
      <c r="L2634">
        <v>3</v>
      </c>
      <c r="M2634">
        <v>0</v>
      </c>
      <c r="N2634">
        <v>2</v>
      </c>
      <c r="O2634">
        <v>0</v>
      </c>
      <c r="P2634">
        <v>1</v>
      </c>
      <c r="Q2634">
        <v>0</v>
      </c>
      <c r="S2634" t="str">
        <f t="shared" si="787"/>
        <v>22:21:10.000</v>
      </c>
      <c r="T2634" t="str">
        <f t="shared" si="787"/>
        <v>22:21:10.000</v>
      </c>
      <c r="U2634" t="str">
        <f t="shared" si="785"/>
        <v>A9D71F</v>
      </c>
      <c r="V2634">
        <v>0</v>
      </c>
      <c r="W2634">
        <v>0</v>
      </c>
      <c r="X2634">
        <v>2</v>
      </c>
      <c r="Z2634">
        <v>1</v>
      </c>
      <c r="AA2634">
        <v>8</v>
      </c>
      <c r="AB2634">
        <v>3</v>
      </c>
      <c r="AC2634">
        <v>0</v>
      </c>
      <c r="AD2634">
        <v>9</v>
      </c>
      <c r="AE2634">
        <v>0</v>
      </c>
      <c r="AF2634">
        <v>3</v>
      </c>
      <c r="AG2634">
        <v>1</v>
      </c>
      <c r="AH2634">
        <v>0</v>
      </c>
      <c r="AI2634" t="s">
        <v>1340</v>
      </c>
      <c r="AJ2634">
        <v>33.013916000000002</v>
      </c>
      <c r="AK2634" t="s">
        <v>1089</v>
      </c>
      <c r="AL2634">
        <v>-97.655411000000001</v>
      </c>
      <c r="AM2634">
        <v>25</v>
      </c>
      <c r="AN2634">
        <v>2000</v>
      </c>
      <c r="AO2634" t="s">
        <v>118</v>
      </c>
      <c r="AP2634">
        <v>31</v>
      </c>
      <c r="AQ2634">
        <v>-84</v>
      </c>
      <c r="AR2634">
        <v>-448</v>
      </c>
      <c r="AZ2634">
        <v>7700</v>
      </c>
      <c r="BA2634">
        <v>1</v>
      </c>
      <c r="BB2634" t="str">
        <f t="shared" si="773"/>
        <v xml:space="preserve">N733KP  </v>
      </c>
      <c r="BC2634">
        <v>1</v>
      </c>
      <c r="BE2634">
        <v>0</v>
      </c>
      <c r="BF2634">
        <v>0</v>
      </c>
      <c r="BG2634">
        <v>1</v>
      </c>
      <c r="BH2634">
        <v>2050</v>
      </c>
      <c r="BI2634">
        <v>1</v>
      </c>
      <c r="BJ2634">
        <v>1</v>
      </c>
      <c r="BK2634">
        <v>0</v>
      </c>
      <c r="BL2634">
        <v>0</v>
      </c>
      <c r="BO2634">
        <v>0</v>
      </c>
      <c r="BP2634">
        <v>0</v>
      </c>
      <c r="BW2634" t="str">
        <f>"22:21:10.481"</f>
        <v>22:21:10.481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6</v>
      </c>
      <c r="CP2634" t="s">
        <v>119</v>
      </c>
      <c r="CQ2634">
        <v>364</v>
      </c>
      <c r="CR2634">
        <v>0</v>
      </c>
      <c r="CW2634">
        <v>1468185</v>
      </c>
      <c r="CY2634">
        <v>1</v>
      </c>
      <c r="CZ2634">
        <v>0</v>
      </c>
      <c r="DA2634">
        <v>1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3">
      <c r="A2635" t="str">
        <f>"03/24/2022 22:21:10.678"</f>
        <v>03/24/2022 22:21:10.678</v>
      </c>
      <c r="C2635" t="str">
        <f t="shared" si="772"/>
        <v>FFDFD3C0</v>
      </c>
      <c r="D2635" t="s">
        <v>113</v>
      </c>
      <c r="E2635">
        <v>24</v>
      </c>
      <c r="F2635">
        <v>2024</v>
      </c>
      <c r="G2635" t="s">
        <v>114</v>
      </c>
      <c r="J2635" t="s">
        <v>115</v>
      </c>
      <c r="K2635">
        <v>0</v>
      </c>
      <c r="L2635">
        <v>3</v>
      </c>
      <c r="M2635">
        <v>0</v>
      </c>
      <c r="N2635">
        <v>2</v>
      </c>
      <c r="O2635">
        <v>0</v>
      </c>
      <c r="P2635">
        <v>1</v>
      </c>
      <c r="Q2635">
        <v>0</v>
      </c>
      <c r="S2635" t="str">
        <f t="shared" si="787"/>
        <v>22:21:10.000</v>
      </c>
      <c r="T2635" t="str">
        <f t="shared" si="787"/>
        <v>22:21:10.000</v>
      </c>
      <c r="U2635" t="str">
        <f t="shared" si="785"/>
        <v>A9D71F</v>
      </c>
      <c r="V2635">
        <v>0</v>
      </c>
      <c r="W2635">
        <v>0</v>
      </c>
      <c r="X2635">
        <v>2</v>
      </c>
      <c r="Z2635">
        <v>1</v>
      </c>
      <c r="AA2635">
        <v>8</v>
      </c>
      <c r="AB2635">
        <v>3</v>
      </c>
      <c r="AC2635">
        <v>0</v>
      </c>
      <c r="AD2635">
        <v>9</v>
      </c>
      <c r="AE2635">
        <v>0</v>
      </c>
      <c r="AF2635">
        <v>3</v>
      </c>
      <c r="AG2635">
        <v>1</v>
      </c>
      <c r="AH2635">
        <v>0</v>
      </c>
      <c r="AI2635" t="s">
        <v>1340</v>
      </c>
      <c r="AJ2635">
        <v>33.013916000000002</v>
      </c>
      <c r="AK2635" t="s">
        <v>1089</v>
      </c>
      <c r="AL2635">
        <v>-97.655411000000001</v>
      </c>
      <c r="AM2635">
        <v>25</v>
      </c>
      <c r="AN2635">
        <v>2000</v>
      </c>
      <c r="AO2635" t="s">
        <v>118</v>
      </c>
      <c r="AP2635">
        <v>31</v>
      </c>
      <c r="AQ2635">
        <v>-84</v>
      </c>
      <c r="AR2635">
        <v>-448</v>
      </c>
      <c r="AZ2635">
        <v>7700</v>
      </c>
      <c r="BA2635">
        <v>1</v>
      </c>
      <c r="BB2635" t="str">
        <f t="shared" si="773"/>
        <v xml:space="preserve">N733KP  </v>
      </c>
      <c r="BC2635">
        <v>1</v>
      </c>
      <c r="BE2635">
        <v>0</v>
      </c>
      <c r="BF2635">
        <v>0</v>
      </c>
      <c r="BG2635">
        <v>1</v>
      </c>
      <c r="BH2635">
        <v>2050</v>
      </c>
      <c r="BI2635">
        <v>1</v>
      </c>
      <c r="BJ2635">
        <v>1</v>
      </c>
      <c r="BK2635">
        <v>0</v>
      </c>
      <c r="BL2635">
        <v>0</v>
      </c>
      <c r="BO2635">
        <v>0</v>
      </c>
      <c r="BP2635">
        <v>0</v>
      </c>
      <c r="BW2635" t="str">
        <f>"22:21:10.481"</f>
        <v>22:21:10.481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6</v>
      </c>
      <c r="CP2635" t="s">
        <v>119</v>
      </c>
      <c r="CQ2635">
        <v>364</v>
      </c>
      <c r="CR2635">
        <v>0</v>
      </c>
      <c r="CW2635">
        <v>1468185</v>
      </c>
      <c r="CY2635">
        <v>1</v>
      </c>
      <c r="CZ2635">
        <v>0</v>
      </c>
      <c r="DA2635">
        <v>1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3">
      <c r="A2636" t="str">
        <f>"03/24/2022 22:21:10.662"</f>
        <v>03/24/2022 22:21:10.662</v>
      </c>
      <c r="C2636" t="str">
        <f t="shared" si="772"/>
        <v>FFDFD3C0</v>
      </c>
      <c r="D2636" t="s">
        <v>123</v>
      </c>
      <c r="E2636">
        <v>8</v>
      </c>
      <c r="H2636">
        <v>31</v>
      </c>
      <c r="I2636" t="s">
        <v>124</v>
      </c>
      <c r="J2636" t="s">
        <v>125</v>
      </c>
      <c r="K2636">
        <v>0</v>
      </c>
      <c r="L2636">
        <v>3</v>
      </c>
      <c r="M2636">
        <v>0</v>
      </c>
      <c r="N2636">
        <v>2</v>
      </c>
      <c r="O2636">
        <v>0</v>
      </c>
      <c r="P2636">
        <v>1</v>
      </c>
      <c r="Q2636">
        <v>0</v>
      </c>
      <c r="S2636" t="str">
        <f t="shared" si="787"/>
        <v>22:21:10.000</v>
      </c>
      <c r="T2636" t="str">
        <f t="shared" si="787"/>
        <v>22:21:10.000</v>
      </c>
      <c r="U2636" t="str">
        <f t="shared" si="785"/>
        <v>A9D71F</v>
      </c>
      <c r="V2636">
        <v>0</v>
      </c>
      <c r="W2636">
        <v>0</v>
      </c>
      <c r="X2636">
        <v>2</v>
      </c>
      <c r="Z2636">
        <v>1</v>
      </c>
      <c r="AA2636">
        <v>8</v>
      </c>
      <c r="AB2636">
        <v>3</v>
      </c>
      <c r="AC2636">
        <v>0</v>
      </c>
      <c r="AD2636">
        <v>9</v>
      </c>
      <c r="AE2636">
        <v>0</v>
      </c>
      <c r="AF2636">
        <v>3</v>
      </c>
      <c r="AG2636">
        <v>1</v>
      </c>
      <c r="AH2636">
        <v>0</v>
      </c>
      <c r="AI2636" t="s">
        <v>1340</v>
      </c>
      <c r="AJ2636">
        <v>33.013916000000002</v>
      </c>
      <c r="AK2636" t="s">
        <v>1089</v>
      </c>
      <c r="AL2636">
        <v>-97.655411000000001</v>
      </c>
      <c r="AM2636">
        <v>25</v>
      </c>
      <c r="AN2636">
        <v>2000</v>
      </c>
      <c r="AO2636" t="s">
        <v>118</v>
      </c>
      <c r="AP2636">
        <v>31</v>
      </c>
      <c r="AQ2636">
        <v>-84</v>
      </c>
      <c r="AR2636">
        <v>-448</v>
      </c>
      <c r="AZ2636">
        <v>7700</v>
      </c>
      <c r="BA2636">
        <v>1</v>
      </c>
      <c r="BB2636" t="str">
        <f t="shared" si="773"/>
        <v xml:space="preserve">N733KP  </v>
      </c>
      <c r="BC2636">
        <v>1</v>
      </c>
      <c r="BE2636">
        <v>0</v>
      </c>
      <c r="BF2636">
        <v>0</v>
      </c>
      <c r="BG2636">
        <v>1</v>
      </c>
      <c r="BH2636">
        <v>2050</v>
      </c>
      <c r="BI2636">
        <v>1</v>
      </c>
      <c r="BJ2636">
        <v>1</v>
      </c>
      <c r="BK2636">
        <v>0</v>
      </c>
      <c r="BL2636">
        <v>0</v>
      </c>
      <c r="BO2636">
        <v>0</v>
      </c>
      <c r="BP2636">
        <v>0</v>
      </c>
      <c r="BW2636" t="str">
        <f>"22:21:10.481"</f>
        <v>22:21:10.481</v>
      </c>
      <c r="CJ2636">
        <v>0</v>
      </c>
      <c r="CK2636">
        <v>2</v>
      </c>
      <c r="CL2636">
        <v>0</v>
      </c>
      <c r="CM2636">
        <v>2</v>
      </c>
      <c r="CN2636">
        <v>0</v>
      </c>
      <c r="CO2636">
        <v>6</v>
      </c>
      <c r="CP2636" t="s">
        <v>119</v>
      </c>
      <c r="CQ2636">
        <v>364</v>
      </c>
      <c r="CR2636">
        <v>0</v>
      </c>
      <c r="CW2636">
        <v>1468185</v>
      </c>
      <c r="CY2636">
        <v>1</v>
      </c>
      <c r="CZ2636">
        <v>0</v>
      </c>
      <c r="DA2636">
        <v>1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3">
      <c r="A2637" t="str">
        <f>"03/24/2022 22:21:12.006"</f>
        <v>03/24/2022 22:21:12.006</v>
      </c>
      <c r="C2637" t="str">
        <f t="shared" si="772"/>
        <v>FFDFD3C0</v>
      </c>
      <c r="D2637" t="s">
        <v>123</v>
      </c>
      <c r="E2637">
        <v>8</v>
      </c>
      <c r="H2637">
        <v>31</v>
      </c>
      <c r="I2637" t="s">
        <v>124</v>
      </c>
      <c r="J2637" t="s">
        <v>125</v>
      </c>
      <c r="K2637">
        <v>0</v>
      </c>
      <c r="L2637">
        <v>3</v>
      </c>
      <c r="M2637">
        <v>0</v>
      </c>
      <c r="N2637">
        <v>2</v>
      </c>
      <c r="O2637">
        <v>0</v>
      </c>
      <c r="P2637">
        <v>1</v>
      </c>
      <c r="Q2637">
        <v>0</v>
      </c>
      <c r="S2637" t="str">
        <f t="shared" ref="S2637:T2640" si="788">"22:21:11.000"</f>
        <v>22:21:11.000</v>
      </c>
      <c r="T2637" t="str">
        <f t="shared" si="788"/>
        <v>22:21:11.000</v>
      </c>
      <c r="U2637" t="str">
        <f t="shared" si="785"/>
        <v>A9D71F</v>
      </c>
      <c r="V2637">
        <v>0</v>
      </c>
      <c r="W2637">
        <v>0</v>
      </c>
      <c r="X2637">
        <v>2</v>
      </c>
      <c r="Z2637">
        <v>1</v>
      </c>
      <c r="AA2637">
        <v>8</v>
      </c>
      <c r="AB2637">
        <v>3</v>
      </c>
      <c r="AC2637">
        <v>0</v>
      </c>
      <c r="AD2637">
        <v>9</v>
      </c>
      <c r="AE2637">
        <v>0</v>
      </c>
      <c r="AF2637">
        <v>3</v>
      </c>
      <c r="AG2637">
        <v>1</v>
      </c>
      <c r="AH2637">
        <v>0</v>
      </c>
      <c r="AI2637" t="s">
        <v>1341</v>
      </c>
      <c r="AJ2637">
        <v>33.013508000000002</v>
      </c>
      <c r="AK2637" t="s">
        <v>1342</v>
      </c>
      <c r="AL2637">
        <v>-97.655218000000005</v>
      </c>
      <c r="AM2637">
        <v>25</v>
      </c>
      <c r="AN2637">
        <v>2000</v>
      </c>
      <c r="AO2637" t="s">
        <v>118</v>
      </c>
      <c r="AP2637">
        <v>17</v>
      </c>
      <c r="AQ2637">
        <v>-86</v>
      </c>
      <c r="AR2637">
        <v>-448</v>
      </c>
      <c r="AZ2637">
        <v>7700</v>
      </c>
      <c r="BA2637">
        <v>1</v>
      </c>
      <c r="BB2637" t="str">
        <f t="shared" si="773"/>
        <v xml:space="preserve">N733KP  </v>
      </c>
      <c r="BC2637">
        <v>1</v>
      </c>
      <c r="BE2637">
        <v>0</v>
      </c>
      <c r="BF2637">
        <v>0</v>
      </c>
      <c r="BG2637">
        <v>1</v>
      </c>
      <c r="BH2637">
        <v>2050</v>
      </c>
      <c r="BI2637">
        <v>1</v>
      </c>
      <c r="BJ2637">
        <v>1</v>
      </c>
      <c r="BK2637">
        <v>0</v>
      </c>
      <c r="BL2637">
        <v>0</v>
      </c>
      <c r="BO2637">
        <v>0</v>
      </c>
      <c r="BP2637">
        <v>0</v>
      </c>
      <c r="BW2637" t="str">
        <f>"22:21:11.804"</f>
        <v>22:21:11.804</v>
      </c>
      <c r="CJ2637">
        <v>0</v>
      </c>
      <c r="CK2637">
        <v>2</v>
      </c>
      <c r="CL2637">
        <v>0</v>
      </c>
      <c r="CM2637">
        <v>2</v>
      </c>
      <c r="CN2637">
        <v>0</v>
      </c>
      <c r="CO2637">
        <v>6</v>
      </c>
      <c r="CP2637" t="s">
        <v>119</v>
      </c>
      <c r="CQ2637">
        <v>364</v>
      </c>
      <c r="CR2637">
        <v>0</v>
      </c>
      <c r="CW2637">
        <v>1468359</v>
      </c>
      <c r="CY2637">
        <v>1</v>
      </c>
      <c r="CZ2637">
        <v>0</v>
      </c>
      <c r="DA2637">
        <v>0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3">
      <c r="A2638" t="str">
        <f>"03/24/2022 22:21:12.084"</f>
        <v>03/24/2022 22:21:12.084</v>
      </c>
      <c r="C2638" t="str">
        <f t="shared" si="772"/>
        <v>FFDFD3C0</v>
      </c>
      <c r="D2638" t="s">
        <v>126</v>
      </c>
      <c r="E2638">
        <v>3</v>
      </c>
      <c r="H2638">
        <v>160</v>
      </c>
      <c r="I2638" t="s">
        <v>121</v>
      </c>
      <c r="J2638" t="s">
        <v>127</v>
      </c>
      <c r="K2638">
        <v>0</v>
      </c>
      <c r="L2638">
        <v>3</v>
      </c>
      <c r="M2638">
        <v>0</v>
      </c>
      <c r="N2638">
        <v>2</v>
      </c>
      <c r="O2638">
        <v>0</v>
      </c>
      <c r="P2638">
        <v>1</v>
      </c>
      <c r="Q2638">
        <v>0</v>
      </c>
      <c r="S2638" t="str">
        <f t="shared" si="788"/>
        <v>22:21:11.000</v>
      </c>
      <c r="T2638" t="str">
        <f t="shared" si="788"/>
        <v>22:21:11.000</v>
      </c>
      <c r="U2638" t="str">
        <f t="shared" si="785"/>
        <v>A9D71F</v>
      </c>
      <c r="V2638">
        <v>0</v>
      </c>
      <c r="W2638">
        <v>0</v>
      </c>
      <c r="X2638">
        <v>2</v>
      </c>
      <c r="Z2638">
        <v>1</v>
      </c>
      <c r="AA2638">
        <v>8</v>
      </c>
      <c r="AB2638">
        <v>3</v>
      </c>
      <c r="AC2638">
        <v>0</v>
      </c>
      <c r="AD2638">
        <v>9</v>
      </c>
      <c r="AE2638">
        <v>0</v>
      </c>
      <c r="AF2638">
        <v>3</v>
      </c>
      <c r="AG2638">
        <v>1</v>
      </c>
      <c r="AH2638">
        <v>0</v>
      </c>
      <c r="AI2638" t="s">
        <v>1341</v>
      </c>
      <c r="AJ2638">
        <v>33.013508000000002</v>
      </c>
      <c r="AK2638" t="s">
        <v>1342</v>
      </c>
      <c r="AL2638">
        <v>-97.655218000000005</v>
      </c>
      <c r="AM2638">
        <v>25</v>
      </c>
      <c r="AN2638">
        <v>2000</v>
      </c>
      <c r="AO2638" t="s">
        <v>118</v>
      </c>
      <c r="AP2638">
        <v>17</v>
      </c>
      <c r="AQ2638">
        <v>-86</v>
      </c>
      <c r="AR2638">
        <v>-448</v>
      </c>
      <c r="AZ2638">
        <v>7700</v>
      </c>
      <c r="BA2638">
        <v>1</v>
      </c>
      <c r="BB2638" t="str">
        <f t="shared" si="773"/>
        <v xml:space="preserve">N733KP  </v>
      </c>
      <c r="BC2638">
        <v>1</v>
      </c>
      <c r="BE2638">
        <v>0</v>
      </c>
      <c r="BF2638">
        <v>0</v>
      </c>
      <c r="BG2638">
        <v>1</v>
      </c>
      <c r="BH2638">
        <v>2050</v>
      </c>
      <c r="BI2638">
        <v>1</v>
      </c>
      <c r="BJ2638">
        <v>1</v>
      </c>
      <c r="BK2638">
        <v>0</v>
      </c>
      <c r="BL2638">
        <v>0</v>
      </c>
      <c r="BO2638">
        <v>0</v>
      </c>
      <c r="BP2638">
        <v>0</v>
      </c>
      <c r="BW2638" t="str">
        <f>"22:21:11.804"</f>
        <v>22:21:11.804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6</v>
      </c>
      <c r="CP2638" t="s">
        <v>119</v>
      </c>
      <c r="CQ2638">
        <v>364</v>
      </c>
      <c r="CR2638">
        <v>0</v>
      </c>
      <c r="CW2638">
        <v>1468359</v>
      </c>
      <c r="CY2638">
        <v>1</v>
      </c>
      <c r="CZ2638">
        <v>0</v>
      </c>
      <c r="DA2638">
        <v>1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3">
      <c r="A2639" t="str">
        <f>"03/24/2022 22:21:12.084"</f>
        <v>03/24/2022 22:21:12.084</v>
      </c>
      <c r="C2639" t="str">
        <f t="shared" si="772"/>
        <v>FFDFD3C0</v>
      </c>
      <c r="D2639" t="s">
        <v>120</v>
      </c>
      <c r="E2639">
        <v>14</v>
      </c>
      <c r="F2639">
        <v>1014</v>
      </c>
      <c r="G2639" t="s">
        <v>121</v>
      </c>
      <c r="J2639" t="s">
        <v>122</v>
      </c>
      <c r="K2639">
        <v>0</v>
      </c>
      <c r="L2639">
        <v>3</v>
      </c>
      <c r="M2639">
        <v>0</v>
      </c>
      <c r="N2639">
        <v>2</v>
      </c>
      <c r="O2639">
        <v>0</v>
      </c>
      <c r="P2639">
        <v>1</v>
      </c>
      <c r="Q2639">
        <v>0</v>
      </c>
      <c r="S2639" t="str">
        <f t="shared" si="788"/>
        <v>22:21:11.000</v>
      </c>
      <c r="T2639" t="str">
        <f t="shared" si="788"/>
        <v>22:21:11.000</v>
      </c>
      <c r="U2639" t="str">
        <f t="shared" si="785"/>
        <v>A9D71F</v>
      </c>
      <c r="V2639">
        <v>0</v>
      </c>
      <c r="W2639">
        <v>0</v>
      </c>
      <c r="X2639">
        <v>2</v>
      </c>
      <c r="Z2639">
        <v>1</v>
      </c>
      <c r="AA2639">
        <v>8</v>
      </c>
      <c r="AB2639">
        <v>3</v>
      </c>
      <c r="AC2639">
        <v>0</v>
      </c>
      <c r="AD2639">
        <v>9</v>
      </c>
      <c r="AE2639">
        <v>0</v>
      </c>
      <c r="AF2639">
        <v>3</v>
      </c>
      <c r="AG2639">
        <v>1</v>
      </c>
      <c r="AH2639">
        <v>0</v>
      </c>
      <c r="AI2639" t="s">
        <v>1341</v>
      </c>
      <c r="AJ2639">
        <v>33.013508000000002</v>
      </c>
      <c r="AK2639" t="s">
        <v>1342</v>
      </c>
      <c r="AL2639">
        <v>-97.655218000000005</v>
      </c>
      <c r="AM2639">
        <v>25</v>
      </c>
      <c r="AN2639">
        <v>2000</v>
      </c>
      <c r="AO2639" t="s">
        <v>118</v>
      </c>
      <c r="AP2639">
        <v>17</v>
      </c>
      <c r="AQ2639">
        <v>-86</v>
      </c>
      <c r="AR2639">
        <v>-448</v>
      </c>
      <c r="AZ2639">
        <v>7700</v>
      </c>
      <c r="BA2639">
        <v>1</v>
      </c>
      <c r="BB2639" t="str">
        <f t="shared" si="773"/>
        <v xml:space="preserve">N733KP  </v>
      </c>
      <c r="BC2639">
        <v>1</v>
      </c>
      <c r="BE2639">
        <v>0</v>
      </c>
      <c r="BF2639">
        <v>0</v>
      </c>
      <c r="BG2639">
        <v>1</v>
      </c>
      <c r="BH2639">
        <v>2050</v>
      </c>
      <c r="BI2639">
        <v>1</v>
      </c>
      <c r="BJ2639">
        <v>1</v>
      </c>
      <c r="BK2639">
        <v>0</v>
      </c>
      <c r="BL2639">
        <v>0</v>
      </c>
      <c r="BO2639">
        <v>0</v>
      </c>
      <c r="BP2639">
        <v>0</v>
      </c>
      <c r="BW2639" t="str">
        <f>"22:21:11.804"</f>
        <v>22:21:11.804</v>
      </c>
      <c r="CJ2639">
        <v>0</v>
      </c>
      <c r="CK2639">
        <v>2</v>
      </c>
      <c r="CL2639">
        <v>0</v>
      </c>
      <c r="CM2639">
        <v>2</v>
      </c>
      <c r="CN2639">
        <v>0</v>
      </c>
      <c r="CO2639">
        <v>6</v>
      </c>
      <c r="CP2639" t="s">
        <v>119</v>
      </c>
      <c r="CQ2639">
        <v>364</v>
      </c>
      <c r="CR2639">
        <v>0</v>
      </c>
      <c r="CW2639">
        <v>1468359</v>
      </c>
      <c r="CY2639">
        <v>1</v>
      </c>
      <c r="CZ2639">
        <v>0</v>
      </c>
      <c r="DA2639">
        <v>1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3">
      <c r="A2640" t="str">
        <f>"03/24/2022 22:21:12.084"</f>
        <v>03/24/2022 22:21:12.084</v>
      </c>
      <c r="C2640" t="str">
        <f t="shared" si="772"/>
        <v>FFDFD3C0</v>
      </c>
      <c r="D2640" t="s">
        <v>113</v>
      </c>
      <c r="E2640">
        <v>24</v>
      </c>
      <c r="F2640">
        <v>2024</v>
      </c>
      <c r="G2640" t="s">
        <v>114</v>
      </c>
      <c r="J2640" t="s">
        <v>115</v>
      </c>
      <c r="K2640">
        <v>0</v>
      </c>
      <c r="L2640">
        <v>3</v>
      </c>
      <c r="M2640">
        <v>0</v>
      </c>
      <c r="N2640">
        <v>2</v>
      </c>
      <c r="O2640">
        <v>0</v>
      </c>
      <c r="P2640">
        <v>1</v>
      </c>
      <c r="Q2640">
        <v>0</v>
      </c>
      <c r="S2640" t="str">
        <f t="shared" si="788"/>
        <v>22:21:11.000</v>
      </c>
      <c r="T2640" t="str">
        <f t="shared" si="788"/>
        <v>22:21:11.000</v>
      </c>
      <c r="U2640" t="str">
        <f t="shared" si="785"/>
        <v>A9D71F</v>
      </c>
      <c r="V2640">
        <v>0</v>
      </c>
      <c r="W2640">
        <v>0</v>
      </c>
      <c r="X2640">
        <v>2</v>
      </c>
      <c r="Z2640">
        <v>1</v>
      </c>
      <c r="AA2640">
        <v>8</v>
      </c>
      <c r="AB2640">
        <v>3</v>
      </c>
      <c r="AC2640">
        <v>0</v>
      </c>
      <c r="AD2640">
        <v>9</v>
      </c>
      <c r="AE2640">
        <v>0</v>
      </c>
      <c r="AF2640">
        <v>3</v>
      </c>
      <c r="AG2640">
        <v>1</v>
      </c>
      <c r="AH2640">
        <v>0</v>
      </c>
      <c r="AI2640" t="s">
        <v>1341</v>
      </c>
      <c r="AJ2640">
        <v>33.013508000000002</v>
      </c>
      <c r="AK2640" t="s">
        <v>1342</v>
      </c>
      <c r="AL2640">
        <v>-97.655218000000005</v>
      </c>
      <c r="AM2640">
        <v>25</v>
      </c>
      <c r="AN2640">
        <v>2000</v>
      </c>
      <c r="AO2640" t="s">
        <v>118</v>
      </c>
      <c r="AP2640">
        <v>17</v>
      </c>
      <c r="AQ2640">
        <v>-86</v>
      </c>
      <c r="AR2640">
        <v>-448</v>
      </c>
      <c r="AZ2640">
        <v>7700</v>
      </c>
      <c r="BA2640">
        <v>1</v>
      </c>
      <c r="BB2640" t="str">
        <f t="shared" si="773"/>
        <v xml:space="preserve">N733KP  </v>
      </c>
      <c r="BC2640">
        <v>1</v>
      </c>
      <c r="BE2640">
        <v>0</v>
      </c>
      <c r="BF2640">
        <v>0</v>
      </c>
      <c r="BG2640">
        <v>1</v>
      </c>
      <c r="BH2640">
        <v>2050</v>
      </c>
      <c r="BI2640">
        <v>1</v>
      </c>
      <c r="BJ2640">
        <v>1</v>
      </c>
      <c r="BK2640">
        <v>0</v>
      </c>
      <c r="BL2640">
        <v>0</v>
      </c>
      <c r="BO2640">
        <v>0</v>
      </c>
      <c r="BP2640">
        <v>0</v>
      </c>
      <c r="BW2640" t="str">
        <f>"22:21:11.804"</f>
        <v>22:21:11.804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6</v>
      </c>
      <c r="CP2640" t="s">
        <v>119</v>
      </c>
      <c r="CQ2640">
        <v>364</v>
      </c>
      <c r="CR2640">
        <v>0</v>
      </c>
      <c r="CW2640">
        <v>1468359</v>
      </c>
      <c r="CY2640">
        <v>1</v>
      </c>
      <c r="CZ2640">
        <v>0</v>
      </c>
      <c r="DA2640">
        <v>1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3">
      <c r="A2641" t="str">
        <f>"03/24/2022 22:21:12.492"</f>
        <v>03/24/2022 22:21:12.492</v>
      </c>
      <c r="C2641" t="str">
        <f t="shared" si="772"/>
        <v>FFDFD3C0</v>
      </c>
      <c r="D2641" t="s">
        <v>113</v>
      </c>
      <c r="E2641">
        <v>24</v>
      </c>
      <c r="F2641">
        <v>2024</v>
      </c>
      <c r="G2641" t="s">
        <v>114</v>
      </c>
      <c r="J2641" t="s">
        <v>115</v>
      </c>
      <c r="K2641">
        <v>0</v>
      </c>
      <c r="L2641">
        <v>3</v>
      </c>
      <c r="M2641">
        <v>0</v>
      </c>
      <c r="N2641">
        <v>2</v>
      </c>
      <c r="O2641">
        <v>0</v>
      </c>
      <c r="P2641">
        <v>1</v>
      </c>
      <c r="Q2641">
        <v>0</v>
      </c>
      <c r="S2641" t="str">
        <f t="shared" ref="S2641:T2644" si="789">"22:21:12.000"</f>
        <v>22:21:12.000</v>
      </c>
      <c r="T2641" t="str">
        <f t="shared" si="789"/>
        <v>22:21:12.000</v>
      </c>
      <c r="U2641" t="str">
        <f t="shared" si="785"/>
        <v>A9D71F</v>
      </c>
      <c r="V2641">
        <v>0</v>
      </c>
      <c r="W2641">
        <v>0</v>
      </c>
      <c r="X2641">
        <v>2</v>
      </c>
      <c r="Z2641">
        <v>1</v>
      </c>
      <c r="AA2641">
        <v>8</v>
      </c>
      <c r="AB2641">
        <v>3</v>
      </c>
      <c r="AC2641">
        <v>0</v>
      </c>
      <c r="AD2641">
        <v>9</v>
      </c>
      <c r="AE2641">
        <v>0</v>
      </c>
      <c r="AF2641">
        <v>3</v>
      </c>
      <c r="AG2641">
        <v>1</v>
      </c>
      <c r="AH2641">
        <v>0</v>
      </c>
      <c r="AI2641" t="s">
        <v>1343</v>
      </c>
      <c r="AJ2641">
        <v>33.013143999999997</v>
      </c>
      <c r="AK2641" t="s">
        <v>1344</v>
      </c>
      <c r="AL2641">
        <v>-97.655109999999993</v>
      </c>
      <c r="AM2641">
        <v>25</v>
      </c>
      <c r="AN2641">
        <v>2000</v>
      </c>
      <c r="AO2641" t="s">
        <v>118</v>
      </c>
      <c r="AP2641">
        <v>12</v>
      </c>
      <c r="AQ2641">
        <v>-86</v>
      </c>
      <c r="AR2641">
        <v>-576</v>
      </c>
      <c r="AZ2641">
        <v>7700</v>
      </c>
      <c r="BA2641">
        <v>1</v>
      </c>
      <c r="BB2641" t="str">
        <f t="shared" si="773"/>
        <v xml:space="preserve">N733KP  </v>
      </c>
      <c r="BC2641">
        <v>1</v>
      </c>
      <c r="BE2641">
        <v>0</v>
      </c>
      <c r="BF2641">
        <v>0</v>
      </c>
      <c r="BG2641">
        <v>1</v>
      </c>
      <c r="BH2641">
        <v>2050</v>
      </c>
      <c r="BI2641">
        <v>1</v>
      </c>
      <c r="BJ2641">
        <v>1</v>
      </c>
      <c r="BK2641">
        <v>0</v>
      </c>
      <c r="BL2641">
        <v>0</v>
      </c>
      <c r="BO2641">
        <v>0</v>
      </c>
      <c r="BP2641">
        <v>0</v>
      </c>
      <c r="BW2641" t="str">
        <f>"22:21:12.235"</f>
        <v>22:21:12.235</v>
      </c>
      <c r="CJ2641">
        <v>0</v>
      </c>
      <c r="CK2641">
        <v>2</v>
      </c>
      <c r="CL2641">
        <v>0</v>
      </c>
      <c r="CM2641">
        <v>2</v>
      </c>
      <c r="CN2641">
        <v>0</v>
      </c>
      <c r="CO2641">
        <v>6</v>
      </c>
      <c r="CP2641" t="s">
        <v>119</v>
      </c>
      <c r="CQ2641">
        <v>364</v>
      </c>
      <c r="CR2641">
        <v>0</v>
      </c>
      <c r="CW2641">
        <v>1468425</v>
      </c>
      <c r="CY2641">
        <v>1</v>
      </c>
      <c r="CZ2641">
        <v>0</v>
      </c>
      <c r="DA2641">
        <v>0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3">
      <c r="A2642" t="str">
        <f>"03/24/2022 22:21:12.492"</f>
        <v>03/24/2022 22:21:12.492</v>
      </c>
      <c r="C2642" t="str">
        <f t="shared" si="772"/>
        <v>FFDFD3C0</v>
      </c>
      <c r="D2642" t="s">
        <v>123</v>
      </c>
      <c r="E2642">
        <v>8</v>
      </c>
      <c r="H2642">
        <v>31</v>
      </c>
      <c r="I2642" t="s">
        <v>124</v>
      </c>
      <c r="J2642" t="s">
        <v>125</v>
      </c>
      <c r="K2642">
        <v>0</v>
      </c>
      <c r="L2642">
        <v>3</v>
      </c>
      <c r="M2642">
        <v>0</v>
      </c>
      <c r="N2642">
        <v>2</v>
      </c>
      <c r="O2642">
        <v>0</v>
      </c>
      <c r="P2642">
        <v>1</v>
      </c>
      <c r="Q2642">
        <v>0</v>
      </c>
      <c r="S2642" t="str">
        <f t="shared" si="789"/>
        <v>22:21:12.000</v>
      </c>
      <c r="T2642" t="str">
        <f t="shared" si="789"/>
        <v>22:21:12.000</v>
      </c>
      <c r="U2642" t="str">
        <f t="shared" si="785"/>
        <v>A9D71F</v>
      </c>
      <c r="V2642">
        <v>0</v>
      </c>
      <c r="W2642">
        <v>0</v>
      </c>
      <c r="X2642">
        <v>2</v>
      </c>
      <c r="Z2642">
        <v>1</v>
      </c>
      <c r="AA2642">
        <v>8</v>
      </c>
      <c r="AB2642">
        <v>3</v>
      </c>
      <c r="AC2642">
        <v>0</v>
      </c>
      <c r="AD2642">
        <v>9</v>
      </c>
      <c r="AE2642">
        <v>0</v>
      </c>
      <c r="AF2642">
        <v>3</v>
      </c>
      <c r="AG2642">
        <v>1</v>
      </c>
      <c r="AH2642">
        <v>0</v>
      </c>
      <c r="AI2642" t="s">
        <v>1343</v>
      </c>
      <c r="AJ2642">
        <v>33.013143999999997</v>
      </c>
      <c r="AK2642" t="s">
        <v>1344</v>
      </c>
      <c r="AL2642">
        <v>-97.655109999999993</v>
      </c>
      <c r="AM2642">
        <v>25</v>
      </c>
      <c r="AN2642">
        <v>2000</v>
      </c>
      <c r="AO2642" t="s">
        <v>118</v>
      </c>
      <c r="AP2642">
        <v>12</v>
      </c>
      <c r="AQ2642">
        <v>-86</v>
      </c>
      <c r="AR2642">
        <v>-576</v>
      </c>
      <c r="AZ2642">
        <v>7700</v>
      </c>
      <c r="BA2642">
        <v>1</v>
      </c>
      <c r="BB2642" t="str">
        <f t="shared" si="773"/>
        <v xml:space="preserve">N733KP  </v>
      </c>
      <c r="BC2642">
        <v>1</v>
      </c>
      <c r="BE2642">
        <v>0</v>
      </c>
      <c r="BF2642">
        <v>0</v>
      </c>
      <c r="BG2642">
        <v>1</v>
      </c>
      <c r="BH2642">
        <v>2050</v>
      </c>
      <c r="BI2642">
        <v>1</v>
      </c>
      <c r="BJ2642">
        <v>1</v>
      </c>
      <c r="BK2642">
        <v>0</v>
      </c>
      <c r="BL2642">
        <v>0</v>
      </c>
      <c r="BO2642">
        <v>0</v>
      </c>
      <c r="BP2642">
        <v>0</v>
      </c>
      <c r="BW2642" t="str">
        <f>"22:21:12.235"</f>
        <v>22:21:12.235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6</v>
      </c>
      <c r="CP2642" t="s">
        <v>119</v>
      </c>
      <c r="CQ2642">
        <v>364</v>
      </c>
      <c r="CR2642">
        <v>0</v>
      </c>
      <c r="CW2642">
        <v>1468425</v>
      </c>
      <c r="CY2642">
        <v>1</v>
      </c>
      <c r="CZ2642">
        <v>0</v>
      </c>
      <c r="DA2642">
        <v>1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3">
      <c r="A2643" t="str">
        <f>"03/24/2022 22:21:12.492"</f>
        <v>03/24/2022 22:21:12.492</v>
      </c>
      <c r="C2643" t="str">
        <f t="shared" si="772"/>
        <v>FFDFD3C0</v>
      </c>
      <c r="D2643" t="s">
        <v>126</v>
      </c>
      <c r="E2643">
        <v>3</v>
      </c>
      <c r="H2643">
        <v>160</v>
      </c>
      <c r="I2643" t="s">
        <v>121</v>
      </c>
      <c r="J2643" t="s">
        <v>127</v>
      </c>
      <c r="K2643">
        <v>0</v>
      </c>
      <c r="L2643">
        <v>3</v>
      </c>
      <c r="M2643">
        <v>0</v>
      </c>
      <c r="N2643">
        <v>2</v>
      </c>
      <c r="O2643">
        <v>0</v>
      </c>
      <c r="P2643">
        <v>1</v>
      </c>
      <c r="Q2643">
        <v>0</v>
      </c>
      <c r="S2643" t="str">
        <f t="shared" si="789"/>
        <v>22:21:12.000</v>
      </c>
      <c r="T2643" t="str">
        <f t="shared" si="789"/>
        <v>22:21:12.000</v>
      </c>
      <c r="U2643" t="str">
        <f t="shared" si="785"/>
        <v>A9D71F</v>
      </c>
      <c r="V2643">
        <v>0</v>
      </c>
      <c r="W2643">
        <v>0</v>
      </c>
      <c r="X2643">
        <v>2</v>
      </c>
      <c r="Z2643">
        <v>1</v>
      </c>
      <c r="AA2643">
        <v>8</v>
      </c>
      <c r="AB2643">
        <v>3</v>
      </c>
      <c r="AC2643">
        <v>0</v>
      </c>
      <c r="AD2643">
        <v>9</v>
      </c>
      <c r="AE2643">
        <v>0</v>
      </c>
      <c r="AF2643">
        <v>3</v>
      </c>
      <c r="AG2643">
        <v>1</v>
      </c>
      <c r="AH2643">
        <v>0</v>
      </c>
      <c r="AI2643" t="s">
        <v>1343</v>
      </c>
      <c r="AJ2643">
        <v>33.013143999999997</v>
      </c>
      <c r="AK2643" t="s">
        <v>1344</v>
      </c>
      <c r="AL2643">
        <v>-97.655109999999993</v>
      </c>
      <c r="AM2643">
        <v>25</v>
      </c>
      <c r="AN2643">
        <v>2000</v>
      </c>
      <c r="AO2643" t="s">
        <v>118</v>
      </c>
      <c r="AP2643">
        <v>12</v>
      </c>
      <c r="AQ2643">
        <v>-86</v>
      </c>
      <c r="AR2643">
        <v>-576</v>
      </c>
      <c r="AZ2643">
        <v>7700</v>
      </c>
      <c r="BA2643">
        <v>1</v>
      </c>
      <c r="BB2643" t="str">
        <f t="shared" si="773"/>
        <v xml:space="preserve">N733KP  </v>
      </c>
      <c r="BC2643">
        <v>1</v>
      </c>
      <c r="BE2643">
        <v>0</v>
      </c>
      <c r="BF2643">
        <v>0</v>
      </c>
      <c r="BG2643">
        <v>1</v>
      </c>
      <c r="BH2643">
        <v>2050</v>
      </c>
      <c r="BI2643">
        <v>1</v>
      </c>
      <c r="BJ2643">
        <v>1</v>
      </c>
      <c r="BK2643">
        <v>0</v>
      </c>
      <c r="BL2643">
        <v>0</v>
      </c>
      <c r="BO2643">
        <v>0</v>
      </c>
      <c r="BP2643">
        <v>0</v>
      </c>
      <c r="BW2643" t="str">
        <f>"22:21:12.235"</f>
        <v>22:21:12.235</v>
      </c>
      <c r="CJ2643">
        <v>0</v>
      </c>
      <c r="CK2643">
        <v>2</v>
      </c>
      <c r="CL2643">
        <v>0</v>
      </c>
      <c r="CM2643">
        <v>2</v>
      </c>
      <c r="CN2643">
        <v>0</v>
      </c>
      <c r="CO2643">
        <v>6</v>
      </c>
      <c r="CP2643" t="s">
        <v>119</v>
      </c>
      <c r="CQ2643">
        <v>364</v>
      </c>
      <c r="CR2643">
        <v>0</v>
      </c>
      <c r="CW2643">
        <v>1468425</v>
      </c>
      <c r="CY2643">
        <v>1</v>
      </c>
      <c r="CZ2643">
        <v>0</v>
      </c>
      <c r="DA2643">
        <v>1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3">
      <c r="A2644" t="str">
        <f>"03/24/2022 22:21:12.492"</f>
        <v>03/24/2022 22:21:12.492</v>
      </c>
      <c r="C2644" t="str">
        <f t="shared" si="772"/>
        <v>FFDFD3C0</v>
      </c>
      <c r="D2644" t="s">
        <v>120</v>
      </c>
      <c r="E2644">
        <v>14</v>
      </c>
      <c r="F2644">
        <v>1014</v>
      </c>
      <c r="G2644" t="s">
        <v>121</v>
      </c>
      <c r="J2644" t="s">
        <v>122</v>
      </c>
      <c r="K2644">
        <v>0</v>
      </c>
      <c r="L2644">
        <v>3</v>
      </c>
      <c r="M2644">
        <v>0</v>
      </c>
      <c r="N2644">
        <v>2</v>
      </c>
      <c r="O2644">
        <v>0</v>
      </c>
      <c r="P2644">
        <v>1</v>
      </c>
      <c r="Q2644">
        <v>0</v>
      </c>
      <c r="S2644" t="str">
        <f t="shared" si="789"/>
        <v>22:21:12.000</v>
      </c>
      <c r="T2644" t="str">
        <f t="shared" si="789"/>
        <v>22:21:12.000</v>
      </c>
      <c r="U2644" t="str">
        <f t="shared" si="785"/>
        <v>A9D71F</v>
      </c>
      <c r="V2644">
        <v>0</v>
      </c>
      <c r="W2644">
        <v>0</v>
      </c>
      <c r="X2644">
        <v>2</v>
      </c>
      <c r="Z2644">
        <v>1</v>
      </c>
      <c r="AA2644">
        <v>8</v>
      </c>
      <c r="AB2644">
        <v>3</v>
      </c>
      <c r="AC2644">
        <v>0</v>
      </c>
      <c r="AD2644">
        <v>9</v>
      </c>
      <c r="AE2644">
        <v>0</v>
      </c>
      <c r="AF2644">
        <v>3</v>
      </c>
      <c r="AG2644">
        <v>1</v>
      </c>
      <c r="AH2644">
        <v>0</v>
      </c>
      <c r="AI2644" t="s">
        <v>1343</v>
      </c>
      <c r="AJ2644">
        <v>33.013143999999997</v>
      </c>
      <c r="AK2644" t="s">
        <v>1344</v>
      </c>
      <c r="AL2644">
        <v>-97.655109999999993</v>
      </c>
      <c r="AM2644">
        <v>25</v>
      </c>
      <c r="AN2644">
        <v>2000</v>
      </c>
      <c r="AO2644" t="s">
        <v>118</v>
      </c>
      <c r="AP2644">
        <v>12</v>
      </c>
      <c r="AQ2644">
        <v>-86</v>
      </c>
      <c r="AR2644">
        <v>-576</v>
      </c>
      <c r="AZ2644">
        <v>7700</v>
      </c>
      <c r="BA2644">
        <v>1</v>
      </c>
      <c r="BB2644" t="str">
        <f t="shared" si="773"/>
        <v xml:space="preserve">N733KP  </v>
      </c>
      <c r="BC2644">
        <v>1</v>
      </c>
      <c r="BE2644">
        <v>0</v>
      </c>
      <c r="BF2644">
        <v>0</v>
      </c>
      <c r="BG2644">
        <v>1</v>
      </c>
      <c r="BH2644">
        <v>2050</v>
      </c>
      <c r="BI2644">
        <v>1</v>
      </c>
      <c r="BJ2644">
        <v>1</v>
      </c>
      <c r="BK2644">
        <v>0</v>
      </c>
      <c r="BL2644">
        <v>0</v>
      </c>
      <c r="BO2644">
        <v>0</v>
      </c>
      <c r="BP2644">
        <v>0</v>
      </c>
      <c r="BW2644" t="str">
        <f>"22:21:12.235"</f>
        <v>22:21:12.235</v>
      </c>
      <c r="CJ2644">
        <v>0</v>
      </c>
      <c r="CK2644">
        <v>2</v>
      </c>
      <c r="CL2644">
        <v>0</v>
      </c>
      <c r="CM2644">
        <v>2</v>
      </c>
      <c r="CN2644">
        <v>0</v>
      </c>
      <c r="CO2644">
        <v>6</v>
      </c>
      <c r="CP2644" t="s">
        <v>119</v>
      </c>
      <c r="CQ2644">
        <v>364</v>
      </c>
      <c r="CR2644">
        <v>0</v>
      </c>
      <c r="CW2644">
        <v>1468425</v>
      </c>
      <c r="CY2644">
        <v>1</v>
      </c>
      <c r="CZ2644">
        <v>0</v>
      </c>
      <c r="DA2644">
        <v>1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3">
      <c r="A2645" t="str">
        <f>"03/24/2022 22:21:13.932"</f>
        <v>03/24/2022 22:21:13.932</v>
      </c>
      <c r="C2645" t="str">
        <f t="shared" si="772"/>
        <v>FFDFD3C0</v>
      </c>
      <c r="D2645" t="s">
        <v>123</v>
      </c>
      <c r="E2645">
        <v>8</v>
      </c>
      <c r="H2645">
        <v>31</v>
      </c>
      <c r="I2645" t="s">
        <v>124</v>
      </c>
      <c r="J2645" t="s">
        <v>125</v>
      </c>
      <c r="K2645">
        <v>0</v>
      </c>
      <c r="L2645">
        <v>3</v>
      </c>
      <c r="M2645">
        <v>0</v>
      </c>
      <c r="N2645">
        <v>2</v>
      </c>
      <c r="O2645">
        <v>0</v>
      </c>
      <c r="P2645">
        <v>1</v>
      </c>
      <c r="Q2645">
        <v>0</v>
      </c>
      <c r="S2645" t="str">
        <f t="shared" ref="S2645:T2648" si="790">"22:21:13.000"</f>
        <v>22:21:13.000</v>
      </c>
      <c r="T2645" t="str">
        <f t="shared" si="790"/>
        <v>22:21:13.000</v>
      </c>
      <c r="U2645" t="str">
        <f t="shared" si="785"/>
        <v>A9D71F</v>
      </c>
      <c r="V2645">
        <v>0</v>
      </c>
      <c r="W2645">
        <v>0</v>
      </c>
      <c r="X2645">
        <v>2</v>
      </c>
      <c r="Z2645">
        <v>1</v>
      </c>
      <c r="AA2645">
        <v>8</v>
      </c>
      <c r="AB2645">
        <v>3</v>
      </c>
      <c r="AC2645">
        <v>0</v>
      </c>
      <c r="AD2645">
        <v>9</v>
      </c>
      <c r="AE2645">
        <v>0</v>
      </c>
      <c r="AF2645">
        <v>3</v>
      </c>
      <c r="AG2645">
        <v>1</v>
      </c>
      <c r="AH2645">
        <v>0</v>
      </c>
      <c r="AI2645" t="s">
        <v>1345</v>
      </c>
      <c r="AJ2645">
        <v>33.012779000000002</v>
      </c>
      <c r="AK2645" t="s">
        <v>1344</v>
      </c>
      <c r="AL2645">
        <v>-97.655109999999993</v>
      </c>
      <c r="AM2645">
        <v>25</v>
      </c>
      <c r="AN2645">
        <v>2000</v>
      </c>
      <c r="AO2645" t="s">
        <v>118</v>
      </c>
      <c r="AP2645">
        <v>-5</v>
      </c>
      <c r="AQ2645">
        <v>-76</v>
      </c>
      <c r="AR2645">
        <v>-768</v>
      </c>
      <c r="AZ2645">
        <v>7700</v>
      </c>
      <c r="BA2645">
        <v>1</v>
      </c>
      <c r="BB2645" t="str">
        <f t="shared" si="773"/>
        <v xml:space="preserve">N733KP  </v>
      </c>
      <c r="BC2645">
        <v>1</v>
      </c>
      <c r="BE2645">
        <v>0</v>
      </c>
      <c r="BF2645">
        <v>0</v>
      </c>
      <c r="BG2645">
        <v>1</v>
      </c>
      <c r="BH2645">
        <v>2050</v>
      </c>
      <c r="BI2645">
        <v>1</v>
      </c>
      <c r="BJ2645">
        <v>1</v>
      </c>
      <c r="BK2645">
        <v>0</v>
      </c>
      <c r="BL2645">
        <v>0</v>
      </c>
      <c r="BO2645">
        <v>0</v>
      </c>
      <c r="BP2645">
        <v>0</v>
      </c>
      <c r="BW2645" t="str">
        <f>"22:21:13.758"</f>
        <v>22:21:13.758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6</v>
      </c>
      <c r="CP2645" t="s">
        <v>119</v>
      </c>
      <c r="CQ2645">
        <v>364</v>
      </c>
      <c r="CR2645">
        <v>0</v>
      </c>
      <c r="CW2645">
        <v>1468657</v>
      </c>
      <c r="CY2645">
        <v>1</v>
      </c>
      <c r="CZ2645">
        <v>0</v>
      </c>
      <c r="DA2645">
        <v>0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3">
      <c r="A2646" t="str">
        <f>"03/24/2022 22:21:13.948"</f>
        <v>03/24/2022 22:21:13.948</v>
      </c>
      <c r="C2646" t="str">
        <f t="shared" ref="C2646:C2709" si="791">"FFDFD3C0"</f>
        <v>FFDFD3C0</v>
      </c>
      <c r="D2646" t="s">
        <v>126</v>
      </c>
      <c r="E2646">
        <v>3</v>
      </c>
      <c r="H2646">
        <v>160</v>
      </c>
      <c r="I2646" t="s">
        <v>121</v>
      </c>
      <c r="J2646" t="s">
        <v>127</v>
      </c>
      <c r="K2646">
        <v>0</v>
      </c>
      <c r="L2646">
        <v>3</v>
      </c>
      <c r="M2646">
        <v>0</v>
      </c>
      <c r="N2646">
        <v>2</v>
      </c>
      <c r="O2646">
        <v>0</v>
      </c>
      <c r="P2646">
        <v>1</v>
      </c>
      <c r="Q2646">
        <v>0</v>
      </c>
      <c r="S2646" t="str">
        <f t="shared" si="790"/>
        <v>22:21:13.000</v>
      </c>
      <c r="T2646" t="str">
        <f t="shared" si="790"/>
        <v>22:21:13.000</v>
      </c>
      <c r="U2646" t="str">
        <f t="shared" si="785"/>
        <v>A9D71F</v>
      </c>
      <c r="V2646">
        <v>0</v>
      </c>
      <c r="W2646">
        <v>0</v>
      </c>
      <c r="X2646">
        <v>2</v>
      </c>
      <c r="Z2646">
        <v>1</v>
      </c>
      <c r="AA2646">
        <v>8</v>
      </c>
      <c r="AB2646">
        <v>3</v>
      </c>
      <c r="AC2646">
        <v>0</v>
      </c>
      <c r="AD2646">
        <v>9</v>
      </c>
      <c r="AE2646">
        <v>0</v>
      </c>
      <c r="AF2646">
        <v>3</v>
      </c>
      <c r="AG2646">
        <v>1</v>
      </c>
      <c r="AH2646">
        <v>0</v>
      </c>
      <c r="AI2646" t="s">
        <v>1345</v>
      </c>
      <c r="AJ2646">
        <v>33.012779000000002</v>
      </c>
      <c r="AK2646" t="s">
        <v>1344</v>
      </c>
      <c r="AL2646">
        <v>-97.655109999999993</v>
      </c>
      <c r="AM2646">
        <v>25</v>
      </c>
      <c r="AN2646">
        <v>2000</v>
      </c>
      <c r="AO2646" t="s">
        <v>118</v>
      </c>
      <c r="AP2646">
        <v>-5</v>
      </c>
      <c r="AQ2646">
        <v>-76</v>
      </c>
      <c r="AR2646">
        <v>-768</v>
      </c>
      <c r="AZ2646">
        <v>7700</v>
      </c>
      <c r="BA2646">
        <v>1</v>
      </c>
      <c r="BB2646" t="str">
        <f t="shared" ref="BB2646:BB2709" si="792">"N733KP  "</f>
        <v xml:space="preserve">N733KP  </v>
      </c>
      <c r="BC2646">
        <v>1</v>
      </c>
      <c r="BE2646">
        <v>0</v>
      </c>
      <c r="BF2646">
        <v>0</v>
      </c>
      <c r="BG2646">
        <v>1</v>
      </c>
      <c r="BH2646">
        <v>2050</v>
      </c>
      <c r="BI2646">
        <v>1</v>
      </c>
      <c r="BJ2646">
        <v>1</v>
      </c>
      <c r="BK2646">
        <v>0</v>
      </c>
      <c r="BL2646">
        <v>0</v>
      </c>
      <c r="BO2646">
        <v>0</v>
      </c>
      <c r="BP2646">
        <v>0</v>
      </c>
      <c r="BW2646" t="str">
        <f>"22:21:13.758"</f>
        <v>22:21:13.758</v>
      </c>
      <c r="CJ2646">
        <v>0</v>
      </c>
      <c r="CK2646">
        <v>2</v>
      </c>
      <c r="CL2646">
        <v>0</v>
      </c>
      <c r="CM2646">
        <v>2</v>
      </c>
      <c r="CN2646">
        <v>0</v>
      </c>
      <c r="CO2646">
        <v>6</v>
      </c>
      <c r="CP2646" t="s">
        <v>119</v>
      </c>
      <c r="CQ2646">
        <v>364</v>
      </c>
      <c r="CR2646">
        <v>0</v>
      </c>
      <c r="CW2646">
        <v>1468657</v>
      </c>
      <c r="CY2646">
        <v>1</v>
      </c>
      <c r="CZ2646">
        <v>0</v>
      </c>
      <c r="DA2646">
        <v>1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3">
      <c r="A2647" t="str">
        <f>"03/24/2022 22:21:13.979"</f>
        <v>03/24/2022 22:21:13.979</v>
      </c>
      <c r="C2647" t="str">
        <f t="shared" si="791"/>
        <v>FFDFD3C0</v>
      </c>
      <c r="D2647" t="s">
        <v>120</v>
      </c>
      <c r="E2647">
        <v>14</v>
      </c>
      <c r="F2647">
        <v>1014</v>
      </c>
      <c r="G2647" t="s">
        <v>121</v>
      </c>
      <c r="J2647" t="s">
        <v>122</v>
      </c>
      <c r="K2647">
        <v>0</v>
      </c>
      <c r="L2647">
        <v>3</v>
      </c>
      <c r="M2647">
        <v>0</v>
      </c>
      <c r="N2647">
        <v>2</v>
      </c>
      <c r="O2647">
        <v>0</v>
      </c>
      <c r="P2647">
        <v>1</v>
      </c>
      <c r="Q2647">
        <v>0</v>
      </c>
      <c r="S2647" t="str">
        <f t="shared" si="790"/>
        <v>22:21:13.000</v>
      </c>
      <c r="T2647" t="str">
        <f t="shared" si="790"/>
        <v>22:21:13.000</v>
      </c>
      <c r="U2647" t="str">
        <f t="shared" si="785"/>
        <v>A9D71F</v>
      </c>
      <c r="V2647">
        <v>0</v>
      </c>
      <c r="W2647">
        <v>0</v>
      </c>
      <c r="X2647">
        <v>2</v>
      </c>
      <c r="Z2647">
        <v>1</v>
      </c>
      <c r="AA2647">
        <v>8</v>
      </c>
      <c r="AB2647">
        <v>3</v>
      </c>
      <c r="AC2647">
        <v>0</v>
      </c>
      <c r="AD2647">
        <v>9</v>
      </c>
      <c r="AE2647">
        <v>0</v>
      </c>
      <c r="AF2647">
        <v>3</v>
      </c>
      <c r="AG2647">
        <v>1</v>
      </c>
      <c r="AH2647">
        <v>0</v>
      </c>
      <c r="AI2647" t="s">
        <v>1345</v>
      </c>
      <c r="AJ2647">
        <v>33.012779000000002</v>
      </c>
      <c r="AK2647" t="s">
        <v>1344</v>
      </c>
      <c r="AL2647">
        <v>-97.655109999999993</v>
      </c>
      <c r="AM2647">
        <v>25</v>
      </c>
      <c r="AN2647">
        <v>2000</v>
      </c>
      <c r="AO2647" t="s">
        <v>118</v>
      </c>
      <c r="AP2647">
        <v>-5</v>
      </c>
      <c r="AQ2647">
        <v>-76</v>
      </c>
      <c r="AR2647">
        <v>-768</v>
      </c>
      <c r="AZ2647">
        <v>7700</v>
      </c>
      <c r="BA2647">
        <v>1</v>
      </c>
      <c r="BB2647" t="str">
        <f t="shared" si="792"/>
        <v xml:space="preserve">N733KP  </v>
      </c>
      <c r="BC2647">
        <v>1</v>
      </c>
      <c r="BE2647">
        <v>0</v>
      </c>
      <c r="BF2647">
        <v>0</v>
      </c>
      <c r="BG2647">
        <v>1</v>
      </c>
      <c r="BH2647">
        <v>2050</v>
      </c>
      <c r="BI2647">
        <v>1</v>
      </c>
      <c r="BJ2647">
        <v>1</v>
      </c>
      <c r="BK2647">
        <v>0</v>
      </c>
      <c r="BL2647">
        <v>0</v>
      </c>
      <c r="BO2647">
        <v>0</v>
      </c>
      <c r="BP2647">
        <v>0</v>
      </c>
      <c r="BW2647" t="str">
        <f>"22:21:13.758"</f>
        <v>22:21:13.758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6</v>
      </c>
      <c r="CP2647" t="s">
        <v>119</v>
      </c>
      <c r="CQ2647">
        <v>364</v>
      </c>
      <c r="CR2647">
        <v>0</v>
      </c>
      <c r="CW2647">
        <v>1468657</v>
      </c>
      <c r="CY2647">
        <v>1</v>
      </c>
      <c r="CZ2647">
        <v>0</v>
      </c>
      <c r="DA2647">
        <v>1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3">
      <c r="A2648" t="str">
        <f>"03/24/2022 22:21:14.010"</f>
        <v>03/24/2022 22:21:14.010</v>
      </c>
      <c r="C2648" t="str">
        <f t="shared" si="791"/>
        <v>FFDFD3C0</v>
      </c>
      <c r="D2648" t="s">
        <v>113</v>
      </c>
      <c r="E2648">
        <v>24</v>
      </c>
      <c r="F2648">
        <v>2024</v>
      </c>
      <c r="G2648" t="s">
        <v>114</v>
      </c>
      <c r="J2648" t="s">
        <v>115</v>
      </c>
      <c r="K2648">
        <v>0</v>
      </c>
      <c r="L2648">
        <v>3</v>
      </c>
      <c r="M2648">
        <v>0</v>
      </c>
      <c r="N2648">
        <v>2</v>
      </c>
      <c r="O2648">
        <v>0</v>
      </c>
      <c r="P2648">
        <v>1</v>
      </c>
      <c r="Q2648">
        <v>0</v>
      </c>
      <c r="S2648" t="str">
        <f t="shared" si="790"/>
        <v>22:21:13.000</v>
      </c>
      <c r="T2648" t="str">
        <f t="shared" si="790"/>
        <v>22:21:13.000</v>
      </c>
      <c r="U2648" t="str">
        <f t="shared" si="785"/>
        <v>A9D71F</v>
      </c>
      <c r="V2648">
        <v>0</v>
      </c>
      <c r="W2648">
        <v>0</v>
      </c>
      <c r="X2648">
        <v>2</v>
      </c>
      <c r="Z2648">
        <v>1</v>
      </c>
      <c r="AA2648">
        <v>8</v>
      </c>
      <c r="AB2648">
        <v>3</v>
      </c>
      <c r="AC2648">
        <v>0</v>
      </c>
      <c r="AD2648">
        <v>9</v>
      </c>
      <c r="AE2648">
        <v>0</v>
      </c>
      <c r="AF2648">
        <v>3</v>
      </c>
      <c r="AG2648">
        <v>1</v>
      </c>
      <c r="AH2648">
        <v>0</v>
      </c>
      <c r="AI2648" t="s">
        <v>1345</v>
      </c>
      <c r="AJ2648">
        <v>33.012779000000002</v>
      </c>
      <c r="AK2648" t="s">
        <v>1344</v>
      </c>
      <c r="AL2648">
        <v>-97.655109999999993</v>
      </c>
      <c r="AM2648">
        <v>25</v>
      </c>
      <c r="AN2648">
        <v>2000</v>
      </c>
      <c r="AO2648" t="s">
        <v>118</v>
      </c>
      <c r="AP2648">
        <v>-5</v>
      </c>
      <c r="AQ2648">
        <v>-76</v>
      </c>
      <c r="AR2648">
        <v>-768</v>
      </c>
      <c r="AZ2648">
        <v>7700</v>
      </c>
      <c r="BA2648">
        <v>1</v>
      </c>
      <c r="BB2648" t="str">
        <f t="shared" si="792"/>
        <v xml:space="preserve">N733KP  </v>
      </c>
      <c r="BC2648">
        <v>1</v>
      </c>
      <c r="BE2648">
        <v>0</v>
      </c>
      <c r="BF2648">
        <v>0</v>
      </c>
      <c r="BG2648">
        <v>1</v>
      </c>
      <c r="BH2648">
        <v>2050</v>
      </c>
      <c r="BI2648">
        <v>1</v>
      </c>
      <c r="BJ2648">
        <v>1</v>
      </c>
      <c r="BK2648">
        <v>0</v>
      </c>
      <c r="BL2648">
        <v>0</v>
      </c>
      <c r="BO2648">
        <v>0</v>
      </c>
      <c r="BP2648">
        <v>0</v>
      </c>
      <c r="BW2648" t="str">
        <f>"22:21:13.758"</f>
        <v>22:21:13.758</v>
      </c>
      <c r="CJ2648">
        <v>0</v>
      </c>
      <c r="CK2648">
        <v>2</v>
      </c>
      <c r="CL2648">
        <v>0</v>
      </c>
      <c r="CM2648">
        <v>2</v>
      </c>
      <c r="CN2648">
        <v>0</v>
      </c>
      <c r="CO2648">
        <v>6</v>
      </c>
      <c r="CP2648" t="s">
        <v>119</v>
      </c>
      <c r="CQ2648">
        <v>364</v>
      </c>
      <c r="CR2648">
        <v>0</v>
      </c>
      <c r="CW2648">
        <v>1468657</v>
      </c>
      <c r="CY2648">
        <v>1</v>
      </c>
      <c r="CZ2648">
        <v>0</v>
      </c>
      <c r="DA2648">
        <v>1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3">
      <c r="A2649" t="str">
        <f>"03/24/2022 22:21:14.557"</f>
        <v>03/24/2022 22:21:14.557</v>
      </c>
      <c r="C2649" t="str">
        <f t="shared" si="791"/>
        <v>FFDFD3C0</v>
      </c>
      <c r="D2649" t="s">
        <v>126</v>
      </c>
      <c r="E2649">
        <v>3</v>
      </c>
      <c r="H2649">
        <v>160</v>
      </c>
      <c r="I2649" t="s">
        <v>121</v>
      </c>
      <c r="J2649" t="s">
        <v>127</v>
      </c>
      <c r="K2649">
        <v>0</v>
      </c>
      <c r="L2649">
        <v>3</v>
      </c>
      <c r="M2649">
        <v>0</v>
      </c>
      <c r="N2649">
        <v>2</v>
      </c>
      <c r="O2649">
        <v>0</v>
      </c>
      <c r="P2649">
        <v>1</v>
      </c>
      <c r="Q2649">
        <v>0</v>
      </c>
      <c r="S2649" t="str">
        <f t="shared" ref="S2649:T2652" si="793">"22:21:14.000"</f>
        <v>22:21:14.000</v>
      </c>
      <c r="T2649" t="str">
        <f t="shared" si="793"/>
        <v>22:21:14.000</v>
      </c>
      <c r="U2649" t="str">
        <f t="shared" si="785"/>
        <v>A9D71F</v>
      </c>
      <c r="V2649">
        <v>0</v>
      </c>
      <c r="W2649">
        <v>0</v>
      </c>
      <c r="X2649">
        <v>2</v>
      </c>
      <c r="Z2649">
        <v>1</v>
      </c>
      <c r="AA2649">
        <v>8</v>
      </c>
      <c r="AB2649">
        <v>3</v>
      </c>
      <c r="AC2649">
        <v>0</v>
      </c>
      <c r="AD2649">
        <v>9</v>
      </c>
      <c r="AE2649">
        <v>0</v>
      </c>
      <c r="AF2649">
        <v>3</v>
      </c>
      <c r="AG2649">
        <v>1</v>
      </c>
      <c r="AH2649">
        <v>0</v>
      </c>
      <c r="AI2649" t="s">
        <v>1346</v>
      </c>
      <c r="AJ2649">
        <v>33.012371000000002</v>
      </c>
      <c r="AK2649" t="s">
        <v>1344</v>
      </c>
      <c r="AL2649">
        <v>-97.655109999999993</v>
      </c>
      <c r="AM2649">
        <v>25</v>
      </c>
      <c r="AN2649">
        <v>2000</v>
      </c>
      <c r="AO2649" t="s">
        <v>118</v>
      </c>
      <c r="AP2649">
        <v>-15</v>
      </c>
      <c r="AQ2649">
        <v>-69</v>
      </c>
      <c r="AR2649">
        <v>-704</v>
      </c>
      <c r="AZ2649">
        <v>7700</v>
      </c>
      <c r="BA2649">
        <v>1</v>
      </c>
      <c r="BB2649" t="str">
        <f t="shared" si="792"/>
        <v xml:space="preserve">N733KP  </v>
      </c>
      <c r="BC2649">
        <v>1</v>
      </c>
      <c r="BE2649">
        <v>0</v>
      </c>
      <c r="BF2649">
        <v>0</v>
      </c>
      <c r="BG2649">
        <v>1</v>
      </c>
      <c r="BH2649">
        <v>2025</v>
      </c>
      <c r="BI2649">
        <v>1</v>
      </c>
      <c r="BJ2649">
        <v>1</v>
      </c>
      <c r="BK2649">
        <v>0</v>
      </c>
      <c r="BL2649">
        <v>0</v>
      </c>
      <c r="BO2649">
        <v>0</v>
      </c>
      <c r="BP2649">
        <v>0</v>
      </c>
      <c r="BW2649" t="str">
        <f>"22:21:14.380"</f>
        <v>22:21:14.380</v>
      </c>
      <c r="CJ2649">
        <v>0</v>
      </c>
      <c r="CK2649">
        <v>2</v>
      </c>
      <c r="CL2649">
        <v>0</v>
      </c>
      <c r="CM2649">
        <v>2</v>
      </c>
      <c r="CN2649">
        <v>0</v>
      </c>
      <c r="CO2649">
        <v>6</v>
      </c>
      <c r="CP2649" t="s">
        <v>119</v>
      </c>
      <c r="CQ2649">
        <v>364</v>
      </c>
      <c r="CR2649">
        <v>0</v>
      </c>
      <c r="CW2649">
        <v>1468730</v>
      </c>
      <c r="CY2649">
        <v>1</v>
      </c>
      <c r="CZ2649">
        <v>0</v>
      </c>
      <c r="DA2649">
        <v>0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3">
      <c r="A2650" t="str">
        <f>"03/24/2022 22:21:14.557"</f>
        <v>03/24/2022 22:21:14.557</v>
      </c>
      <c r="C2650" t="str">
        <f t="shared" si="791"/>
        <v>FFDFD3C0</v>
      </c>
      <c r="D2650" t="s">
        <v>120</v>
      </c>
      <c r="E2650">
        <v>14</v>
      </c>
      <c r="F2650">
        <v>1014</v>
      </c>
      <c r="G2650" t="s">
        <v>121</v>
      </c>
      <c r="J2650" t="s">
        <v>122</v>
      </c>
      <c r="K2650">
        <v>0</v>
      </c>
      <c r="L2650">
        <v>3</v>
      </c>
      <c r="M2650">
        <v>0</v>
      </c>
      <c r="N2650">
        <v>2</v>
      </c>
      <c r="O2650">
        <v>0</v>
      </c>
      <c r="P2650">
        <v>1</v>
      </c>
      <c r="Q2650">
        <v>0</v>
      </c>
      <c r="S2650" t="str">
        <f t="shared" si="793"/>
        <v>22:21:14.000</v>
      </c>
      <c r="T2650" t="str">
        <f t="shared" si="793"/>
        <v>22:21:14.000</v>
      </c>
      <c r="U2650" t="str">
        <f t="shared" si="785"/>
        <v>A9D71F</v>
      </c>
      <c r="V2650">
        <v>0</v>
      </c>
      <c r="W2650">
        <v>0</v>
      </c>
      <c r="X2650">
        <v>2</v>
      </c>
      <c r="Z2650">
        <v>1</v>
      </c>
      <c r="AA2650">
        <v>8</v>
      </c>
      <c r="AB2650">
        <v>3</v>
      </c>
      <c r="AC2650">
        <v>0</v>
      </c>
      <c r="AD2650">
        <v>9</v>
      </c>
      <c r="AE2650">
        <v>0</v>
      </c>
      <c r="AF2650">
        <v>3</v>
      </c>
      <c r="AG2650">
        <v>1</v>
      </c>
      <c r="AH2650">
        <v>0</v>
      </c>
      <c r="AI2650" t="s">
        <v>1346</v>
      </c>
      <c r="AJ2650">
        <v>33.012371000000002</v>
      </c>
      <c r="AK2650" t="s">
        <v>1344</v>
      </c>
      <c r="AL2650">
        <v>-97.655109999999993</v>
      </c>
      <c r="AM2650">
        <v>25</v>
      </c>
      <c r="AN2650">
        <v>2000</v>
      </c>
      <c r="AO2650" t="s">
        <v>118</v>
      </c>
      <c r="AP2650">
        <v>-15</v>
      </c>
      <c r="AQ2650">
        <v>-69</v>
      </c>
      <c r="AR2650">
        <v>-704</v>
      </c>
      <c r="AZ2650">
        <v>7700</v>
      </c>
      <c r="BA2650">
        <v>1</v>
      </c>
      <c r="BB2650" t="str">
        <f t="shared" si="792"/>
        <v xml:space="preserve">N733KP  </v>
      </c>
      <c r="BC2650">
        <v>1</v>
      </c>
      <c r="BE2650">
        <v>0</v>
      </c>
      <c r="BF2650">
        <v>0</v>
      </c>
      <c r="BG2650">
        <v>1</v>
      </c>
      <c r="BH2650">
        <v>2025</v>
      </c>
      <c r="BI2650">
        <v>1</v>
      </c>
      <c r="BJ2650">
        <v>1</v>
      </c>
      <c r="BK2650">
        <v>0</v>
      </c>
      <c r="BL2650">
        <v>0</v>
      </c>
      <c r="BO2650">
        <v>0</v>
      </c>
      <c r="BP2650">
        <v>0</v>
      </c>
      <c r="BW2650" t="str">
        <f>"22:21:14.380"</f>
        <v>22:21:14.380</v>
      </c>
      <c r="CJ2650">
        <v>0</v>
      </c>
      <c r="CK2650">
        <v>2</v>
      </c>
      <c r="CL2650">
        <v>0</v>
      </c>
      <c r="CM2650">
        <v>2</v>
      </c>
      <c r="CN2650">
        <v>0</v>
      </c>
      <c r="CO2650">
        <v>6</v>
      </c>
      <c r="CP2650" t="s">
        <v>119</v>
      </c>
      <c r="CQ2650">
        <v>364</v>
      </c>
      <c r="CR2650">
        <v>0</v>
      </c>
      <c r="CW2650">
        <v>1468730</v>
      </c>
      <c r="CY2650">
        <v>1</v>
      </c>
      <c r="CZ2650">
        <v>0</v>
      </c>
      <c r="DA2650">
        <v>1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3">
      <c r="A2651" t="str">
        <f>"03/24/2022 22:21:14.590"</f>
        <v>03/24/2022 22:21:14.590</v>
      </c>
      <c r="C2651" t="str">
        <f t="shared" si="791"/>
        <v>FFDFD3C0</v>
      </c>
      <c r="D2651" t="s">
        <v>113</v>
      </c>
      <c r="E2651">
        <v>24</v>
      </c>
      <c r="F2651">
        <v>2024</v>
      </c>
      <c r="G2651" t="s">
        <v>114</v>
      </c>
      <c r="J2651" t="s">
        <v>115</v>
      </c>
      <c r="K2651">
        <v>0</v>
      </c>
      <c r="L2651">
        <v>3</v>
      </c>
      <c r="M2651">
        <v>0</v>
      </c>
      <c r="N2651">
        <v>2</v>
      </c>
      <c r="O2651">
        <v>0</v>
      </c>
      <c r="P2651">
        <v>1</v>
      </c>
      <c r="Q2651">
        <v>0</v>
      </c>
      <c r="S2651" t="str">
        <f t="shared" si="793"/>
        <v>22:21:14.000</v>
      </c>
      <c r="T2651" t="str">
        <f t="shared" si="793"/>
        <v>22:21:14.000</v>
      </c>
      <c r="U2651" t="str">
        <f t="shared" si="785"/>
        <v>A9D71F</v>
      </c>
      <c r="V2651">
        <v>0</v>
      </c>
      <c r="W2651">
        <v>0</v>
      </c>
      <c r="X2651">
        <v>2</v>
      </c>
      <c r="Z2651">
        <v>1</v>
      </c>
      <c r="AA2651">
        <v>8</v>
      </c>
      <c r="AB2651">
        <v>3</v>
      </c>
      <c r="AC2651">
        <v>0</v>
      </c>
      <c r="AD2651">
        <v>9</v>
      </c>
      <c r="AE2651">
        <v>0</v>
      </c>
      <c r="AF2651">
        <v>3</v>
      </c>
      <c r="AG2651">
        <v>1</v>
      </c>
      <c r="AH2651">
        <v>0</v>
      </c>
      <c r="AI2651" t="s">
        <v>1346</v>
      </c>
      <c r="AJ2651">
        <v>33.012371000000002</v>
      </c>
      <c r="AK2651" t="s">
        <v>1344</v>
      </c>
      <c r="AL2651">
        <v>-97.655109999999993</v>
      </c>
      <c r="AM2651">
        <v>25</v>
      </c>
      <c r="AN2651">
        <v>2000</v>
      </c>
      <c r="AO2651" t="s">
        <v>118</v>
      </c>
      <c r="AP2651">
        <v>-15</v>
      </c>
      <c r="AQ2651">
        <v>-69</v>
      </c>
      <c r="AR2651">
        <v>-704</v>
      </c>
      <c r="AZ2651">
        <v>7700</v>
      </c>
      <c r="BA2651">
        <v>1</v>
      </c>
      <c r="BB2651" t="str">
        <f t="shared" si="792"/>
        <v xml:space="preserve">N733KP  </v>
      </c>
      <c r="BC2651">
        <v>1</v>
      </c>
      <c r="BE2651">
        <v>0</v>
      </c>
      <c r="BF2651">
        <v>0</v>
      </c>
      <c r="BG2651">
        <v>1</v>
      </c>
      <c r="BH2651">
        <v>2025</v>
      </c>
      <c r="BI2651">
        <v>1</v>
      </c>
      <c r="BJ2651">
        <v>1</v>
      </c>
      <c r="BK2651">
        <v>0</v>
      </c>
      <c r="BL2651">
        <v>0</v>
      </c>
      <c r="BO2651">
        <v>0</v>
      </c>
      <c r="BP2651">
        <v>0</v>
      </c>
      <c r="BW2651" t="str">
        <f>"22:21:14.380"</f>
        <v>22:21:14.380</v>
      </c>
      <c r="CJ2651">
        <v>0</v>
      </c>
      <c r="CK2651">
        <v>2</v>
      </c>
      <c r="CL2651">
        <v>0</v>
      </c>
      <c r="CM2651">
        <v>2</v>
      </c>
      <c r="CN2651">
        <v>0</v>
      </c>
      <c r="CO2651">
        <v>6</v>
      </c>
      <c r="CP2651" t="s">
        <v>119</v>
      </c>
      <c r="CQ2651">
        <v>364</v>
      </c>
      <c r="CR2651">
        <v>0</v>
      </c>
      <c r="CW2651">
        <v>1468730</v>
      </c>
      <c r="CY2651">
        <v>1</v>
      </c>
      <c r="CZ2651">
        <v>0</v>
      </c>
      <c r="DA2651">
        <v>1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3">
      <c r="A2652" t="str">
        <f>"03/24/2022 22:21:14.636"</f>
        <v>03/24/2022 22:21:14.636</v>
      </c>
      <c r="C2652" t="str">
        <f t="shared" si="791"/>
        <v>FFDFD3C0</v>
      </c>
      <c r="D2652" t="s">
        <v>123</v>
      </c>
      <c r="E2652">
        <v>8</v>
      </c>
      <c r="H2652">
        <v>31</v>
      </c>
      <c r="I2652" t="s">
        <v>124</v>
      </c>
      <c r="J2652" t="s">
        <v>125</v>
      </c>
      <c r="K2652">
        <v>0</v>
      </c>
      <c r="L2652">
        <v>3</v>
      </c>
      <c r="M2652">
        <v>0</v>
      </c>
      <c r="N2652">
        <v>2</v>
      </c>
      <c r="O2652">
        <v>0</v>
      </c>
      <c r="P2652">
        <v>1</v>
      </c>
      <c r="Q2652">
        <v>0</v>
      </c>
      <c r="S2652" t="str">
        <f t="shared" si="793"/>
        <v>22:21:14.000</v>
      </c>
      <c r="T2652" t="str">
        <f t="shared" si="793"/>
        <v>22:21:14.000</v>
      </c>
      <c r="U2652" t="str">
        <f t="shared" si="785"/>
        <v>A9D71F</v>
      </c>
      <c r="V2652">
        <v>0</v>
      </c>
      <c r="W2652">
        <v>0</v>
      </c>
      <c r="X2652">
        <v>2</v>
      </c>
      <c r="Z2652">
        <v>1</v>
      </c>
      <c r="AA2652">
        <v>8</v>
      </c>
      <c r="AB2652">
        <v>3</v>
      </c>
      <c r="AC2652">
        <v>0</v>
      </c>
      <c r="AD2652">
        <v>9</v>
      </c>
      <c r="AE2652">
        <v>0</v>
      </c>
      <c r="AF2652">
        <v>3</v>
      </c>
      <c r="AG2652">
        <v>1</v>
      </c>
      <c r="AH2652">
        <v>0</v>
      </c>
      <c r="AI2652" t="s">
        <v>1346</v>
      </c>
      <c r="AJ2652">
        <v>33.012371000000002</v>
      </c>
      <c r="AK2652" t="s">
        <v>1344</v>
      </c>
      <c r="AL2652">
        <v>-97.655109999999993</v>
      </c>
      <c r="AM2652">
        <v>25</v>
      </c>
      <c r="AN2652">
        <v>2000</v>
      </c>
      <c r="AO2652" t="s">
        <v>118</v>
      </c>
      <c r="AP2652">
        <v>-15</v>
      </c>
      <c r="AQ2652">
        <v>-69</v>
      </c>
      <c r="AR2652">
        <v>-704</v>
      </c>
      <c r="AZ2652">
        <v>7700</v>
      </c>
      <c r="BA2652">
        <v>1</v>
      </c>
      <c r="BB2652" t="str">
        <f t="shared" si="792"/>
        <v xml:space="preserve">N733KP  </v>
      </c>
      <c r="BC2652">
        <v>1</v>
      </c>
      <c r="BE2652">
        <v>0</v>
      </c>
      <c r="BF2652">
        <v>0</v>
      </c>
      <c r="BG2652">
        <v>1</v>
      </c>
      <c r="BH2652">
        <v>2025</v>
      </c>
      <c r="BI2652">
        <v>1</v>
      </c>
      <c r="BJ2652">
        <v>1</v>
      </c>
      <c r="BK2652">
        <v>0</v>
      </c>
      <c r="BL2652">
        <v>0</v>
      </c>
      <c r="BO2652">
        <v>0</v>
      </c>
      <c r="BP2652">
        <v>0</v>
      </c>
      <c r="BW2652" t="str">
        <f>"22:21:14.380"</f>
        <v>22:21:14.380</v>
      </c>
      <c r="CJ2652">
        <v>0</v>
      </c>
      <c r="CK2652">
        <v>2</v>
      </c>
      <c r="CL2652">
        <v>0</v>
      </c>
      <c r="CM2652">
        <v>2</v>
      </c>
      <c r="CN2652">
        <v>0</v>
      </c>
      <c r="CO2652">
        <v>6</v>
      </c>
      <c r="CP2652" t="s">
        <v>119</v>
      </c>
      <c r="CQ2652">
        <v>364</v>
      </c>
      <c r="CR2652">
        <v>0</v>
      </c>
      <c r="CW2652">
        <v>1468730</v>
      </c>
      <c r="CY2652">
        <v>1</v>
      </c>
      <c r="CZ2652">
        <v>0</v>
      </c>
      <c r="DA2652">
        <v>1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3">
      <c r="A2653" t="str">
        <f>"03/24/2022 22:21:15.529"</f>
        <v>03/24/2022 22:21:15.529</v>
      </c>
      <c r="C2653" t="str">
        <f t="shared" si="791"/>
        <v>FFDFD3C0</v>
      </c>
      <c r="D2653" t="s">
        <v>126</v>
      </c>
      <c r="E2653">
        <v>3</v>
      </c>
      <c r="H2653">
        <v>160</v>
      </c>
      <c r="I2653" t="s">
        <v>121</v>
      </c>
      <c r="J2653" t="s">
        <v>127</v>
      </c>
      <c r="K2653">
        <v>0</v>
      </c>
      <c r="L2653">
        <v>3</v>
      </c>
      <c r="M2653">
        <v>0</v>
      </c>
      <c r="N2653">
        <v>2</v>
      </c>
      <c r="O2653">
        <v>0</v>
      </c>
      <c r="P2653">
        <v>1</v>
      </c>
      <c r="Q2653">
        <v>0</v>
      </c>
      <c r="S2653" t="str">
        <f t="shared" ref="S2653:T2656" si="794">"22:21:15.000"</f>
        <v>22:21:15.000</v>
      </c>
      <c r="T2653" t="str">
        <f t="shared" si="794"/>
        <v>22:21:15.000</v>
      </c>
      <c r="U2653" t="str">
        <f t="shared" si="785"/>
        <v>A9D71F</v>
      </c>
      <c r="V2653">
        <v>0</v>
      </c>
      <c r="W2653">
        <v>0</v>
      </c>
      <c r="X2653">
        <v>2</v>
      </c>
      <c r="Z2653">
        <v>1</v>
      </c>
      <c r="AA2653">
        <v>8</v>
      </c>
      <c r="AB2653">
        <v>3</v>
      </c>
      <c r="AC2653">
        <v>0</v>
      </c>
      <c r="AD2653">
        <v>9</v>
      </c>
      <c r="AE2653">
        <v>0</v>
      </c>
      <c r="AF2653">
        <v>3</v>
      </c>
      <c r="AG2653">
        <v>1</v>
      </c>
      <c r="AH2653">
        <v>0</v>
      </c>
      <c r="AI2653" t="s">
        <v>1347</v>
      </c>
      <c r="AJ2653">
        <v>33.012070999999999</v>
      </c>
      <c r="AK2653" t="s">
        <v>1210</v>
      </c>
      <c r="AL2653">
        <v>-97.655196000000004</v>
      </c>
      <c r="AM2653">
        <v>25</v>
      </c>
      <c r="AN2653">
        <v>2000</v>
      </c>
      <c r="AO2653" t="s">
        <v>118</v>
      </c>
      <c r="AP2653">
        <v>-22</v>
      </c>
      <c r="AQ2653">
        <v>-76</v>
      </c>
      <c r="AR2653">
        <v>-768</v>
      </c>
      <c r="AZ2653">
        <v>7700</v>
      </c>
      <c r="BA2653">
        <v>1</v>
      </c>
      <c r="BB2653" t="str">
        <f t="shared" si="792"/>
        <v xml:space="preserve">N733KP  </v>
      </c>
      <c r="BC2653">
        <v>1</v>
      </c>
      <c r="BE2653">
        <v>0</v>
      </c>
      <c r="BF2653">
        <v>0</v>
      </c>
      <c r="BG2653">
        <v>1</v>
      </c>
      <c r="BH2653">
        <v>2025</v>
      </c>
      <c r="BI2653">
        <v>1</v>
      </c>
      <c r="BJ2653">
        <v>1</v>
      </c>
      <c r="BK2653">
        <v>0</v>
      </c>
      <c r="BL2653">
        <v>0</v>
      </c>
      <c r="BO2653">
        <v>0</v>
      </c>
      <c r="BP2653">
        <v>0</v>
      </c>
      <c r="BW2653" t="str">
        <f>"22:21:15.302"</f>
        <v>22:21:15.302</v>
      </c>
      <c r="CJ2653">
        <v>0</v>
      </c>
      <c r="CK2653">
        <v>2</v>
      </c>
      <c r="CL2653">
        <v>0</v>
      </c>
      <c r="CM2653">
        <v>2</v>
      </c>
      <c r="CN2653">
        <v>0</v>
      </c>
      <c r="CO2653">
        <v>6</v>
      </c>
      <c r="CP2653" t="s">
        <v>119</v>
      </c>
      <c r="CQ2653">
        <v>364</v>
      </c>
      <c r="CR2653">
        <v>0</v>
      </c>
      <c r="CW2653">
        <v>1468882</v>
      </c>
      <c r="CY2653">
        <v>1</v>
      </c>
      <c r="CZ2653">
        <v>0</v>
      </c>
      <c r="DA2653">
        <v>0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3">
      <c r="A2654" t="str">
        <f>"03/24/2022 22:21:15.529"</f>
        <v>03/24/2022 22:21:15.529</v>
      </c>
      <c r="C2654" t="str">
        <f t="shared" si="791"/>
        <v>FFDFD3C0</v>
      </c>
      <c r="D2654" t="s">
        <v>120</v>
      </c>
      <c r="E2654">
        <v>14</v>
      </c>
      <c r="F2654">
        <v>1014</v>
      </c>
      <c r="G2654" t="s">
        <v>121</v>
      </c>
      <c r="J2654" t="s">
        <v>122</v>
      </c>
      <c r="K2654">
        <v>0</v>
      </c>
      <c r="L2654">
        <v>3</v>
      </c>
      <c r="M2654">
        <v>0</v>
      </c>
      <c r="N2654">
        <v>2</v>
      </c>
      <c r="O2654">
        <v>0</v>
      </c>
      <c r="P2654">
        <v>1</v>
      </c>
      <c r="Q2654">
        <v>0</v>
      </c>
      <c r="S2654" t="str">
        <f t="shared" si="794"/>
        <v>22:21:15.000</v>
      </c>
      <c r="T2654" t="str">
        <f t="shared" si="794"/>
        <v>22:21:15.000</v>
      </c>
      <c r="U2654" t="str">
        <f t="shared" si="785"/>
        <v>A9D71F</v>
      </c>
      <c r="V2654">
        <v>0</v>
      </c>
      <c r="W2654">
        <v>0</v>
      </c>
      <c r="X2654">
        <v>2</v>
      </c>
      <c r="Z2654">
        <v>1</v>
      </c>
      <c r="AA2654">
        <v>8</v>
      </c>
      <c r="AB2654">
        <v>3</v>
      </c>
      <c r="AC2654">
        <v>0</v>
      </c>
      <c r="AD2654">
        <v>9</v>
      </c>
      <c r="AE2654">
        <v>0</v>
      </c>
      <c r="AF2654">
        <v>3</v>
      </c>
      <c r="AG2654">
        <v>1</v>
      </c>
      <c r="AH2654">
        <v>0</v>
      </c>
      <c r="AI2654" t="s">
        <v>1347</v>
      </c>
      <c r="AJ2654">
        <v>33.012070999999999</v>
      </c>
      <c r="AK2654" t="s">
        <v>1210</v>
      </c>
      <c r="AL2654">
        <v>-97.655196000000004</v>
      </c>
      <c r="AM2654">
        <v>25</v>
      </c>
      <c r="AN2654">
        <v>2000</v>
      </c>
      <c r="AO2654" t="s">
        <v>118</v>
      </c>
      <c r="AP2654">
        <v>-22</v>
      </c>
      <c r="AQ2654">
        <v>-76</v>
      </c>
      <c r="AR2654">
        <v>-768</v>
      </c>
      <c r="AZ2654">
        <v>7700</v>
      </c>
      <c r="BA2654">
        <v>1</v>
      </c>
      <c r="BB2654" t="str">
        <f t="shared" si="792"/>
        <v xml:space="preserve">N733KP  </v>
      </c>
      <c r="BC2654">
        <v>1</v>
      </c>
      <c r="BE2654">
        <v>0</v>
      </c>
      <c r="BF2654">
        <v>0</v>
      </c>
      <c r="BG2654">
        <v>1</v>
      </c>
      <c r="BH2654">
        <v>2025</v>
      </c>
      <c r="BI2654">
        <v>1</v>
      </c>
      <c r="BJ2654">
        <v>1</v>
      </c>
      <c r="BK2654">
        <v>0</v>
      </c>
      <c r="BL2654">
        <v>0</v>
      </c>
      <c r="BO2654">
        <v>0</v>
      </c>
      <c r="BP2654">
        <v>0</v>
      </c>
      <c r="BW2654" t="str">
        <f>"22:21:15.302"</f>
        <v>22:21:15.302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6</v>
      </c>
      <c r="CP2654" t="s">
        <v>119</v>
      </c>
      <c r="CQ2654">
        <v>364</v>
      </c>
      <c r="CR2654">
        <v>0</v>
      </c>
      <c r="CW2654">
        <v>1468882</v>
      </c>
      <c r="CY2654">
        <v>1</v>
      </c>
      <c r="CZ2654">
        <v>0</v>
      </c>
      <c r="DA2654">
        <v>1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3">
      <c r="A2655" t="str">
        <f>"03/24/2022 22:21:15.529"</f>
        <v>03/24/2022 22:21:15.529</v>
      </c>
      <c r="C2655" t="str">
        <f t="shared" si="791"/>
        <v>FFDFD3C0</v>
      </c>
      <c r="D2655" t="s">
        <v>113</v>
      </c>
      <c r="E2655">
        <v>24</v>
      </c>
      <c r="F2655">
        <v>2024</v>
      </c>
      <c r="G2655" t="s">
        <v>114</v>
      </c>
      <c r="J2655" t="s">
        <v>115</v>
      </c>
      <c r="K2655">
        <v>0</v>
      </c>
      <c r="L2655">
        <v>3</v>
      </c>
      <c r="M2655">
        <v>0</v>
      </c>
      <c r="N2655">
        <v>2</v>
      </c>
      <c r="O2655">
        <v>0</v>
      </c>
      <c r="P2655">
        <v>1</v>
      </c>
      <c r="Q2655">
        <v>0</v>
      </c>
      <c r="S2655" t="str">
        <f t="shared" si="794"/>
        <v>22:21:15.000</v>
      </c>
      <c r="T2655" t="str">
        <f t="shared" si="794"/>
        <v>22:21:15.000</v>
      </c>
      <c r="U2655" t="str">
        <f t="shared" si="785"/>
        <v>A9D71F</v>
      </c>
      <c r="V2655">
        <v>0</v>
      </c>
      <c r="W2655">
        <v>0</v>
      </c>
      <c r="X2655">
        <v>2</v>
      </c>
      <c r="Z2655">
        <v>1</v>
      </c>
      <c r="AA2655">
        <v>8</v>
      </c>
      <c r="AB2655">
        <v>3</v>
      </c>
      <c r="AC2655">
        <v>0</v>
      </c>
      <c r="AD2655">
        <v>9</v>
      </c>
      <c r="AE2655">
        <v>0</v>
      </c>
      <c r="AF2655">
        <v>3</v>
      </c>
      <c r="AG2655">
        <v>1</v>
      </c>
      <c r="AH2655">
        <v>0</v>
      </c>
      <c r="AI2655" t="s">
        <v>1347</v>
      </c>
      <c r="AJ2655">
        <v>33.012070999999999</v>
      </c>
      <c r="AK2655" t="s">
        <v>1210</v>
      </c>
      <c r="AL2655">
        <v>-97.655196000000004</v>
      </c>
      <c r="AM2655">
        <v>25</v>
      </c>
      <c r="AN2655">
        <v>2000</v>
      </c>
      <c r="AO2655" t="s">
        <v>118</v>
      </c>
      <c r="AP2655">
        <v>-22</v>
      </c>
      <c r="AQ2655">
        <v>-76</v>
      </c>
      <c r="AR2655">
        <v>-768</v>
      </c>
      <c r="AZ2655">
        <v>7700</v>
      </c>
      <c r="BA2655">
        <v>1</v>
      </c>
      <c r="BB2655" t="str">
        <f t="shared" si="792"/>
        <v xml:space="preserve">N733KP  </v>
      </c>
      <c r="BC2655">
        <v>1</v>
      </c>
      <c r="BE2655">
        <v>0</v>
      </c>
      <c r="BF2655">
        <v>0</v>
      </c>
      <c r="BG2655">
        <v>1</v>
      </c>
      <c r="BH2655">
        <v>2025</v>
      </c>
      <c r="BI2655">
        <v>1</v>
      </c>
      <c r="BJ2655">
        <v>1</v>
      </c>
      <c r="BK2655">
        <v>0</v>
      </c>
      <c r="BL2655">
        <v>0</v>
      </c>
      <c r="BO2655">
        <v>0</v>
      </c>
      <c r="BP2655">
        <v>0</v>
      </c>
      <c r="BW2655" t="str">
        <f>"22:21:15.302"</f>
        <v>22:21:15.302</v>
      </c>
      <c r="CJ2655">
        <v>0</v>
      </c>
      <c r="CK2655">
        <v>2</v>
      </c>
      <c r="CL2655">
        <v>0</v>
      </c>
      <c r="CM2655">
        <v>2</v>
      </c>
      <c r="CN2655">
        <v>0</v>
      </c>
      <c r="CO2655">
        <v>6</v>
      </c>
      <c r="CP2655" t="s">
        <v>119</v>
      </c>
      <c r="CQ2655">
        <v>364</v>
      </c>
      <c r="CR2655">
        <v>0</v>
      </c>
      <c r="CW2655">
        <v>1468882</v>
      </c>
      <c r="CY2655">
        <v>1</v>
      </c>
      <c r="CZ2655">
        <v>0</v>
      </c>
      <c r="DA2655">
        <v>1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3">
      <c r="A2656" t="str">
        <f>"03/24/2022 22:21:15.529"</f>
        <v>03/24/2022 22:21:15.529</v>
      </c>
      <c r="C2656" t="str">
        <f t="shared" si="791"/>
        <v>FFDFD3C0</v>
      </c>
      <c r="D2656" t="s">
        <v>123</v>
      </c>
      <c r="E2656">
        <v>8</v>
      </c>
      <c r="H2656">
        <v>31</v>
      </c>
      <c r="I2656" t="s">
        <v>124</v>
      </c>
      <c r="J2656" t="s">
        <v>125</v>
      </c>
      <c r="K2656">
        <v>0</v>
      </c>
      <c r="L2656">
        <v>3</v>
      </c>
      <c r="M2656">
        <v>0</v>
      </c>
      <c r="N2656">
        <v>2</v>
      </c>
      <c r="O2656">
        <v>0</v>
      </c>
      <c r="P2656">
        <v>1</v>
      </c>
      <c r="Q2656">
        <v>0</v>
      </c>
      <c r="S2656" t="str">
        <f t="shared" si="794"/>
        <v>22:21:15.000</v>
      </c>
      <c r="T2656" t="str">
        <f t="shared" si="794"/>
        <v>22:21:15.000</v>
      </c>
      <c r="U2656" t="str">
        <f t="shared" si="785"/>
        <v>A9D71F</v>
      </c>
      <c r="V2656">
        <v>0</v>
      </c>
      <c r="W2656">
        <v>0</v>
      </c>
      <c r="X2656">
        <v>2</v>
      </c>
      <c r="Z2656">
        <v>1</v>
      </c>
      <c r="AA2656">
        <v>8</v>
      </c>
      <c r="AB2656">
        <v>3</v>
      </c>
      <c r="AC2656">
        <v>0</v>
      </c>
      <c r="AD2656">
        <v>9</v>
      </c>
      <c r="AE2656">
        <v>0</v>
      </c>
      <c r="AF2656">
        <v>3</v>
      </c>
      <c r="AG2656">
        <v>1</v>
      </c>
      <c r="AH2656">
        <v>0</v>
      </c>
      <c r="AI2656" t="s">
        <v>1347</v>
      </c>
      <c r="AJ2656">
        <v>33.012070999999999</v>
      </c>
      <c r="AK2656" t="s">
        <v>1210</v>
      </c>
      <c r="AL2656">
        <v>-97.655196000000004</v>
      </c>
      <c r="AM2656">
        <v>25</v>
      </c>
      <c r="AN2656">
        <v>2000</v>
      </c>
      <c r="AO2656" t="s">
        <v>118</v>
      </c>
      <c r="AP2656">
        <v>-22</v>
      </c>
      <c r="AQ2656">
        <v>-76</v>
      </c>
      <c r="AR2656">
        <v>-768</v>
      </c>
      <c r="AZ2656">
        <v>7700</v>
      </c>
      <c r="BA2656">
        <v>1</v>
      </c>
      <c r="BB2656" t="str">
        <f t="shared" si="792"/>
        <v xml:space="preserve">N733KP  </v>
      </c>
      <c r="BC2656">
        <v>1</v>
      </c>
      <c r="BE2656">
        <v>0</v>
      </c>
      <c r="BF2656">
        <v>0</v>
      </c>
      <c r="BG2656">
        <v>1</v>
      </c>
      <c r="BH2656">
        <v>2025</v>
      </c>
      <c r="BI2656">
        <v>1</v>
      </c>
      <c r="BJ2656">
        <v>1</v>
      </c>
      <c r="BK2656">
        <v>0</v>
      </c>
      <c r="BL2656">
        <v>0</v>
      </c>
      <c r="BO2656">
        <v>0</v>
      </c>
      <c r="BP2656">
        <v>0</v>
      </c>
      <c r="BW2656" t="str">
        <f>"22:21:15.302"</f>
        <v>22:21:15.302</v>
      </c>
      <c r="CJ2656">
        <v>0</v>
      </c>
      <c r="CK2656">
        <v>2</v>
      </c>
      <c r="CL2656">
        <v>0</v>
      </c>
      <c r="CM2656">
        <v>2</v>
      </c>
      <c r="CN2656">
        <v>0</v>
      </c>
      <c r="CO2656">
        <v>6</v>
      </c>
      <c r="CP2656" t="s">
        <v>119</v>
      </c>
      <c r="CQ2656">
        <v>364</v>
      </c>
      <c r="CR2656">
        <v>0</v>
      </c>
      <c r="CW2656">
        <v>1468882</v>
      </c>
      <c r="CY2656">
        <v>1</v>
      </c>
      <c r="CZ2656">
        <v>0</v>
      </c>
      <c r="DA2656">
        <v>1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3">
      <c r="A2657" t="str">
        <f>"03/24/2022 22:21:16.545"</f>
        <v>03/24/2022 22:21:16.545</v>
      </c>
      <c r="C2657" t="str">
        <f t="shared" si="791"/>
        <v>FFDFD3C0</v>
      </c>
      <c r="D2657" t="s">
        <v>113</v>
      </c>
      <c r="E2657">
        <v>24</v>
      </c>
      <c r="F2657">
        <v>2024</v>
      </c>
      <c r="G2657" t="s">
        <v>114</v>
      </c>
      <c r="J2657" t="s">
        <v>115</v>
      </c>
      <c r="K2657">
        <v>0</v>
      </c>
      <c r="L2657">
        <v>3</v>
      </c>
      <c r="M2657">
        <v>0</v>
      </c>
      <c r="N2657">
        <v>2</v>
      </c>
      <c r="O2657">
        <v>0</v>
      </c>
      <c r="P2657">
        <v>1</v>
      </c>
      <c r="Q2657">
        <v>0</v>
      </c>
      <c r="S2657" t="str">
        <f t="shared" ref="S2657:T2660" si="795">"22:21:16.000"</f>
        <v>22:21:16.000</v>
      </c>
      <c r="T2657" t="str">
        <f t="shared" si="795"/>
        <v>22:21:16.000</v>
      </c>
      <c r="U2657" t="str">
        <f t="shared" si="785"/>
        <v>A9D71F</v>
      </c>
      <c r="V2657">
        <v>0</v>
      </c>
      <c r="W2657">
        <v>0</v>
      </c>
      <c r="X2657">
        <v>2</v>
      </c>
      <c r="Z2657">
        <v>1</v>
      </c>
      <c r="AA2657">
        <v>8</v>
      </c>
      <c r="AB2657">
        <v>3</v>
      </c>
      <c r="AC2657">
        <v>0</v>
      </c>
      <c r="AD2657">
        <v>9</v>
      </c>
      <c r="AE2657">
        <v>0</v>
      </c>
      <c r="AF2657">
        <v>3</v>
      </c>
      <c r="AG2657">
        <v>1</v>
      </c>
      <c r="AH2657">
        <v>0</v>
      </c>
      <c r="AI2657" t="s">
        <v>1348</v>
      </c>
      <c r="AJ2657">
        <v>33.011705999999997</v>
      </c>
      <c r="AK2657" t="s">
        <v>1349</v>
      </c>
      <c r="AL2657">
        <v>-97.655325000000005</v>
      </c>
      <c r="AM2657">
        <v>25</v>
      </c>
      <c r="AN2657">
        <v>1900</v>
      </c>
      <c r="AO2657" t="s">
        <v>118</v>
      </c>
      <c r="AP2657">
        <v>-31</v>
      </c>
      <c r="AQ2657">
        <v>-74</v>
      </c>
      <c r="AR2657">
        <v>-960</v>
      </c>
      <c r="AZ2657">
        <v>7700</v>
      </c>
      <c r="BA2657">
        <v>1</v>
      </c>
      <c r="BB2657" t="str">
        <f t="shared" si="792"/>
        <v xml:space="preserve">N733KP  </v>
      </c>
      <c r="BC2657">
        <v>1</v>
      </c>
      <c r="BE2657">
        <v>0</v>
      </c>
      <c r="BF2657">
        <v>0</v>
      </c>
      <c r="BG2657">
        <v>1</v>
      </c>
      <c r="BH2657">
        <v>2025</v>
      </c>
      <c r="BI2657">
        <v>1</v>
      </c>
      <c r="BJ2657">
        <v>1</v>
      </c>
      <c r="BK2657">
        <v>0</v>
      </c>
      <c r="BL2657">
        <v>0</v>
      </c>
      <c r="BO2657">
        <v>0</v>
      </c>
      <c r="BP2657">
        <v>0</v>
      </c>
      <c r="BW2657" t="str">
        <f>"22:21:16.317"</f>
        <v>22:21:16.317</v>
      </c>
      <c r="CJ2657">
        <v>0</v>
      </c>
      <c r="CK2657">
        <v>2</v>
      </c>
      <c r="CL2657">
        <v>0</v>
      </c>
      <c r="CM2657">
        <v>2</v>
      </c>
      <c r="CN2657">
        <v>0</v>
      </c>
      <c r="CO2657">
        <v>6</v>
      </c>
      <c r="CP2657" t="s">
        <v>119</v>
      </c>
      <c r="CQ2657">
        <v>364</v>
      </c>
      <c r="CR2657">
        <v>0</v>
      </c>
      <c r="CW2657">
        <v>1469039</v>
      </c>
      <c r="CY2657">
        <v>1</v>
      </c>
      <c r="CZ2657">
        <v>0</v>
      </c>
      <c r="DA2657">
        <v>0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3">
      <c r="A2658" t="str">
        <f>"03/24/2022 22:21:16.545"</f>
        <v>03/24/2022 22:21:16.545</v>
      </c>
      <c r="C2658" t="str">
        <f t="shared" si="791"/>
        <v>FFDFD3C0</v>
      </c>
      <c r="D2658" t="s">
        <v>120</v>
      </c>
      <c r="E2658">
        <v>14</v>
      </c>
      <c r="F2658">
        <v>1014</v>
      </c>
      <c r="G2658" t="s">
        <v>121</v>
      </c>
      <c r="J2658" t="s">
        <v>122</v>
      </c>
      <c r="K2658">
        <v>0</v>
      </c>
      <c r="L2658">
        <v>3</v>
      </c>
      <c r="M2658">
        <v>0</v>
      </c>
      <c r="N2658">
        <v>2</v>
      </c>
      <c r="O2658">
        <v>0</v>
      </c>
      <c r="P2658">
        <v>1</v>
      </c>
      <c r="Q2658">
        <v>0</v>
      </c>
      <c r="S2658" t="str">
        <f t="shared" si="795"/>
        <v>22:21:16.000</v>
      </c>
      <c r="T2658" t="str">
        <f t="shared" si="795"/>
        <v>22:21:16.000</v>
      </c>
      <c r="U2658" t="str">
        <f t="shared" si="785"/>
        <v>A9D71F</v>
      </c>
      <c r="V2658">
        <v>0</v>
      </c>
      <c r="W2658">
        <v>0</v>
      </c>
      <c r="X2658">
        <v>2</v>
      </c>
      <c r="Z2658">
        <v>1</v>
      </c>
      <c r="AA2658">
        <v>8</v>
      </c>
      <c r="AB2658">
        <v>3</v>
      </c>
      <c r="AC2658">
        <v>0</v>
      </c>
      <c r="AD2658">
        <v>9</v>
      </c>
      <c r="AE2658">
        <v>0</v>
      </c>
      <c r="AF2658">
        <v>3</v>
      </c>
      <c r="AG2658">
        <v>1</v>
      </c>
      <c r="AH2658">
        <v>0</v>
      </c>
      <c r="AI2658" t="s">
        <v>1348</v>
      </c>
      <c r="AJ2658">
        <v>33.011705999999997</v>
      </c>
      <c r="AK2658" t="s">
        <v>1349</v>
      </c>
      <c r="AL2658">
        <v>-97.655325000000005</v>
      </c>
      <c r="AM2658">
        <v>25</v>
      </c>
      <c r="AN2658">
        <v>1900</v>
      </c>
      <c r="AO2658" t="s">
        <v>118</v>
      </c>
      <c r="AP2658">
        <v>-31</v>
      </c>
      <c r="AQ2658">
        <v>-74</v>
      </c>
      <c r="AR2658">
        <v>-960</v>
      </c>
      <c r="AZ2658">
        <v>7700</v>
      </c>
      <c r="BA2658">
        <v>1</v>
      </c>
      <c r="BB2658" t="str">
        <f t="shared" si="792"/>
        <v xml:space="preserve">N733KP  </v>
      </c>
      <c r="BC2658">
        <v>1</v>
      </c>
      <c r="BE2658">
        <v>0</v>
      </c>
      <c r="BF2658">
        <v>0</v>
      </c>
      <c r="BG2658">
        <v>1</v>
      </c>
      <c r="BH2658">
        <v>2025</v>
      </c>
      <c r="BI2658">
        <v>1</v>
      </c>
      <c r="BJ2658">
        <v>1</v>
      </c>
      <c r="BK2658">
        <v>0</v>
      </c>
      <c r="BL2658">
        <v>0</v>
      </c>
      <c r="BO2658">
        <v>0</v>
      </c>
      <c r="BP2658">
        <v>0</v>
      </c>
      <c r="BW2658" t="str">
        <f>"22:21:16.317"</f>
        <v>22:21:16.317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6</v>
      </c>
      <c r="CP2658" t="s">
        <v>119</v>
      </c>
      <c r="CQ2658">
        <v>364</v>
      </c>
      <c r="CR2658">
        <v>0</v>
      </c>
      <c r="CW2658">
        <v>1469039</v>
      </c>
      <c r="CY2658">
        <v>1</v>
      </c>
      <c r="CZ2658">
        <v>0</v>
      </c>
      <c r="DA2658">
        <v>1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3">
      <c r="A2659" t="str">
        <f>"03/24/2022 22:21:16.545"</f>
        <v>03/24/2022 22:21:16.545</v>
      </c>
      <c r="C2659" t="str">
        <f t="shared" si="791"/>
        <v>FFDFD3C0</v>
      </c>
      <c r="D2659" t="s">
        <v>123</v>
      </c>
      <c r="E2659">
        <v>8</v>
      </c>
      <c r="H2659">
        <v>31</v>
      </c>
      <c r="I2659" t="s">
        <v>124</v>
      </c>
      <c r="J2659" t="s">
        <v>125</v>
      </c>
      <c r="K2659">
        <v>0</v>
      </c>
      <c r="L2659">
        <v>3</v>
      </c>
      <c r="M2659">
        <v>0</v>
      </c>
      <c r="N2659">
        <v>2</v>
      </c>
      <c r="O2659">
        <v>0</v>
      </c>
      <c r="P2659">
        <v>1</v>
      </c>
      <c r="Q2659">
        <v>0</v>
      </c>
      <c r="S2659" t="str">
        <f t="shared" si="795"/>
        <v>22:21:16.000</v>
      </c>
      <c r="T2659" t="str">
        <f t="shared" si="795"/>
        <v>22:21:16.000</v>
      </c>
      <c r="U2659" t="str">
        <f t="shared" si="785"/>
        <v>A9D71F</v>
      </c>
      <c r="V2659">
        <v>0</v>
      </c>
      <c r="W2659">
        <v>0</v>
      </c>
      <c r="X2659">
        <v>2</v>
      </c>
      <c r="Z2659">
        <v>1</v>
      </c>
      <c r="AA2659">
        <v>8</v>
      </c>
      <c r="AB2659">
        <v>3</v>
      </c>
      <c r="AC2659">
        <v>0</v>
      </c>
      <c r="AD2659">
        <v>9</v>
      </c>
      <c r="AE2659">
        <v>0</v>
      </c>
      <c r="AF2659">
        <v>3</v>
      </c>
      <c r="AG2659">
        <v>1</v>
      </c>
      <c r="AH2659">
        <v>0</v>
      </c>
      <c r="AI2659" t="s">
        <v>1348</v>
      </c>
      <c r="AJ2659">
        <v>33.011705999999997</v>
      </c>
      <c r="AK2659" t="s">
        <v>1349</v>
      </c>
      <c r="AL2659">
        <v>-97.655325000000005</v>
      </c>
      <c r="AM2659">
        <v>25</v>
      </c>
      <c r="AN2659">
        <v>1900</v>
      </c>
      <c r="AO2659" t="s">
        <v>118</v>
      </c>
      <c r="AP2659">
        <v>-31</v>
      </c>
      <c r="AQ2659">
        <v>-74</v>
      </c>
      <c r="AR2659">
        <v>-960</v>
      </c>
      <c r="AZ2659">
        <v>7700</v>
      </c>
      <c r="BA2659">
        <v>1</v>
      </c>
      <c r="BB2659" t="str">
        <f t="shared" si="792"/>
        <v xml:space="preserve">N733KP  </v>
      </c>
      <c r="BC2659">
        <v>1</v>
      </c>
      <c r="BE2659">
        <v>0</v>
      </c>
      <c r="BF2659">
        <v>0</v>
      </c>
      <c r="BG2659">
        <v>1</v>
      </c>
      <c r="BH2659">
        <v>2025</v>
      </c>
      <c r="BI2659">
        <v>1</v>
      </c>
      <c r="BJ2659">
        <v>1</v>
      </c>
      <c r="BK2659">
        <v>0</v>
      </c>
      <c r="BL2659">
        <v>0</v>
      </c>
      <c r="BO2659">
        <v>0</v>
      </c>
      <c r="BP2659">
        <v>0</v>
      </c>
      <c r="BW2659" t="str">
        <f>"22:21:16.317"</f>
        <v>22:21:16.317</v>
      </c>
      <c r="CJ2659">
        <v>0</v>
      </c>
      <c r="CK2659">
        <v>2</v>
      </c>
      <c r="CL2659">
        <v>0</v>
      </c>
      <c r="CM2659">
        <v>2</v>
      </c>
      <c r="CN2659">
        <v>0</v>
      </c>
      <c r="CO2659">
        <v>6</v>
      </c>
      <c r="CP2659" t="s">
        <v>119</v>
      </c>
      <c r="CQ2659">
        <v>364</v>
      </c>
      <c r="CR2659">
        <v>0</v>
      </c>
      <c r="CW2659">
        <v>1469039</v>
      </c>
      <c r="CY2659">
        <v>1</v>
      </c>
      <c r="CZ2659">
        <v>0</v>
      </c>
      <c r="DA2659">
        <v>1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3">
      <c r="A2660" t="str">
        <f>"03/24/2022 22:21:16.592"</f>
        <v>03/24/2022 22:21:16.592</v>
      </c>
      <c r="C2660" t="str">
        <f t="shared" si="791"/>
        <v>FFDFD3C0</v>
      </c>
      <c r="D2660" t="s">
        <v>126</v>
      </c>
      <c r="E2660">
        <v>3</v>
      </c>
      <c r="H2660">
        <v>160</v>
      </c>
      <c r="I2660" t="s">
        <v>121</v>
      </c>
      <c r="J2660" t="s">
        <v>127</v>
      </c>
      <c r="K2660">
        <v>0</v>
      </c>
      <c r="L2660">
        <v>3</v>
      </c>
      <c r="M2660">
        <v>0</v>
      </c>
      <c r="N2660">
        <v>2</v>
      </c>
      <c r="O2660">
        <v>0</v>
      </c>
      <c r="P2660">
        <v>1</v>
      </c>
      <c r="Q2660">
        <v>0</v>
      </c>
      <c r="S2660" t="str">
        <f t="shared" si="795"/>
        <v>22:21:16.000</v>
      </c>
      <c r="T2660" t="str">
        <f t="shared" si="795"/>
        <v>22:21:16.000</v>
      </c>
      <c r="U2660" t="str">
        <f t="shared" si="785"/>
        <v>A9D71F</v>
      </c>
      <c r="V2660">
        <v>0</v>
      </c>
      <c r="W2660">
        <v>0</v>
      </c>
      <c r="X2660">
        <v>2</v>
      </c>
      <c r="Z2660">
        <v>1</v>
      </c>
      <c r="AA2660">
        <v>8</v>
      </c>
      <c r="AB2660">
        <v>3</v>
      </c>
      <c r="AC2660">
        <v>0</v>
      </c>
      <c r="AD2660">
        <v>9</v>
      </c>
      <c r="AE2660">
        <v>0</v>
      </c>
      <c r="AF2660">
        <v>3</v>
      </c>
      <c r="AG2660">
        <v>1</v>
      </c>
      <c r="AH2660">
        <v>0</v>
      </c>
      <c r="AI2660" t="s">
        <v>1348</v>
      </c>
      <c r="AJ2660">
        <v>33.011705999999997</v>
      </c>
      <c r="AK2660" t="s">
        <v>1349</v>
      </c>
      <c r="AL2660">
        <v>-97.655325000000005</v>
      </c>
      <c r="AM2660">
        <v>25</v>
      </c>
      <c r="AN2660">
        <v>1900</v>
      </c>
      <c r="AO2660" t="s">
        <v>118</v>
      </c>
      <c r="AP2660">
        <v>-31</v>
      </c>
      <c r="AQ2660">
        <v>-74</v>
      </c>
      <c r="AR2660">
        <v>-960</v>
      </c>
      <c r="AZ2660">
        <v>7700</v>
      </c>
      <c r="BA2660">
        <v>1</v>
      </c>
      <c r="BB2660" t="str">
        <f t="shared" si="792"/>
        <v xml:space="preserve">N733KP  </v>
      </c>
      <c r="BC2660">
        <v>1</v>
      </c>
      <c r="BE2660">
        <v>0</v>
      </c>
      <c r="BF2660">
        <v>0</v>
      </c>
      <c r="BG2660">
        <v>1</v>
      </c>
      <c r="BH2660">
        <v>2025</v>
      </c>
      <c r="BI2660">
        <v>1</v>
      </c>
      <c r="BJ2660">
        <v>1</v>
      </c>
      <c r="BK2660">
        <v>0</v>
      </c>
      <c r="BL2660">
        <v>0</v>
      </c>
      <c r="BO2660">
        <v>0</v>
      </c>
      <c r="BP2660">
        <v>0</v>
      </c>
      <c r="BW2660" t="str">
        <f>"22:21:16.317"</f>
        <v>22:21:16.317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6</v>
      </c>
      <c r="CP2660" t="s">
        <v>119</v>
      </c>
      <c r="CQ2660">
        <v>364</v>
      </c>
      <c r="CR2660">
        <v>0</v>
      </c>
      <c r="CW2660">
        <v>1469039</v>
      </c>
      <c r="CY2660">
        <v>1</v>
      </c>
      <c r="CZ2660">
        <v>0</v>
      </c>
      <c r="DA2660">
        <v>1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3">
      <c r="A2661" t="str">
        <f>"03/24/2022 22:21:18.031"</f>
        <v>03/24/2022 22:21:18.031</v>
      </c>
      <c r="C2661" t="str">
        <f t="shared" si="791"/>
        <v>FFDFD3C0</v>
      </c>
      <c r="D2661" t="s">
        <v>126</v>
      </c>
      <c r="E2661">
        <v>3</v>
      </c>
      <c r="H2661">
        <v>160</v>
      </c>
      <c r="I2661" t="s">
        <v>121</v>
      </c>
      <c r="J2661" t="s">
        <v>127</v>
      </c>
      <c r="K2661">
        <v>0</v>
      </c>
      <c r="L2661">
        <v>3</v>
      </c>
      <c r="M2661">
        <v>0</v>
      </c>
      <c r="N2661">
        <v>2</v>
      </c>
      <c r="O2661">
        <v>0</v>
      </c>
      <c r="P2661">
        <v>1</v>
      </c>
      <c r="Q2661">
        <v>0</v>
      </c>
      <c r="S2661" t="str">
        <f t="shared" ref="S2661:T2664" si="796">"22:21:17.000"</f>
        <v>22:21:17.000</v>
      </c>
      <c r="T2661" t="str">
        <f t="shared" si="796"/>
        <v>22:21:17.000</v>
      </c>
      <c r="U2661" t="str">
        <f t="shared" si="785"/>
        <v>A9D71F</v>
      </c>
      <c r="V2661">
        <v>0</v>
      </c>
      <c r="W2661">
        <v>0</v>
      </c>
      <c r="X2661">
        <v>2</v>
      </c>
      <c r="Z2661">
        <v>1</v>
      </c>
      <c r="AA2661">
        <v>8</v>
      </c>
      <c r="AB2661">
        <v>3</v>
      </c>
      <c r="AC2661">
        <v>0</v>
      </c>
      <c r="AD2661">
        <v>9</v>
      </c>
      <c r="AE2661">
        <v>0</v>
      </c>
      <c r="AF2661">
        <v>3</v>
      </c>
      <c r="AG2661">
        <v>1</v>
      </c>
      <c r="AH2661">
        <v>0</v>
      </c>
      <c r="AI2661" t="s">
        <v>1286</v>
      </c>
      <c r="AJ2661">
        <v>33.011319999999998</v>
      </c>
      <c r="AK2661" t="s">
        <v>1350</v>
      </c>
      <c r="AL2661">
        <v>-97.655496999999997</v>
      </c>
      <c r="AM2661">
        <v>25</v>
      </c>
      <c r="AN2661">
        <v>1900</v>
      </c>
      <c r="AO2661" t="s">
        <v>118</v>
      </c>
      <c r="AP2661">
        <v>-43</v>
      </c>
      <c r="AQ2661">
        <v>-68</v>
      </c>
      <c r="AR2661">
        <v>-1216</v>
      </c>
      <c r="AZ2661">
        <v>7700</v>
      </c>
      <c r="BA2661">
        <v>1</v>
      </c>
      <c r="BB2661" t="str">
        <f t="shared" si="792"/>
        <v xml:space="preserve">N733KP  </v>
      </c>
      <c r="BC2661">
        <v>1</v>
      </c>
      <c r="BE2661">
        <v>0</v>
      </c>
      <c r="BF2661">
        <v>0</v>
      </c>
      <c r="BG2661">
        <v>1</v>
      </c>
      <c r="BH2661">
        <v>1975</v>
      </c>
      <c r="BI2661">
        <v>1</v>
      </c>
      <c r="BJ2661">
        <v>1</v>
      </c>
      <c r="BK2661">
        <v>0</v>
      </c>
      <c r="BL2661">
        <v>0</v>
      </c>
      <c r="BO2661">
        <v>0</v>
      </c>
      <c r="BP2661">
        <v>0</v>
      </c>
      <c r="BW2661" t="str">
        <f>"22:21:17.836"</f>
        <v>22:21:17.836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6</v>
      </c>
      <c r="CP2661" t="s">
        <v>119</v>
      </c>
      <c r="CQ2661">
        <v>364</v>
      </c>
      <c r="CR2661">
        <v>0</v>
      </c>
      <c r="CW2661">
        <v>1469278</v>
      </c>
      <c r="CY2661">
        <v>1</v>
      </c>
      <c r="CZ2661">
        <v>0</v>
      </c>
      <c r="DA2661">
        <v>0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3">
      <c r="A2662" t="str">
        <f>"03/24/2022 22:21:18.031"</f>
        <v>03/24/2022 22:21:18.031</v>
      </c>
      <c r="C2662" t="str">
        <f t="shared" si="791"/>
        <v>FFDFD3C0</v>
      </c>
      <c r="D2662" t="s">
        <v>120</v>
      </c>
      <c r="E2662">
        <v>14</v>
      </c>
      <c r="F2662">
        <v>1014</v>
      </c>
      <c r="G2662" t="s">
        <v>121</v>
      </c>
      <c r="J2662" t="s">
        <v>122</v>
      </c>
      <c r="K2662">
        <v>0</v>
      </c>
      <c r="L2662">
        <v>3</v>
      </c>
      <c r="M2662">
        <v>0</v>
      </c>
      <c r="N2662">
        <v>2</v>
      </c>
      <c r="O2662">
        <v>0</v>
      </c>
      <c r="P2662">
        <v>1</v>
      </c>
      <c r="Q2662">
        <v>0</v>
      </c>
      <c r="S2662" t="str">
        <f t="shared" si="796"/>
        <v>22:21:17.000</v>
      </c>
      <c r="T2662" t="str">
        <f t="shared" si="796"/>
        <v>22:21:17.000</v>
      </c>
      <c r="U2662" t="str">
        <f t="shared" si="785"/>
        <v>A9D71F</v>
      </c>
      <c r="V2662">
        <v>0</v>
      </c>
      <c r="W2662">
        <v>0</v>
      </c>
      <c r="X2662">
        <v>2</v>
      </c>
      <c r="Z2662">
        <v>1</v>
      </c>
      <c r="AA2662">
        <v>8</v>
      </c>
      <c r="AB2662">
        <v>3</v>
      </c>
      <c r="AC2662">
        <v>0</v>
      </c>
      <c r="AD2662">
        <v>9</v>
      </c>
      <c r="AE2662">
        <v>0</v>
      </c>
      <c r="AF2662">
        <v>3</v>
      </c>
      <c r="AG2662">
        <v>1</v>
      </c>
      <c r="AH2662">
        <v>0</v>
      </c>
      <c r="AI2662" t="s">
        <v>1286</v>
      </c>
      <c r="AJ2662">
        <v>33.011319999999998</v>
      </c>
      <c r="AK2662" t="s">
        <v>1350</v>
      </c>
      <c r="AL2662">
        <v>-97.655496999999997</v>
      </c>
      <c r="AM2662">
        <v>25</v>
      </c>
      <c r="AN2662">
        <v>1900</v>
      </c>
      <c r="AO2662" t="s">
        <v>118</v>
      </c>
      <c r="AP2662">
        <v>-43</v>
      </c>
      <c r="AQ2662">
        <v>-68</v>
      </c>
      <c r="AR2662">
        <v>-1216</v>
      </c>
      <c r="AZ2662">
        <v>7700</v>
      </c>
      <c r="BA2662">
        <v>1</v>
      </c>
      <c r="BB2662" t="str">
        <f t="shared" si="792"/>
        <v xml:space="preserve">N733KP  </v>
      </c>
      <c r="BC2662">
        <v>1</v>
      </c>
      <c r="BE2662">
        <v>0</v>
      </c>
      <c r="BF2662">
        <v>0</v>
      </c>
      <c r="BG2662">
        <v>1</v>
      </c>
      <c r="BH2662">
        <v>1975</v>
      </c>
      <c r="BI2662">
        <v>1</v>
      </c>
      <c r="BJ2662">
        <v>1</v>
      </c>
      <c r="BK2662">
        <v>0</v>
      </c>
      <c r="BL2662">
        <v>0</v>
      </c>
      <c r="BO2662">
        <v>0</v>
      </c>
      <c r="BP2662">
        <v>0</v>
      </c>
      <c r="BW2662" t="str">
        <f>"22:21:17.836"</f>
        <v>22:21:17.836</v>
      </c>
      <c r="CJ2662">
        <v>0</v>
      </c>
      <c r="CK2662">
        <v>2</v>
      </c>
      <c r="CL2662">
        <v>0</v>
      </c>
      <c r="CM2662">
        <v>2</v>
      </c>
      <c r="CN2662">
        <v>0</v>
      </c>
      <c r="CO2662">
        <v>6</v>
      </c>
      <c r="CP2662" t="s">
        <v>119</v>
      </c>
      <c r="CQ2662">
        <v>364</v>
      </c>
      <c r="CR2662">
        <v>0</v>
      </c>
      <c r="CW2662">
        <v>1469278</v>
      </c>
      <c r="CY2662">
        <v>1</v>
      </c>
      <c r="CZ2662">
        <v>0</v>
      </c>
      <c r="DA2662">
        <v>1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3">
      <c r="A2663" t="str">
        <f>"03/24/2022 22:21:18.031"</f>
        <v>03/24/2022 22:21:18.031</v>
      </c>
      <c r="C2663" t="str">
        <f t="shared" si="791"/>
        <v>FFDFD3C0</v>
      </c>
      <c r="D2663" t="s">
        <v>113</v>
      </c>
      <c r="E2663">
        <v>24</v>
      </c>
      <c r="F2663">
        <v>2024</v>
      </c>
      <c r="G2663" t="s">
        <v>114</v>
      </c>
      <c r="J2663" t="s">
        <v>115</v>
      </c>
      <c r="K2663">
        <v>0</v>
      </c>
      <c r="L2663">
        <v>3</v>
      </c>
      <c r="M2663">
        <v>0</v>
      </c>
      <c r="N2663">
        <v>2</v>
      </c>
      <c r="O2663">
        <v>0</v>
      </c>
      <c r="P2663">
        <v>1</v>
      </c>
      <c r="Q2663">
        <v>0</v>
      </c>
      <c r="S2663" t="str">
        <f t="shared" si="796"/>
        <v>22:21:17.000</v>
      </c>
      <c r="T2663" t="str">
        <f t="shared" si="796"/>
        <v>22:21:17.000</v>
      </c>
      <c r="U2663" t="str">
        <f t="shared" si="785"/>
        <v>A9D71F</v>
      </c>
      <c r="V2663">
        <v>0</v>
      </c>
      <c r="W2663">
        <v>0</v>
      </c>
      <c r="X2663">
        <v>2</v>
      </c>
      <c r="Z2663">
        <v>1</v>
      </c>
      <c r="AA2663">
        <v>8</v>
      </c>
      <c r="AB2663">
        <v>3</v>
      </c>
      <c r="AC2663">
        <v>0</v>
      </c>
      <c r="AD2663">
        <v>9</v>
      </c>
      <c r="AE2663">
        <v>0</v>
      </c>
      <c r="AF2663">
        <v>3</v>
      </c>
      <c r="AG2663">
        <v>1</v>
      </c>
      <c r="AH2663">
        <v>0</v>
      </c>
      <c r="AI2663" t="s">
        <v>1286</v>
      </c>
      <c r="AJ2663">
        <v>33.011319999999998</v>
      </c>
      <c r="AK2663" t="s">
        <v>1350</v>
      </c>
      <c r="AL2663">
        <v>-97.655496999999997</v>
      </c>
      <c r="AM2663">
        <v>25</v>
      </c>
      <c r="AN2663">
        <v>1900</v>
      </c>
      <c r="AO2663" t="s">
        <v>118</v>
      </c>
      <c r="AP2663">
        <v>-43</v>
      </c>
      <c r="AQ2663">
        <v>-68</v>
      </c>
      <c r="AR2663">
        <v>-1216</v>
      </c>
      <c r="AZ2663">
        <v>7700</v>
      </c>
      <c r="BA2663">
        <v>1</v>
      </c>
      <c r="BB2663" t="str">
        <f t="shared" si="792"/>
        <v xml:space="preserve">N733KP  </v>
      </c>
      <c r="BC2663">
        <v>1</v>
      </c>
      <c r="BE2663">
        <v>0</v>
      </c>
      <c r="BF2663">
        <v>0</v>
      </c>
      <c r="BG2663">
        <v>1</v>
      </c>
      <c r="BH2663">
        <v>1975</v>
      </c>
      <c r="BI2663">
        <v>1</v>
      </c>
      <c r="BJ2663">
        <v>1</v>
      </c>
      <c r="BK2663">
        <v>0</v>
      </c>
      <c r="BL2663">
        <v>0</v>
      </c>
      <c r="BO2663">
        <v>0</v>
      </c>
      <c r="BP2663">
        <v>0</v>
      </c>
      <c r="BW2663" t="str">
        <f>"22:21:17.836"</f>
        <v>22:21:17.836</v>
      </c>
      <c r="CJ2663">
        <v>0</v>
      </c>
      <c r="CK2663">
        <v>2</v>
      </c>
      <c r="CL2663">
        <v>0</v>
      </c>
      <c r="CM2663">
        <v>2</v>
      </c>
      <c r="CN2663">
        <v>0</v>
      </c>
      <c r="CO2663">
        <v>6</v>
      </c>
      <c r="CP2663" t="s">
        <v>119</v>
      </c>
      <c r="CQ2663">
        <v>364</v>
      </c>
      <c r="CR2663">
        <v>0</v>
      </c>
      <c r="CW2663">
        <v>1469278</v>
      </c>
      <c r="CY2663">
        <v>1</v>
      </c>
      <c r="CZ2663">
        <v>0</v>
      </c>
      <c r="DA2663">
        <v>1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3">
      <c r="A2664" t="str">
        <f>"03/24/2022 22:21:18.031"</f>
        <v>03/24/2022 22:21:18.031</v>
      </c>
      <c r="C2664" t="str">
        <f t="shared" si="791"/>
        <v>FFDFD3C0</v>
      </c>
      <c r="D2664" t="s">
        <v>123</v>
      </c>
      <c r="E2664">
        <v>8</v>
      </c>
      <c r="H2664">
        <v>31</v>
      </c>
      <c r="I2664" t="s">
        <v>124</v>
      </c>
      <c r="J2664" t="s">
        <v>125</v>
      </c>
      <c r="K2664">
        <v>0</v>
      </c>
      <c r="L2664">
        <v>3</v>
      </c>
      <c r="M2664">
        <v>0</v>
      </c>
      <c r="N2664">
        <v>2</v>
      </c>
      <c r="O2664">
        <v>0</v>
      </c>
      <c r="P2664">
        <v>1</v>
      </c>
      <c r="Q2664">
        <v>0</v>
      </c>
      <c r="S2664" t="str">
        <f t="shared" si="796"/>
        <v>22:21:17.000</v>
      </c>
      <c r="T2664" t="str">
        <f t="shared" si="796"/>
        <v>22:21:17.000</v>
      </c>
      <c r="U2664" t="str">
        <f t="shared" si="785"/>
        <v>A9D71F</v>
      </c>
      <c r="V2664">
        <v>0</v>
      </c>
      <c r="W2664">
        <v>0</v>
      </c>
      <c r="X2664">
        <v>2</v>
      </c>
      <c r="Z2664">
        <v>1</v>
      </c>
      <c r="AA2664">
        <v>8</v>
      </c>
      <c r="AB2664">
        <v>3</v>
      </c>
      <c r="AC2664">
        <v>0</v>
      </c>
      <c r="AD2664">
        <v>9</v>
      </c>
      <c r="AE2664">
        <v>0</v>
      </c>
      <c r="AF2664">
        <v>3</v>
      </c>
      <c r="AG2664">
        <v>1</v>
      </c>
      <c r="AH2664">
        <v>0</v>
      </c>
      <c r="AI2664" t="s">
        <v>1286</v>
      </c>
      <c r="AJ2664">
        <v>33.011319999999998</v>
      </c>
      <c r="AK2664" t="s">
        <v>1350</v>
      </c>
      <c r="AL2664">
        <v>-97.655496999999997</v>
      </c>
      <c r="AM2664">
        <v>25</v>
      </c>
      <c r="AN2664">
        <v>1900</v>
      </c>
      <c r="AO2664" t="s">
        <v>118</v>
      </c>
      <c r="AP2664">
        <v>-43</v>
      </c>
      <c r="AQ2664">
        <v>-68</v>
      </c>
      <c r="AR2664">
        <v>-1216</v>
      </c>
      <c r="AZ2664">
        <v>7700</v>
      </c>
      <c r="BA2664">
        <v>1</v>
      </c>
      <c r="BB2664" t="str">
        <f t="shared" si="792"/>
        <v xml:space="preserve">N733KP  </v>
      </c>
      <c r="BC2664">
        <v>1</v>
      </c>
      <c r="BE2664">
        <v>0</v>
      </c>
      <c r="BF2664">
        <v>0</v>
      </c>
      <c r="BG2664">
        <v>1</v>
      </c>
      <c r="BH2664">
        <v>1975</v>
      </c>
      <c r="BI2664">
        <v>1</v>
      </c>
      <c r="BJ2664">
        <v>1</v>
      </c>
      <c r="BK2664">
        <v>0</v>
      </c>
      <c r="BL2664">
        <v>0</v>
      </c>
      <c r="BO2664">
        <v>0</v>
      </c>
      <c r="BP2664">
        <v>0</v>
      </c>
      <c r="BW2664" t="str">
        <f>"22:21:17.836"</f>
        <v>22:21:17.836</v>
      </c>
      <c r="CJ2664">
        <v>0</v>
      </c>
      <c r="CK2664">
        <v>2</v>
      </c>
      <c r="CL2664">
        <v>0</v>
      </c>
      <c r="CM2664">
        <v>2</v>
      </c>
      <c r="CN2664">
        <v>0</v>
      </c>
      <c r="CO2664">
        <v>6</v>
      </c>
      <c r="CP2664" t="s">
        <v>119</v>
      </c>
      <c r="CQ2664">
        <v>364</v>
      </c>
      <c r="CR2664">
        <v>0</v>
      </c>
      <c r="CW2664">
        <v>1469278</v>
      </c>
      <c r="CY2664">
        <v>1</v>
      </c>
      <c r="CZ2664">
        <v>0</v>
      </c>
      <c r="DA2664">
        <v>1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3">
      <c r="A2665" t="str">
        <f>"03/24/2022 22:21:18.391"</f>
        <v>03/24/2022 22:21:18.391</v>
      </c>
      <c r="C2665" t="str">
        <f t="shared" si="791"/>
        <v>FFDFD3C0</v>
      </c>
      <c r="D2665" t="s">
        <v>126</v>
      </c>
      <c r="E2665">
        <v>3</v>
      </c>
      <c r="H2665">
        <v>160</v>
      </c>
      <c r="I2665" t="s">
        <v>121</v>
      </c>
      <c r="J2665" t="s">
        <v>127</v>
      </c>
      <c r="K2665">
        <v>0</v>
      </c>
      <c r="L2665">
        <v>3</v>
      </c>
      <c r="M2665">
        <v>0</v>
      </c>
      <c r="N2665">
        <v>2</v>
      </c>
      <c r="O2665">
        <v>0</v>
      </c>
      <c r="P2665">
        <v>1</v>
      </c>
      <c r="Q2665">
        <v>0</v>
      </c>
      <c r="S2665" t="str">
        <f t="shared" ref="S2665:T2668" si="797">"22:21:18.000"</f>
        <v>22:21:18.000</v>
      </c>
      <c r="T2665" t="str">
        <f t="shared" si="797"/>
        <v>22:21:18.000</v>
      </c>
      <c r="U2665" t="str">
        <f t="shared" si="785"/>
        <v>A9D71F</v>
      </c>
      <c r="V2665">
        <v>0</v>
      </c>
      <c r="W2665">
        <v>0</v>
      </c>
      <c r="X2665">
        <v>2</v>
      </c>
      <c r="Z2665">
        <v>1</v>
      </c>
      <c r="AA2665">
        <v>8</v>
      </c>
      <c r="AB2665">
        <v>3</v>
      </c>
      <c r="AC2665">
        <v>0</v>
      </c>
      <c r="AD2665">
        <v>9</v>
      </c>
      <c r="AE2665">
        <v>0</v>
      </c>
      <c r="AF2665">
        <v>3</v>
      </c>
      <c r="AG2665">
        <v>1</v>
      </c>
      <c r="AH2665">
        <v>0</v>
      </c>
      <c r="AI2665" t="s">
        <v>1351</v>
      </c>
      <c r="AJ2665">
        <v>33.010998000000001</v>
      </c>
      <c r="AK2665" t="s">
        <v>1352</v>
      </c>
      <c r="AL2665">
        <v>-97.655732999999998</v>
      </c>
      <c r="AM2665">
        <v>25</v>
      </c>
      <c r="AN2665">
        <v>1900</v>
      </c>
      <c r="AO2665" t="s">
        <v>118</v>
      </c>
      <c r="AP2665">
        <v>-46</v>
      </c>
      <c r="AQ2665">
        <v>-66</v>
      </c>
      <c r="AR2665">
        <v>-1344</v>
      </c>
      <c r="AZ2665">
        <v>7700</v>
      </c>
      <c r="BA2665">
        <v>1</v>
      </c>
      <c r="BB2665" t="str">
        <f t="shared" si="792"/>
        <v xml:space="preserve">N733KP  </v>
      </c>
      <c r="BC2665">
        <v>1</v>
      </c>
      <c r="BE2665">
        <v>0</v>
      </c>
      <c r="BF2665">
        <v>0</v>
      </c>
      <c r="BG2665">
        <v>1</v>
      </c>
      <c r="BH2665">
        <v>1975</v>
      </c>
      <c r="BI2665">
        <v>1</v>
      </c>
      <c r="BJ2665">
        <v>1</v>
      </c>
      <c r="BK2665">
        <v>0</v>
      </c>
      <c r="BL2665">
        <v>0</v>
      </c>
      <c r="BO2665">
        <v>0</v>
      </c>
      <c r="BP2665">
        <v>0</v>
      </c>
      <c r="BW2665" t="str">
        <f>"22:21:18.242"</f>
        <v>22:21:18.242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6</v>
      </c>
      <c r="CP2665" t="s">
        <v>119</v>
      </c>
      <c r="CQ2665">
        <v>364</v>
      </c>
      <c r="CR2665">
        <v>0</v>
      </c>
      <c r="CW2665">
        <v>1469325</v>
      </c>
      <c r="CY2665">
        <v>1</v>
      </c>
      <c r="CZ2665">
        <v>0</v>
      </c>
      <c r="DA2665">
        <v>0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3">
      <c r="A2666" t="str">
        <f>"03/24/2022 22:21:18.422"</f>
        <v>03/24/2022 22:21:18.422</v>
      </c>
      <c r="C2666" t="str">
        <f t="shared" si="791"/>
        <v>FFDFD3C0</v>
      </c>
      <c r="D2666" t="s">
        <v>120</v>
      </c>
      <c r="E2666">
        <v>14</v>
      </c>
      <c r="F2666">
        <v>1014</v>
      </c>
      <c r="G2666" t="s">
        <v>121</v>
      </c>
      <c r="J2666" t="s">
        <v>122</v>
      </c>
      <c r="K2666">
        <v>0</v>
      </c>
      <c r="L2666">
        <v>3</v>
      </c>
      <c r="M2666">
        <v>0</v>
      </c>
      <c r="N2666">
        <v>2</v>
      </c>
      <c r="O2666">
        <v>0</v>
      </c>
      <c r="P2666">
        <v>1</v>
      </c>
      <c r="Q2666">
        <v>0</v>
      </c>
      <c r="S2666" t="str">
        <f t="shared" si="797"/>
        <v>22:21:18.000</v>
      </c>
      <c r="T2666" t="str">
        <f t="shared" si="797"/>
        <v>22:21:18.000</v>
      </c>
      <c r="U2666" t="str">
        <f t="shared" si="785"/>
        <v>A9D71F</v>
      </c>
      <c r="V2666">
        <v>0</v>
      </c>
      <c r="W2666">
        <v>0</v>
      </c>
      <c r="X2666">
        <v>2</v>
      </c>
      <c r="Z2666">
        <v>1</v>
      </c>
      <c r="AA2666">
        <v>8</v>
      </c>
      <c r="AB2666">
        <v>3</v>
      </c>
      <c r="AC2666">
        <v>0</v>
      </c>
      <c r="AD2666">
        <v>9</v>
      </c>
      <c r="AE2666">
        <v>0</v>
      </c>
      <c r="AF2666">
        <v>3</v>
      </c>
      <c r="AG2666">
        <v>1</v>
      </c>
      <c r="AH2666">
        <v>0</v>
      </c>
      <c r="AI2666" t="s">
        <v>1351</v>
      </c>
      <c r="AJ2666">
        <v>33.010998000000001</v>
      </c>
      <c r="AK2666" t="s">
        <v>1352</v>
      </c>
      <c r="AL2666">
        <v>-97.655732999999998</v>
      </c>
      <c r="AM2666">
        <v>25</v>
      </c>
      <c r="AN2666">
        <v>1900</v>
      </c>
      <c r="AO2666" t="s">
        <v>118</v>
      </c>
      <c r="AP2666">
        <v>-46</v>
      </c>
      <c r="AQ2666">
        <v>-66</v>
      </c>
      <c r="AR2666">
        <v>-1344</v>
      </c>
      <c r="AZ2666">
        <v>7700</v>
      </c>
      <c r="BA2666">
        <v>1</v>
      </c>
      <c r="BB2666" t="str">
        <f t="shared" si="792"/>
        <v xml:space="preserve">N733KP  </v>
      </c>
      <c r="BC2666">
        <v>1</v>
      </c>
      <c r="BE2666">
        <v>0</v>
      </c>
      <c r="BF2666">
        <v>0</v>
      </c>
      <c r="BG2666">
        <v>1</v>
      </c>
      <c r="BH2666">
        <v>1975</v>
      </c>
      <c r="BI2666">
        <v>1</v>
      </c>
      <c r="BJ2666">
        <v>1</v>
      </c>
      <c r="BK2666">
        <v>0</v>
      </c>
      <c r="BL2666">
        <v>0</v>
      </c>
      <c r="BO2666">
        <v>0</v>
      </c>
      <c r="BP2666">
        <v>0</v>
      </c>
      <c r="BW2666" t="str">
        <f>"22:21:18.242"</f>
        <v>22:21:18.242</v>
      </c>
      <c r="CJ2666">
        <v>0</v>
      </c>
      <c r="CK2666">
        <v>2</v>
      </c>
      <c r="CL2666">
        <v>0</v>
      </c>
      <c r="CM2666">
        <v>2</v>
      </c>
      <c r="CN2666">
        <v>0</v>
      </c>
      <c r="CO2666">
        <v>6</v>
      </c>
      <c r="CP2666" t="s">
        <v>119</v>
      </c>
      <c r="CQ2666">
        <v>364</v>
      </c>
      <c r="CR2666">
        <v>0</v>
      </c>
      <c r="CW2666">
        <v>1469325</v>
      </c>
      <c r="CY2666">
        <v>1</v>
      </c>
      <c r="CZ2666">
        <v>0</v>
      </c>
      <c r="DA2666">
        <v>1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3">
      <c r="A2667" t="str">
        <f>"03/24/2022 22:21:18.422"</f>
        <v>03/24/2022 22:21:18.422</v>
      </c>
      <c r="C2667" t="str">
        <f t="shared" si="791"/>
        <v>FFDFD3C0</v>
      </c>
      <c r="D2667" t="s">
        <v>113</v>
      </c>
      <c r="E2667">
        <v>24</v>
      </c>
      <c r="F2667">
        <v>2024</v>
      </c>
      <c r="G2667" t="s">
        <v>114</v>
      </c>
      <c r="J2667" t="s">
        <v>115</v>
      </c>
      <c r="K2667">
        <v>0</v>
      </c>
      <c r="L2667">
        <v>3</v>
      </c>
      <c r="M2667">
        <v>0</v>
      </c>
      <c r="N2667">
        <v>2</v>
      </c>
      <c r="O2667">
        <v>0</v>
      </c>
      <c r="P2667">
        <v>1</v>
      </c>
      <c r="Q2667">
        <v>0</v>
      </c>
      <c r="S2667" t="str">
        <f t="shared" si="797"/>
        <v>22:21:18.000</v>
      </c>
      <c r="T2667" t="str">
        <f t="shared" si="797"/>
        <v>22:21:18.000</v>
      </c>
      <c r="U2667" t="str">
        <f t="shared" si="785"/>
        <v>A9D71F</v>
      </c>
      <c r="V2667">
        <v>0</v>
      </c>
      <c r="W2667">
        <v>0</v>
      </c>
      <c r="X2667">
        <v>2</v>
      </c>
      <c r="Z2667">
        <v>1</v>
      </c>
      <c r="AA2667">
        <v>8</v>
      </c>
      <c r="AB2667">
        <v>3</v>
      </c>
      <c r="AC2667">
        <v>0</v>
      </c>
      <c r="AD2667">
        <v>9</v>
      </c>
      <c r="AE2667">
        <v>0</v>
      </c>
      <c r="AF2667">
        <v>3</v>
      </c>
      <c r="AG2667">
        <v>1</v>
      </c>
      <c r="AH2667">
        <v>0</v>
      </c>
      <c r="AI2667" t="s">
        <v>1351</v>
      </c>
      <c r="AJ2667">
        <v>33.010998000000001</v>
      </c>
      <c r="AK2667" t="s">
        <v>1352</v>
      </c>
      <c r="AL2667">
        <v>-97.655732999999998</v>
      </c>
      <c r="AM2667">
        <v>25</v>
      </c>
      <c r="AN2667">
        <v>1900</v>
      </c>
      <c r="AO2667" t="s">
        <v>118</v>
      </c>
      <c r="AP2667">
        <v>-46</v>
      </c>
      <c r="AQ2667">
        <v>-66</v>
      </c>
      <c r="AR2667">
        <v>-1344</v>
      </c>
      <c r="AZ2667">
        <v>7700</v>
      </c>
      <c r="BA2667">
        <v>1</v>
      </c>
      <c r="BB2667" t="str">
        <f t="shared" si="792"/>
        <v xml:space="preserve">N733KP  </v>
      </c>
      <c r="BC2667">
        <v>1</v>
      </c>
      <c r="BE2667">
        <v>0</v>
      </c>
      <c r="BF2667">
        <v>0</v>
      </c>
      <c r="BG2667">
        <v>1</v>
      </c>
      <c r="BH2667">
        <v>1975</v>
      </c>
      <c r="BI2667">
        <v>1</v>
      </c>
      <c r="BJ2667">
        <v>1</v>
      </c>
      <c r="BK2667">
        <v>0</v>
      </c>
      <c r="BL2667">
        <v>0</v>
      </c>
      <c r="BO2667">
        <v>0</v>
      </c>
      <c r="BP2667">
        <v>0</v>
      </c>
      <c r="BW2667" t="str">
        <f>"22:21:18.242"</f>
        <v>22:21:18.242</v>
      </c>
      <c r="CJ2667">
        <v>0</v>
      </c>
      <c r="CK2667">
        <v>2</v>
      </c>
      <c r="CL2667">
        <v>0</v>
      </c>
      <c r="CM2667">
        <v>2</v>
      </c>
      <c r="CN2667">
        <v>0</v>
      </c>
      <c r="CO2667">
        <v>6</v>
      </c>
      <c r="CP2667" t="s">
        <v>119</v>
      </c>
      <c r="CQ2667">
        <v>364</v>
      </c>
      <c r="CR2667">
        <v>0</v>
      </c>
      <c r="CW2667">
        <v>1469325</v>
      </c>
      <c r="CY2667">
        <v>1</v>
      </c>
      <c r="CZ2667">
        <v>0</v>
      </c>
      <c r="DA2667">
        <v>1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3">
      <c r="A2668" t="str">
        <f>"03/24/2022 22:21:18.455"</f>
        <v>03/24/2022 22:21:18.455</v>
      </c>
      <c r="C2668" t="str">
        <f t="shared" si="791"/>
        <v>FFDFD3C0</v>
      </c>
      <c r="D2668" t="s">
        <v>123</v>
      </c>
      <c r="E2668">
        <v>8</v>
      </c>
      <c r="H2668">
        <v>31</v>
      </c>
      <c r="I2668" t="s">
        <v>124</v>
      </c>
      <c r="J2668" t="s">
        <v>125</v>
      </c>
      <c r="K2668">
        <v>0</v>
      </c>
      <c r="L2668">
        <v>3</v>
      </c>
      <c r="M2668">
        <v>0</v>
      </c>
      <c r="N2668">
        <v>2</v>
      </c>
      <c r="O2668">
        <v>0</v>
      </c>
      <c r="P2668">
        <v>1</v>
      </c>
      <c r="Q2668">
        <v>0</v>
      </c>
      <c r="S2668" t="str">
        <f t="shared" si="797"/>
        <v>22:21:18.000</v>
      </c>
      <c r="T2668" t="str">
        <f t="shared" si="797"/>
        <v>22:21:18.000</v>
      </c>
      <c r="U2668" t="str">
        <f t="shared" si="785"/>
        <v>A9D71F</v>
      </c>
      <c r="V2668">
        <v>0</v>
      </c>
      <c r="W2668">
        <v>0</v>
      </c>
      <c r="X2668">
        <v>2</v>
      </c>
      <c r="Z2668">
        <v>1</v>
      </c>
      <c r="AA2668">
        <v>8</v>
      </c>
      <c r="AB2668">
        <v>3</v>
      </c>
      <c r="AC2668">
        <v>0</v>
      </c>
      <c r="AD2668">
        <v>9</v>
      </c>
      <c r="AE2668">
        <v>0</v>
      </c>
      <c r="AF2668">
        <v>3</v>
      </c>
      <c r="AG2668">
        <v>1</v>
      </c>
      <c r="AH2668">
        <v>0</v>
      </c>
      <c r="AI2668" t="s">
        <v>1351</v>
      </c>
      <c r="AJ2668">
        <v>33.010998000000001</v>
      </c>
      <c r="AK2668" t="s">
        <v>1352</v>
      </c>
      <c r="AL2668">
        <v>-97.655732999999998</v>
      </c>
      <c r="AM2668">
        <v>25</v>
      </c>
      <c r="AN2668">
        <v>1900</v>
      </c>
      <c r="AO2668" t="s">
        <v>118</v>
      </c>
      <c r="AP2668">
        <v>-46</v>
      </c>
      <c r="AQ2668">
        <v>-66</v>
      </c>
      <c r="AR2668">
        <v>-1344</v>
      </c>
      <c r="AZ2668">
        <v>7700</v>
      </c>
      <c r="BA2668">
        <v>1</v>
      </c>
      <c r="BB2668" t="str">
        <f t="shared" si="792"/>
        <v xml:space="preserve">N733KP  </v>
      </c>
      <c r="BC2668">
        <v>1</v>
      </c>
      <c r="BE2668">
        <v>0</v>
      </c>
      <c r="BF2668">
        <v>0</v>
      </c>
      <c r="BG2668">
        <v>1</v>
      </c>
      <c r="BH2668">
        <v>1975</v>
      </c>
      <c r="BI2668">
        <v>1</v>
      </c>
      <c r="BJ2668">
        <v>1</v>
      </c>
      <c r="BK2668">
        <v>0</v>
      </c>
      <c r="BL2668">
        <v>0</v>
      </c>
      <c r="BO2668">
        <v>0</v>
      </c>
      <c r="BP2668">
        <v>0</v>
      </c>
      <c r="BW2668" t="str">
        <f>"22:21:18.242"</f>
        <v>22:21:18.242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6</v>
      </c>
      <c r="CP2668" t="s">
        <v>119</v>
      </c>
      <c r="CQ2668">
        <v>364</v>
      </c>
      <c r="CR2668">
        <v>0</v>
      </c>
      <c r="CW2668">
        <v>1469325</v>
      </c>
      <c r="CY2668">
        <v>1</v>
      </c>
      <c r="CZ2668">
        <v>0</v>
      </c>
      <c r="DA2668">
        <v>1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3">
      <c r="A2669" t="str">
        <f>"03/24/2022 22:21:19.892"</f>
        <v>03/24/2022 22:21:19.892</v>
      </c>
      <c r="C2669" t="str">
        <f t="shared" si="791"/>
        <v>FFDFD3C0</v>
      </c>
      <c r="D2669" t="s">
        <v>123</v>
      </c>
      <c r="E2669">
        <v>8</v>
      </c>
      <c r="H2669">
        <v>31</v>
      </c>
      <c r="I2669" t="s">
        <v>124</v>
      </c>
      <c r="J2669" t="s">
        <v>125</v>
      </c>
      <c r="K2669">
        <v>0</v>
      </c>
      <c r="L2669">
        <v>3</v>
      </c>
      <c r="M2669">
        <v>0</v>
      </c>
      <c r="N2669">
        <v>2</v>
      </c>
      <c r="O2669">
        <v>0</v>
      </c>
      <c r="P2669">
        <v>1</v>
      </c>
      <c r="Q2669">
        <v>0</v>
      </c>
      <c r="S2669" t="str">
        <f t="shared" ref="S2669:T2672" si="798">"22:21:19.000"</f>
        <v>22:21:19.000</v>
      </c>
      <c r="T2669" t="str">
        <f t="shared" si="798"/>
        <v>22:21:19.000</v>
      </c>
      <c r="U2669" t="str">
        <f t="shared" si="785"/>
        <v>A9D71F</v>
      </c>
      <c r="V2669">
        <v>0</v>
      </c>
      <c r="W2669">
        <v>0</v>
      </c>
      <c r="X2669">
        <v>2</v>
      </c>
      <c r="Z2669">
        <v>1</v>
      </c>
      <c r="AA2669">
        <v>8</v>
      </c>
      <c r="AB2669">
        <v>3</v>
      </c>
      <c r="AC2669">
        <v>0</v>
      </c>
      <c r="AD2669">
        <v>9</v>
      </c>
      <c r="AE2669">
        <v>0</v>
      </c>
      <c r="AF2669">
        <v>3</v>
      </c>
      <c r="AG2669">
        <v>1</v>
      </c>
      <c r="AH2669">
        <v>0</v>
      </c>
      <c r="AI2669" t="s">
        <v>1282</v>
      </c>
      <c r="AJ2669">
        <v>33.010675999999997</v>
      </c>
      <c r="AK2669" t="s">
        <v>1353</v>
      </c>
      <c r="AL2669">
        <v>-97.655990000000003</v>
      </c>
      <c r="AM2669">
        <v>25</v>
      </c>
      <c r="AN2669">
        <v>1900</v>
      </c>
      <c r="AO2669" t="s">
        <v>118</v>
      </c>
      <c r="AP2669">
        <v>-57</v>
      </c>
      <c r="AQ2669">
        <v>-59</v>
      </c>
      <c r="AR2669">
        <v>-1536</v>
      </c>
      <c r="AZ2669">
        <v>7700</v>
      </c>
      <c r="BA2669">
        <v>1</v>
      </c>
      <c r="BB2669" t="str">
        <f t="shared" si="792"/>
        <v xml:space="preserve">N733KP  </v>
      </c>
      <c r="BC2669">
        <v>1</v>
      </c>
      <c r="BE2669">
        <v>0</v>
      </c>
      <c r="BF2669">
        <v>0</v>
      </c>
      <c r="BG2669">
        <v>1</v>
      </c>
      <c r="BH2669">
        <v>1925</v>
      </c>
      <c r="BI2669">
        <v>1</v>
      </c>
      <c r="BJ2669">
        <v>1</v>
      </c>
      <c r="BK2669">
        <v>0</v>
      </c>
      <c r="BL2669">
        <v>0</v>
      </c>
      <c r="BO2669">
        <v>0</v>
      </c>
      <c r="BP2669">
        <v>0</v>
      </c>
      <c r="BW2669" t="str">
        <f>"22:21:19.755"</f>
        <v>22:21:19.755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6</v>
      </c>
      <c r="CP2669" t="s">
        <v>119</v>
      </c>
      <c r="CQ2669">
        <v>364</v>
      </c>
      <c r="CR2669">
        <v>0</v>
      </c>
      <c r="CW2669">
        <v>1469573</v>
      </c>
      <c r="CY2669">
        <v>1</v>
      </c>
      <c r="CZ2669">
        <v>0</v>
      </c>
      <c r="DA2669">
        <v>0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3">
      <c r="A2670" t="str">
        <f>"03/24/2022 22:21:19.908"</f>
        <v>03/24/2022 22:21:19.908</v>
      </c>
      <c r="C2670" t="str">
        <f t="shared" si="791"/>
        <v>FFDFD3C0</v>
      </c>
      <c r="D2670" t="s">
        <v>126</v>
      </c>
      <c r="E2670">
        <v>3</v>
      </c>
      <c r="H2670">
        <v>160</v>
      </c>
      <c r="I2670" t="s">
        <v>121</v>
      </c>
      <c r="J2670" t="s">
        <v>127</v>
      </c>
      <c r="K2670">
        <v>0</v>
      </c>
      <c r="L2670">
        <v>3</v>
      </c>
      <c r="M2670">
        <v>0</v>
      </c>
      <c r="N2670">
        <v>2</v>
      </c>
      <c r="O2670">
        <v>0</v>
      </c>
      <c r="P2670">
        <v>1</v>
      </c>
      <c r="Q2670">
        <v>0</v>
      </c>
      <c r="S2670" t="str">
        <f t="shared" si="798"/>
        <v>22:21:19.000</v>
      </c>
      <c r="T2670" t="str">
        <f t="shared" si="798"/>
        <v>22:21:19.000</v>
      </c>
      <c r="U2670" t="str">
        <f t="shared" si="785"/>
        <v>A9D71F</v>
      </c>
      <c r="V2670">
        <v>0</v>
      </c>
      <c r="W2670">
        <v>0</v>
      </c>
      <c r="X2670">
        <v>2</v>
      </c>
      <c r="Z2670">
        <v>1</v>
      </c>
      <c r="AA2670">
        <v>8</v>
      </c>
      <c r="AB2670">
        <v>3</v>
      </c>
      <c r="AC2670">
        <v>0</v>
      </c>
      <c r="AD2670">
        <v>9</v>
      </c>
      <c r="AE2670">
        <v>0</v>
      </c>
      <c r="AF2670">
        <v>3</v>
      </c>
      <c r="AG2670">
        <v>1</v>
      </c>
      <c r="AH2670">
        <v>0</v>
      </c>
      <c r="AI2670" t="s">
        <v>1282</v>
      </c>
      <c r="AJ2670">
        <v>33.010675999999997</v>
      </c>
      <c r="AK2670" t="s">
        <v>1353</v>
      </c>
      <c r="AL2670">
        <v>-97.655990000000003</v>
      </c>
      <c r="AM2670">
        <v>25</v>
      </c>
      <c r="AN2670">
        <v>1900</v>
      </c>
      <c r="AO2670" t="s">
        <v>118</v>
      </c>
      <c r="AP2670">
        <v>-57</v>
      </c>
      <c r="AQ2670">
        <v>-59</v>
      </c>
      <c r="AR2670">
        <v>-1536</v>
      </c>
      <c r="AZ2670">
        <v>7700</v>
      </c>
      <c r="BA2670">
        <v>1</v>
      </c>
      <c r="BB2670" t="str">
        <f t="shared" si="792"/>
        <v xml:space="preserve">N733KP  </v>
      </c>
      <c r="BC2670">
        <v>1</v>
      </c>
      <c r="BE2670">
        <v>0</v>
      </c>
      <c r="BF2670">
        <v>0</v>
      </c>
      <c r="BG2670">
        <v>1</v>
      </c>
      <c r="BH2670">
        <v>1925</v>
      </c>
      <c r="BI2670">
        <v>1</v>
      </c>
      <c r="BJ2670">
        <v>1</v>
      </c>
      <c r="BK2670">
        <v>0</v>
      </c>
      <c r="BL2670">
        <v>0</v>
      </c>
      <c r="BO2670">
        <v>0</v>
      </c>
      <c r="BP2670">
        <v>0</v>
      </c>
      <c r="BW2670" t="str">
        <f>"22:21:19.755"</f>
        <v>22:21:19.755</v>
      </c>
      <c r="CJ2670">
        <v>0</v>
      </c>
      <c r="CK2670">
        <v>2</v>
      </c>
      <c r="CL2670">
        <v>0</v>
      </c>
      <c r="CM2670">
        <v>2</v>
      </c>
      <c r="CN2670">
        <v>0</v>
      </c>
      <c r="CO2670">
        <v>6</v>
      </c>
      <c r="CP2670" t="s">
        <v>119</v>
      </c>
      <c r="CQ2670">
        <v>364</v>
      </c>
      <c r="CR2670">
        <v>0</v>
      </c>
      <c r="CW2670">
        <v>1469573</v>
      </c>
      <c r="CY2670">
        <v>1</v>
      </c>
      <c r="CZ2670">
        <v>0</v>
      </c>
      <c r="DA2670">
        <v>1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3">
      <c r="A2671" t="str">
        <f>"03/24/2022 22:21:19.939"</f>
        <v>03/24/2022 22:21:19.939</v>
      </c>
      <c r="C2671" t="str">
        <f t="shared" si="791"/>
        <v>FFDFD3C0</v>
      </c>
      <c r="D2671" t="s">
        <v>120</v>
      </c>
      <c r="E2671">
        <v>14</v>
      </c>
      <c r="F2671">
        <v>1014</v>
      </c>
      <c r="G2671" t="s">
        <v>121</v>
      </c>
      <c r="J2671" t="s">
        <v>122</v>
      </c>
      <c r="K2671">
        <v>0</v>
      </c>
      <c r="L2671">
        <v>3</v>
      </c>
      <c r="M2671">
        <v>0</v>
      </c>
      <c r="N2671">
        <v>2</v>
      </c>
      <c r="O2671">
        <v>0</v>
      </c>
      <c r="P2671">
        <v>1</v>
      </c>
      <c r="Q2671">
        <v>0</v>
      </c>
      <c r="S2671" t="str">
        <f t="shared" si="798"/>
        <v>22:21:19.000</v>
      </c>
      <c r="T2671" t="str">
        <f t="shared" si="798"/>
        <v>22:21:19.000</v>
      </c>
      <c r="U2671" t="str">
        <f t="shared" si="785"/>
        <v>A9D71F</v>
      </c>
      <c r="V2671">
        <v>0</v>
      </c>
      <c r="W2671">
        <v>0</v>
      </c>
      <c r="X2671">
        <v>2</v>
      </c>
      <c r="Z2671">
        <v>1</v>
      </c>
      <c r="AA2671">
        <v>8</v>
      </c>
      <c r="AB2671">
        <v>3</v>
      </c>
      <c r="AC2671">
        <v>0</v>
      </c>
      <c r="AD2671">
        <v>9</v>
      </c>
      <c r="AE2671">
        <v>0</v>
      </c>
      <c r="AF2671">
        <v>3</v>
      </c>
      <c r="AG2671">
        <v>1</v>
      </c>
      <c r="AH2671">
        <v>0</v>
      </c>
      <c r="AI2671" t="s">
        <v>1282</v>
      </c>
      <c r="AJ2671">
        <v>33.010675999999997</v>
      </c>
      <c r="AK2671" t="s">
        <v>1353</v>
      </c>
      <c r="AL2671">
        <v>-97.655990000000003</v>
      </c>
      <c r="AM2671">
        <v>25</v>
      </c>
      <c r="AN2671">
        <v>1900</v>
      </c>
      <c r="AO2671" t="s">
        <v>118</v>
      </c>
      <c r="AP2671">
        <v>-57</v>
      </c>
      <c r="AQ2671">
        <v>-59</v>
      </c>
      <c r="AR2671">
        <v>-1536</v>
      </c>
      <c r="AZ2671">
        <v>7700</v>
      </c>
      <c r="BA2671">
        <v>1</v>
      </c>
      <c r="BB2671" t="str">
        <f t="shared" si="792"/>
        <v xml:space="preserve">N733KP  </v>
      </c>
      <c r="BC2671">
        <v>1</v>
      </c>
      <c r="BE2671">
        <v>0</v>
      </c>
      <c r="BF2671">
        <v>0</v>
      </c>
      <c r="BG2671">
        <v>1</v>
      </c>
      <c r="BH2671">
        <v>1925</v>
      </c>
      <c r="BI2671">
        <v>1</v>
      </c>
      <c r="BJ2671">
        <v>1</v>
      </c>
      <c r="BK2671">
        <v>0</v>
      </c>
      <c r="BL2671">
        <v>0</v>
      </c>
      <c r="BO2671">
        <v>0</v>
      </c>
      <c r="BP2671">
        <v>0</v>
      </c>
      <c r="BW2671" t="str">
        <f>"22:21:19.755"</f>
        <v>22:21:19.755</v>
      </c>
      <c r="CJ2671">
        <v>0</v>
      </c>
      <c r="CK2671">
        <v>2</v>
      </c>
      <c r="CL2671">
        <v>0</v>
      </c>
      <c r="CM2671">
        <v>2</v>
      </c>
      <c r="CN2671">
        <v>0</v>
      </c>
      <c r="CO2671">
        <v>6</v>
      </c>
      <c r="CP2671" t="s">
        <v>119</v>
      </c>
      <c r="CQ2671">
        <v>364</v>
      </c>
      <c r="CR2671">
        <v>0</v>
      </c>
      <c r="CW2671">
        <v>1469573</v>
      </c>
      <c r="CY2671">
        <v>1</v>
      </c>
      <c r="CZ2671">
        <v>0</v>
      </c>
      <c r="DA2671">
        <v>1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3">
      <c r="A2672" t="str">
        <f>"03/24/2022 22:21:19.939"</f>
        <v>03/24/2022 22:21:19.939</v>
      </c>
      <c r="C2672" t="str">
        <f t="shared" si="791"/>
        <v>FFDFD3C0</v>
      </c>
      <c r="D2672" t="s">
        <v>113</v>
      </c>
      <c r="E2672">
        <v>24</v>
      </c>
      <c r="F2672">
        <v>2024</v>
      </c>
      <c r="G2672" t="s">
        <v>114</v>
      </c>
      <c r="J2672" t="s">
        <v>115</v>
      </c>
      <c r="K2672">
        <v>0</v>
      </c>
      <c r="L2672">
        <v>3</v>
      </c>
      <c r="M2672">
        <v>0</v>
      </c>
      <c r="N2672">
        <v>2</v>
      </c>
      <c r="O2672">
        <v>0</v>
      </c>
      <c r="P2672">
        <v>1</v>
      </c>
      <c r="Q2672">
        <v>0</v>
      </c>
      <c r="S2672" t="str">
        <f t="shared" si="798"/>
        <v>22:21:19.000</v>
      </c>
      <c r="T2672" t="str">
        <f t="shared" si="798"/>
        <v>22:21:19.000</v>
      </c>
      <c r="U2672" t="str">
        <f t="shared" si="785"/>
        <v>A9D71F</v>
      </c>
      <c r="V2672">
        <v>0</v>
      </c>
      <c r="W2672">
        <v>0</v>
      </c>
      <c r="X2672">
        <v>2</v>
      </c>
      <c r="Z2672">
        <v>1</v>
      </c>
      <c r="AA2672">
        <v>8</v>
      </c>
      <c r="AB2672">
        <v>3</v>
      </c>
      <c r="AC2672">
        <v>0</v>
      </c>
      <c r="AD2672">
        <v>9</v>
      </c>
      <c r="AE2672">
        <v>0</v>
      </c>
      <c r="AF2672">
        <v>3</v>
      </c>
      <c r="AG2672">
        <v>1</v>
      </c>
      <c r="AH2672">
        <v>0</v>
      </c>
      <c r="AI2672" t="s">
        <v>1282</v>
      </c>
      <c r="AJ2672">
        <v>33.010675999999997</v>
      </c>
      <c r="AK2672" t="s">
        <v>1353</v>
      </c>
      <c r="AL2672">
        <v>-97.655990000000003</v>
      </c>
      <c r="AM2672">
        <v>25</v>
      </c>
      <c r="AN2672">
        <v>1900</v>
      </c>
      <c r="AO2672" t="s">
        <v>118</v>
      </c>
      <c r="AP2672">
        <v>-57</v>
      </c>
      <c r="AQ2672">
        <v>-59</v>
      </c>
      <c r="AR2672">
        <v>-1536</v>
      </c>
      <c r="AZ2672">
        <v>7700</v>
      </c>
      <c r="BA2672">
        <v>1</v>
      </c>
      <c r="BB2672" t="str">
        <f t="shared" si="792"/>
        <v xml:space="preserve">N733KP  </v>
      </c>
      <c r="BC2672">
        <v>1</v>
      </c>
      <c r="BE2672">
        <v>0</v>
      </c>
      <c r="BF2672">
        <v>0</v>
      </c>
      <c r="BG2672">
        <v>1</v>
      </c>
      <c r="BH2672">
        <v>1925</v>
      </c>
      <c r="BI2672">
        <v>1</v>
      </c>
      <c r="BJ2672">
        <v>1</v>
      </c>
      <c r="BK2672">
        <v>0</v>
      </c>
      <c r="BL2672">
        <v>0</v>
      </c>
      <c r="BO2672">
        <v>0</v>
      </c>
      <c r="BP2672">
        <v>0</v>
      </c>
      <c r="BW2672" t="str">
        <f>"22:21:19.755"</f>
        <v>22:21:19.755</v>
      </c>
      <c r="CJ2672">
        <v>0</v>
      </c>
      <c r="CK2672">
        <v>2</v>
      </c>
      <c r="CL2672">
        <v>0</v>
      </c>
      <c r="CM2672">
        <v>2</v>
      </c>
      <c r="CN2672">
        <v>0</v>
      </c>
      <c r="CO2672">
        <v>6</v>
      </c>
      <c r="CP2672" t="s">
        <v>119</v>
      </c>
      <c r="CQ2672">
        <v>364</v>
      </c>
      <c r="CR2672">
        <v>0</v>
      </c>
      <c r="CW2672">
        <v>1469573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3">
      <c r="A2673" t="str">
        <f>"03/24/2022 22:21:20.533"</f>
        <v>03/24/2022 22:21:20.533</v>
      </c>
      <c r="C2673" t="str">
        <f t="shared" si="791"/>
        <v>FFDFD3C0</v>
      </c>
      <c r="D2673" t="s">
        <v>126</v>
      </c>
      <c r="E2673">
        <v>3</v>
      </c>
      <c r="H2673">
        <v>160</v>
      </c>
      <c r="I2673" t="s">
        <v>121</v>
      </c>
      <c r="J2673" t="s">
        <v>127</v>
      </c>
      <c r="K2673">
        <v>0</v>
      </c>
      <c r="L2673">
        <v>3</v>
      </c>
      <c r="M2673">
        <v>0</v>
      </c>
      <c r="N2673">
        <v>2</v>
      </c>
      <c r="O2673">
        <v>0</v>
      </c>
      <c r="P2673">
        <v>1</v>
      </c>
      <c r="Q2673">
        <v>0</v>
      </c>
      <c r="S2673" t="str">
        <f t="shared" ref="S2673:T2676" si="799">"22:21:20.000"</f>
        <v>22:21:20.000</v>
      </c>
      <c r="T2673" t="str">
        <f t="shared" si="799"/>
        <v>22:21:20.000</v>
      </c>
      <c r="U2673" t="str">
        <f t="shared" si="785"/>
        <v>A9D71F</v>
      </c>
      <c r="V2673">
        <v>0</v>
      </c>
      <c r="W2673">
        <v>0</v>
      </c>
      <c r="X2673">
        <v>2</v>
      </c>
      <c r="Z2673">
        <v>1</v>
      </c>
      <c r="AA2673">
        <v>8</v>
      </c>
      <c r="AB2673">
        <v>3</v>
      </c>
      <c r="AC2673">
        <v>0</v>
      </c>
      <c r="AD2673">
        <v>9</v>
      </c>
      <c r="AE2673">
        <v>0</v>
      </c>
      <c r="AF2673">
        <v>3</v>
      </c>
      <c r="AG2673">
        <v>1</v>
      </c>
      <c r="AH2673">
        <v>0</v>
      </c>
      <c r="AI2673" t="s">
        <v>1354</v>
      </c>
      <c r="AJ2673">
        <v>33.010375000000003</v>
      </c>
      <c r="AK2673" t="s">
        <v>1355</v>
      </c>
      <c r="AL2673">
        <v>-97.656268999999995</v>
      </c>
      <c r="AM2673">
        <v>25</v>
      </c>
      <c r="AN2673">
        <v>1900</v>
      </c>
      <c r="AO2673" t="s">
        <v>118</v>
      </c>
      <c r="AP2673">
        <v>-58</v>
      </c>
      <c r="AQ2673">
        <v>-57</v>
      </c>
      <c r="AR2673">
        <v>-1536</v>
      </c>
      <c r="AZ2673">
        <v>7700</v>
      </c>
      <c r="BA2673">
        <v>1</v>
      </c>
      <c r="BB2673" t="str">
        <f t="shared" si="792"/>
        <v xml:space="preserve">N733KP  </v>
      </c>
      <c r="BC2673">
        <v>1</v>
      </c>
      <c r="BE2673">
        <v>0</v>
      </c>
      <c r="BF2673">
        <v>0</v>
      </c>
      <c r="BG2673">
        <v>1</v>
      </c>
      <c r="BH2673">
        <v>1900</v>
      </c>
      <c r="BI2673">
        <v>1</v>
      </c>
      <c r="BJ2673">
        <v>1</v>
      </c>
      <c r="BK2673">
        <v>0</v>
      </c>
      <c r="BL2673">
        <v>0</v>
      </c>
      <c r="BO2673">
        <v>0</v>
      </c>
      <c r="BP2673">
        <v>0</v>
      </c>
      <c r="BW2673" t="str">
        <f>"22:21:20.354"</f>
        <v>22:21:20.354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6</v>
      </c>
      <c r="CP2673" t="s">
        <v>119</v>
      </c>
      <c r="CQ2673">
        <v>364</v>
      </c>
      <c r="CR2673">
        <v>0</v>
      </c>
      <c r="CW2673">
        <v>1469651</v>
      </c>
      <c r="CY2673">
        <v>1</v>
      </c>
      <c r="CZ2673">
        <v>0</v>
      </c>
      <c r="DA2673">
        <v>0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3">
      <c r="A2674" t="str">
        <f>"03/24/2022 22:21:20.580"</f>
        <v>03/24/2022 22:21:20.580</v>
      </c>
      <c r="C2674" t="str">
        <f t="shared" si="791"/>
        <v>FFDFD3C0</v>
      </c>
      <c r="D2674" t="s">
        <v>120</v>
      </c>
      <c r="E2674">
        <v>14</v>
      </c>
      <c r="F2674">
        <v>1014</v>
      </c>
      <c r="G2674" t="s">
        <v>121</v>
      </c>
      <c r="J2674" t="s">
        <v>122</v>
      </c>
      <c r="K2674">
        <v>0</v>
      </c>
      <c r="L2674">
        <v>3</v>
      </c>
      <c r="M2674">
        <v>0</v>
      </c>
      <c r="N2674">
        <v>2</v>
      </c>
      <c r="O2674">
        <v>0</v>
      </c>
      <c r="P2674">
        <v>1</v>
      </c>
      <c r="Q2674">
        <v>0</v>
      </c>
      <c r="S2674" t="str">
        <f t="shared" si="799"/>
        <v>22:21:20.000</v>
      </c>
      <c r="T2674" t="str">
        <f t="shared" si="799"/>
        <v>22:21:20.000</v>
      </c>
      <c r="U2674" t="str">
        <f t="shared" si="785"/>
        <v>A9D71F</v>
      </c>
      <c r="V2674">
        <v>0</v>
      </c>
      <c r="W2674">
        <v>0</v>
      </c>
      <c r="X2674">
        <v>2</v>
      </c>
      <c r="Z2674">
        <v>1</v>
      </c>
      <c r="AA2674">
        <v>8</v>
      </c>
      <c r="AB2674">
        <v>3</v>
      </c>
      <c r="AC2674">
        <v>0</v>
      </c>
      <c r="AD2674">
        <v>9</v>
      </c>
      <c r="AE2674">
        <v>0</v>
      </c>
      <c r="AF2674">
        <v>3</v>
      </c>
      <c r="AG2674">
        <v>1</v>
      </c>
      <c r="AH2674">
        <v>0</v>
      </c>
      <c r="AI2674" t="s">
        <v>1354</v>
      </c>
      <c r="AJ2674">
        <v>33.010375000000003</v>
      </c>
      <c r="AK2674" t="s">
        <v>1355</v>
      </c>
      <c r="AL2674">
        <v>-97.656268999999995</v>
      </c>
      <c r="AM2674">
        <v>25</v>
      </c>
      <c r="AN2674">
        <v>1900</v>
      </c>
      <c r="AO2674" t="s">
        <v>118</v>
      </c>
      <c r="AP2674">
        <v>-58</v>
      </c>
      <c r="AQ2674">
        <v>-57</v>
      </c>
      <c r="AR2674">
        <v>-1536</v>
      </c>
      <c r="AZ2674">
        <v>7700</v>
      </c>
      <c r="BA2674">
        <v>1</v>
      </c>
      <c r="BB2674" t="str">
        <f t="shared" si="792"/>
        <v xml:space="preserve">N733KP  </v>
      </c>
      <c r="BC2674">
        <v>1</v>
      </c>
      <c r="BE2674">
        <v>0</v>
      </c>
      <c r="BF2674">
        <v>0</v>
      </c>
      <c r="BG2674">
        <v>1</v>
      </c>
      <c r="BH2674">
        <v>1900</v>
      </c>
      <c r="BI2674">
        <v>1</v>
      </c>
      <c r="BJ2674">
        <v>1</v>
      </c>
      <c r="BK2674">
        <v>0</v>
      </c>
      <c r="BL2674">
        <v>0</v>
      </c>
      <c r="BO2674">
        <v>0</v>
      </c>
      <c r="BP2674">
        <v>0</v>
      </c>
      <c r="BW2674" t="str">
        <f>"22:21:20.354"</f>
        <v>22:21:20.354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6</v>
      </c>
      <c r="CP2674" t="s">
        <v>119</v>
      </c>
      <c r="CQ2674">
        <v>364</v>
      </c>
      <c r="CR2674">
        <v>0</v>
      </c>
      <c r="CW2674">
        <v>1469651</v>
      </c>
      <c r="CY2674">
        <v>1</v>
      </c>
      <c r="CZ2674">
        <v>0</v>
      </c>
      <c r="DA2674">
        <v>1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3">
      <c r="A2675" t="str">
        <f>"03/24/2022 22:21:20.580"</f>
        <v>03/24/2022 22:21:20.580</v>
      </c>
      <c r="C2675" t="str">
        <f t="shared" si="791"/>
        <v>FFDFD3C0</v>
      </c>
      <c r="D2675" t="s">
        <v>113</v>
      </c>
      <c r="E2675">
        <v>24</v>
      </c>
      <c r="F2675">
        <v>2024</v>
      </c>
      <c r="G2675" t="s">
        <v>114</v>
      </c>
      <c r="J2675" t="s">
        <v>115</v>
      </c>
      <c r="K2675">
        <v>0</v>
      </c>
      <c r="L2675">
        <v>3</v>
      </c>
      <c r="M2675">
        <v>0</v>
      </c>
      <c r="N2675">
        <v>2</v>
      </c>
      <c r="O2675">
        <v>0</v>
      </c>
      <c r="P2675">
        <v>1</v>
      </c>
      <c r="Q2675">
        <v>0</v>
      </c>
      <c r="S2675" t="str">
        <f t="shared" si="799"/>
        <v>22:21:20.000</v>
      </c>
      <c r="T2675" t="str">
        <f t="shared" si="799"/>
        <v>22:21:20.000</v>
      </c>
      <c r="U2675" t="str">
        <f t="shared" si="785"/>
        <v>A9D71F</v>
      </c>
      <c r="V2675">
        <v>0</v>
      </c>
      <c r="W2675">
        <v>0</v>
      </c>
      <c r="X2675">
        <v>2</v>
      </c>
      <c r="Z2675">
        <v>1</v>
      </c>
      <c r="AA2675">
        <v>8</v>
      </c>
      <c r="AB2675">
        <v>3</v>
      </c>
      <c r="AC2675">
        <v>0</v>
      </c>
      <c r="AD2675">
        <v>9</v>
      </c>
      <c r="AE2675">
        <v>0</v>
      </c>
      <c r="AF2675">
        <v>3</v>
      </c>
      <c r="AG2675">
        <v>1</v>
      </c>
      <c r="AH2675">
        <v>0</v>
      </c>
      <c r="AI2675" t="s">
        <v>1354</v>
      </c>
      <c r="AJ2675">
        <v>33.010375000000003</v>
      </c>
      <c r="AK2675" t="s">
        <v>1355</v>
      </c>
      <c r="AL2675">
        <v>-97.656268999999995</v>
      </c>
      <c r="AM2675">
        <v>25</v>
      </c>
      <c r="AN2675">
        <v>1900</v>
      </c>
      <c r="AO2675" t="s">
        <v>118</v>
      </c>
      <c r="AP2675">
        <v>-58</v>
      </c>
      <c r="AQ2675">
        <v>-57</v>
      </c>
      <c r="AR2675">
        <v>-1536</v>
      </c>
      <c r="AZ2675">
        <v>7700</v>
      </c>
      <c r="BA2675">
        <v>1</v>
      </c>
      <c r="BB2675" t="str">
        <f t="shared" si="792"/>
        <v xml:space="preserve">N733KP  </v>
      </c>
      <c r="BC2675">
        <v>1</v>
      </c>
      <c r="BE2675">
        <v>0</v>
      </c>
      <c r="BF2675">
        <v>0</v>
      </c>
      <c r="BG2675">
        <v>1</v>
      </c>
      <c r="BH2675">
        <v>1900</v>
      </c>
      <c r="BI2675">
        <v>1</v>
      </c>
      <c r="BJ2675">
        <v>1</v>
      </c>
      <c r="BK2675">
        <v>0</v>
      </c>
      <c r="BL2675">
        <v>0</v>
      </c>
      <c r="BO2675">
        <v>0</v>
      </c>
      <c r="BP2675">
        <v>0</v>
      </c>
      <c r="BW2675" t="str">
        <f>"22:21:20.354"</f>
        <v>22:21:20.354</v>
      </c>
      <c r="CJ2675">
        <v>0</v>
      </c>
      <c r="CK2675">
        <v>2</v>
      </c>
      <c r="CL2675">
        <v>0</v>
      </c>
      <c r="CM2675">
        <v>2</v>
      </c>
      <c r="CN2675">
        <v>0</v>
      </c>
      <c r="CO2675">
        <v>6</v>
      </c>
      <c r="CP2675" t="s">
        <v>119</v>
      </c>
      <c r="CQ2675">
        <v>364</v>
      </c>
      <c r="CR2675">
        <v>0</v>
      </c>
      <c r="CW2675">
        <v>1469651</v>
      </c>
      <c r="CY2675">
        <v>1</v>
      </c>
      <c r="CZ2675">
        <v>0</v>
      </c>
      <c r="DA2675">
        <v>1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3">
      <c r="A2676" t="str">
        <f>"03/24/2022 22:21:20.580"</f>
        <v>03/24/2022 22:21:20.580</v>
      </c>
      <c r="C2676" t="str">
        <f t="shared" si="791"/>
        <v>FFDFD3C0</v>
      </c>
      <c r="D2676" t="s">
        <v>123</v>
      </c>
      <c r="E2676">
        <v>8</v>
      </c>
      <c r="H2676">
        <v>31</v>
      </c>
      <c r="I2676" t="s">
        <v>124</v>
      </c>
      <c r="J2676" t="s">
        <v>125</v>
      </c>
      <c r="K2676">
        <v>0</v>
      </c>
      <c r="L2676">
        <v>3</v>
      </c>
      <c r="M2676">
        <v>0</v>
      </c>
      <c r="N2676">
        <v>2</v>
      </c>
      <c r="O2676">
        <v>0</v>
      </c>
      <c r="P2676">
        <v>1</v>
      </c>
      <c r="Q2676">
        <v>0</v>
      </c>
      <c r="S2676" t="str">
        <f t="shared" si="799"/>
        <v>22:21:20.000</v>
      </c>
      <c r="T2676" t="str">
        <f t="shared" si="799"/>
        <v>22:21:20.000</v>
      </c>
      <c r="U2676" t="str">
        <f t="shared" si="785"/>
        <v>A9D71F</v>
      </c>
      <c r="V2676">
        <v>0</v>
      </c>
      <c r="W2676">
        <v>0</v>
      </c>
      <c r="X2676">
        <v>2</v>
      </c>
      <c r="Z2676">
        <v>1</v>
      </c>
      <c r="AA2676">
        <v>8</v>
      </c>
      <c r="AB2676">
        <v>3</v>
      </c>
      <c r="AC2676">
        <v>0</v>
      </c>
      <c r="AD2676">
        <v>9</v>
      </c>
      <c r="AE2676">
        <v>0</v>
      </c>
      <c r="AF2676">
        <v>3</v>
      </c>
      <c r="AG2676">
        <v>1</v>
      </c>
      <c r="AH2676">
        <v>0</v>
      </c>
      <c r="AI2676" t="s">
        <v>1354</v>
      </c>
      <c r="AJ2676">
        <v>33.010375000000003</v>
      </c>
      <c r="AK2676" t="s">
        <v>1355</v>
      </c>
      <c r="AL2676">
        <v>-97.656268999999995</v>
      </c>
      <c r="AM2676">
        <v>25</v>
      </c>
      <c r="AN2676">
        <v>1900</v>
      </c>
      <c r="AO2676" t="s">
        <v>118</v>
      </c>
      <c r="AP2676">
        <v>-58</v>
      </c>
      <c r="AQ2676">
        <v>-57</v>
      </c>
      <c r="AR2676">
        <v>-1536</v>
      </c>
      <c r="AZ2676">
        <v>7700</v>
      </c>
      <c r="BA2676">
        <v>1</v>
      </c>
      <c r="BB2676" t="str">
        <f t="shared" si="792"/>
        <v xml:space="preserve">N733KP  </v>
      </c>
      <c r="BC2676">
        <v>1</v>
      </c>
      <c r="BE2676">
        <v>0</v>
      </c>
      <c r="BF2676">
        <v>0</v>
      </c>
      <c r="BG2676">
        <v>1</v>
      </c>
      <c r="BH2676">
        <v>1900</v>
      </c>
      <c r="BI2676">
        <v>1</v>
      </c>
      <c r="BJ2676">
        <v>1</v>
      </c>
      <c r="BK2676">
        <v>0</v>
      </c>
      <c r="BL2676">
        <v>0</v>
      </c>
      <c r="BO2676">
        <v>0</v>
      </c>
      <c r="BP2676">
        <v>0</v>
      </c>
      <c r="BW2676" t="str">
        <f>"22:21:20.354"</f>
        <v>22:21:20.354</v>
      </c>
      <c r="CJ2676">
        <v>0</v>
      </c>
      <c r="CK2676">
        <v>2</v>
      </c>
      <c r="CL2676">
        <v>0</v>
      </c>
      <c r="CM2676">
        <v>2</v>
      </c>
      <c r="CN2676">
        <v>0</v>
      </c>
      <c r="CO2676">
        <v>6</v>
      </c>
      <c r="CP2676" t="s">
        <v>119</v>
      </c>
      <c r="CQ2676">
        <v>364</v>
      </c>
      <c r="CR2676">
        <v>0</v>
      </c>
      <c r="CW2676">
        <v>1469651</v>
      </c>
      <c r="CY2676">
        <v>1</v>
      </c>
      <c r="CZ2676">
        <v>0</v>
      </c>
      <c r="DA2676">
        <v>1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3">
      <c r="A2677" t="str">
        <f>"03/24/2022 22:21:22.019"</f>
        <v>03/24/2022 22:21:22.019</v>
      </c>
      <c r="C2677" t="str">
        <f t="shared" si="791"/>
        <v>FFDFD3C0</v>
      </c>
      <c r="D2677" t="s">
        <v>113</v>
      </c>
      <c r="E2677">
        <v>24</v>
      </c>
      <c r="F2677">
        <v>2024</v>
      </c>
      <c r="G2677" t="s">
        <v>114</v>
      </c>
      <c r="J2677" t="s">
        <v>115</v>
      </c>
      <c r="K2677">
        <v>0</v>
      </c>
      <c r="L2677">
        <v>3</v>
      </c>
      <c r="M2677">
        <v>0</v>
      </c>
      <c r="N2677">
        <v>2</v>
      </c>
      <c r="O2677">
        <v>0</v>
      </c>
      <c r="P2677">
        <v>1</v>
      </c>
      <c r="Q2677">
        <v>0</v>
      </c>
      <c r="S2677" t="str">
        <f t="shared" ref="S2677:T2680" si="800">"22:21:21.000"</f>
        <v>22:21:21.000</v>
      </c>
      <c r="T2677" t="str">
        <f t="shared" si="800"/>
        <v>22:21:21.000</v>
      </c>
      <c r="U2677" t="str">
        <f t="shared" si="785"/>
        <v>A9D71F</v>
      </c>
      <c r="V2677">
        <v>0</v>
      </c>
      <c r="W2677">
        <v>0</v>
      </c>
      <c r="X2677">
        <v>2</v>
      </c>
      <c r="Z2677">
        <v>1</v>
      </c>
      <c r="AA2677">
        <v>8</v>
      </c>
      <c r="AB2677">
        <v>3</v>
      </c>
      <c r="AC2677">
        <v>0</v>
      </c>
      <c r="AD2677">
        <v>9</v>
      </c>
      <c r="AE2677">
        <v>0</v>
      </c>
      <c r="AF2677">
        <v>3</v>
      </c>
      <c r="AG2677">
        <v>1</v>
      </c>
      <c r="AH2677">
        <v>0</v>
      </c>
      <c r="AI2677" t="s">
        <v>1356</v>
      </c>
      <c r="AJ2677">
        <v>33.010117999999999</v>
      </c>
      <c r="AK2677" t="s">
        <v>1357</v>
      </c>
      <c r="AL2677">
        <v>-97.656611999999996</v>
      </c>
      <c r="AM2677">
        <v>25</v>
      </c>
      <c r="AN2677">
        <v>1800</v>
      </c>
      <c r="AO2677" t="s">
        <v>118</v>
      </c>
      <c r="AP2677">
        <v>-62</v>
      </c>
      <c r="AQ2677">
        <v>-52</v>
      </c>
      <c r="AR2677">
        <v>-1536</v>
      </c>
      <c r="AZ2677">
        <v>7700</v>
      </c>
      <c r="BA2677">
        <v>1</v>
      </c>
      <c r="BB2677" t="str">
        <f t="shared" si="792"/>
        <v xml:space="preserve">N733KP  </v>
      </c>
      <c r="BC2677">
        <v>1</v>
      </c>
      <c r="BE2677">
        <v>0</v>
      </c>
      <c r="BF2677">
        <v>0</v>
      </c>
      <c r="BG2677">
        <v>1</v>
      </c>
      <c r="BH2677">
        <v>1900</v>
      </c>
      <c r="BI2677">
        <v>1</v>
      </c>
      <c r="BJ2677">
        <v>1</v>
      </c>
      <c r="BK2677">
        <v>0</v>
      </c>
      <c r="BL2677">
        <v>0</v>
      </c>
      <c r="BO2677">
        <v>0</v>
      </c>
      <c r="BP2677">
        <v>0</v>
      </c>
      <c r="BW2677" t="str">
        <f>"22:21:21.860"</f>
        <v>22:21:21.860</v>
      </c>
      <c r="CJ2677">
        <v>0</v>
      </c>
      <c r="CK2677">
        <v>2</v>
      </c>
      <c r="CL2677">
        <v>0</v>
      </c>
      <c r="CM2677">
        <v>2</v>
      </c>
      <c r="CN2677">
        <v>0</v>
      </c>
      <c r="CO2677">
        <v>6</v>
      </c>
      <c r="CP2677" t="s">
        <v>119</v>
      </c>
      <c r="CQ2677">
        <v>364</v>
      </c>
      <c r="CR2677">
        <v>0</v>
      </c>
      <c r="CW2677">
        <v>1469890</v>
      </c>
      <c r="CY2677">
        <v>1</v>
      </c>
      <c r="CZ2677">
        <v>0</v>
      </c>
      <c r="DA2677">
        <v>0</v>
      </c>
      <c r="DB2677">
        <v>0</v>
      </c>
      <c r="DC2677">
        <v>0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3">
      <c r="A2678" t="str">
        <f>"03/24/2022 22:21:22.019"</f>
        <v>03/24/2022 22:21:22.019</v>
      </c>
      <c r="C2678" t="str">
        <f t="shared" si="791"/>
        <v>FFDFD3C0</v>
      </c>
      <c r="D2678" t="s">
        <v>120</v>
      </c>
      <c r="E2678">
        <v>14</v>
      </c>
      <c r="F2678">
        <v>1014</v>
      </c>
      <c r="G2678" t="s">
        <v>121</v>
      </c>
      <c r="J2678" t="s">
        <v>122</v>
      </c>
      <c r="K2678">
        <v>0</v>
      </c>
      <c r="L2678">
        <v>3</v>
      </c>
      <c r="M2678">
        <v>0</v>
      </c>
      <c r="N2678">
        <v>2</v>
      </c>
      <c r="O2678">
        <v>0</v>
      </c>
      <c r="P2678">
        <v>1</v>
      </c>
      <c r="Q2678">
        <v>0</v>
      </c>
      <c r="S2678" t="str">
        <f t="shared" si="800"/>
        <v>22:21:21.000</v>
      </c>
      <c r="T2678" t="str">
        <f t="shared" si="800"/>
        <v>22:21:21.000</v>
      </c>
      <c r="U2678" t="str">
        <f t="shared" si="785"/>
        <v>A9D71F</v>
      </c>
      <c r="V2678">
        <v>0</v>
      </c>
      <c r="W2678">
        <v>0</v>
      </c>
      <c r="X2678">
        <v>2</v>
      </c>
      <c r="Z2678">
        <v>1</v>
      </c>
      <c r="AA2678">
        <v>8</v>
      </c>
      <c r="AB2678">
        <v>3</v>
      </c>
      <c r="AC2678">
        <v>0</v>
      </c>
      <c r="AD2678">
        <v>9</v>
      </c>
      <c r="AE2678">
        <v>0</v>
      </c>
      <c r="AF2678">
        <v>3</v>
      </c>
      <c r="AG2678">
        <v>1</v>
      </c>
      <c r="AH2678">
        <v>0</v>
      </c>
      <c r="AI2678" t="s">
        <v>1356</v>
      </c>
      <c r="AJ2678">
        <v>33.010117999999999</v>
      </c>
      <c r="AK2678" t="s">
        <v>1357</v>
      </c>
      <c r="AL2678">
        <v>-97.656611999999996</v>
      </c>
      <c r="AM2678">
        <v>25</v>
      </c>
      <c r="AN2678">
        <v>1800</v>
      </c>
      <c r="AO2678" t="s">
        <v>118</v>
      </c>
      <c r="AP2678">
        <v>-62</v>
      </c>
      <c r="AQ2678">
        <v>-52</v>
      </c>
      <c r="AR2678">
        <v>-1536</v>
      </c>
      <c r="AZ2678">
        <v>7700</v>
      </c>
      <c r="BA2678">
        <v>1</v>
      </c>
      <c r="BB2678" t="str">
        <f t="shared" si="792"/>
        <v xml:space="preserve">N733KP  </v>
      </c>
      <c r="BC2678">
        <v>1</v>
      </c>
      <c r="BE2678">
        <v>0</v>
      </c>
      <c r="BF2678">
        <v>0</v>
      </c>
      <c r="BG2678">
        <v>1</v>
      </c>
      <c r="BH2678">
        <v>1900</v>
      </c>
      <c r="BI2678">
        <v>1</v>
      </c>
      <c r="BJ2678">
        <v>1</v>
      </c>
      <c r="BK2678">
        <v>0</v>
      </c>
      <c r="BL2678">
        <v>0</v>
      </c>
      <c r="BO2678">
        <v>0</v>
      </c>
      <c r="BP2678">
        <v>0</v>
      </c>
      <c r="BW2678" t="str">
        <f>"22:21:21.860"</f>
        <v>22:21:21.860</v>
      </c>
      <c r="CJ2678">
        <v>0</v>
      </c>
      <c r="CK2678">
        <v>2</v>
      </c>
      <c r="CL2678">
        <v>0</v>
      </c>
      <c r="CM2678">
        <v>2</v>
      </c>
      <c r="CN2678">
        <v>0</v>
      </c>
      <c r="CO2678">
        <v>6</v>
      </c>
      <c r="CP2678" t="s">
        <v>119</v>
      </c>
      <c r="CQ2678">
        <v>364</v>
      </c>
      <c r="CR2678">
        <v>0</v>
      </c>
      <c r="CW2678">
        <v>1469890</v>
      </c>
      <c r="CY2678">
        <v>1</v>
      </c>
      <c r="CZ2678">
        <v>0</v>
      </c>
      <c r="DA2678">
        <v>1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3">
      <c r="A2679" t="str">
        <f>"03/24/2022 22:21:22.019"</f>
        <v>03/24/2022 22:21:22.019</v>
      </c>
      <c r="C2679" t="str">
        <f t="shared" si="791"/>
        <v>FFDFD3C0</v>
      </c>
      <c r="D2679" t="s">
        <v>123</v>
      </c>
      <c r="E2679">
        <v>8</v>
      </c>
      <c r="H2679">
        <v>31</v>
      </c>
      <c r="I2679" t="s">
        <v>124</v>
      </c>
      <c r="J2679" t="s">
        <v>125</v>
      </c>
      <c r="K2679">
        <v>0</v>
      </c>
      <c r="L2679">
        <v>3</v>
      </c>
      <c r="M2679">
        <v>0</v>
      </c>
      <c r="N2679">
        <v>2</v>
      </c>
      <c r="O2679">
        <v>0</v>
      </c>
      <c r="P2679">
        <v>1</v>
      </c>
      <c r="Q2679">
        <v>0</v>
      </c>
      <c r="S2679" t="str">
        <f t="shared" si="800"/>
        <v>22:21:21.000</v>
      </c>
      <c r="T2679" t="str">
        <f t="shared" si="800"/>
        <v>22:21:21.000</v>
      </c>
      <c r="U2679" t="str">
        <f t="shared" si="785"/>
        <v>A9D71F</v>
      </c>
      <c r="V2679">
        <v>0</v>
      </c>
      <c r="W2679">
        <v>0</v>
      </c>
      <c r="X2679">
        <v>2</v>
      </c>
      <c r="Z2679">
        <v>1</v>
      </c>
      <c r="AA2679">
        <v>8</v>
      </c>
      <c r="AB2679">
        <v>3</v>
      </c>
      <c r="AC2679">
        <v>0</v>
      </c>
      <c r="AD2679">
        <v>9</v>
      </c>
      <c r="AE2679">
        <v>0</v>
      </c>
      <c r="AF2679">
        <v>3</v>
      </c>
      <c r="AG2679">
        <v>1</v>
      </c>
      <c r="AH2679">
        <v>0</v>
      </c>
      <c r="AI2679" t="s">
        <v>1356</v>
      </c>
      <c r="AJ2679">
        <v>33.010117999999999</v>
      </c>
      <c r="AK2679" t="s">
        <v>1357</v>
      </c>
      <c r="AL2679">
        <v>-97.656611999999996</v>
      </c>
      <c r="AM2679">
        <v>25</v>
      </c>
      <c r="AN2679">
        <v>1800</v>
      </c>
      <c r="AO2679" t="s">
        <v>118</v>
      </c>
      <c r="AP2679">
        <v>-62</v>
      </c>
      <c r="AQ2679">
        <v>-52</v>
      </c>
      <c r="AR2679">
        <v>-1536</v>
      </c>
      <c r="AZ2679">
        <v>7700</v>
      </c>
      <c r="BA2679">
        <v>1</v>
      </c>
      <c r="BB2679" t="str">
        <f t="shared" si="792"/>
        <v xml:space="preserve">N733KP  </v>
      </c>
      <c r="BC2679">
        <v>1</v>
      </c>
      <c r="BE2679">
        <v>0</v>
      </c>
      <c r="BF2679">
        <v>0</v>
      </c>
      <c r="BG2679">
        <v>1</v>
      </c>
      <c r="BH2679">
        <v>1900</v>
      </c>
      <c r="BI2679">
        <v>1</v>
      </c>
      <c r="BJ2679">
        <v>1</v>
      </c>
      <c r="BK2679">
        <v>0</v>
      </c>
      <c r="BL2679">
        <v>0</v>
      </c>
      <c r="BO2679">
        <v>0</v>
      </c>
      <c r="BP2679">
        <v>0</v>
      </c>
      <c r="BW2679" t="str">
        <f>"22:21:21.860"</f>
        <v>22:21:21.860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6</v>
      </c>
      <c r="CP2679" t="s">
        <v>119</v>
      </c>
      <c r="CQ2679">
        <v>364</v>
      </c>
      <c r="CR2679">
        <v>0</v>
      </c>
      <c r="CW2679">
        <v>1469890</v>
      </c>
      <c r="CY2679">
        <v>1</v>
      </c>
      <c r="CZ2679">
        <v>0</v>
      </c>
      <c r="DA2679">
        <v>1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3">
      <c r="A2680" t="str">
        <f>"03/24/2022 22:21:22.050"</f>
        <v>03/24/2022 22:21:22.050</v>
      </c>
      <c r="C2680" t="str">
        <f t="shared" si="791"/>
        <v>FFDFD3C0</v>
      </c>
      <c r="D2680" t="s">
        <v>126</v>
      </c>
      <c r="E2680">
        <v>3</v>
      </c>
      <c r="H2680">
        <v>160</v>
      </c>
      <c r="I2680" t="s">
        <v>121</v>
      </c>
      <c r="J2680" t="s">
        <v>127</v>
      </c>
      <c r="K2680">
        <v>0</v>
      </c>
      <c r="L2680">
        <v>3</v>
      </c>
      <c r="M2680">
        <v>0</v>
      </c>
      <c r="N2680">
        <v>2</v>
      </c>
      <c r="O2680">
        <v>0</v>
      </c>
      <c r="P2680">
        <v>1</v>
      </c>
      <c r="Q2680">
        <v>0</v>
      </c>
      <c r="S2680" t="str">
        <f t="shared" si="800"/>
        <v>22:21:21.000</v>
      </c>
      <c r="T2680" t="str">
        <f t="shared" si="800"/>
        <v>22:21:21.000</v>
      </c>
      <c r="U2680" t="str">
        <f t="shared" si="785"/>
        <v>A9D71F</v>
      </c>
      <c r="V2680">
        <v>0</v>
      </c>
      <c r="W2680">
        <v>0</v>
      </c>
      <c r="X2680">
        <v>2</v>
      </c>
      <c r="Z2680">
        <v>1</v>
      </c>
      <c r="AA2680">
        <v>8</v>
      </c>
      <c r="AB2680">
        <v>3</v>
      </c>
      <c r="AC2680">
        <v>0</v>
      </c>
      <c r="AD2680">
        <v>9</v>
      </c>
      <c r="AE2680">
        <v>0</v>
      </c>
      <c r="AF2680">
        <v>3</v>
      </c>
      <c r="AG2680">
        <v>1</v>
      </c>
      <c r="AH2680">
        <v>0</v>
      </c>
      <c r="AI2680" t="s">
        <v>1356</v>
      </c>
      <c r="AJ2680">
        <v>33.010117999999999</v>
      </c>
      <c r="AK2680" t="s">
        <v>1357</v>
      </c>
      <c r="AL2680">
        <v>-97.656611999999996</v>
      </c>
      <c r="AM2680">
        <v>25</v>
      </c>
      <c r="AN2680">
        <v>1800</v>
      </c>
      <c r="AO2680" t="s">
        <v>118</v>
      </c>
      <c r="AP2680">
        <v>-62</v>
      </c>
      <c r="AQ2680">
        <v>-52</v>
      </c>
      <c r="AR2680">
        <v>-1536</v>
      </c>
      <c r="AZ2680">
        <v>7700</v>
      </c>
      <c r="BA2680">
        <v>1</v>
      </c>
      <c r="BB2680" t="str">
        <f t="shared" si="792"/>
        <v xml:space="preserve">N733KP  </v>
      </c>
      <c r="BC2680">
        <v>1</v>
      </c>
      <c r="BE2680">
        <v>0</v>
      </c>
      <c r="BF2680">
        <v>0</v>
      </c>
      <c r="BG2680">
        <v>1</v>
      </c>
      <c r="BH2680">
        <v>1900</v>
      </c>
      <c r="BI2680">
        <v>1</v>
      </c>
      <c r="BJ2680">
        <v>1</v>
      </c>
      <c r="BK2680">
        <v>0</v>
      </c>
      <c r="BL2680">
        <v>0</v>
      </c>
      <c r="BO2680">
        <v>0</v>
      </c>
      <c r="BP2680">
        <v>0</v>
      </c>
      <c r="BW2680" t="str">
        <f>"22:21:21.860"</f>
        <v>22:21:21.860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6</v>
      </c>
      <c r="CP2680" t="s">
        <v>119</v>
      </c>
      <c r="CQ2680">
        <v>364</v>
      </c>
      <c r="CR2680">
        <v>0</v>
      </c>
      <c r="CW2680">
        <v>1469890</v>
      </c>
      <c r="CY2680">
        <v>1</v>
      </c>
      <c r="CZ2680">
        <v>0</v>
      </c>
      <c r="DA2680">
        <v>1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3">
      <c r="A2681" t="str">
        <f>"03/24/2022 22:21:22.488"</f>
        <v>03/24/2022 22:21:22.488</v>
      </c>
      <c r="C2681" t="str">
        <f t="shared" si="791"/>
        <v>FFDFD3C0</v>
      </c>
      <c r="D2681" t="s">
        <v>126</v>
      </c>
      <c r="E2681">
        <v>3</v>
      </c>
      <c r="H2681">
        <v>160</v>
      </c>
      <c r="I2681" t="s">
        <v>121</v>
      </c>
      <c r="J2681" t="s">
        <v>127</v>
      </c>
      <c r="K2681">
        <v>0</v>
      </c>
      <c r="L2681">
        <v>3</v>
      </c>
      <c r="M2681">
        <v>0</v>
      </c>
      <c r="N2681">
        <v>2</v>
      </c>
      <c r="O2681">
        <v>0</v>
      </c>
      <c r="P2681">
        <v>1</v>
      </c>
      <c r="Q2681">
        <v>0</v>
      </c>
      <c r="S2681" t="str">
        <f t="shared" ref="S2681:T2684" si="801">"22:21:22.000"</f>
        <v>22:21:22.000</v>
      </c>
      <c r="T2681" t="str">
        <f t="shared" si="801"/>
        <v>22:21:22.000</v>
      </c>
      <c r="U2681" t="str">
        <f t="shared" si="785"/>
        <v>A9D71F</v>
      </c>
      <c r="V2681">
        <v>0</v>
      </c>
      <c r="W2681">
        <v>0</v>
      </c>
      <c r="X2681">
        <v>2</v>
      </c>
      <c r="Z2681">
        <v>1</v>
      </c>
      <c r="AA2681">
        <v>8</v>
      </c>
      <c r="AB2681">
        <v>3</v>
      </c>
      <c r="AC2681">
        <v>0</v>
      </c>
      <c r="AD2681">
        <v>9</v>
      </c>
      <c r="AE2681">
        <v>0</v>
      </c>
      <c r="AF2681">
        <v>3</v>
      </c>
      <c r="AG2681">
        <v>1</v>
      </c>
      <c r="AH2681">
        <v>0</v>
      </c>
      <c r="AI2681" t="s">
        <v>1358</v>
      </c>
      <c r="AJ2681">
        <v>33.009903000000001</v>
      </c>
      <c r="AK2681" t="s">
        <v>1359</v>
      </c>
      <c r="AL2681">
        <v>-97.656976999999998</v>
      </c>
      <c r="AM2681">
        <v>25</v>
      </c>
      <c r="AN2681">
        <v>1800</v>
      </c>
      <c r="AO2681" t="s">
        <v>118</v>
      </c>
      <c r="AP2681">
        <v>-63</v>
      </c>
      <c r="AQ2681">
        <v>-51</v>
      </c>
      <c r="AR2681">
        <v>-1472</v>
      </c>
      <c r="AZ2681">
        <v>7700</v>
      </c>
      <c r="BA2681">
        <v>1</v>
      </c>
      <c r="BB2681" t="str">
        <f t="shared" si="792"/>
        <v xml:space="preserve">N733KP  </v>
      </c>
      <c r="BC2681">
        <v>1</v>
      </c>
      <c r="BE2681">
        <v>0</v>
      </c>
      <c r="BF2681">
        <v>0</v>
      </c>
      <c r="BG2681">
        <v>1</v>
      </c>
      <c r="BH2681">
        <v>1850</v>
      </c>
      <c r="BI2681">
        <v>1</v>
      </c>
      <c r="BJ2681">
        <v>1</v>
      </c>
      <c r="BK2681">
        <v>0</v>
      </c>
      <c r="BL2681">
        <v>0</v>
      </c>
      <c r="BO2681">
        <v>0</v>
      </c>
      <c r="BP2681">
        <v>0</v>
      </c>
      <c r="BW2681" t="str">
        <f>"22:21:22.253"</f>
        <v>22:21:22.253</v>
      </c>
      <c r="CJ2681">
        <v>0</v>
      </c>
      <c r="CK2681">
        <v>2</v>
      </c>
      <c r="CL2681">
        <v>0</v>
      </c>
      <c r="CM2681">
        <v>2</v>
      </c>
      <c r="CN2681">
        <v>0</v>
      </c>
      <c r="CO2681">
        <v>5</v>
      </c>
      <c r="CP2681" t="s">
        <v>119</v>
      </c>
      <c r="CQ2681">
        <v>364</v>
      </c>
      <c r="CR2681">
        <v>0</v>
      </c>
      <c r="CW2681">
        <v>1469946</v>
      </c>
      <c r="CY2681">
        <v>1</v>
      </c>
      <c r="CZ2681">
        <v>0</v>
      </c>
      <c r="DA2681">
        <v>0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3">
      <c r="A2682" t="str">
        <f>"03/24/2022 22:21:22.488"</f>
        <v>03/24/2022 22:21:22.488</v>
      </c>
      <c r="C2682" t="str">
        <f t="shared" si="791"/>
        <v>FFDFD3C0</v>
      </c>
      <c r="D2682" t="s">
        <v>113</v>
      </c>
      <c r="E2682">
        <v>24</v>
      </c>
      <c r="F2682">
        <v>2024</v>
      </c>
      <c r="G2682" t="s">
        <v>114</v>
      </c>
      <c r="J2682" t="s">
        <v>115</v>
      </c>
      <c r="K2682">
        <v>0</v>
      </c>
      <c r="L2682">
        <v>3</v>
      </c>
      <c r="M2682">
        <v>0</v>
      </c>
      <c r="N2682">
        <v>2</v>
      </c>
      <c r="O2682">
        <v>0</v>
      </c>
      <c r="P2682">
        <v>1</v>
      </c>
      <c r="Q2682">
        <v>0</v>
      </c>
      <c r="S2682" t="str">
        <f t="shared" si="801"/>
        <v>22:21:22.000</v>
      </c>
      <c r="T2682" t="str">
        <f t="shared" si="801"/>
        <v>22:21:22.000</v>
      </c>
      <c r="U2682" t="str">
        <f t="shared" si="785"/>
        <v>A9D71F</v>
      </c>
      <c r="V2682">
        <v>0</v>
      </c>
      <c r="W2682">
        <v>0</v>
      </c>
      <c r="X2682">
        <v>2</v>
      </c>
      <c r="Z2682">
        <v>1</v>
      </c>
      <c r="AA2682">
        <v>8</v>
      </c>
      <c r="AB2682">
        <v>3</v>
      </c>
      <c r="AC2682">
        <v>0</v>
      </c>
      <c r="AD2682">
        <v>9</v>
      </c>
      <c r="AE2682">
        <v>0</v>
      </c>
      <c r="AF2682">
        <v>3</v>
      </c>
      <c r="AG2682">
        <v>1</v>
      </c>
      <c r="AH2682">
        <v>0</v>
      </c>
      <c r="AI2682" t="s">
        <v>1358</v>
      </c>
      <c r="AJ2682">
        <v>33.009903000000001</v>
      </c>
      <c r="AK2682" t="s">
        <v>1359</v>
      </c>
      <c r="AL2682">
        <v>-97.656976999999998</v>
      </c>
      <c r="AM2682">
        <v>25</v>
      </c>
      <c r="AN2682">
        <v>1800</v>
      </c>
      <c r="AO2682" t="s">
        <v>118</v>
      </c>
      <c r="AP2682">
        <v>-63</v>
      </c>
      <c r="AQ2682">
        <v>-51</v>
      </c>
      <c r="AR2682">
        <v>-1472</v>
      </c>
      <c r="AZ2682">
        <v>7700</v>
      </c>
      <c r="BA2682">
        <v>1</v>
      </c>
      <c r="BB2682" t="str">
        <f t="shared" si="792"/>
        <v xml:space="preserve">N733KP  </v>
      </c>
      <c r="BC2682">
        <v>1</v>
      </c>
      <c r="BE2682">
        <v>0</v>
      </c>
      <c r="BF2682">
        <v>0</v>
      </c>
      <c r="BG2682">
        <v>1</v>
      </c>
      <c r="BH2682">
        <v>1850</v>
      </c>
      <c r="BI2682">
        <v>1</v>
      </c>
      <c r="BJ2682">
        <v>1</v>
      </c>
      <c r="BK2682">
        <v>0</v>
      </c>
      <c r="BL2682">
        <v>0</v>
      </c>
      <c r="BO2682">
        <v>0</v>
      </c>
      <c r="BP2682">
        <v>0</v>
      </c>
      <c r="BW2682" t="str">
        <f>"22:21:22.253"</f>
        <v>22:21:22.253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5</v>
      </c>
      <c r="CP2682" t="s">
        <v>119</v>
      </c>
      <c r="CQ2682">
        <v>364</v>
      </c>
      <c r="CR2682">
        <v>0</v>
      </c>
      <c r="CW2682">
        <v>1469946</v>
      </c>
      <c r="CY2682">
        <v>1</v>
      </c>
      <c r="CZ2682">
        <v>0</v>
      </c>
      <c r="DA2682">
        <v>1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3">
      <c r="A2683" t="str">
        <f>"03/24/2022 22:21:22.488"</f>
        <v>03/24/2022 22:21:22.488</v>
      </c>
      <c r="C2683" t="str">
        <f t="shared" si="791"/>
        <v>FFDFD3C0</v>
      </c>
      <c r="D2683" t="s">
        <v>120</v>
      </c>
      <c r="E2683">
        <v>14</v>
      </c>
      <c r="F2683">
        <v>1014</v>
      </c>
      <c r="G2683" t="s">
        <v>121</v>
      </c>
      <c r="J2683" t="s">
        <v>122</v>
      </c>
      <c r="K2683">
        <v>0</v>
      </c>
      <c r="L2683">
        <v>3</v>
      </c>
      <c r="M2683">
        <v>0</v>
      </c>
      <c r="N2683">
        <v>2</v>
      </c>
      <c r="O2683">
        <v>0</v>
      </c>
      <c r="P2683">
        <v>1</v>
      </c>
      <c r="Q2683">
        <v>0</v>
      </c>
      <c r="S2683" t="str">
        <f t="shared" si="801"/>
        <v>22:21:22.000</v>
      </c>
      <c r="T2683" t="str">
        <f t="shared" si="801"/>
        <v>22:21:22.000</v>
      </c>
      <c r="U2683" t="str">
        <f t="shared" si="785"/>
        <v>A9D71F</v>
      </c>
      <c r="V2683">
        <v>0</v>
      </c>
      <c r="W2683">
        <v>0</v>
      </c>
      <c r="X2683">
        <v>2</v>
      </c>
      <c r="Z2683">
        <v>1</v>
      </c>
      <c r="AA2683">
        <v>8</v>
      </c>
      <c r="AB2683">
        <v>3</v>
      </c>
      <c r="AC2683">
        <v>0</v>
      </c>
      <c r="AD2683">
        <v>9</v>
      </c>
      <c r="AE2683">
        <v>0</v>
      </c>
      <c r="AF2683">
        <v>3</v>
      </c>
      <c r="AG2683">
        <v>1</v>
      </c>
      <c r="AH2683">
        <v>0</v>
      </c>
      <c r="AI2683" t="s">
        <v>1358</v>
      </c>
      <c r="AJ2683">
        <v>33.009903000000001</v>
      </c>
      <c r="AK2683" t="s">
        <v>1359</v>
      </c>
      <c r="AL2683">
        <v>-97.656976999999998</v>
      </c>
      <c r="AM2683">
        <v>25</v>
      </c>
      <c r="AN2683">
        <v>1800</v>
      </c>
      <c r="AO2683" t="s">
        <v>118</v>
      </c>
      <c r="AP2683">
        <v>-63</v>
      </c>
      <c r="AQ2683">
        <v>-51</v>
      </c>
      <c r="AR2683">
        <v>-1472</v>
      </c>
      <c r="AZ2683">
        <v>7700</v>
      </c>
      <c r="BA2683">
        <v>1</v>
      </c>
      <c r="BB2683" t="str">
        <f t="shared" si="792"/>
        <v xml:space="preserve">N733KP  </v>
      </c>
      <c r="BC2683">
        <v>1</v>
      </c>
      <c r="BE2683">
        <v>0</v>
      </c>
      <c r="BF2683">
        <v>0</v>
      </c>
      <c r="BG2683">
        <v>1</v>
      </c>
      <c r="BH2683">
        <v>1850</v>
      </c>
      <c r="BI2683">
        <v>1</v>
      </c>
      <c r="BJ2683">
        <v>1</v>
      </c>
      <c r="BK2683">
        <v>0</v>
      </c>
      <c r="BL2683">
        <v>0</v>
      </c>
      <c r="BO2683">
        <v>0</v>
      </c>
      <c r="BP2683">
        <v>0</v>
      </c>
      <c r="BW2683" t="str">
        <f>"22:21:22.253"</f>
        <v>22:21:22.253</v>
      </c>
      <c r="CJ2683">
        <v>0</v>
      </c>
      <c r="CK2683">
        <v>2</v>
      </c>
      <c r="CL2683">
        <v>0</v>
      </c>
      <c r="CM2683">
        <v>2</v>
      </c>
      <c r="CN2683">
        <v>0</v>
      </c>
      <c r="CO2683">
        <v>5</v>
      </c>
      <c r="CP2683" t="s">
        <v>119</v>
      </c>
      <c r="CQ2683">
        <v>364</v>
      </c>
      <c r="CR2683">
        <v>0</v>
      </c>
      <c r="CW2683">
        <v>1469946</v>
      </c>
      <c r="CY2683">
        <v>1</v>
      </c>
      <c r="CZ2683">
        <v>0</v>
      </c>
      <c r="DA2683">
        <v>1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3">
      <c r="A2684" t="str">
        <f>"03/24/2022 22:21:22.488"</f>
        <v>03/24/2022 22:21:22.488</v>
      </c>
      <c r="C2684" t="str">
        <f t="shared" si="791"/>
        <v>FFDFD3C0</v>
      </c>
      <c r="D2684" t="s">
        <v>123</v>
      </c>
      <c r="E2684">
        <v>8</v>
      </c>
      <c r="H2684">
        <v>31</v>
      </c>
      <c r="I2684" t="s">
        <v>124</v>
      </c>
      <c r="J2684" t="s">
        <v>125</v>
      </c>
      <c r="K2684">
        <v>0</v>
      </c>
      <c r="L2684">
        <v>3</v>
      </c>
      <c r="M2684">
        <v>0</v>
      </c>
      <c r="N2684">
        <v>2</v>
      </c>
      <c r="O2684">
        <v>0</v>
      </c>
      <c r="P2684">
        <v>1</v>
      </c>
      <c r="Q2684">
        <v>0</v>
      </c>
      <c r="S2684" t="str">
        <f t="shared" si="801"/>
        <v>22:21:22.000</v>
      </c>
      <c r="T2684" t="str">
        <f t="shared" si="801"/>
        <v>22:21:22.000</v>
      </c>
      <c r="U2684" t="str">
        <f t="shared" si="785"/>
        <v>A9D71F</v>
      </c>
      <c r="V2684">
        <v>0</v>
      </c>
      <c r="W2684">
        <v>0</v>
      </c>
      <c r="X2684">
        <v>2</v>
      </c>
      <c r="Z2684">
        <v>1</v>
      </c>
      <c r="AA2684">
        <v>8</v>
      </c>
      <c r="AB2684">
        <v>3</v>
      </c>
      <c r="AC2684">
        <v>0</v>
      </c>
      <c r="AD2684">
        <v>9</v>
      </c>
      <c r="AE2684">
        <v>0</v>
      </c>
      <c r="AF2684">
        <v>3</v>
      </c>
      <c r="AG2684">
        <v>1</v>
      </c>
      <c r="AH2684">
        <v>0</v>
      </c>
      <c r="AI2684" t="s">
        <v>1358</v>
      </c>
      <c r="AJ2684">
        <v>33.009903000000001</v>
      </c>
      <c r="AK2684" t="s">
        <v>1359</v>
      </c>
      <c r="AL2684">
        <v>-97.656976999999998</v>
      </c>
      <c r="AM2684">
        <v>25</v>
      </c>
      <c r="AN2684">
        <v>1800</v>
      </c>
      <c r="AO2684" t="s">
        <v>118</v>
      </c>
      <c r="AP2684">
        <v>-63</v>
      </c>
      <c r="AQ2684">
        <v>-51</v>
      </c>
      <c r="AR2684">
        <v>-1472</v>
      </c>
      <c r="AZ2684">
        <v>7700</v>
      </c>
      <c r="BA2684">
        <v>1</v>
      </c>
      <c r="BB2684" t="str">
        <f t="shared" si="792"/>
        <v xml:space="preserve">N733KP  </v>
      </c>
      <c r="BC2684">
        <v>1</v>
      </c>
      <c r="BE2684">
        <v>0</v>
      </c>
      <c r="BF2684">
        <v>0</v>
      </c>
      <c r="BG2684">
        <v>1</v>
      </c>
      <c r="BH2684">
        <v>1850</v>
      </c>
      <c r="BI2684">
        <v>1</v>
      </c>
      <c r="BJ2684">
        <v>1</v>
      </c>
      <c r="BK2684">
        <v>0</v>
      </c>
      <c r="BL2684">
        <v>0</v>
      </c>
      <c r="BO2684">
        <v>0</v>
      </c>
      <c r="BP2684">
        <v>0</v>
      </c>
      <c r="BW2684" t="str">
        <f>"22:21:22.253"</f>
        <v>22:21:22.253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5</v>
      </c>
      <c r="CP2684" t="s">
        <v>119</v>
      </c>
      <c r="CQ2684">
        <v>364</v>
      </c>
      <c r="CR2684">
        <v>0</v>
      </c>
      <c r="CW2684">
        <v>1469946</v>
      </c>
      <c r="CY2684">
        <v>1</v>
      </c>
      <c r="CZ2684">
        <v>0</v>
      </c>
      <c r="DA2684">
        <v>1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3">
      <c r="A2685" t="str">
        <f>"03/24/2022 22:21:24.131"</f>
        <v>03/24/2022 22:21:24.131</v>
      </c>
      <c r="C2685" t="str">
        <f t="shared" si="791"/>
        <v>FFDFD3C0</v>
      </c>
      <c r="D2685" t="s">
        <v>126</v>
      </c>
      <c r="E2685">
        <v>3</v>
      </c>
      <c r="H2685">
        <v>160</v>
      </c>
      <c r="I2685" t="s">
        <v>121</v>
      </c>
      <c r="J2685" t="s">
        <v>127</v>
      </c>
      <c r="K2685">
        <v>0</v>
      </c>
      <c r="L2685">
        <v>3</v>
      </c>
      <c r="M2685">
        <v>0</v>
      </c>
      <c r="N2685">
        <v>2</v>
      </c>
      <c r="O2685">
        <v>0</v>
      </c>
      <c r="P2685">
        <v>1</v>
      </c>
      <c r="Q2685">
        <v>0</v>
      </c>
      <c r="S2685" t="str">
        <f t="shared" ref="S2685:T2688" si="802">"22:21:23.000"</f>
        <v>22:21:23.000</v>
      </c>
      <c r="T2685" t="str">
        <f t="shared" si="802"/>
        <v>22:21:23.000</v>
      </c>
      <c r="U2685" t="str">
        <f t="shared" si="785"/>
        <v>A9D71F</v>
      </c>
      <c r="V2685">
        <v>0</v>
      </c>
      <c r="W2685">
        <v>0</v>
      </c>
      <c r="X2685">
        <v>2</v>
      </c>
      <c r="Z2685">
        <v>1</v>
      </c>
      <c r="AA2685">
        <v>8</v>
      </c>
      <c r="AB2685">
        <v>3</v>
      </c>
      <c r="AC2685">
        <v>0</v>
      </c>
      <c r="AD2685">
        <v>9</v>
      </c>
      <c r="AE2685">
        <v>0</v>
      </c>
      <c r="AF2685">
        <v>3</v>
      </c>
      <c r="AG2685">
        <v>1</v>
      </c>
      <c r="AH2685">
        <v>0</v>
      </c>
      <c r="AI2685" t="s">
        <v>1360</v>
      </c>
      <c r="AJ2685">
        <v>33.009667</v>
      </c>
      <c r="AK2685" t="s">
        <v>1361</v>
      </c>
      <c r="AL2685">
        <v>-97.657342</v>
      </c>
      <c r="AM2685">
        <v>25</v>
      </c>
      <c r="AN2685">
        <v>1800</v>
      </c>
      <c r="AO2685" t="s">
        <v>118</v>
      </c>
      <c r="AP2685">
        <v>-64</v>
      </c>
      <c r="AQ2685">
        <v>-54</v>
      </c>
      <c r="AR2685">
        <v>-1344</v>
      </c>
      <c r="AZ2685">
        <v>7700</v>
      </c>
      <c r="BA2685">
        <v>1</v>
      </c>
      <c r="BB2685" t="str">
        <f t="shared" si="792"/>
        <v xml:space="preserve">N733KP  </v>
      </c>
      <c r="BC2685">
        <v>1</v>
      </c>
      <c r="BE2685">
        <v>0</v>
      </c>
      <c r="BF2685">
        <v>0</v>
      </c>
      <c r="BG2685">
        <v>1</v>
      </c>
      <c r="BH2685">
        <v>1850</v>
      </c>
      <c r="BI2685">
        <v>1</v>
      </c>
      <c r="BJ2685">
        <v>1</v>
      </c>
      <c r="BK2685">
        <v>0</v>
      </c>
      <c r="BL2685">
        <v>0</v>
      </c>
      <c r="BO2685">
        <v>0</v>
      </c>
      <c r="BP2685">
        <v>0</v>
      </c>
      <c r="BW2685" t="str">
        <f>"22:21:23.950"</f>
        <v>22:21:23.950</v>
      </c>
      <c r="CJ2685">
        <v>0</v>
      </c>
      <c r="CK2685">
        <v>2</v>
      </c>
      <c r="CL2685">
        <v>0</v>
      </c>
      <c r="CM2685">
        <v>2</v>
      </c>
      <c r="CN2685">
        <v>0</v>
      </c>
      <c r="CO2685">
        <v>6</v>
      </c>
      <c r="CP2685" t="s">
        <v>119</v>
      </c>
      <c r="CQ2685">
        <v>364</v>
      </c>
      <c r="CR2685">
        <v>0</v>
      </c>
      <c r="CW2685">
        <v>1470204</v>
      </c>
      <c r="CY2685">
        <v>1</v>
      </c>
      <c r="CZ2685">
        <v>0</v>
      </c>
      <c r="DA2685">
        <v>0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3">
      <c r="A2686" t="str">
        <f>"03/24/2022 22:21:24.163"</f>
        <v>03/24/2022 22:21:24.163</v>
      </c>
      <c r="C2686" t="str">
        <f t="shared" si="791"/>
        <v>FFDFD3C0</v>
      </c>
      <c r="D2686" t="s">
        <v>113</v>
      </c>
      <c r="E2686">
        <v>24</v>
      </c>
      <c r="F2686">
        <v>2024</v>
      </c>
      <c r="G2686" t="s">
        <v>114</v>
      </c>
      <c r="J2686" t="s">
        <v>115</v>
      </c>
      <c r="K2686">
        <v>0</v>
      </c>
      <c r="L2686">
        <v>3</v>
      </c>
      <c r="M2686">
        <v>0</v>
      </c>
      <c r="N2686">
        <v>2</v>
      </c>
      <c r="O2686">
        <v>0</v>
      </c>
      <c r="P2686">
        <v>1</v>
      </c>
      <c r="Q2686">
        <v>0</v>
      </c>
      <c r="S2686" t="str">
        <f t="shared" si="802"/>
        <v>22:21:23.000</v>
      </c>
      <c r="T2686" t="str">
        <f t="shared" si="802"/>
        <v>22:21:23.000</v>
      </c>
      <c r="U2686" t="str">
        <f t="shared" si="785"/>
        <v>A9D71F</v>
      </c>
      <c r="V2686">
        <v>0</v>
      </c>
      <c r="W2686">
        <v>0</v>
      </c>
      <c r="X2686">
        <v>2</v>
      </c>
      <c r="Z2686">
        <v>1</v>
      </c>
      <c r="AA2686">
        <v>8</v>
      </c>
      <c r="AB2686">
        <v>3</v>
      </c>
      <c r="AC2686">
        <v>0</v>
      </c>
      <c r="AD2686">
        <v>9</v>
      </c>
      <c r="AE2686">
        <v>0</v>
      </c>
      <c r="AF2686">
        <v>3</v>
      </c>
      <c r="AG2686">
        <v>1</v>
      </c>
      <c r="AH2686">
        <v>0</v>
      </c>
      <c r="AI2686" t="s">
        <v>1360</v>
      </c>
      <c r="AJ2686">
        <v>33.009667</v>
      </c>
      <c r="AK2686" t="s">
        <v>1361</v>
      </c>
      <c r="AL2686">
        <v>-97.657342</v>
      </c>
      <c r="AM2686">
        <v>25</v>
      </c>
      <c r="AN2686">
        <v>1800</v>
      </c>
      <c r="AO2686" t="s">
        <v>118</v>
      </c>
      <c r="AP2686">
        <v>-64</v>
      </c>
      <c r="AQ2686">
        <v>-54</v>
      </c>
      <c r="AR2686">
        <v>-1344</v>
      </c>
      <c r="AZ2686">
        <v>7700</v>
      </c>
      <c r="BA2686">
        <v>1</v>
      </c>
      <c r="BB2686" t="str">
        <f t="shared" si="792"/>
        <v xml:space="preserve">N733KP  </v>
      </c>
      <c r="BC2686">
        <v>1</v>
      </c>
      <c r="BE2686">
        <v>0</v>
      </c>
      <c r="BF2686">
        <v>0</v>
      </c>
      <c r="BG2686">
        <v>1</v>
      </c>
      <c r="BH2686">
        <v>1850</v>
      </c>
      <c r="BI2686">
        <v>1</v>
      </c>
      <c r="BJ2686">
        <v>1</v>
      </c>
      <c r="BK2686">
        <v>0</v>
      </c>
      <c r="BL2686">
        <v>0</v>
      </c>
      <c r="BO2686">
        <v>0</v>
      </c>
      <c r="BP2686">
        <v>0</v>
      </c>
      <c r="BW2686" t="str">
        <f>"22:21:23.950"</f>
        <v>22:21:23.950</v>
      </c>
      <c r="CJ2686">
        <v>0</v>
      </c>
      <c r="CK2686">
        <v>2</v>
      </c>
      <c r="CL2686">
        <v>0</v>
      </c>
      <c r="CM2686">
        <v>2</v>
      </c>
      <c r="CN2686">
        <v>0</v>
      </c>
      <c r="CO2686">
        <v>6</v>
      </c>
      <c r="CP2686" t="s">
        <v>119</v>
      </c>
      <c r="CQ2686">
        <v>364</v>
      </c>
      <c r="CR2686">
        <v>0</v>
      </c>
      <c r="CW2686">
        <v>1470204</v>
      </c>
      <c r="CY2686">
        <v>1</v>
      </c>
      <c r="CZ2686">
        <v>0</v>
      </c>
      <c r="DA2686">
        <v>1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3">
      <c r="A2687" t="str">
        <f>"03/24/2022 22:21:24.163"</f>
        <v>03/24/2022 22:21:24.163</v>
      </c>
      <c r="C2687" t="str">
        <f t="shared" si="791"/>
        <v>FFDFD3C0</v>
      </c>
      <c r="D2687" t="s">
        <v>120</v>
      </c>
      <c r="E2687">
        <v>14</v>
      </c>
      <c r="F2687">
        <v>1014</v>
      </c>
      <c r="G2687" t="s">
        <v>121</v>
      </c>
      <c r="J2687" t="s">
        <v>122</v>
      </c>
      <c r="K2687">
        <v>0</v>
      </c>
      <c r="L2687">
        <v>3</v>
      </c>
      <c r="M2687">
        <v>0</v>
      </c>
      <c r="N2687">
        <v>2</v>
      </c>
      <c r="O2687">
        <v>0</v>
      </c>
      <c r="P2687">
        <v>1</v>
      </c>
      <c r="Q2687">
        <v>0</v>
      </c>
      <c r="S2687" t="str">
        <f t="shared" si="802"/>
        <v>22:21:23.000</v>
      </c>
      <c r="T2687" t="str">
        <f t="shared" si="802"/>
        <v>22:21:23.000</v>
      </c>
      <c r="U2687" t="str">
        <f t="shared" si="785"/>
        <v>A9D71F</v>
      </c>
      <c r="V2687">
        <v>0</v>
      </c>
      <c r="W2687">
        <v>0</v>
      </c>
      <c r="X2687">
        <v>2</v>
      </c>
      <c r="Z2687">
        <v>1</v>
      </c>
      <c r="AA2687">
        <v>8</v>
      </c>
      <c r="AB2687">
        <v>3</v>
      </c>
      <c r="AC2687">
        <v>0</v>
      </c>
      <c r="AD2687">
        <v>9</v>
      </c>
      <c r="AE2687">
        <v>0</v>
      </c>
      <c r="AF2687">
        <v>3</v>
      </c>
      <c r="AG2687">
        <v>1</v>
      </c>
      <c r="AH2687">
        <v>0</v>
      </c>
      <c r="AI2687" t="s">
        <v>1360</v>
      </c>
      <c r="AJ2687">
        <v>33.009667</v>
      </c>
      <c r="AK2687" t="s">
        <v>1361</v>
      </c>
      <c r="AL2687">
        <v>-97.657342</v>
      </c>
      <c r="AM2687">
        <v>25</v>
      </c>
      <c r="AN2687">
        <v>1800</v>
      </c>
      <c r="AO2687" t="s">
        <v>118</v>
      </c>
      <c r="AP2687">
        <v>-64</v>
      </c>
      <c r="AQ2687">
        <v>-54</v>
      </c>
      <c r="AR2687">
        <v>-1344</v>
      </c>
      <c r="AZ2687">
        <v>7700</v>
      </c>
      <c r="BA2687">
        <v>1</v>
      </c>
      <c r="BB2687" t="str">
        <f t="shared" si="792"/>
        <v xml:space="preserve">N733KP  </v>
      </c>
      <c r="BC2687">
        <v>1</v>
      </c>
      <c r="BE2687">
        <v>0</v>
      </c>
      <c r="BF2687">
        <v>0</v>
      </c>
      <c r="BG2687">
        <v>1</v>
      </c>
      <c r="BH2687">
        <v>1850</v>
      </c>
      <c r="BI2687">
        <v>1</v>
      </c>
      <c r="BJ2687">
        <v>1</v>
      </c>
      <c r="BK2687">
        <v>0</v>
      </c>
      <c r="BL2687">
        <v>0</v>
      </c>
      <c r="BO2687">
        <v>0</v>
      </c>
      <c r="BP2687">
        <v>0</v>
      </c>
      <c r="BW2687" t="str">
        <f>"22:21:23.950"</f>
        <v>22:21:23.950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6</v>
      </c>
      <c r="CP2687" t="s">
        <v>119</v>
      </c>
      <c r="CQ2687">
        <v>364</v>
      </c>
      <c r="CR2687">
        <v>0</v>
      </c>
      <c r="CW2687">
        <v>1470204</v>
      </c>
      <c r="CY2687">
        <v>1</v>
      </c>
      <c r="CZ2687">
        <v>0</v>
      </c>
      <c r="DA2687">
        <v>1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3">
      <c r="A2688" t="str">
        <f>"03/24/2022 22:21:24.163"</f>
        <v>03/24/2022 22:21:24.163</v>
      </c>
      <c r="C2688" t="str">
        <f t="shared" si="791"/>
        <v>FFDFD3C0</v>
      </c>
      <c r="D2688" t="s">
        <v>123</v>
      </c>
      <c r="E2688">
        <v>8</v>
      </c>
      <c r="H2688">
        <v>31</v>
      </c>
      <c r="I2688" t="s">
        <v>124</v>
      </c>
      <c r="J2688" t="s">
        <v>125</v>
      </c>
      <c r="K2688">
        <v>0</v>
      </c>
      <c r="L2688">
        <v>3</v>
      </c>
      <c r="M2688">
        <v>0</v>
      </c>
      <c r="N2688">
        <v>2</v>
      </c>
      <c r="O2688">
        <v>0</v>
      </c>
      <c r="P2688">
        <v>1</v>
      </c>
      <c r="Q2688">
        <v>0</v>
      </c>
      <c r="S2688" t="str">
        <f t="shared" si="802"/>
        <v>22:21:23.000</v>
      </c>
      <c r="T2688" t="str">
        <f t="shared" si="802"/>
        <v>22:21:23.000</v>
      </c>
      <c r="U2688" t="str">
        <f t="shared" si="785"/>
        <v>A9D71F</v>
      </c>
      <c r="V2688">
        <v>0</v>
      </c>
      <c r="W2688">
        <v>0</v>
      </c>
      <c r="X2688">
        <v>2</v>
      </c>
      <c r="Z2688">
        <v>1</v>
      </c>
      <c r="AA2688">
        <v>8</v>
      </c>
      <c r="AB2688">
        <v>3</v>
      </c>
      <c r="AC2688">
        <v>0</v>
      </c>
      <c r="AD2688">
        <v>9</v>
      </c>
      <c r="AE2688">
        <v>0</v>
      </c>
      <c r="AF2688">
        <v>3</v>
      </c>
      <c r="AG2688">
        <v>1</v>
      </c>
      <c r="AH2688">
        <v>0</v>
      </c>
      <c r="AI2688" t="s">
        <v>1360</v>
      </c>
      <c r="AJ2688">
        <v>33.009667</v>
      </c>
      <c r="AK2688" t="s">
        <v>1361</v>
      </c>
      <c r="AL2688">
        <v>-97.657342</v>
      </c>
      <c r="AM2688">
        <v>25</v>
      </c>
      <c r="AN2688">
        <v>1800</v>
      </c>
      <c r="AO2688" t="s">
        <v>118</v>
      </c>
      <c r="AP2688">
        <v>-64</v>
      </c>
      <c r="AQ2688">
        <v>-54</v>
      </c>
      <c r="AR2688">
        <v>-1344</v>
      </c>
      <c r="AZ2688">
        <v>7700</v>
      </c>
      <c r="BA2688">
        <v>1</v>
      </c>
      <c r="BB2688" t="str">
        <f t="shared" si="792"/>
        <v xml:space="preserve">N733KP  </v>
      </c>
      <c r="BC2688">
        <v>1</v>
      </c>
      <c r="BE2688">
        <v>0</v>
      </c>
      <c r="BF2688">
        <v>0</v>
      </c>
      <c r="BG2688">
        <v>1</v>
      </c>
      <c r="BH2688">
        <v>1850</v>
      </c>
      <c r="BI2688">
        <v>1</v>
      </c>
      <c r="BJ2688">
        <v>1</v>
      </c>
      <c r="BK2688">
        <v>0</v>
      </c>
      <c r="BL2688">
        <v>0</v>
      </c>
      <c r="BO2688">
        <v>0</v>
      </c>
      <c r="BP2688">
        <v>0</v>
      </c>
      <c r="BW2688" t="str">
        <f>"22:21:23.950"</f>
        <v>22:21:23.950</v>
      </c>
      <c r="CJ2688">
        <v>0</v>
      </c>
      <c r="CK2688">
        <v>2</v>
      </c>
      <c r="CL2688">
        <v>0</v>
      </c>
      <c r="CM2688">
        <v>2</v>
      </c>
      <c r="CN2688">
        <v>0</v>
      </c>
      <c r="CO2688">
        <v>6</v>
      </c>
      <c r="CP2688" t="s">
        <v>119</v>
      </c>
      <c r="CQ2688">
        <v>364</v>
      </c>
      <c r="CR2688">
        <v>0</v>
      </c>
      <c r="CW2688">
        <v>1470204</v>
      </c>
      <c r="CY2688">
        <v>1</v>
      </c>
      <c r="CZ2688">
        <v>0</v>
      </c>
      <c r="DA2688">
        <v>1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3">
      <c r="A2689" t="str">
        <f>"03/24/2022 22:21:25.085"</f>
        <v>03/24/2022 22:21:25.085</v>
      </c>
      <c r="C2689" t="str">
        <f t="shared" si="791"/>
        <v>FFDFD3C0</v>
      </c>
      <c r="D2689" t="s">
        <v>126</v>
      </c>
      <c r="E2689">
        <v>3</v>
      </c>
      <c r="H2689">
        <v>160</v>
      </c>
      <c r="I2689" t="s">
        <v>121</v>
      </c>
      <c r="J2689" t="s">
        <v>127</v>
      </c>
      <c r="K2689">
        <v>0</v>
      </c>
      <c r="L2689">
        <v>3</v>
      </c>
      <c r="M2689">
        <v>0</v>
      </c>
      <c r="N2689">
        <v>2</v>
      </c>
      <c r="O2689">
        <v>0</v>
      </c>
      <c r="P2689">
        <v>1</v>
      </c>
      <c r="Q2689">
        <v>0</v>
      </c>
      <c r="S2689" t="str">
        <f t="shared" ref="S2689:T2692" si="803">"22:21:24.000"</f>
        <v>22:21:24.000</v>
      </c>
      <c r="T2689" t="str">
        <f t="shared" si="803"/>
        <v>22:21:24.000</v>
      </c>
      <c r="U2689" t="str">
        <f t="shared" si="785"/>
        <v>A9D71F</v>
      </c>
      <c r="V2689">
        <v>0</v>
      </c>
      <c r="W2689">
        <v>0</v>
      </c>
      <c r="X2689">
        <v>2</v>
      </c>
      <c r="Z2689">
        <v>1</v>
      </c>
      <c r="AA2689">
        <v>8</v>
      </c>
      <c r="AB2689">
        <v>3</v>
      </c>
      <c r="AC2689">
        <v>0</v>
      </c>
      <c r="AD2689">
        <v>9</v>
      </c>
      <c r="AE2689">
        <v>0</v>
      </c>
      <c r="AF2689">
        <v>3</v>
      </c>
      <c r="AG2689">
        <v>1</v>
      </c>
      <c r="AH2689">
        <v>0</v>
      </c>
      <c r="AI2689" t="s">
        <v>1362</v>
      </c>
      <c r="AJ2689">
        <v>33.009238000000003</v>
      </c>
      <c r="AK2689" t="s">
        <v>1363</v>
      </c>
      <c r="AL2689">
        <v>-97.657641999999996</v>
      </c>
      <c r="AM2689">
        <v>25</v>
      </c>
      <c r="AN2689">
        <v>1800</v>
      </c>
      <c r="AO2689" t="s">
        <v>118</v>
      </c>
      <c r="AP2689">
        <v>-65</v>
      </c>
      <c r="AQ2689">
        <v>-56</v>
      </c>
      <c r="AR2689">
        <v>-1280</v>
      </c>
      <c r="AZ2689">
        <v>7700</v>
      </c>
      <c r="BA2689">
        <v>1</v>
      </c>
      <c r="BB2689" t="str">
        <f t="shared" si="792"/>
        <v xml:space="preserve">N733KP  </v>
      </c>
      <c r="BC2689">
        <v>1</v>
      </c>
      <c r="BE2689">
        <v>0</v>
      </c>
      <c r="BF2689">
        <v>0</v>
      </c>
      <c r="BG2689">
        <v>1</v>
      </c>
      <c r="BH2689">
        <v>1850</v>
      </c>
      <c r="BI2689">
        <v>1</v>
      </c>
      <c r="BJ2689">
        <v>1</v>
      </c>
      <c r="BK2689">
        <v>0</v>
      </c>
      <c r="BL2689">
        <v>0</v>
      </c>
      <c r="BO2689">
        <v>0</v>
      </c>
      <c r="BP2689">
        <v>0</v>
      </c>
      <c r="BW2689" t="str">
        <f>"22:21:24.936"</f>
        <v>22:21:24.936</v>
      </c>
      <c r="CJ2689">
        <v>0</v>
      </c>
      <c r="CK2689">
        <v>2</v>
      </c>
      <c r="CL2689">
        <v>0</v>
      </c>
      <c r="CM2689">
        <v>2</v>
      </c>
      <c r="CN2689">
        <v>0</v>
      </c>
      <c r="CO2689">
        <v>5</v>
      </c>
      <c r="CP2689" t="s">
        <v>119</v>
      </c>
      <c r="CQ2689">
        <v>364</v>
      </c>
      <c r="CR2689">
        <v>0</v>
      </c>
      <c r="CW2689">
        <v>1470354</v>
      </c>
      <c r="CY2689">
        <v>1</v>
      </c>
      <c r="CZ2689">
        <v>0</v>
      </c>
      <c r="DA2689">
        <v>0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3">
      <c r="A2690" t="str">
        <f>"03/24/2022 22:21:25.163"</f>
        <v>03/24/2022 22:21:25.163</v>
      </c>
      <c r="C2690" t="str">
        <f t="shared" si="791"/>
        <v>FFDFD3C0</v>
      </c>
      <c r="D2690" t="s">
        <v>113</v>
      </c>
      <c r="E2690">
        <v>24</v>
      </c>
      <c r="F2690">
        <v>2024</v>
      </c>
      <c r="G2690" t="s">
        <v>114</v>
      </c>
      <c r="J2690" t="s">
        <v>115</v>
      </c>
      <c r="K2690">
        <v>0</v>
      </c>
      <c r="L2690">
        <v>3</v>
      </c>
      <c r="M2690">
        <v>0</v>
      </c>
      <c r="N2690">
        <v>2</v>
      </c>
      <c r="O2690">
        <v>0</v>
      </c>
      <c r="P2690">
        <v>1</v>
      </c>
      <c r="Q2690">
        <v>0</v>
      </c>
      <c r="S2690" t="str">
        <f t="shared" si="803"/>
        <v>22:21:24.000</v>
      </c>
      <c r="T2690" t="str">
        <f t="shared" si="803"/>
        <v>22:21:24.000</v>
      </c>
      <c r="U2690" t="str">
        <f t="shared" ref="U2690:U2753" si="804">"A9D71F"</f>
        <v>A9D71F</v>
      </c>
      <c r="V2690">
        <v>0</v>
      </c>
      <c r="W2690">
        <v>0</v>
      </c>
      <c r="X2690">
        <v>2</v>
      </c>
      <c r="Z2690">
        <v>1</v>
      </c>
      <c r="AA2690">
        <v>8</v>
      </c>
      <c r="AB2690">
        <v>3</v>
      </c>
      <c r="AC2690">
        <v>0</v>
      </c>
      <c r="AD2690">
        <v>9</v>
      </c>
      <c r="AE2690">
        <v>0</v>
      </c>
      <c r="AF2690">
        <v>3</v>
      </c>
      <c r="AG2690">
        <v>1</v>
      </c>
      <c r="AH2690">
        <v>0</v>
      </c>
      <c r="AI2690" t="s">
        <v>1362</v>
      </c>
      <c r="AJ2690">
        <v>33.009238000000003</v>
      </c>
      <c r="AK2690" t="s">
        <v>1363</v>
      </c>
      <c r="AL2690">
        <v>-97.657641999999996</v>
      </c>
      <c r="AM2690">
        <v>25</v>
      </c>
      <c r="AN2690">
        <v>1800</v>
      </c>
      <c r="AO2690" t="s">
        <v>118</v>
      </c>
      <c r="AP2690">
        <v>-65</v>
      </c>
      <c r="AQ2690">
        <v>-56</v>
      </c>
      <c r="AR2690">
        <v>-1280</v>
      </c>
      <c r="AZ2690">
        <v>7700</v>
      </c>
      <c r="BA2690">
        <v>1</v>
      </c>
      <c r="BB2690" t="str">
        <f t="shared" si="792"/>
        <v xml:space="preserve">N733KP  </v>
      </c>
      <c r="BC2690">
        <v>1</v>
      </c>
      <c r="BE2690">
        <v>0</v>
      </c>
      <c r="BF2690">
        <v>0</v>
      </c>
      <c r="BG2690">
        <v>1</v>
      </c>
      <c r="BH2690">
        <v>1850</v>
      </c>
      <c r="BI2690">
        <v>1</v>
      </c>
      <c r="BJ2690">
        <v>1</v>
      </c>
      <c r="BK2690">
        <v>0</v>
      </c>
      <c r="BL2690">
        <v>0</v>
      </c>
      <c r="BO2690">
        <v>0</v>
      </c>
      <c r="BP2690">
        <v>0</v>
      </c>
      <c r="BW2690" t="str">
        <f>"22:21:24.936"</f>
        <v>22:21:24.936</v>
      </c>
      <c r="CJ2690">
        <v>0</v>
      </c>
      <c r="CK2690">
        <v>2</v>
      </c>
      <c r="CL2690">
        <v>0</v>
      </c>
      <c r="CM2690">
        <v>2</v>
      </c>
      <c r="CN2690">
        <v>0</v>
      </c>
      <c r="CO2690">
        <v>5</v>
      </c>
      <c r="CP2690" t="s">
        <v>119</v>
      </c>
      <c r="CQ2690">
        <v>364</v>
      </c>
      <c r="CR2690">
        <v>0</v>
      </c>
      <c r="CW2690">
        <v>1470354</v>
      </c>
      <c r="CY2690">
        <v>1</v>
      </c>
      <c r="CZ2690">
        <v>0</v>
      </c>
      <c r="DA2690">
        <v>1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3">
      <c r="A2691" t="str">
        <f>"03/24/2022 22:21:25.163"</f>
        <v>03/24/2022 22:21:25.163</v>
      </c>
      <c r="C2691" t="str">
        <f t="shared" si="791"/>
        <v>FFDFD3C0</v>
      </c>
      <c r="D2691" t="s">
        <v>120</v>
      </c>
      <c r="E2691">
        <v>14</v>
      </c>
      <c r="F2691">
        <v>1014</v>
      </c>
      <c r="G2691" t="s">
        <v>121</v>
      </c>
      <c r="J2691" t="s">
        <v>122</v>
      </c>
      <c r="K2691">
        <v>0</v>
      </c>
      <c r="L2691">
        <v>3</v>
      </c>
      <c r="M2691">
        <v>0</v>
      </c>
      <c r="N2691">
        <v>2</v>
      </c>
      <c r="O2691">
        <v>0</v>
      </c>
      <c r="P2691">
        <v>1</v>
      </c>
      <c r="Q2691">
        <v>0</v>
      </c>
      <c r="S2691" t="str">
        <f t="shared" si="803"/>
        <v>22:21:24.000</v>
      </c>
      <c r="T2691" t="str">
        <f t="shared" si="803"/>
        <v>22:21:24.000</v>
      </c>
      <c r="U2691" t="str">
        <f t="shared" si="804"/>
        <v>A9D71F</v>
      </c>
      <c r="V2691">
        <v>0</v>
      </c>
      <c r="W2691">
        <v>0</v>
      </c>
      <c r="X2691">
        <v>2</v>
      </c>
      <c r="Z2691">
        <v>1</v>
      </c>
      <c r="AA2691">
        <v>8</v>
      </c>
      <c r="AB2691">
        <v>3</v>
      </c>
      <c r="AC2691">
        <v>0</v>
      </c>
      <c r="AD2691">
        <v>9</v>
      </c>
      <c r="AE2691">
        <v>0</v>
      </c>
      <c r="AF2691">
        <v>3</v>
      </c>
      <c r="AG2691">
        <v>1</v>
      </c>
      <c r="AH2691">
        <v>0</v>
      </c>
      <c r="AI2691" t="s">
        <v>1362</v>
      </c>
      <c r="AJ2691">
        <v>33.009238000000003</v>
      </c>
      <c r="AK2691" t="s">
        <v>1363</v>
      </c>
      <c r="AL2691">
        <v>-97.657641999999996</v>
      </c>
      <c r="AM2691">
        <v>25</v>
      </c>
      <c r="AN2691">
        <v>1800</v>
      </c>
      <c r="AO2691" t="s">
        <v>118</v>
      </c>
      <c r="AP2691">
        <v>-65</v>
      </c>
      <c r="AQ2691">
        <v>-56</v>
      </c>
      <c r="AR2691">
        <v>-1280</v>
      </c>
      <c r="AZ2691">
        <v>7700</v>
      </c>
      <c r="BA2691">
        <v>1</v>
      </c>
      <c r="BB2691" t="str">
        <f t="shared" si="792"/>
        <v xml:space="preserve">N733KP  </v>
      </c>
      <c r="BC2691">
        <v>1</v>
      </c>
      <c r="BE2691">
        <v>0</v>
      </c>
      <c r="BF2691">
        <v>0</v>
      </c>
      <c r="BG2691">
        <v>1</v>
      </c>
      <c r="BH2691">
        <v>1850</v>
      </c>
      <c r="BI2691">
        <v>1</v>
      </c>
      <c r="BJ2691">
        <v>1</v>
      </c>
      <c r="BK2691">
        <v>0</v>
      </c>
      <c r="BL2691">
        <v>0</v>
      </c>
      <c r="BO2691">
        <v>0</v>
      </c>
      <c r="BP2691">
        <v>0</v>
      </c>
      <c r="BW2691" t="str">
        <f>"22:21:24.936"</f>
        <v>22:21:24.936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5</v>
      </c>
      <c r="CP2691" t="s">
        <v>119</v>
      </c>
      <c r="CQ2691">
        <v>364</v>
      </c>
      <c r="CR2691">
        <v>0</v>
      </c>
      <c r="CW2691">
        <v>1470354</v>
      </c>
      <c r="CY2691">
        <v>1</v>
      </c>
      <c r="CZ2691">
        <v>0</v>
      </c>
      <c r="DA2691">
        <v>1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3">
      <c r="A2692" t="str">
        <f>"03/24/2022 22:21:25.163"</f>
        <v>03/24/2022 22:21:25.163</v>
      </c>
      <c r="C2692" t="str">
        <f t="shared" si="791"/>
        <v>FFDFD3C0</v>
      </c>
      <c r="D2692" t="s">
        <v>123</v>
      </c>
      <c r="E2692">
        <v>8</v>
      </c>
      <c r="H2692">
        <v>31</v>
      </c>
      <c r="I2692" t="s">
        <v>124</v>
      </c>
      <c r="J2692" t="s">
        <v>125</v>
      </c>
      <c r="K2692">
        <v>0</v>
      </c>
      <c r="L2692">
        <v>3</v>
      </c>
      <c r="M2692">
        <v>0</v>
      </c>
      <c r="N2692">
        <v>2</v>
      </c>
      <c r="O2692">
        <v>0</v>
      </c>
      <c r="P2692">
        <v>1</v>
      </c>
      <c r="Q2692">
        <v>0</v>
      </c>
      <c r="S2692" t="str">
        <f t="shared" si="803"/>
        <v>22:21:24.000</v>
      </c>
      <c r="T2692" t="str">
        <f t="shared" si="803"/>
        <v>22:21:24.000</v>
      </c>
      <c r="U2692" t="str">
        <f t="shared" si="804"/>
        <v>A9D71F</v>
      </c>
      <c r="V2692">
        <v>0</v>
      </c>
      <c r="W2692">
        <v>0</v>
      </c>
      <c r="X2692">
        <v>2</v>
      </c>
      <c r="Z2692">
        <v>1</v>
      </c>
      <c r="AA2692">
        <v>8</v>
      </c>
      <c r="AB2692">
        <v>3</v>
      </c>
      <c r="AC2692">
        <v>0</v>
      </c>
      <c r="AD2692">
        <v>9</v>
      </c>
      <c r="AE2692">
        <v>0</v>
      </c>
      <c r="AF2692">
        <v>3</v>
      </c>
      <c r="AG2692">
        <v>1</v>
      </c>
      <c r="AH2692">
        <v>0</v>
      </c>
      <c r="AI2692" t="s">
        <v>1362</v>
      </c>
      <c r="AJ2692">
        <v>33.009238000000003</v>
      </c>
      <c r="AK2692" t="s">
        <v>1363</v>
      </c>
      <c r="AL2692">
        <v>-97.657641999999996</v>
      </c>
      <c r="AM2692">
        <v>25</v>
      </c>
      <c r="AN2692">
        <v>1800</v>
      </c>
      <c r="AO2692" t="s">
        <v>118</v>
      </c>
      <c r="AP2692">
        <v>-65</v>
      </c>
      <c r="AQ2692">
        <v>-56</v>
      </c>
      <c r="AR2692">
        <v>-1280</v>
      </c>
      <c r="AZ2692">
        <v>7700</v>
      </c>
      <c r="BA2692">
        <v>1</v>
      </c>
      <c r="BB2692" t="str">
        <f t="shared" si="792"/>
        <v xml:space="preserve">N733KP  </v>
      </c>
      <c r="BC2692">
        <v>1</v>
      </c>
      <c r="BE2692">
        <v>0</v>
      </c>
      <c r="BF2692">
        <v>0</v>
      </c>
      <c r="BG2692">
        <v>1</v>
      </c>
      <c r="BH2692">
        <v>1850</v>
      </c>
      <c r="BI2692">
        <v>1</v>
      </c>
      <c r="BJ2692">
        <v>1</v>
      </c>
      <c r="BK2692">
        <v>0</v>
      </c>
      <c r="BL2692">
        <v>0</v>
      </c>
      <c r="BO2692">
        <v>0</v>
      </c>
      <c r="BP2692">
        <v>0</v>
      </c>
      <c r="BW2692" t="str">
        <f>"22:21:24.936"</f>
        <v>22:21:24.936</v>
      </c>
      <c r="CJ2692">
        <v>0</v>
      </c>
      <c r="CK2692">
        <v>2</v>
      </c>
      <c r="CL2692">
        <v>0</v>
      </c>
      <c r="CM2692">
        <v>2</v>
      </c>
      <c r="CN2692">
        <v>0</v>
      </c>
      <c r="CO2692">
        <v>5</v>
      </c>
      <c r="CP2692" t="s">
        <v>119</v>
      </c>
      <c r="CQ2692">
        <v>364</v>
      </c>
      <c r="CR2692">
        <v>0</v>
      </c>
      <c r="CW2692">
        <v>1470354</v>
      </c>
      <c r="CY2692">
        <v>1</v>
      </c>
      <c r="CZ2692">
        <v>0</v>
      </c>
      <c r="DA2692">
        <v>1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3">
      <c r="A2693" t="str">
        <f>"03/24/2022 22:21:25.960"</f>
        <v>03/24/2022 22:21:25.960</v>
      </c>
      <c r="C2693" t="str">
        <f t="shared" si="791"/>
        <v>FFDFD3C0</v>
      </c>
      <c r="D2693" t="s">
        <v>123</v>
      </c>
      <c r="E2693">
        <v>8</v>
      </c>
      <c r="H2693">
        <v>31</v>
      </c>
      <c r="I2693" t="s">
        <v>124</v>
      </c>
      <c r="J2693" t="s">
        <v>125</v>
      </c>
      <c r="K2693">
        <v>0</v>
      </c>
      <c r="L2693">
        <v>3</v>
      </c>
      <c r="M2693">
        <v>0</v>
      </c>
      <c r="N2693">
        <v>2</v>
      </c>
      <c r="O2693">
        <v>0</v>
      </c>
      <c r="P2693">
        <v>1</v>
      </c>
      <c r="Q2693">
        <v>0</v>
      </c>
      <c r="S2693" t="str">
        <f t="shared" ref="S2693:T2696" si="805">"22:21:25.000"</f>
        <v>22:21:25.000</v>
      </c>
      <c r="T2693" t="str">
        <f t="shared" si="805"/>
        <v>22:21:25.000</v>
      </c>
      <c r="U2693" t="str">
        <f t="shared" si="804"/>
        <v>A9D71F</v>
      </c>
      <c r="V2693">
        <v>0</v>
      </c>
      <c r="W2693">
        <v>0</v>
      </c>
      <c r="X2693">
        <v>2</v>
      </c>
      <c r="Z2693">
        <v>1</v>
      </c>
      <c r="AA2693">
        <v>8</v>
      </c>
      <c r="AB2693">
        <v>3</v>
      </c>
      <c r="AC2693">
        <v>0</v>
      </c>
      <c r="AD2693">
        <v>8</v>
      </c>
      <c r="AE2693">
        <v>0</v>
      </c>
      <c r="AF2693">
        <v>3</v>
      </c>
      <c r="AG2693">
        <v>1</v>
      </c>
      <c r="AH2693">
        <v>0</v>
      </c>
      <c r="AI2693" t="s">
        <v>1364</v>
      </c>
      <c r="AJ2693">
        <v>33.009045</v>
      </c>
      <c r="AK2693" t="s">
        <v>1061</v>
      </c>
      <c r="AL2693">
        <v>-97.658028999999999</v>
      </c>
      <c r="AM2693">
        <v>25</v>
      </c>
      <c r="AN2693">
        <v>1700</v>
      </c>
      <c r="AO2693" t="s">
        <v>118</v>
      </c>
      <c r="AP2693">
        <v>-65</v>
      </c>
      <c r="AQ2693">
        <v>-53</v>
      </c>
      <c r="AR2693">
        <v>-1280</v>
      </c>
      <c r="AZ2693">
        <v>7700</v>
      </c>
      <c r="BA2693">
        <v>1</v>
      </c>
      <c r="BB2693" t="str">
        <f t="shared" si="792"/>
        <v xml:space="preserve">N733KP  </v>
      </c>
      <c r="BC2693">
        <v>1</v>
      </c>
      <c r="BE2693">
        <v>0</v>
      </c>
      <c r="BF2693">
        <v>0</v>
      </c>
      <c r="BG2693">
        <v>1</v>
      </c>
      <c r="BH2693">
        <v>1750</v>
      </c>
      <c r="BI2693">
        <v>1</v>
      </c>
      <c r="BJ2693">
        <v>1</v>
      </c>
      <c r="BK2693">
        <v>0</v>
      </c>
      <c r="BL2693">
        <v>0</v>
      </c>
      <c r="BO2693">
        <v>0</v>
      </c>
      <c r="BP2693">
        <v>0</v>
      </c>
      <c r="BW2693" t="str">
        <f>"22:21:25.825"</f>
        <v>22:21:25.825</v>
      </c>
      <c r="CJ2693">
        <v>0</v>
      </c>
      <c r="CK2693">
        <v>2</v>
      </c>
      <c r="CL2693">
        <v>0</v>
      </c>
      <c r="CM2693">
        <v>2</v>
      </c>
      <c r="CN2693">
        <v>0</v>
      </c>
      <c r="CO2693">
        <v>6</v>
      </c>
      <c r="CP2693" t="s">
        <v>119</v>
      </c>
      <c r="CQ2693">
        <v>364</v>
      </c>
      <c r="CR2693">
        <v>0</v>
      </c>
      <c r="CW2693">
        <v>1470469</v>
      </c>
      <c r="CY2693">
        <v>1</v>
      </c>
      <c r="CZ2693">
        <v>0</v>
      </c>
      <c r="DA2693">
        <v>0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3">
      <c r="A2694" t="str">
        <f>"03/24/2022 22:21:25.960"</f>
        <v>03/24/2022 22:21:25.960</v>
      </c>
      <c r="C2694" t="str">
        <f t="shared" si="791"/>
        <v>FFDFD3C0</v>
      </c>
      <c r="D2694" t="s">
        <v>113</v>
      </c>
      <c r="E2694">
        <v>24</v>
      </c>
      <c r="F2694">
        <v>2024</v>
      </c>
      <c r="G2694" t="s">
        <v>114</v>
      </c>
      <c r="J2694" t="s">
        <v>115</v>
      </c>
      <c r="K2694">
        <v>0</v>
      </c>
      <c r="L2694">
        <v>3</v>
      </c>
      <c r="M2694">
        <v>0</v>
      </c>
      <c r="N2694">
        <v>2</v>
      </c>
      <c r="O2694">
        <v>0</v>
      </c>
      <c r="P2694">
        <v>1</v>
      </c>
      <c r="Q2694">
        <v>0</v>
      </c>
      <c r="S2694" t="str">
        <f t="shared" si="805"/>
        <v>22:21:25.000</v>
      </c>
      <c r="T2694" t="str">
        <f t="shared" si="805"/>
        <v>22:21:25.000</v>
      </c>
      <c r="U2694" t="str">
        <f t="shared" si="804"/>
        <v>A9D71F</v>
      </c>
      <c r="V2694">
        <v>0</v>
      </c>
      <c r="W2694">
        <v>0</v>
      </c>
      <c r="X2694">
        <v>2</v>
      </c>
      <c r="Z2694">
        <v>1</v>
      </c>
      <c r="AA2694">
        <v>8</v>
      </c>
      <c r="AB2694">
        <v>3</v>
      </c>
      <c r="AC2694">
        <v>0</v>
      </c>
      <c r="AD2694">
        <v>8</v>
      </c>
      <c r="AE2694">
        <v>0</v>
      </c>
      <c r="AF2694">
        <v>3</v>
      </c>
      <c r="AG2694">
        <v>1</v>
      </c>
      <c r="AH2694">
        <v>0</v>
      </c>
      <c r="AI2694" t="s">
        <v>1364</v>
      </c>
      <c r="AJ2694">
        <v>33.009045</v>
      </c>
      <c r="AK2694" t="s">
        <v>1061</v>
      </c>
      <c r="AL2694">
        <v>-97.658028999999999</v>
      </c>
      <c r="AM2694">
        <v>25</v>
      </c>
      <c r="AN2694">
        <v>1700</v>
      </c>
      <c r="AO2694" t="s">
        <v>118</v>
      </c>
      <c r="AP2694">
        <v>-65</v>
      </c>
      <c r="AQ2694">
        <v>-53</v>
      </c>
      <c r="AR2694">
        <v>-1280</v>
      </c>
      <c r="AZ2694">
        <v>7700</v>
      </c>
      <c r="BA2694">
        <v>1</v>
      </c>
      <c r="BB2694" t="str">
        <f t="shared" si="792"/>
        <v xml:space="preserve">N733KP  </v>
      </c>
      <c r="BC2694">
        <v>1</v>
      </c>
      <c r="BE2694">
        <v>0</v>
      </c>
      <c r="BF2694">
        <v>0</v>
      </c>
      <c r="BG2694">
        <v>1</v>
      </c>
      <c r="BH2694">
        <v>1750</v>
      </c>
      <c r="BI2694">
        <v>1</v>
      </c>
      <c r="BJ2694">
        <v>1</v>
      </c>
      <c r="BK2694">
        <v>0</v>
      </c>
      <c r="BL2694">
        <v>0</v>
      </c>
      <c r="BO2694">
        <v>0</v>
      </c>
      <c r="BP2694">
        <v>0</v>
      </c>
      <c r="BW2694" t="str">
        <f>"22:21:25.825"</f>
        <v>22:21:25.825</v>
      </c>
      <c r="CJ2694">
        <v>0</v>
      </c>
      <c r="CK2694">
        <v>2</v>
      </c>
      <c r="CL2694">
        <v>0</v>
      </c>
      <c r="CM2694">
        <v>2</v>
      </c>
      <c r="CN2694">
        <v>0</v>
      </c>
      <c r="CO2694">
        <v>6</v>
      </c>
      <c r="CP2694" t="s">
        <v>119</v>
      </c>
      <c r="CQ2694">
        <v>364</v>
      </c>
      <c r="CR2694">
        <v>0</v>
      </c>
      <c r="CW2694">
        <v>1470469</v>
      </c>
      <c r="CY2694">
        <v>1</v>
      </c>
      <c r="CZ2694">
        <v>0</v>
      </c>
      <c r="DA2694">
        <v>1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3">
      <c r="A2695" t="str">
        <f>"03/24/2022 22:21:25.975"</f>
        <v>03/24/2022 22:21:25.975</v>
      </c>
      <c r="C2695" t="str">
        <f t="shared" si="791"/>
        <v>FFDFD3C0</v>
      </c>
      <c r="D2695" t="s">
        <v>120</v>
      </c>
      <c r="E2695">
        <v>14</v>
      </c>
      <c r="F2695">
        <v>1014</v>
      </c>
      <c r="G2695" t="s">
        <v>121</v>
      </c>
      <c r="J2695" t="s">
        <v>122</v>
      </c>
      <c r="K2695">
        <v>0</v>
      </c>
      <c r="L2695">
        <v>3</v>
      </c>
      <c r="M2695">
        <v>0</v>
      </c>
      <c r="N2695">
        <v>2</v>
      </c>
      <c r="O2695">
        <v>0</v>
      </c>
      <c r="P2695">
        <v>1</v>
      </c>
      <c r="Q2695">
        <v>0</v>
      </c>
      <c r="S2695" t="str">
        <f t="shared" si="805"/>
        <v>22:21:25.000</v>
      </c>
      <c r="T2695" t="str">
        <f t="shared" si="805"/>
        <v>22:21:25.000</v>
      </c>
      <c r="U2695" t="str">
        <f t="shared" si="804"/>
        <v>A9D71F</v>
      </c>
      <c r="V2695">
        <v>0</v>
      </c>
      <c r="W2695">
        <v>0</v>
      </c>
      <c r="X2695">
        <v>2</v>
      </c>
      <c r="Z2695">
        <v>1</v>
      </c>
      <c r="AA2695">
        <v>8</v>
      </c>
      <c r="AB2695">
        <v>3</v>
      </c>
      <c r="AC2695">
        <v>0</v>
      </c>
      <c r="AD2695">
        <v>8</v>
      </c>
      <c r="AE2695">
        <v>0</v>
      </c>
      <c r="AF2695">
        <v>3</v>
      </c>
      <c r="AG2695">
        <v>1</v>
      </c>
      <c r="AH2695">
        <v>0</v>
      </c>
      <c r="AI2695" t="s">
        <v>1364</v>
      </c>
      <c r="AJ2695">
        <v>33.009045</v>
      </c>
      <c r="AK2695" t="s">
        <v>1061</v>
      </c>
      <c r="AL2695">
        <v>-97.658028999999999</v>
      </c>
      <c r="AM2695">
        <v>25</v>
      </c>
      <c r="AN2695">
        <v>1700</v>
      </c>
      <c r="AO2695" t="s">
        <v>118</v>
      </c>
      <c r="AP2695">
        <v>-65</v>
      </c>
      <c r="AQ2695">
        <v>-53</v>
      </c>
      <c r="AR2695">
        <v>-1280</v>
      </c>
      <c r="AZ2695">
        <v>7700</v>
      </c>
      <c r="BA2695">
        <v>1</v>
      </c>
      <c r="BB2695" t="str">
        <f t="shared" si="792"/>
        <v xml:space="preserve">N733KP  </v>
      </c>
      <c r="BC2695">
        <v>1</v>
      </c>
      <c r="BE2695">
        <v>0</v>
      </c>
      <c r="BF2695">
        <v>0</v>
      </c>
      <c r="BG2695">
        <v>1</v>
      </c>
      <c r="BH2695">
        <v>1750</v>
      </c>
      <c r="BI2695">
        <v>1</v>
      </c>
      <c r="BJ2695">
        <v>1</v>
      </c>
      <c r="BK2695">
        <v>0</v>
      </c>
      <c r="BL2695">
        <v>0</v>
      </c>
      <c r="BO2695">
        <v>0</v>
      </c>
      <c r="BP2695">
        <v>0</v>
      </c>
      <c r="BW2695" t="str">
        <f>"22:21:25.825"</f>
        <v>22:21:25.825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6</v>
      </c>
      <c r="CP2695" t="s">
        <v>119</v>
      </c>
      <c r="CQ2695">
        <v>364</v>
      </c>
      <c r="CR2695">
        <v>0</v>
      </c>
      <c r="CW2695">
        <v>1470469</v>
      </c>
      <c r="CY2695">
        <v>1</v>
      </c>
      <c r="CZ2695">
        <v>0</v>
      </c>
      <c r="DA2695">
        <v>1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3">
      <c r="A2696" t="str">
        <f>"03/24/2022 22:21:25.991"</f>
        <v>03/24/2022 22:21:25.991</v>
      </c>
      <c r="C2696" t="str">
        <f t="shared" si="791"/>
        <v>FFDFD3C0</v>
      </c>
      <c r="D2696" t="s">
        <v>126</v>
      </c>
      <c r="E2696">
        <v>3</v>
      </c>
      <c r="H2696">
        <v>160</v>
      </c>
      <c r="I2696" t="s">
        <v>121</v>
      </c>
      <c r="J2696" t="s">
        <v>127</v>
      </c>
      <c r="K2696">
        <v>0</v>
      </c>
      <c r="L2696">
        <v>3</v>
      </c>
      <c r="M2696">
        <v>0</v>
      </c>
      <c r="N2696">
        <v>2</v>
      </c>
      <c r="O2696">
        <v>0</v>
      </c>
      <c r="P2696">
        <v>1</v>
      </c>
      <c r="Q2696">
        <v>0</v>
      </c>
      <c r="S2696" t="str">
        <f t="shared" si="805"/>
        <v>22:21:25.000</v>
      </c>
      <c r="T2696" t="str">
        <f t="shared" si="805"/>
        <v>22:21:25.000</v>
      </c>
      <c r="U2696" t="str">
        <f t="shared" si="804"/>
        <v>A9D71F</v>
      </c>
      <c r="V2696">
        <v>0</v>
      </c>
      <c r="W2696">
        <v>0</v>
      </c>
      <c r="X2696">
        <v>2</v>
      </c>
      <c r="Z2696">
        <v>1</v>
      </c>
      <c r="AA2696">
        <v>8</v>
      </c>
      <c r="AB2696">
        <v>3</v>
      </c>
      <c r="AC2696">
        <v>0</v>
      </c>
      <c r="AD2696">
        <v>8</v>
      </c>
      <c r="AE2696">
        <v>0</v>
      </c>
      <c r="AF2696">
        <v>3</v>
      </c>
      <c r="AG2696">
        <v>1</v>
      </c>
      <c r="AH2696">
        <v>0</v>
      </c>
      <c r="AI2696" t="s">
        <v>1364</v>
      </c>
      <c r="AJ2696">
        <v>33.009045</v>
      </c>
      <c r="AK2696" t="s">
        <v>1061</v>
      </c>
      <c r="AL2696">
        <v>-97.658028999999999</v>
      </c>
      <c r="AM2696">
        <v>25</v>
      </c>
      <c r="AN2696">
        <v>1700</v>
      </c>
      <c r="AO2696" t="s">
        <v>118</v>
      </c>
      <c r="AP2696">
        <v>-65</v>
      </c>
      <c r="AQ2696">
        <v>-53</v>
      </c>
      <c r="AR2696">
        <v>-1280</v>
      </c>
      <c r="AZ2696">
        <v>7700</v>
      </c>
      <c r="BA2696">
        <v>1</v>
      </c>
      <c r="BB2696" t="str">
        <f t="shared" si="792"/>
        <v xml:space="preserve">N733KP  </v>
      </c>
      <c r="BC2696">
        <v>1</v>
      </c>
      <c r="BE2696">
        <v>0</v>
      </c>
      <c r="BF2696">
        <v>0</v>
      </c>
      <c r="BG2696">
        <v>1</v>
      </c>
      <c r="BH2696">
        <v>1750</v>
      </c>
      <c r="BI2696">
        <v>1</v>
      </c>
      <c r="BJ2696">
        <v>1</v>
      </c>
      <c r="BK2696">
        <v>0</v>
      </c>
      <c r="BL2696">
        <v>0</v>
      </c>
      <c r="BO2696">
        <v>0</v>
      </c>
      <c r="BP2696">
        <v>0</v>
      </c>
      <c r="BW2696" t="str">
        <f>"22:21:25.825"</f>
        <v>22:21:25.825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6</v>
      </c>
      <c r="CP2696" t="s">
        <v>119</v>
      </c>
      <c r="CQ2696">
        <v>364</v>
      </c>
      <c r="CR2696">
        <v>0</v>
      </c>
      <c r="CW2696">
        <v>1470469</v>
      </c>
      <c r="CY2696">
        <v>1</v>
      </c>
      <c r="CZ2696">
        <v>0</v>
      </c>
      <c r="DA2696">
        <v>1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3">
      <c r="A2697" t="str">
        <f>"03/24/2022 22:21:26.991"</f>
        <v>03/24/2022 22:21:26.991</v>
      </c>
      <c r="C2697" t="str">
        <f t="shared" si="791"/>
        <v>FFDFD3C0</v>
      </c>
      <c r="D2697" t="s">
        <v>123</v>
      </c>
      <c r="E2697">
        <v>8</v>
      </c>
      <c r="H2697">
        <v>31</v>
      </c>
      <c r="I2697" t="s">
        <v>124</v>
      </c>
      <c r="J2697" t="s">
        <v>125</v>
      </c>
      <c r="K2697">
        <v>0</v>
      </c>
      <c r="L2697">
        <v>3</v>
      </c>
      <c r="M2697">
        <v>0</v>
      </c>
      <c r="N2697">
        <v>2</v>
      </c>
      <c r="O2697">
        <v>0</v>
      </c>
      <c r="P2697">
        <v>1</v>
      </c>
      <c r="Q2697">
        <v>0</v>
      </c>
      <c r="S2697" t="str">
        <f t="shared" ref="S2697:T2700" si="806">"22:21:26.000"</f>
        <v>22:21:26.000</v>
      </c>
      <c r="T2697" t="str">
        <f t="shared" si="806"/>
        <v>22:21:26.000</v>
      </c>
      <c r="U2697" t="str">
        <f t="shared" si="804"/>
        <v>A9D71F</v>
      </c>
      <c r="V2697">
        <v>0</v>
      </c>
      <c r="W2697">
        <v>0</v>
      </c>
      <c r="X2697">
        <v>2</v>
      </c>
      <c r="Z2697">
        <v>1</v>
      </c>
      <c r="AA2697">
        <v>8</v>
      </c>
      <c r="AB2697">
        <v>3</v>
      </c>
      <c r="AC2697">
        <v>0</v>
      </c>
      <c r="AD2697">
        <v>8</v>
      </c>
      <c r="AE2697">
        <v>0</v>
      </c>
      <c r="AF2697">
        <v>3</v>
      </c>
      <c r="AG2697">
        <v>1</v>
      </c>
      <c r="AH2697">
        <v>0</v>
      </c>
      <c r="AI2697" t="s">
        <v>1365</v>
      </c>
      <c r="AJ2697">
        <v>33.008552000000002</v>
      </c>
      <c r="AK2697" t="s">
        <v>1366</v>
      </c>
      <c r="AL2697">
        <v>-97.658328999999995</v>
      </c>
      <c r="AM2697">
        <v>25</v>
      </c>
      <c r="AN2697">
        <v>1700</v>
      </c>
      <c r="AO2697" t="s">
        <v>118</v>
      </c>
      <c r="AP2697">
        <v>-65</v>
      </c>
      <c r="AQ2697">
        <v>-54</v>
      </c>
      <c r="AR2697">
        <v>-1280</v>
      </c>
      <c r="AZ2697">
        <v>7700</v>
      </c>
      <c r="BA2697">
        <v>1</v>
      </c>
      <c r="BB2697" t="str">
        <f t="shared" si="792"/>
        <v xml:space="preserve">N733KP  </v>
      </c>
      <c r="BC2697">
        <v>1</v>
      </c>
      <c r="BE2697">
        <v>0</v>
      </c>
      <c r="BF2697">
        <v>0</v>
      </c>
      <c r="BG2697">
        <v>1</v>
      </c>
      <c r="BH2697">
        <v>1750</v>
      </c>
      <c r="BI2697">
        <v>1</v>
      </c>
      <c r="BJ2697">
        <v>1</v>
      </c>
      <c r="BK2697">
        <v>0</v>
      </c>
      <c r="BL2697">
        <v>0</v>
      </c>
      <c r="BO2697">
        <v>0</v>
      </c>
      <c r="BP2697">
        <v>0</v>
      </c>
      <c r="BW2697" t="str">
        <f>"22:21:26.803"</f>
        <v>22:21:26.803</v>
      </c>
      <c r="CJ2697">
        <v>0</v>
      </c>
      <c r="CK2697">
        <v>2</v>
      </c>
      <c r="CL2697">
        <v>0</v>
      </c>
      <c r="CM2697">
        <v>2</v>
      </c>
      <c r="CN2697">
        <v>0</v>
      </c>
      <c r="CO2697">
        <v>7</v>
      </c>
      <c r="CP2697" t="s">
        <v>119</v>
      </c>
      <c r="CQ2697">
        <v>364</v>
      </c>
      <c r="CR2697">
        <v>0</v>
      </c>
      <c r="CW2697">
        <v>1470622</v>
      </c>
      <c r="CY2697">
        <v>1</v>
      </c>
      <c r="CZ2697">
        <v>0</v>
      </c>
      <c r="DA2697">
        <v>0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3">
      <c r="A2698" t="str">
        <f>"03/24/2022 22:21:27.007"</f>
        <v>03/24/2022 22:21:27.007</v>
      </c>
      <c r="C2698" t="str">
        <f t="shared" si="791"/>
        <v>FFDFD3C0</v>
      </c>
      <c r="D2698" t="s">
        <v>113</v>
      </c>
      <c r="E2698">
        <v>24</v>
      </c>
      <c r="F2698">
        <v>2024</v>
      </c>
      <c r="G2698" t="s">
        <v>114</v>
      </c>
      <c r="J2698" t="s">
        <v>115</v>
      </c>
      <c r="K2698">
        <v>0</v>
      </c>
      <c r="L2698">
        <v>3</v>
      </c>
      <c r="M2698">
        <v>0</v>
      </c>
      <c r="N2698">
        <v>2</v>
      </c>
      <c r="O2698">
        <v>0</v>
      </c>
      <c r="P2698">
        <v>1</v>
      </c>
      <c r="Q2698">
        <v>0</v>
      </c>
      <c r="S2698" t="str">
        <f t="shared" si="806"/>
        <v>22:21:26.000</v>
      </c>
      <c r="T2698" t="str">
        <f t="shared" si="806"/>
        <v>22:21:26.000</v>
      </c>
      <c r="U2698" t="str">
        <f t="shared" si="804"/>
        <v>A9D71F</v>
      </c>
      <c r="V2698">
        <v>0</v>
      </c>
      <c r="W2698">
        <v>0</v>
      </c>
      <c r="X2698">
        <v>2</v>
      </c>
      <c r="Z2698">
        <v>1</v>
      </c>
      <c r="AA2698">
        <v>8</v>
      </c>
      <c r="AB2698">
        <v>3</v>
      </c>
      <c r="AC2698">
        <v>0</v>
      </c>
      <c r="AD2698">
        <v>8</v>
      </c>
      <c r="AE2698">
        <v>0</v>
      </c>
      <c r="AF2698">
        <v>3</v>
      </c>
      <c r="AG2698">
        <v>1</v>
      </c>
      <c r="AH2698">
        <v>0</v>
      </c>
      <c r="AI2698" t="s">
        <v>1365</v>
      </c>
      <c r="AJ2698">
        <v>33.008552000000002</v>
      </c>
      <c r="AK2698" t="s">
        <v>1366</v>
      </c>
      <c r="AL2698">
        <v>-97.658328999999995</v>
      </c>
      <c r="AM2698">
        <v>25</v>
      </c>
      <c r="AN2698">
        <v>1700</v>
      </c>
      <c r="AO2698" t="s">
        <v>118</v>
      </c>
      <c r="AP2698">
        <v>-65</v>
      </c>
      <c r="AQ2698">
        <v>-54</v>
      </c>
      <c r="AR2698">
        <v>-1280</v>
      </c>
      <c r="AZ2698">
        <v>7700</v>
      </c>
      <c r="BA2698">
        <v>1</v>
      </c>
      <c r="BB2698" t="str">
        <f t="shared" si="792"/>
        <v xml:space="preserve">N733KP  </v>
      </c>
      <c r="BC2698">
        <v>1</v>
      </c>
      <c r="BE2698">
        <v>0</v>
      </c>
      <c r="BF2698">
        <v>0</v>
      </c>
      <c r="BG2698">
        <v>1</v>
      </c>
      <c r="BH2698">
        <v>1750</v>
      </c>
      <c r="BI2698">
        <v>1</v>
      </c>
      <c r="BJ2698">
        <v>1</v>
      </c>
      <c r="BK2698">
        <v>0</v>
      </c>
      <c r="BL2698">
        <v>0</v>
      </c>
      <c r="BO2698">
        <v>0</v>
      </c>
      <c r="BP2698">
        <v>0</v>
      </c>
      <c r="BW2698" t="str">
        <f>"22:21:26.803"</f>
        <v>22:21:26.803</v>
      </c>
      <c r="CJ2698">
        <v>0</v>
      </c>
      <c r="CK2698">
        <v>2</v>
      </c>
      <c r="CL2698">
        <v>0</v>
      </c>
      <c r="CM2698">
        <v>2</v>
      </c>
      <c r="CN2698">
        <v>0</v>
      </c>
      <c r="CO2698">
        <v>7</v>
      </c>
      <c r="CP2698" t="s">
        <v>119</v>
      </c>
      <c r="CQ2698">
        <v>364</v>
      </c>
      <c r="CR2698">
        <v>0</v>
      </c>
      <c r="CW2698">
        <v>1470622</v>
      </c>
      <c r="CY2698">
        <v>1</v>
      </c>
      <c r="CZ2698">
        <v>0</v>
      </c>
      <c r="DA2698">
        <v>1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3">
      <c r="A2699" t="str">
        <f>"03/24/2022 22:21:27.007"</f>
        <v>03/24/2022 22:21:27.007</v>
      </c>
      <c r="C2699" t="str">
        <f t="shared" si="791"/>
        <v>FFDFD3C0</v>
      </c>
      <c r="D2699" t="s">
        <v>120</v>
      </c>
      <c r="E2699">
        <v>14</v>
      </c>
      <c r="F2699">
        <v>1014</v>
      </c>
      <c r="G2699" t="s">
        <v>121</v>
      </c>
      <c r="J2699" t="s">
        <v>122</v>
      </c>
      <c r="K2699">
        <v>0</v>
      </c>
      <c r="L2699">
        <v>3</v>
      </c>
      <c r="M2699">
        <v>0</v>
      </c>
      <c r="N2699">
        <v>2</v>
      </c>
      <c r="O2699">
        <v>0</v>
      </c>
      <c r="P2699">
        <v>1</v>
      </c>
      <c r="Q2699">
        <v>0</v>
      </c>
      <c r="S2699" t="str">
        <f t="shared" si="806"/>
        <v>22:21:26.000</v>
      </c>
      <c r="T2699" t="str">
        <f t="shared" si="806"/>
        <v>22:21:26.000</v>
      </c>
      <c r="U2699" t="str">
        <f t="shared" si="804"/>
        <v>A9D71F</v>
      </c>
      <c r="V2699">
        <v>0</v>
      </c>
      <c r="W2699">
        <v>0</v>
      </c>
      <c r="X2699">
        <v>2</v>
      </c>
      <c r="Z2699">
        <v>1</v>
      </c>
      <c r="AA2699">
        <v>8</v>
      </c>
      <c r="AB2699">
        <v>3</v>
      </c>
      <c r="AC2699">
        <v>0</v>
      </c>
      <c r="AD2699">
        <v>8</v>
      </c>
      <c r="AE2699">
        <v>0</v>
      </c>
      <c r="AF2699">
        <v>3</v>
      </c>
      <c r="AG2699">
        <v>1</v>
      </c>
      <c r="AH2699">
        <v>0</v>
      </c>
      <c r="AI2699" t="s">
        <v>1365</v>
      </c>
      <c r="AJ2699">
        <v>33.008552000000002</v>
      </c>
      <c r="AK2699" t="s">
        <v>1366</v>
      </c>
      <c r="AL2699">
        <v>-97.658328999999995</v>
      </c>
      <c r="AM2699">
        <v>25</v>
      </c>
      <c r="AN2699">
        <v>1700</v>
      </c>
      <c r="AO2699" t="s">
        <v>118</v>
      </c>
      <c r="AP2699">
        <v>-65</v>
      </c>
      <c r="AQ2699">
        <v>-54</v>
      </c>
      <c r="AR2699">
        <v>-1280</v>
      </c>
      <c r="AZ2699">
        <v>7700</v>
      </c>
      <c r="BA2699">
        <v>1</v>
      </c>
      <c r="BB2699" t="str">
        <f t="shared" si="792"/>
        <v xml:space="preserve">N733KP  </v>
      </c>
      <c r="BC2699">
        <v>1</v>
      </c>
      <c r="BE2699">
        <v>0</v>
      </c>
      <c r="BF2699">
        <v>0</v>
      </c>
      <c r="BG2699">
        <v>1</v>
      </c>
      <c r="BH2699">
        <v>1750</v>
      </c>
      <c r="BI2699">
        <v>1</v>
      </c>
      <c r="BJ2699">
        <v>1</v>
      </c>
      <c r="BK2699">
        <v>0</v>
      </c>
      <c r="BL2699">
        <v>0</v>
      </c>
      <c r="BO2699">
        <v>0</v>
      </c>
      <c r="BP2699">
        <v>0</v>
      </c>
      <c r="BW2699" t="str">
        <f>"22:21:26.803"</f>
        <v>22:21:26.803</v>
      </c>
      <c r="CJ2699">
        <v>0</v>
      </c>
      <c r="CK2699">
        <v>2</v>
      </c>
      <c r="CL2699">
        <v>0</v>
      </c>
      <c r="CM2699">
        <v>2</v>
      </c>
      <c r="CN2699">
        <v>0</v>
      </c>
      <c r="CO2699">
        <v>7</v>
      </c>
      <c r="CP2699" t="s">
        <v>119</v>
      </c>
      <c r="CQ2699">
        <v>364</v>
      </c>
      <c r="CR2699">
        <v>0</v>
      </c>
      <c r="CW2699">
        <v>1470622</v>
      </c>
      <c r="CY2699">
        <v>1</v>
      </c>
      <c r="CZ2699">
        <v>0</v>
      </c>
      <c r="DA2699">
        <v>1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3">
      <c r="A2700" t="str">
        <f>"03/24/2022 22:21:27.007"</f>
        <v>03/24/2022 22:21:27.007</v>
      </c>
      <c r="C2700" t="str">
        <f t="shared" si="791"/>
        <v>FFDFD3C0</v>
      </c>
      <c r="D2700" t="s">
        <v>126</v>
      </c>
      <c r="E2700">
        <v>3</v>
      </c>
      <c r="H2700">
        <v>160</v>
      </c>
      <c r="I2700" t="s">
        <v>121</v>
      </c>
      <c r="J2700" t="s">
        <v>127</v>
      </c>
      <c r="K2700">
        <v>0</v>
      </c>
      <c r="L2700">
        <v>3</v>
      </c>
      <c r="M2700">
        <v>0</v>
      </c>
      <c r="N2700">
        <v>2</v>
      </c>
      <c r="O2700">
        <v>0</v>
      </c>
      <c r="P2700">
        <v>1</v>
      </c>
      <c r="Q2700">
        <v>0</v>
      </c>
      <c r="S2700" t="str">
        <f t="shared" si="806"/>
        <v>22:21:26.000</v>
      </c>
      <c r="T2700" t="str">
        <f t="shared" si="806"/>
        <v>22:21:26.000</v>
      </c>
      <c r="U2700" t="str">
        <f t="shared" si="804"/>
        <v>A9D71F</v>
      </c>
      <c r="V2700">
        <v>0</v>
      </c>
      <c r="W2700">
        <v>0</v>
      </c>
      <c r="X2700">
        <v>2</v>
      </c>
      <c r="Z2700">
        <v>1</v>
      </c>
      <c r="AA2700">
        <v>8</v>
      </c>
      <c r="AB2700">
        <v>3</v>
      </c>
      <c r="AC2700">
        <v>0</v>
      </c>
      <c r="AD2700">
        <v>8</v>
      </c>
      <c r="AE2700">
        <v>0</v>
      </c>
      <c r="AF2700">
        <v>3</v>
      </c>
      <c r="AG2700">
        <v>1</v>
      </c>
      <c r="AH2700">
        <v>0</v>
      </c>
      <c r="AI2700" t="s">
        <v>1365</v>
      </c>
      <c r="AJ2700">
        <v>33.008552000000002</v>
      </c>
      <c r="AK2700" t="s">
        <v>1366</v>
      </c>
      <c r="AL2700">
        <v>-97.658328999999995</v>
      </c>
      <c r="AM2700">
        <v>25</v>
      </c>
      <c r="AN2700">
        <v>1700</v>
      </c>
      <c r="AO2700" t="s">
        <v>118</v>
      </c>
      <c r="AP2700">
        <v>-65</v>
      </c>
      <c r="AQ2700">
        <v>-54</v>
      </c>
      <c r="AR2700">
        <v>-1280</v>
      </c>
      <c r="AZ2700">
        <v>7700</v>
      </c>
      <c r="BA2700">
        <v>1</v>
      </c>
      <c r="BB2700" t="str">
        <f t="shared" si="792"/>
        <v xml:space="preserve">N733KP  </v>
      </c>
      <c r="BC2700">
        <v>1</v>
      </c>
      <c r="BE2700">
        <v>0</v>
      </c>
      <c r="BF2700">
        <v>0</v>
      </c>
      <c r="BG2700">
        <v>1</v>
      </c>
      <c r="BH2700">
        <v>1750</v>
      </c>
      <c r="BI2700">
        <v>1</v>
      </c>
      <c r="BJ2700">
        <v>1</v>
      </c>
      <c r="BK2700">
        <v>0</v>
      </c>
      <c r="BL2700">
        <v>0</v>
      </c>
      <c r="BO2700">
        <v>0</v>
      </c>
      <c r="BP2700">
        <v>0</v>
      </c>
      <c r="BW2700" t="str">
        <f>"22:21:26.803"</f>
        <v>22:21:26.803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7</v>
      </c>
      <c r="CP2700" t="s">
        <v>119</v>
      </c>
      <c r="CQ2700">
        <v>364</v>
      </c>
      <c r="CR2700">
        <v>0</v>
      </c>
      <c r="CW2700">
        <v>1470622</v>
      </c>
      <c r="CY2700">
        <v>1</v>
      </c>
      <c r="CZ2700">
        <v>0</v>
      </c>
      <c r="DA2700">
        <v>1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3">
      <c r="A2701" t="str">
        <f>"03/24/2022 22:21:27.836"</f>
        <v>03/24/2022 22:21:27.836</v>
      </c>
      <c r="C2701" t="str">
        <f t="shared" si="791"/>
        <v>FFDFD3C0</v>
      </c>
      <c r="D2701" t="s">
        <v>123</v>
      </c>
      <c r="E2701">
        <v>8</v>
      </c>
      <c r="H2701">
        <v>31</v>
      </c>
      <c r="I2701" t="s">
        <v>124</v>
      </c>
      <c r="J2701" t="s">
        <v>125</v>
      </c>
      <c r="K2701">
        <v>0</v>
      </c>
      <c r="L2701">
        <v>3</v>
      </c>
      <c r="M2701">
        <v>0</v>
      </c>
      <c r="N2701">
        <v>2</v>
      </c>
      <c r="O2701">
        <v>0</v>
      </c>
      <c r="P2701">
        <v>1</v>
      </c>
      <c r="Q2701">
        <v>0</v>
      </c>
      <c r="S2701" t="str">
        <f t="shared" ref="S2701:T2704" si="807">"22:21:27.000"</f>
        <v>22:21:27.000</v>
      </c>
      <c r="T2701" t="str">
        <f t="shared" si="807"/>
        <v>22:21:27.000</v>
      </c>
      <c r="U2701" t="str">
        <f t="shared" si="804"/>
        <v>A9D71F</v>
      </c>
      <c r="V2701">
        <v>0</v>
      </c>
      <c r="W2701">
        <v>0</v>
      </c>
      <c r="X2701">
        <v>2</v>
      </c>
      <c r="Z2701">
        <v>1</v>
      </c>
      <c r="AA2701">
        <v>8</v>
      </c>
      <c r="AB2701">
        <v>3</v>
      </c>
      <c r="AC2701">
        <v>0</v>
      </c>
      <c r="AD2701">
        <v>8</v>
      </c>
      <c r="AE2701">
        <v>0</v>
      </c>
      <c r="AF2701">
        <v>3</v>
      </c>
      <c r="AG2701">
        <v>1</v>
      </c>
      <c r="AH2701">
        <v>0</v>
      </c>
      <c r="AI2701" t="s">
        <v>1267</v>
      </c>
      <c r="AJ2701">
        <v>33.008443999999997</v>
      </c>
      <c r="AK2701" t="s">
        <v>1367</v>
      </c>
      <c r="AL2701">
        <v>-97.658737000000002</v>
      </c>
      <c r="AM2701">
        <v>25</v>
      </c>
      <c r="AN2701">
        <v>1700</v>
      </c>
      <c r="AO2701" t="s">
        <v>118</v>
      </c>
      <c r="AP2701">
        <v>-64</v>
      </c>
      <c r="AQ2701">
        <v>-53</v>
      </c>
      <c r="AR2701">
        <v>-1152</v>
      </c>
      <c r="AZ2701">
        <v>7700</v>
      </c>
      <c r="BA2701">
        <v>1</v>
      </c>
      <c r="BB2701" t="str">
        <f t="shared" si="792"/>
        <v xml:space="preserve">N733KP  </v>
      </c>
      <c r="BC2701">
        <v>1</v>
      </c>
      <c r="BE2701">
        <v>0</v>
      </c>
      <c r="BF2701">
        <v>0</v>
      </c>
      <c r="BG2701">
        <v>1</v>
      </c>
      <c r="BH2701">
        <v>1675</v>
      </c>
      <c r="BI2701">
        <v>1</v>
      </c>
      <c r="BJ2701">
        <v>1</v>
      </c>
      <c r="BK2701">
        <v>0</v>
      </c>
      <c r="BL2701">
        <v>0</v>
      </c>
      <c r="BO2701">
        <v>0</v>
      </c>
      <c r="BP2701">
        <v>0</v>
      </c>
      <c r="BW2701" t="str">
        <f>"22:21:27.684"</f>
        <v>22:21:27.684</v>
      </c>
      <c r="CJ2701">
        <v>0</v>
      </c>
      <c r="CK2701">
        <v>2</v>
      </c>
      <c r="CL2701">
        <v>0</v>
      </c>
      <c r="CM2701">
        <v>2</v>
      </c>
      <c r="CN2701">
        <v>0</v>
      </c>
      <c r="CO2701">
        <v>7</v>
      </c>
      <c r="CP2701" t="s">
        <v>119</v>
      </c>
      <c r="CQ2701">
        <v>364</v>
      </c>
      <c r="CR2701">
        <v>0</v>
      </c>
      <c r="CW2701">
        <v>1470758</v>
      </c>
      <c r="CY2701">
        <v>1</v>
      </c>
      <c r="CZ2701">
        <v>0</v>
      </c>
      <c r="DA2701">
        <v>0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3">
      <c r="A2702" t="str">
        <f>"03/24/2022 22:21:27.914"</f>
        <v>03/24/2022 22:21:27.914</v>
      </c>
      <c r="C2702" t="str">
        <f t="shared" si="791"/>
        <v>FFDFD3C0</v>
      </c>
      <c r="D2702" t="s">
        <v>113</v>
      </c>
      <c r="E2702">
        <v>24</v>
      </c>
      <c r="F2702">
        <v>2024</v>
      </c>
      <c r="G2702" t="s">
        <v>114</v>
      </c>
      <c r="J2702" t="s">
        <v>115</v>
      </c>
      <c r="K2702">
        <v>0</v>
      </c>
      <c r="L2702">
        <v>3</v>
      </c>
      <c r="M2702">
        <v>0</v>
      </c>
      <c r="N2702">
        <v>2</v>
      </c>
      <c r="O2702">
        <v>0</v>
      </c>
      <c r="P2702">
        <v>1</v>
      </c>
      <c r="Q2702">
        <v>0</v>
      </c>
      <c r="S2702" t="str">
        <f t="shared" si="807"/>
        <v>22:21:27.000</v>
      </c>
      <c r="T2702" t="str">
        <f t="shared" si="807"/>
        <v>22:21:27.000</v>
      </c>
      <c r="U2702" t="str">
        <f t="shared" si="804"/>
        <v>A9D71F</v>
      </c>
      <c r="V2702">
        <v>0</v>
      </c>
      <c r="W2702">
        <v>0</v>
      </c>
      <c r="X2702">
        <v>2</v>
      </c>
      <c r="Z2702">
        <v>1</v>
      </c>
      <c r="AA2702">
        <v>8</v>
      </c>
      <c r="AB2702">
        <v>3</v>
      </c>
      <c r="AC2702">
        <v>0</v>
      </c>
      <c r="AD2702">
        <v>8</v>
      </c>
      <c r="AE2702">
        <v>0</v>
      </c>
      <c r="AF2702">
        <v>3</v>
      </c>
      <c r="AG2702">
        <v>1</v>
      </c>
      <c r="AH2702">
        <v>0</v>
      </c>
      <c r="AI2702" t="s">
        <v>1267</v>
      </c>
      <c r="AJ2702">
        <v>33.008443999999997</v>
      </c>
      <c r="AK2702" t="s">
        <v>1367</v>
      </c>
      <c r="AL2702">
        <v>-97.658737000000002</v>
      </c>
      <c r="AM2702">
        <v>25</v>
      </c>
      <c r="AN2702">
        <v>1700</v>
      </c>
      <c r="AO2702" t="s">
        <v>118</v>
      </c>
      <c r="AP2702">
        <v>-64</v>
      </c>
      <c r="AQ2702">
        <v>-53</v>
      </c>
      <c r="AR2702">
        <v>-1152</v>
      </c>
      <c r="AZ2702">
        <v>7700</v>
      </c>
      <c r="BA2702">
        <v>1</v>
      </c>
      <c r="BB2702" t="str">
        <f t="shared" si="792"/>
        <v xml:space="preserve">N733KP  </v>
      </c>
      <c r="BC2702">
        <v>1</v>
      </c>
      <c r="BE2702">
        <v>0</v>
      </c>
      <c r="BF2702">
        <v>0</v>
      </c>
      <c r="BG2702">
        <v>1</v>
      </c>
      <c r="BH2702">
        <v>1675</v>
      </c>
      <c r="BI2702">
        <v>1</v>
      </c>
      <c r="BJ2702">
        <v>1</v>
      </c>
      <c r="BK2702">
        <v>0</v>
      </c>
      <c r="BL2702">
        <v>0</v>
      </c>
      <c r="BO2702">
        <v>0</v>
      </c>
      <c r="BP2702">
        <v>0</v>
      </c>
      <c r="BW2702" t="str">
        <f>"22:21:27.684"</f>
        <v>22:21:27.684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7</v>
      </c>
      <c r="CP2702" t="s">
        <v>119</v>
      </c>
      <c r="CQ2702">
        <v>364</v>
      </c>
      <c r="CR2702">
        <v>0</v>
      </c>
      <c r="CW2702">
        <v>1470758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3">
      <c r="A2703" t="str">
        <f>"03/24/2022 22:21:27.914"</f>
        <v>03/24/2022 22:21:27.914</v>
      </c>
      <c r="C2703" t="str">
        <f t="shared" si="791"/>
        <v>FFDFD3C0</v>
      </c>
      <c r="D2703" t="s">
        <v>120</v>
      </c>
      <c r="E2703">
        <v>14</v>
      </c>
      <c r="F2703">
        <v>1014</v>
      </c>
      <c r="G2703" t="s">
        <v>121</v>
      </c>
      <c r="J2703" t="s">
        <v>122</v>
      </c>
      <c r="K2703">
        <v>0</v>
      </c>
      <c r="L2703">
        <v>3</v>
      </c>
      <c r="M2703">
        <v>0</v>
      </c>
      <c r="N2703">
        <v>2</v>
      </c>
      <c r="O2703">
        <v>0</v>
      </c>
      <c r="P2703">
        <v>1</v>
      </c>
      <c r="Q2703">
        <v>0</v>
      </c>
      <c r="S2703" t="str">
        <f t="shared" si="807"/>
        <v>22:21:27.000</v>
      </c>
      <c r="T2703" t="str">
        <f t="shared" si="807"/>
        <v>22:21:27.000</v>
      </c>
      <c r="U2703" t="str">
        <f t="shared" si="804"/>
        <v>A9D71F</v>
      </c>
      <c r="V2703">
        <v>0</v>
      </c>
      <c r="W2703">
        <v>0</v>
      </c>
      <c r="X2703">
        <v>2</v>
      </c>
      <c r="Z2703">
        <v>1</v>
      </c>
      <c r="AA2703">
        <v>8</v>
      </c>
      <c r="AB2703">
        <v>3</v>
      </c>
      <c r="AC2703">
        <v>0</v>
      </c>
      <c r="AD2703">
        <v>8</v>
      </c>
      <c r="AE2703">
        <v>0</v>
      </c>
      <c r="AF2703">
        <v>3</v>
      </c>
      <c r="AG2703">
        <v>1</v>
      </c>
      <c r="AH2703">
        <v>0</v>
      </c>
      <c r="AI2703" t="s">
        <v>1267</v>
      </c>
      <c r="AJ2703">
        <v>33.008443999999997</v>
      </c>
      <c r="AK2703" t="s">
        <v>1367</v>
      </c>
      <c r="AL2703">
        <v>-97.658737000000002</v>
      </c>
      <c r="AM2703">
        <v>25</v>
      </c>
      <c r="AN2703">
        <v>1700</v>
      </c>
      <c r="AO2703" t="s">
        <v>118</v>
      </c>
      <c r="AP2703">
        <v>-64</v>
      </c>
      <c r="AQ2703">
        <v>-53</v>
      </c>
      <c r="AR2703">
        <v>-1152</v>
      </c>
      <c r="AZ2703">
        <v>7700</v>
      </c>
      <c r="BA2703">
        <v>1</v>
      </c>
      <c r="BB2703" t="str">
        <f t="shared" si="792"/>
        <v xml:space="preserve">N733KP  </v>
      </c>
      <c r="BC2703">
        <v>1</v>
      </c>
      <c r="BE2703">
        <v>0</v>
      </c>
      <c r="BF2703">
        <v>0</v>
      </c>
      <c r="BG2703">
        <v>1</v>
      </c>
      <c r="BH2703">
        <v>1675</v>
      </c>
      <c r="BI2703">
        <v>1</v>
      </c>
      <c r="BJ2703">
        <v>1</v>
      </c>
      <c r="BK2703">
        <v>0</v>
      </c>
      <c r="BL2703">
        <v>0</v>
      </c>
      <c r="BO2703">
        <v>0</v>
      </c>
      <c r="BP2703">
        <v>0</v>
      </c>
      <c r="BW2703" t="str">
        <f>"22:21:27.684"</f>
        <v>22:21:27.684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7</v>
      </c>
      <c r="CP2703" t="s">
        <v>119</v>
      </c>
      <c r="CQ2703">
        <v>364</v>
      </c>
      <c r="CR2703">
        <v>0</v>
      </c>
      <c r="CW2703">
        <v>1470758</v>
      </c>
      <c r="CY2703">
        <v>1</v>
      </c>
      <c r="CZ2703">
        <v>0</v>
      </c>
      <c r="DA2703">
        <v>1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3">
      <c r="A2704" t="str">
        <f>"03/24/2022 22:21:27.914"</f>
        <v>03/24/2022 22:21:27.914</v>
      </c>
      <c r="C2704" t="str">
        <f t="shared" si="791"/>
        <v>FFDFD3C0</v>
      </c>
      <c r="D2704" t="s">
        <v>126</v>
      </c>
      <c r="E2704">
        <v>3</v>
      </c>
      <c r="H2704">
        <v>160</v>
      </c>
      <c r="I2704" t="s">
        <v>121</v>
      </c>
      <c r="J2704" t="s">
        <v>127</v>
      </c>
      <c r="K2704">
        <v>0</v>
      </c>
      <c r="L2704">
        <v>3</v>
      </c>
      <c r="M2704">
        <v>0</v>
      </c>
      <c r="N2704">
        <v>2</v>
      </c>
      <c r="O2704">
        <v>0</v>
      </c>
      <c r="P2704">
        <v>1</v>
      </c>
      <c r="Q2704">
        <v>0</v>
      </c>
      <c r="S2704" t="str">
        <f t="shared" si="807"/>
        <v>22:21:27.000</v>
      </c>
      <c r="T2704" t="str">
        <f t="shared" si="807"/>
        <v>22:21:27.000</v>
      </c>
      <c r="U2704" t="str">
        <f t="shared" si="804"/>
        <v>A9D71F</v>
      </c>
      <c r="V2704">
        <v>0</v>
      </c>
      <c r="W2704">
        <v>0</v>
      </c>
      <c r="X2704">
        <v>2</v>
      </c>
      <c r="Z2704">
        <v>1</v>
      </c>
      <c r="AA2704">
        <v>8</v>
      </c>
      <c r="AB2704">
        <v>3</v>
      </c>
      <c r="AC2704">
        <v>0</v>
      </c>
      <c r="AD2704">
        <v>8</v>
      </c>
      <c r="AE2704">
        <v>0</v>
      </c>
      <c r="AF2704">
        <v>3</v>
      </c>
      <c r="AG2704">
        <v>1</v>
      </c>
      <c r="AH2704">
        <v>0</v>
      </c>
      <c r="AI2704" t="s">
        <v>1267</v>
      </c>
      <c r="AJ2704">
        <v>33.008443999999997</v>
      </c>
      <c r="AK2704" t="s">
        <v>1367</v>
      </c>
      <c r="AL2704">
        <v>-97.658737000000002</v>
      </c>
      <c r="AM2704">
        <v>25</v>
      </c>
      <c r="AN2704">
        <v>1700</v>
      </c>
      <c r="AO2704" t="s">
        <v>118</v>
      </c>
      <c r="AP2704">
        <v>-64</v>
      </c>
      <c r="AQ2704">
        <v>-53</v>
      </c>
      <c r="AR2704">
        <v>-1152</v>
      </c>
      <c r="AZ2704">
        <v>7700</v>
      </c>
      <c r="BA2704">
        <v>1</v>
      </c>
      <c r="BB2704" t="str">
        <f t="shared" si="792"/>
        <v xml:space="preserve">N733KP  </v>
      </c>
      <c r="BC2704">
        <v>1</v>
      </c>
      <c r="BE2704">
        <v>0</v>
      </c>
      <c r="BF2704">
        <v>0</v>
      </c>
      <c r="BG2704">
        <v>1</v>
      </c>
      <c r="BH2704">
        <v>1675</v>
      </c>
      <c r="BI2704">
        <v>1</v>
      </c>
      <c r="BJ2704">
        <v>1</v>
      </c>
      <c r="BK2704">
        <v>0</v>
      </c>
      <c r="BL2704">
        <v>0</v>
      </c>
      <c r="BO2704">
        <v>0</v>
      </c>
      <c r="BP2704">
        <v>0</v>
      </c>
      <c r="BW2704" t="str">
        <f>"22:21:27.684"</f>
        <v>22:21:27.684</v>
      </c>
      <c r="CJ2704">
        <v>0</v>
      </c>
      <c r="CK2704">
        <v>2</v>
      </c>
      <c r="CL2704">
        <v>0</v>
      </c>
      <c r="CM2704">
        <v>2</v>
      </c>
      <c r="CN2704">
        <v>0</v>
      </c>
      <c r="CO2704">
        <v>7</v>
      </c>
      <c r="CP2704" t="s">
        <v>119</v>
      </c>
      <c r="CQ2704">
        <v>364</v>
      </c>
      <c r="CR2704">
        <v>0</v>
      </c>
      <c r="CW2704">
        <v>1470758</v>
      </c>
      <c r="CY2704">
        <v>1</v>
      </c>
      <c r="CZ2704">
        <v>0</v>
      </c>
      <c r="DA2704">
        <v>1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3">
      <c r="A2705" t="str">
        <f>"03/24/2022 22:21:28.635"</f>
        <v>03/24/2022 22:21:28.635</v>
      </c>
      <c r="C2705" t="str">
        <f t="shared" si="791"/>
        <v>FFDFD3C0</v>
      </c>
      <c r="D2705" t="s">
        <v>123</v>
      </c>
      <c r="E2705">
        <v>8</v>
      </c>
      <c r="H2705">
        <v>31</v>
      </c>
      <c r="I2705" t="s">
        <v>124</v>
      </c>
      <c r="J2705" t="s">
        <v>125</v>
      </c>
      <c r="K2705">
        <v>0</v>
      </c>
      <c r="L2705">
        <v>3</v>
      </c>
      <c r="M2705">
        <v>0</v>
      </c>
      <c r="N2705">
        <v>2</v>
      </c>
      <c r="O2705">
        <v>0</v>
      </c>
      <c r="P2705">
        <v>1</v>
      </c>
      <c r="Q2705">
        <v>0</v>
      </c>
      <c r="S2705" t="str">
        <f t="shared" ref="S2705:T2708" si="808">"22:21:28.000"</f>
        <v>22:21:28.000</v>
      </c>
      <c r="T2705" t="str">
        <f t="shared" si="808"/>
        <v>22:21:28.000</v>
      </c>
      <c r="U2705" t="str">
        <f t="shared" si="804"/>
        <v>A9D71F</v>
      </c>
      <c r="V2705">
        <v>0</v>
      </c>
      <c r="W2705">
        <v>0</v>
      </c>
      <c r="X2705">
        <v>2</v>
      </c>
      <c r="Z2705">
        <v>1</v>
      </c>
      <c r="AA2705">
        <v>8</v>
      </c>
      <c r="AB2705">
        <v>3</v>
      </c>
      <c r="AC2705">
        <v>0</v>
      </c>
      <c r="AD2705">
        <v>8</v>
      </c>
      <c r="AE2705">
        <v>0</v>
      </c>
      <c r="AF2705">
        <v>3</v>
      </c>
      <c r="AG2705">
        <v>1</v>
      </c>
      <c r="AH2705">
        <v>0</v>
      </c>
      <c r="AI2705" t="s">
        <v>1368</v>
      </c>
      <c r="AJ2705">
        <v>33.008273000000003</v>
      </c>
      <c r="AK2705" t="s">
        <v>1327</v>
      </c>
      <c r="AL2705">
        <v>-97.659122999999994</v>
      </c>
      <c r="AM2705">
        <v>25</v>
      </c>
      <c r="AN2705">
        <v>1700</v>
      </c>
      <c r="AO2705" t="s">
        <v>118</v>
      </c>
      <c r="AP2705">
        <v>-62</v>
      </c>
      <c r="AQ2705">
        <v>-59</v>
      </c>
      <c r="AR2705">
        <v>-1088</v>
      </c>
      <c r="AZ2705">
        <v>7700</v>
      </c>
      <c r="BA2705">
        <v>1</v>
      </c>
      <c r="BB2705" t="str">
        <f t="shared" si="792"/>
        <v xml:space="preserve">N733KP  </v>
      </c>
      <c r="BC2705">
        <v>1</v>
      </c>
      <c r="BE2705">
        <v>0</v>
      </c>
      <c r="BF2705">
        <v>0</v>
      </c>
      <c r="BG2705">
        <v>1</v>
      </c>
      <c r="BH2705">
        <v>1675</v>
      </c>
      <c r="BI2705">
        <v>1</v>
      </c>
      <c r="BJ2705">
        <v>1</v>
      </c>
      <c r="BK2705">
        <v>0</v>
      </c>
      <c r="BL2705">
        <v>0</v>
      </c>
      <c r="BO2705">
        <v>0</v>
      </c>
      <c r="BP2705">
        <v>0</v>
      </c>
      <c r="BW2705" t="str">
        <f>"22:21:28.458"</f>
        <v>22:21:28.458</v>
      </c>
      <c r="CJ2705">
        <v>0</v>
      </c>
      <c r="CK2705">
        <v>2</v>
      </c>
      <c r="CL2705">
        <v>0</v>
      </c>
      <c r="CM2705">
        <v>2</v>
      </c>
      <c r="CN2705">
        <v>0</v>
      </c>
      <c r="CO2705">
        <v>6</v>
      </c>
      <c r="CP2705" t="s">
        <v>119</v>
      </c>
      <c r="CQ2705">
        <v>364</v>
      </c>
      <c r="CR2705">
        <v>0</v>
      </c>
      <c r="CW2705">
        <v>1470889</v>
      </c>
      <c r="CY2705">
        <v>1</v>
      </c>
      <c r="CZ2705">
        <v>0</v>
      </c>
      <c r="DA2705">
        <v>0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3">
      <c r="A2706" t="str">
        <f>"03/24/2022 22:21:28.635"</f>
        <v>03/24/2022 22:21:28.635</v>
      </c>
      <c r="C2706" t="str">
        <f t="shared" si="791"/>
        <v>FFDFD3C0</v>
      </c>
      <c r="D2706" t="s">
        <v>113</v>
      </c>
      <c r="E2706">
        <v>24</v>
      </c>
      <c r="F2706">
        <v>2024</v>
      </c>
      <c r="G2706" t="s">
        <v>114</v>
      </c>
      <c r="J2706" t="s">
        <v>115</v>
      </c>
      <c r="K2706">
        <v>0</v>
      </c>
      <c r="L2706">
        <v>3</v>
      </c>
      <c r="M2706">
        <v>0</v>
      </c>
      <c r="N2706">
        <v>2</v>
      </c>
      <c r="O2706">
        <v>0</v>
      </c>
      <c r="P2706">
        <v>1</v>
      </c>
      <c r="Q2706">
        <v>0</v>
      </c>
      <c r="S2706" t="str">
        <f t="shared" si="808"/>
        <v>22:21:28.000</v>
      </c>
      <c r="T2706" t="str">
        <f t="shared" si="808"/>
        <v>22:21:28.000</v>
      </c>
      <c r="U2706" t="str">
        <f t="shared" si="804"/>
        <v>A9D71F</v>
      </c>
      <c r="V2706">
        <v>0</v>
      </c>
      <c r="W2706">
        <v>0</v>
      </c>
      <c r="X2706">
        <v>2</v>
      </c>
      <c r="Z2706">
        <v>1</v>
      </c>
      <c r="AA2706">
        <v>8</v>
      </c>
      <c r="AB2706">
        <v>3</v>
      </c>
      <c r="AC2706">
        <v>0</v>
      </c>
      <c r="AD2706">
        <v>8</v>
      </c>
      <c r="AE2706">
        <v>0</v>
      </c>
      <c r="AF2706">
        <v>3</v>
      </c>
      <c r="AG2706">
        <v>1</v>
      </c>
      <c r="AH2706">
        <v>0</v>
      </c>
      <c r="AI2706" t="s">
        <v>1368</v>
      </c>
      <c r="AJ2706">
        <v>33.008273000000003</v>
      </c>
      <c r="AK2706" t="s">
        <v>1327</v>
      </c>
      <c r="AL2706">
        <v>-97.659122999999994</v>
      </c>
      <c r="AM2706">
        <v>25</v>
      </c>
      <c r="AN2706">
        <v>1700</v>
      </c>
      <c r="AO2706" t="s">
        <v>118</v>
      </c>
      <c r="AP2706">
        <v>-62</v>
      </c>
      <c r="AQ2706">
        <v>-59</v>
      </c>
      <c r="AR2706">
        <v>-1088</v>
      </c>
      <c r="AZ2706">
        <v>7700</v>
      </c>
      <c r="BA2706">
        <v>1</v>
      </c>
      <c r="BB2706" t="str">
        <f t="shared" si="792"/>
        <v xml:space="preserve">N733KP  </v>
      </c>
      <c r="BC2706">
        <v>1</v>
      </c>
      <c r="BE2706">
        <v>0</v>
      </c>
      <c r="BF2706">
        <v>0</v>
      </c>
      <c r="BG2706">
        <v>1</v>
      </c>
      <c r="BH2706">
        <v>1675</v>
      </c>
      <c r="BI2706">
        <v>1</v>
      </c>
      <c r="BJ2706">
        <v>1</v>
      </c>
      <c r="BK2706">
        <v>0</v>
      </c>
      <c r="BL2706">
        <v>0</v>
      </c>
      <c r="BO2706">
        <v>0</v>
      </c>
      <c r="BP2706">
        <v>0</v>
      </c>
      <c r="BW2706" t="str">
        <f>"22:21:28.458"</f>
        <v>22:21:28.458</v>
      </c>
      <c r="CJ2706">
        <v>0</v>
      </c>
      <c r="CK2706">
        <v>2</v>
      </c>
      <c r="CL2706">
        <v>0</v>
      </c>
      <c r="CM2706">
        <v>2</v>
      </c>
      <c r="CN2706">
        <v>0</v>
      </c>
      <c r="CO2706">
        <v>6</v>
      </c>
      <c r="CP2706" t="s">
        <v>119</v>
      </c>
      <c r="CQ2706">
        <v>364</v>
      </c>
      <c r="CR2706">
        <v>0</v>
      </c>
      <c r="CW2706">
        <v>1470889</v>
      </c>
      <c r="CY2706">
        <v>1</v>
      </c>
      <c r="CZ2706">
        <v>0</v>
      </c>
      <c r="DA2706">
        <v>1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3">
      <c r="A2707" t="str">
        <f>"03/24/2022 22:21:28.682"</f>
        <v>03/24/2022 22:21:28.682</v>
      </c>
      <c r="C2707" t="str">
        <f t="shared" si="791"/>
        <v>FFDFD3C0</v>
      </c>
      <c r="D2707" t="s">
        <v>120</v>
      </c>
      <c r="E2707">
        <v>14</v>
      </c>
      <c r="F2707">
        <v>1014</v>
      </c>
      <c r="G2707" t="s">
        <v>121</v>
      </c>
      <c r="J2707" t="s">
        <v>122</v>
      </c>
      <c r="K2707">
        <v>0</v>
      </c>
      <c r="L2707">
        <v>3</v>
      </c>
      <c r="M2707">
        <v>0</v>
      </c>
      <c r="N2707">
        <v>2</v>
      </c>
      <c r="O2707">
        <v>0</v>
      </c>
      <c r="P2707">
        <v>1</v>
      </c>
      <c r="Q2707">
        <v>0</v>
      </c>
      <c r="S2707" t="str">
        <f t="shared" si="808"/>
        <v>22:21:28.000</v>
      </c>
      <c r="T2707" t="str">
        <f t="shared" si="808"/>
        <v>22:21:28.000</v>
      </c>
      <c r="U2707" t="str">
        <f t="shared" si="804"/>
        <v>A9D71F</v>
      </c>
      <c r="V2707">
        <v>0</v>
      </c>
      <c r="W2707">
        <v>0</v>
      </c>
      <c r="X2707">
        <v>2</v>
      </c>
      <c r="Z2707">
        <v>1</v>
      </c>
      <c r="AA2707">
        <v>8</v>
      </c>
      <c r="AB2707">
        <v>3</v>
      </c>
      <c r="AC2707">
        <v>0</v>
      </c>
      <c r="AD2707">
        <v>8</v>
      </c>
      <c r="AE2707">
        <v>0</v>
      </c>
      <c r="AF2707">
        <v>3</v>
      </c>
      <c r="AG2707">
        <v>1</v>
      </c>
      <c r="AH2707">
        <v>0</v>
      </c>
      <c r="AI2707" t="s">
        <v>1368</v>
      </c>
      <c r="AJ2707">
        <v>33.008273000000003</v>
      </c>
      <c r="AK2707" t="s">
        <v>1327</v>
      </c>
      <c r="AL2707">
        <v>-97.659122999999994</v>
      </c>
      <c r="AM2707">
        <v>25</v>
      </c>
      <c r="AN2707">
        <v>1700</v>
      </c>
      <c r="AO2707" t="s">
        <v>118</v>
      </c>
      <c r="AP2707">
        <v>-62</v>
      </c>
      <c r="AQ2707">
        <v>-59</v>
      </c>
      <c r="AR2707">
        <v>-1088</v>
      </c>
      <c r="AZ2707">
        <v>7700</v>
      </c>
      <c r="BA2707">
        <v>1</v>
      </c>
      <c r="BB2707" t="str">
        <f t="shared" si="792"/>
        <v xml:space="preserve">N733KP  </v>
      </c>
      <c r="BC2707">
        <v>1</v>
      </c>
      <c r="BE2707">
        <v>0</v>
      </c>
      <c r="BF2707">
        <v>0</v>
      </c>
      <c r="BG2707">
        <v>1</v>
      </c>
      <c r="BH2707">
        <v>1675</v>
      </c>
      <c r="BI2707">
        <v>1</v>
      </c>
      <c r="BJ2707">
        <v>1</v>
      </c>
      <c r="BK2707">
        <v>0</v>
      </c>
      <c r="BL2707">
        <v>0</v>
      </c>
      <c r="BO2707">
        <v>0</v>
      </c>
      <c r="BP2707">
        <v>0</v>
      </c>
      <c r="BW2707" t="str">
        <f>"22:21:28.458"</f>
        <v>22:21:28.458</v>
      </c>
      <c r="CJ2707">
        <v>0</v>
      </c>
      <c r="CK2707">
        <v>2</v>
      </c>
      <c r="CL2707">
        <v>0</v>
      </c>
      <c r="CM2707">
        <v>2</v>
      </c>
      <c r="CN2707">
        <v>0</v>
      </c>
      <c r="CO2707">
        <v>6</v>
      </c>
      <c r="CP2707" t="s">
        <v>119</v>
      </c>
      <c r="CQ2707">
        <v>364</v>
      </c>
      <c r="CR2707">
        <v>0</v>
      </c>
      <c r="CW2707">
        <v>1470889</v>
      </c>
      <c r="CY2707">
        <v>1</v>
      </c>
      <c r="CZ2707">
        <v>0</v>
      </c>
      <c r="DA2707">
        <v>1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3">
      <c r="A2708" t="str">
        <f>"03/24/2022 22:21:28.697"</f>
        <v>03/24/2022 22:21:28.697</v>
      </c>
      <c r="C2708" t="str">
        <f t="shared" si="791"/>
        <v>FFDFD3C0</v>
      </c>
      <c r="D2708" t="s">
        <v>126</v>
      </c>
      <c r="E2708">
        <v>3</v>
      </c>
      <c r="H2708">
        <v>160</v>
      </c>
      <c r="I2708" t="s">
        <v>121</v>
      </c>
      <c r="J2708" t="s">
        <v>127</v>
      </c>
      <c r="K2708">
        <v>0</v>
      </c>
      <c r="L2708">
        <v>3</v>
      </c>
      <c r="M2708">
        <v>0</v>
      </c>
      <c r="N2708">
        <v>2</v>
      </c>
      <c r="O2708">
        <v>0</v>
      </c>
      <c r="P2708">
        <v>1</v>
      </c>
      <c r="Q2708">
        <v>0</v>
      </c>
      <c r="S2708" t="str">
        <f t="shared" si="808"/>
        <v>22:21:28.000</v>
      </c>
      <c r="T2708" t="str">
        <f t="shared" si="808"/>
        <v>22:21:28.000</v>
      </c>
      <c r="U2708" t="str">
        <f t="shared" si="804"/>
        <v>A9D71F</v>
      </c>
      <c r="V2708">
        <v>0</v>
      </c>
      <c r="W2708">
        <v>0</v>
      </c>
      <c r="X2708">
        <v>2</v>
      </c>
      <c r="Z2708">
        <v>1</v>
      </c>
      <c r="AA2708">
        <v>8</v>
      </c>
      <c r="AB2708">
        <v>3</v>
      </c>
      <c r="AC2708">
        <v>0</v>
      </c>
      <c r="AD2708">
        <v>8</v>
      </c>
      <c r="AE2708">
        <v>0</v>
      </c>
      <c r="AF2708">
        <v>3</v>
      </c>
      <c r="AG2708">
        <v>1</v>
      </c>
      <c r="AH2708">
        <v>0</v>
      </c>
      <c r="AI2708" t="s">
        <v>1368</v>
      </c>
      <c r="AJ2708">
        <v>33.008273000000003</v>
      </c>
      <c r="AK2708" t="s">
        <v>1327</v>
      </c>
      <c r="AL2708">
        <v>-97.659122999999994</v>
      </c>
      <c r="AM2708">
        <v>25</v>
      </c>
      <c r="AN2708">
        <v>1700</v>
      </c>
      <c r="AO2708" t="s">
        <v>118</v>
      </c>
      <c r="AP2708">
        <v>-62</v>
      </c>
      <c r="AQ2708">
        <v>-59</v>
      </c>
      <c r="AR2708">
        <v>-1088</v>
      </c>
      <c r="AZ2708">
        <v>7700</v>
      </c>
      <c r="BA2708">
        <v>1</v>
      </c>
      <c r="BB2708" t="str">
        <f t="shared" si="792"/>
        <v xml:space="preserve">N733KP  </v>
      </c>
      <c r="BC2708">
        <v>1</v>
      </c>
      <c r="BE2708">
        <v>0</v>
      </c>
      <c r="BF2708">
        <v>0</v>
      </c>
      <c r="BG2708">
        <v>1</v>
      </c>
      <c r="BH2708">
        <v>1675</v>
      </c>
      <c r="BI2708">
        <v>1</v>
      </c>
      <c r="BJ2708">
        <v>1</v>
      </c>
      <c r="BK2708">
        <v>0</v>
      </c>
      <c r="BL2708">
        <v>0</v>
      </c>
      <c r="BO2708">
        <v>0</v>
      </c>
      <c r="BP2708">
        <v>0</v>
      </c>
      <c r="BW2708" t="str">
        <f>"22:21:28.458"</f>
        <v>22:21:28.458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6</v>
      </c>
      <c r="CP2708" t="s">
        <v>119</v>
      </c>
      <c r="CQ2708">
        <v>364</v>
      </c>
      <c r="CR2708">
        <v>0</v>
      </c>
      <c r="CW2708">
        <v>1470889</v>
      </c>
      <c r="CY2708">
        <v>1</v>
      </c>
      <c r="CZ2708">
        <v>0</v>
      </c>
      <c r="DA2708">
        <v>1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3">
      <c r="A2709" t="str">
        <f>"03/24/2022 22:21:29.918"</f>
        <v>03/24/2022 22:21:29.918</v>
      </c>
      <c r="C2709" t="str">
        <f t="shared" si="791"/>
        <v>FFDFD3C0</v>
      </c>
      <c r="D2709" t="s">
        <v>123</v>
      </c>
      <c r="E2709">
        <v>8</v>
      </c>
      <c r="H2709">
        <v>31</v>
      </c>
      <c r="I2709" t="s">
        <v>124</v>
      </c>
      <c r="J2709" t="s">
        <v>125</v>
      </c>
      <c r="K2709">
        <v>0</v>
      </c>
      <c r="L2709">
        <v>3</v>
      </c>
      <c r="M2709">
        <v>0</v>
      </c>
      <c r="N2709">
        <v>2</v>
      </c>
      <c r="O2709">
        <v>0</v>
      </c>
      <c r="P2709">
        <v>1</v>
      </c>
      <c r="Q2709">
        <v>0</v>
      </c>
      <c r="S2709" t="str">
        <f t="shared" ref="S2709:T2712" si="809">"22:21:29.000"</f>
        <v>22:21:29.000</v>
      </c>
      <c r="T2709" t="str">
        <f t="shared" si="809"/>
        <v>22:21:29.000</v>
      </c>
      <c r="U2709" t="str">
        <f t="shared" si="804"/>
        <v>A9D71F</v>
      </c>
      <c r="V2709">
        <v>0</v>
      </c>
      <c r="W2709">
        <v>0</v>
      </c>
      <c r="X2709">
        <v>2</v>
      </c>
      <c r="Z2709">
        <v>1</v>
      </c>
      <c r="AA2709">
        <v>8</v>
      </c>
      <c r="AB2709">
        <v>3</v>
      </c>
      <c r="AC2709">
        <v>0</v>
      </c>
      <c r="AD2709">
        <v>8</v>
      </c>
      <c r="AE2709">
        <v>0</v>
      </c>
      <c r="AF2709">
        <v>3</v>
      </c>
      <c r="AG2709">
        <v>1</v>
      </c>
      <c r="AH2709">
        <v>0</v>
      </c>
      <c r="AI2709" t="s">
        <v>1369</v>
      </c>
      <c r="AJ2709">
        <v>33.008057999999998</v>
      </c>
      <c r="AK2709" t="s">
        <v>1370</v>
      </c>
      <c r="AL2709">
        <v>-97.659445000000005</v>
      </c>
      <c r="AM2709">
        <v>25</v>
      </c>
      <c r="AN2709">
        <v>1700</v>
      </c>
      <c r="AO2709" t="s">
        <v>118</v>
      </c>
      <c r="AP2709">
        <v>-61</v>
      </c>
      <c r="AQ2709">
        <v>-59</v>
      </c>
      <c r="AR2709">
        <v>-896</v>
      </c>
      <c r="AZ2709">
        <v>7700</v>
      </c>
      <c r="BA2709">
        <v>1</v>
      </c>
      <c r="BB2709" t="str">
        <f t="shared" si="792"/>
        <v xml:space="preserve">N733KP  </v>
      </c>
      <c r="BC2709">
        <v>1</v>
      </c>
      <c r="BE2709">
        <v>0</v>
      </c>
      <c r="BF2709">
        <v>0</v>
      </c>
      <c r="BG2709">
        <v>1</v>
      </c>
      <c r="BH2709">
        <v>1675</v>
      </c>
      <c r="BI2709">
        <v>1</v>
      </c>
      <c r="BJ2709">
        <v>1</v>
      </c>
      <c r="BK2709">
        <v>0</v>
      </c>
      <c r="BL2709">
        <v>0</v>
      </c>
      <c r="BO2709">
        <v>0</v>
      </c>
      <c r="BP2709">
        <v>0</v>
      </c>
      <c r="BW2709" t="str">
        <f>"22:21:29.731"</f>
        <v>22:21:29.731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6</v>
      </c>
      <c r="CP2709" t="s">
        <v>119</v>
      </c>
      <c r="CQ2709">
        <v>364</v>
      </c>
      <c r="CR2709">
        <v>0</v>
      </c>
      <c r="CW2709">
        <v>1471100</v>
      </c>
      <c r="CY2709">
        <v>1</v>
      </c>
      <c r="CZ2709">
        <v>0</v>
      </c>
      <c r="DA2709">
        <v>0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3">
      <c r="A2710" t="str">
        <f>"03/24/2022 22:21:29.918"</f>
        <v>03/24/2022 22:21:29.918</v>
      </c>
      <c r="C2710" t="str">
        <f t="shared" ref="C2710:C2773" si="810">"FFDFD3C0"</f>
        <v>FFDFD3C0</v>
      </c>
      <c r="D2710" t="s">
        <v>113</v>
      </c>
      <c r="E2710">
        <v>24</v>
      </c>
      <c r="F2710">
        <v>2024</v>
      </c>
      <c r="G2710" t="s">
        <v>114</v>
      </c>
      <c r="J2710" t="s">
        <v>115</v>
      </c>
      <c r="K2710">
        <v>0</v>
      </c>
      <c r="L2710">
        <v>3</v>
      </c>
      <c r="M2710">
        <v>0</v>
      </c>
      <c r="N2710">
        <v>2</v>
      </c>
      <c r="O2710">
        <v>0</v>
      </c>
      <c r="P2710">
        <v>1</v>
      </c>
      <c r="Q2710">
        <v>0</v>
      </c>
      <c r="S2710" t="str">
        <f t="shared" si="809"/>
        <v>22:21:29.000</v>
      </c>
      <c r="T2710" t="str">
        <f t="shared" si="809"/>
        <v>22:21:29.000</v>
      </c>
      <c r="U2710" t="str">
        <f t="shared" si="804"/>
        <v>A9D71F</v>
      </c>
      <c r="V2710">
        <v>0</v>
      </c>
      <c r="W2710">
        <v>0</v>
      </c>
      <c r="X2710">
        <v>2</v>
      </c>
      <c r="Z2710">
        <v>1</v>
      </c>
      <c r="AA2710">
        <v>8</v>
      </c>
      <c r="AB2710">
        <v>3</v>
      </c>
      <c r="AC2710">
        <v>0</v>
      </c>
      <c r="AD2710">
        <v>8</v>
      </c>
      <c r="AE2710">
        <v>0</v>
      </c>
      <c r="AF2710">
        <v>3</v>
      </c>
      <c r="AG2710">
        <v>1</v>
      </c>
      <c r="AH2710">
        <v>0</v>
      </c>
      <c r="AI2710" t="s">
        <v>1369</v>
      </c>
      <c r="AJ2710">
        <v>33.008057999999998</v>
      </c>
      <c r="AK2710" t="s">
        <v>1370</v>
      </c>
      <c r="AL2710">
        <v>-97.659445000000005</v>
      </c>
      <c r="AM2710">
        <v>25</v>
      </c>
      <c r="AN2710">
        <v>1700</v>
      </c>
      <c r="AO2710" t="s">
        <v>118</v>
      </c>
      <c r="AP2710">
        <v>-61</v>
      </c>
      <c r="AQ2710">
        <v>-59</v>
      </c>
      <c r="AR2710">
        <v>-896</v>
      </c>
      <c r="AZ2710">
        <v>7700</v>
      </c>
      <c r="BA2710">
        <v>1</v>
      </c>
      <c r="BB2710" t="str">
        <f t="shared" ref="BB2710:BB2773" si="811">"N733KP  "</f>
        <v xml:space="preserve">N733KP  </v>
      </c>
      <c r="BC2710">
        <v>1</v>
      </c>
      <c r="BE2710">
        <v>0</v>
      </c>
      <c r="BF2710">
        <v>0</v>
      </c>
      <c r="BG2710">
        <v>1</v>
      </c>
      <c r="BH2710">
        <v>1675</v>
      </c>
      <c r="BI2710">
        <v>1</v>
      </c>
      <c r="BJ2710">
        <v>1</v>
      </c>
      <c r="BK2710">
        <v>0</v>
      </c>
      <c r="BL2710">
        <v>0</v>
      </c>
      <c r="BO2710">
        <v>0</v>
      </c>
      <c r="BP2710">
        <v>0</v>
      </c>
      <c r="BW2710" t="str">
        <f>"22:21:29.731"</f>
        <v>22:21:29.731</v>
      </c>
      <c r="CJ2710">
        <v>0</v>
      </c>
      <c r="CK2710">
        <v>2</v>
      </c>
      <c r="CL2710">
        <v>0</v>
      </c>
      <c r="CM2710">
        <v>2</v>
      </c>
      <c r="CN2710">
        <v>0</v>
      </c>
      <c r="CO2710">
        <v>6</v>
      </c>
      <c r="CP2710" t="s">
        <v>119</v>
      </c>
      <c r="CQ2710">
        <v>364</v>
      </c>
      <c r="CR2710">
        <v>0</v>
      </c>
      <c r="CW2710">
        <v>1471100</v>
      </c>
      <c r="CY2710">
        <v>1</v>
      </c>
      <c r="CZ2710">
        <v>0</v>
      </c>
      <c r="DA2710">
        <v>1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3">
      <c r="A2711" t="str">
        <f>"03/24/2022 22:21:29.950"</f>
        <v>03/24/2022 22:21:29.950</v>
      </c>
      <c r="C2711" t="str">
        <f t="shared" si="810"/>
        <v>FFDFD3C0</v>
      </c>
      <c r="D2711" t="s">
        <v>120</v>
      </c>
      <c r="E2711">
        <v>14</v>
      </c>
      <c r="F2711">
        <v>1014</v>
      </c>
      <c r="G2711" t="s">
        <v>121</v>
      </c>
      <c r="J2711" t="s">
        <v>122</v>
      </c>
      <c r="K2711">
        <v>0</v>
      </c>
      <c r="L2711">
        <v>3</v>
      </c>
      <c r="M2711">
        <v>0</v>
      </c>
      <c r="N2711">
        <v>2</v>
      </c>
      <c r="O2711">
        <v>0</v>
      </c>
      <c r="P2711">
        <v>1</v>
      </c>
      <c r="Q2711">
        <v>0</v>
      </c>
      <c r="S2711" t="str">
        <f t="shared" si="809"/>
        <v>22:21:29.000</v>
      </c>
      <c r="T2711" t="str">
        <f t="shared" si="809"/>
        <v>22:21:29.000</v>
      </c>
      <c r="U2711" t="str">
        <f t="shared" si="804"/>
        <v>A9D71F</v>
      </c>
      <c r="V2711">
        <v>0</v>
      </c>
      <c r="W2711">
        <v>0</v>
      </c>
      <c r="X2711">
        <v>2</v>
      </c>
      <c r="Z2711">
        <v>1</v>
      </c>
      <c r="AA2711">
        <v>8</v>
      </c>
      <c r="AB2711">
        <v>3</v>
      </c>
      <c r="AC2711">
        <v>0</v>
      </c>
      <c r="AD2711">
        <v>8</v>
      </c>
      <c r="AE2711">
        <v>0</v>
      </c>
      <c r="AF2711">
        <v>3</v>
      </c>
      <c r="AG2711">
        <v>1</v>
      </c>
      <c r="AH2711">
        <v>0</v>
      </c>
      <c r="AI2711" t="s">
        <v>1369</v>
      </c>
      <c r="AJ2711">
        <v>33.008057999999998</v>
      </c>
      <c r="AK2711" t="s">
        <v>1370</v>
      </c>
      <c r="AL2711">
        <v>-97.659445000000005</v>
      </c>
      <c r="AM2711">
        <v>25</v>
      </c>
      <c r="AN2711">
        <v>1700</v>
      </c>
      <c r="AO2711" t="s">
        <v>118</v>
      </c>
      <c r="AP2711">
        <v>-61</v>
      </c>
      <c r="AQ2711">
        <v>-59</v>
      </c>
      <c r="AR2711">
        <v>-896</v>
      </c>
      <c r="AZ2711">
        <v>7700</v>
      </c>
      <c r="BA2711">
        <v>1</v>
      </c>
      <c r="BB2711" t="str">
        <f t="shared" si="811"/>
        <v xml:space="preserve">N733KP  </v>
      </c>
      <c r="BC2711">
        <v>1</v>
      </c>
      <c r="BE2711">
        <v>0</v>
      </c>
      <c r="BF2711">
        <v>0</v>
      </c>
      <c r="BG2711">
        <v>1</v>
      </c>
      <c r="BH2711">
        <v>1675</v>
      </c>
      <c r="BI2711">
        <v>1</v>
      </c>
      <c r="BJ2711">
        <v>1</v>
      </c>
      <c r="BK2711">
        <v>0</v>
      </c>
      <c r="BL2711">
        <v>0</v>
      </c>
      <c r="BO2711">
        <v>0</v>
      </c>
      <c r="BP2711">
        <v>0</v>
      </c>
      <c r="BW2711" t="str">
        <f>"22:21:29.731"</f>
        <v>22:21:29.731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6</v>
      </c>
      <c r="CP2711" t="s">
        <v>119</v>
      </c>
      <c r="CQ2711">
        <v>364</v>
      </c>
      <c r="CR2711">
        <v>0</v>
      </c>
      <c r="CW2711">
        <v>1471100</v>
      </c>
      <c r="CY2711">
        <v>1</v>
      </c>
      <c r="CZ2711">
        <v>0</v>
      </c>
      <c r="DA2711">
        <v>1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3">
      <c r="A2712" t="str">
        <f>"03/24/2022 22:21:29.950"</f>
        <v>03/24/2022 22:21:29.950</v>
      </c>
      <c r="C2712" t="str">
        <f t="shared" si="810"/>
        <v>FFDFD3C0</v>
      </c>
      <c r="D2712" t="s">
        <v>126</v>
      </c>
      <c r="E2712">
        <v>3</v>
      </c>
      <c r="H2712">
        <v>160</v>
      </c>
      <c r="I2712" t="s">
        <v>121</v>
      </c>
      <c r="J2712" t="s">
        <v>127</v>
      </c>
      <c r="K2712">
        <v>0</v>
      </c>
      <c r="L2712">
        <v>3</v>
      </c>
      <c r="M2712">
        <v>0</v>
      </c>
      <c r="N2712">
        <v>2</v>
      </c>
      <c r="O2712">
        <v>0</v>
      </c>
      <c r="P2712">
        <v>1</v>
      </c>
      <c r="Q2712">
        <v>0</v>
      </c>
      <c r="S2712" t="str">
        <f t="shared" si="809"/>
        <v>22:21:29.000</v>
      </c>
      <c r="T2712" t="str">
        <f t="shared" si="809"/>
        <v>22:21:29.000</v>
      </c>
      <c r="U2712" t="str">
        <f t="shared" si="804"/>
        <v>A9D71F</v>
      </c>
      <c r="V2712">
        <v>0</v>
      </c>
      <c r="W2712">
        <v>0</v>
      </c>
      <c r="X2712">
        <v>2</v>
      </c>
      <c r="Z2712">
        <v>1</v>
      </c>
      <c r="AA2712">
        <v>8</v>
      </c>
      <c r="AB2712">
        <v>3</v>
      </c>
      <c r="AC2712">
        <v>0</v>
      </c>
      <c r="AD2712">
        <v>8</v>
      </c>
      <c r="AE2712">
        <v>0</v>
      </c>
      <c r="AF2712">
        <v>3</v>
      </c>
      <c r="AG2712">
        <v>1</v>
      </c>
      <c r="AH2712">
        <v>0</v>
      </c>
      <c r="AI2712" t="s">
        <v>1369</v>
      </c>
      <c r="AJ2712">
        <v>33.008057999999998</v>
      </c>
      <c r="AK2712" t="s">
        <v>1370</v>
      </c>
      <c r="AL2712">
        <v>-97.659445000000005</v>
      </c>
      <c r="AM2712">
        <v>25</v>
      </c>
      <c r="AN2712">
        <v>1700</v>
      </c>
      <c r="AO2712" t="s">
        <v>118</v>
      </c>
      <c r="AP2712">
        <v>-61</v>
      </c>
      <c r="AQ2712">
        <v>-59</v>
      </c>
      <c r="AR2712">
        <v>-896</v>
      </c>
      <c r="AZ2712">
        <v>7700</v>
      </c>
      <c r="BA2712">
        <v>1</v>
      </c>
      <c r="BB2712" t="str">
        <f t="shared" si="811"/>
        <v xml:space="preserve">N733KP  </v>
      </c>
      <c r="BC2712">
        <v>1</v>
      </c>
      <c r="BE2712">
        <v>0</v>
      </c>
      <c r="BF2712">
        <v>0</v>
      </c>
      <c r="BG2712">
        <v>1</v>
      </c>
      <c r="BH2712">
        <v>1675</v>
      </c>
      <c r="BI2712">
        <v>1</v>
      </c>
      <c r="BJ2712">
        <v>1</v>
      </c>
      <c r="BK2712">
        <v>0</v>
      </c>
      <c r="BL2712">
        <v>0</v>
      </c>
      <c r="BO2712">
        <v>0</v>
      </c>
      <c r="BP2712">
        <v>0</v>
      </c>
      <c r="BW2712" t="str">
        <f>"22:21:29.731"</f>
        <v>22:21:29.731</v>
      </c>
      <c r="CJ2712">
        <v>0</v>
      </c>
      <c r="CK2712">
        <v>2</v>
      </c>
      <c r="CL2712">
        <v>0</v>
      </c>
      <c r="CM2712">
        <v>2</v>
      </c>
      <c r="CN2712">
        <v>0</v>
      </c>
      <c r="CO2712">
        <v>6</v>
      </c>
      <c r="CP2712" t="s">
        <v>119</v>
      </c>
      <c r="CQ2712">
        <v>364</v>
      </c>
      <c r="CR2712">
        <v>0</v>
      </c>
      <c r="CW2712">
        <v>1471100</v>
      </c>
      <c r="CY2712">
        <v>1</v>
      </c>
      <c r="CZ2712">
        <v>0</v>
      </c>
      <c r="DA2712">
        <v>1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3">
      <c r="A2713" t="str">
        <f>"03/24/2022 22:21:30.872"</f>
        <v>03/24/2022 22:21:30.872</v>
      </c>
      <c r="C2713" t="str">
        <f t="shared" si="810"/>
        <v>FFDFD3C0</v>
      </c>
      <c r="D2713" t="s">
        <v>123</v>
      </c>
      <c r="E2713">
        <v>8</v>
      </c>
      <c r="H2713">
        <v>31</v>
      </c>
      <c r="I2713" t="s">
        <v>124</v>
      </c>
      <c r="J2713" t="s">
        <v>125</v>
      </c>
      <c r="K2713">
        <v>0</v>
      </c>
      <c r="L2713">
        <v>3</v>
      </c>
      <c r="M2713">
        <v>0</v>
      </c>
      <c r="N2713">
        <v>2</v>
      </c>
      <c r="O2713">
        <v>0</v>
      </c>
      <c r="P2713">
        <v>1</v>
      </c>
      <c r="Q2713">
        <v>0</v>
      </c>
      <c r="S2713" t="str">
        <f t="shared" ref="S2713:T2716" si="812">"22:21:30.000"</f>
        <v>22:21:30.000</v>
      </c>
      <c r="T2713" t="str">
        <f t="shared" si="812"/>
        <v>22:21:30.000</v>
      </c>
      <c r="U2713" t="str">
        <f t="shared" si="804"/>
        <v>A9D71F</v>
      </c>
      <c r="V2713">
        <v>0</v>
      </c>
      <c r="W2713">
        <v>0</v>
      </c>
      <c r="X2713">
        <v>2</v>
      </c>
      <c r="Z2713">
        <v>1</v>
      </c>
      <c r="AA2713">
        <v>8</v>
      </c>
      <c r="AB2713">
        <v>3</v>
      </c>
      <c r="AC2713">
        <v>0</v>
      </c>
      <c r="AD2713">
        <v>9</v>
      </c>
      <c r="AE2713">
        <v>0</v>
      </c>
      <c r="AF2713">
        <v>3</v>
      </c>
      <c r="AG2713">
        <v>1</v>
      </c>
      <c r="AH2713">
        <v>0</v>
      </c>
      <c r="AI2713" t="s">
        <v>1183</v>
      </c>
      <c r="AJ2713">
        <v>33.007758000000003</v>
      </c>
      <c r="AK2713" t="s">
        <v>1243</v>
      </c>
      <c r="AL2713">
        <v>-97.659809999999993</v>
      </c>
      <c r="AM2713">
        <v>25</v>
      </c>
      <c r="AN2713">
        <v>1700</v>
      </c>
      <c r="AO2713" t="s">
        <v>118</v>
      </c>
      <c r="AP2713">
        <v>-58</v>
      </c>
      <c r="AQ2713">
        <v>-62</v>
      </c>
      <c r="AR2713">
        <v>-896</v>
      </c>
      <c r="AZ2713">
        <v>7700</v>
      </c>
      <c r="BA2713">
        <v>1</v>
      </c>
      <c r="BB2713" t="str">
        <f t="shared" si="811"/>
        <v xml:space="preserve">N733KP  </v>
      </c>
      <c r="BC2713">
        <v>1</v>
      </c>
      <c r="BE2713">
        <v>0</v>
      </c>
      <c r="BF2713">
        <v>0</v>
      </c>
      <c r="BG2713">
        <v>1</v>
      </c>
      <c r="BH2713">
        <v>1650</v>
      </c>
      <c r="BI2713">
        <v>1</v>
      </c>
      <c r="BJ2713">
        <v>1</v>
      </c>
      <c r="BK2713">
        <v>0</v>
      </c>
      <c r="BL2713">
        <v>0</v>
      </c>
      <c r="BO2713">
        <v>0</v>
      </c>
      <c r="BP2713">
        <v>0</v>
      </c>
      <c r="BW2713" t="str">
        <f>"22:21:30.700"</f>
        <v>22:21:30.700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7</v>
      </c>
      <c r="CP2713" t="s">
        <v>119</v>
      </c>
      <c r="CQ2713">
        <v>364</v>
      </c>
      <c r="CR2713">
        <v>0</v>
      </c>
      <c r="CW2713">
        <v>1471262</v>
      </c>
      <c r="CY2713">
        <v>1</v>
      </c>
      <c r="CZ2713">
        <v>0</v>
      </c>
      <c r="DA2713">
        <v>0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3">
      <c r="A2714" t="str">
        <f>"03/24/2022 22:21:30.887"</f>
        <v>03/24/2022 22:21:30.887</v>
      </c>
      <c r="C2714" t="str">
        <f t="shared" si="810"/>
        <v>FFDFD3C0</v>
      </c>
      <c r="D2714" t="s">
        <v>113</v>
      </c>
      <c r="E2714">
        <v>24</v>
      </c>
      <c r="F2714">
        <v>2024</v>
      </c>
      <c r="G2714" t="s">
        <v>114</v>
      </c>
      <c r="J2714" t="s">
        <v>115</v>
      </c>
      <c r="K2714">
        <v>0</v>
      </c>
      <c r="L2714">
        <v>3</v>
      </c>
      <c r="M2714">
        <v>0</v>
      </c>
      <c r="N2714">
        <v>2</v>
      </c>
      <c r="O2714">
        <v>0</v>
      </c>
      <c r="P2714">
        <v>1</v>
      </c>
      <c r="Q2714">
        <v>0</v>
      </c>
      <c r="S2714" t="str">
        <f t="shared" si="812"/>
        <v>22:21:30.000</v>
      </c>
      <c r="T2714" t="str">
        <f t="shared" si="812"/>
        <v>22:21:30.000</v>
      </c>
      <c r="U2714" t="str">
        <f t="shared" si="804"/>
        <v>A9D71F</v>
      </c>
      <c r="V2714">
        <v>0</v>
      </c>
      <c r="W2714">
        <v>0</v>
      </c>
      <c r="X2714">
        <v>2</v>
      </c>
      <c r="Z2714">
        <v>1</v>
      </c>
      <c r="AA2714">
        <v>8</v>
      </c>
      <c r="AB2714">
        <v>3</v>
      </c>
      <c r="AC2714">
        <v>0</v>
      </c>
      <c r="AD2714">
        <v>9</v>
      </c>
      <c r="AE2714">
        <v>0</v>
      </c>
      <c r="AF2714">
        <v>3</v>
      </c>
      <c r="AG2714">
        <v>1</v>
      </c>
      <c r="AH2714">
        <v>0</v>
      </c>
      <c r="AI2714" t="s">
        <v>1183</v>
      </c>
      <c r="AJ2714">
        <v>33.007758000000003</v>
      </c>
      <c r="AK2714" t="s">
        <v>1243</v>
      </c>
      <c r="AL2714">
        <v>-97.659809999999993</v>
      </c>
      <c r="AM2714">
        <v>25</v>
      </c>
      <c r="AN2714">
        <v>1700</v>
      </c>
      <c r="AO2714" t="s">
        <v>118</v>
      </c>
      <c r="AP2714">
        <v>-58</v>
      </c>
      <c r="AQ2714">
        <v>-62</v>
      </c>
      <c r="AR2714">
        <v>-896</v>
      </c>
      <c r="AZ2714">
        <v>7700</v>
      </c>
      <c r="BA2714">
        <v>1</v>
      </c>
      <c r="BB2714" t="str">
        <f t="shared" si="811"/>
        <v xml:space="preserve">N733KP  </v>
      </c>
      <c r="BC2714">
        <v>1</v>
      </c>
      <c r="BE2714">
        <v>0</v>
      </c>
      <c r="BF2714">
        <v>0</v>
      </c>
      <c r="BG2714">
        <v>1</v>
      </c>
      <c r="BH2714">
        <v>1650</v>
      </c>
      <c r="BI2714">
        <v>1</v>
      </c>
      <c r="BJ2714">
        <v>1</v>
      </c>
      <c r="BK2714">
        <v>0</v>
      </c>
      <c r="BL2714">
        <v>0</v>
      </c>
      <c r="BO2714">
        <v>0</v>
      </c>
      <c r="BP2714">
        <v>0</v>
      </c>
      <c r="BW2714" t="str">
        <f>"22:21:30.700"</f>
        <v>22:21:30.700</v>
      </c>
      <c r="CJ2714">
        <v>0</v>
      </c>
      <c r="CK2714">
        <v>2</v>
      </c>
      <c r="CL2714">
        <v>0</v>
      </c>
      <c r="CM2714">
        <v>2</v>
      </c>
      <c r="CN2714">
        <v>0</v>
      </c>
      <c r="CO2714">
        <v>7</v>
      </c>
      <c r="CP2714" t="s">
        <v>119</v>
      </c>
      <c r="CQ2714">
        <v>364</v>
      </c>
      <c r="CR2714">
        <v>0</v>
      </c>
      <c r="CW2714">
        <v>1471262</v>
      </c>
      <c r="CY2714">
        <v>1</v>
      </c>
      <c r="CZ2714">
        <v>0</v>
      </c>
      <c r="DA2714">
        <v>1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3">
      <c r="A2715" t="str">
        <f>"03/24/2022 22:21:30.887"</f>
        <v>03/24/2022 22:21:30.887</v>
      </c>
      <c r="C2715" t="str">
        <f t="shared" si="810"/>
        <v>FFDFD3C0</v>
      </c>
      <c r="D2715" t="s">
        <v>120</v>
      </c>
      <c r="E2715">
        <v>14</v>
      </c>
      <c r="F2715">
        <v>1014</v>
      </c>
      <c r="G2715" t="s">
        <v>121</v>
      </c>
      <c r="J2715" t="s">
        <v>122</v>
      </c>
      <c r="K2715">
        <v>0</v>
      </c>
      <c r="L2715">
        <v>3</v>
      </c>
      <c r="M2715">
        <v>0</v>
      </c>
      <c r="N2715">
        <v>2</v>
      </c>
      <c r="O2715">
        <v>0</v>
      </c>
      <c r="P2715">
        <v>1</v>
      </c>
      <c r="Q2715">
        <v>0</v>
      </c>
      <c r="S2715" t="str">
        <f t="shared" si="812"/>
        <v>22:21:30.000</v>
      </c>
      <c r="T2715" t="str">
        <f t="shared" si="812"/>
        <v>22:21:30.000</v>
      </c>
      <c r="U2715" t="str">
        <f t="shared" si="804"/>
        <v>A9D71F</v>
      </c>
      <c r="V2715">
        <v>0</v>
      </c>
      <c r="W2715">
        <v>0</v>
      </c>
      <c r="X2715">
        <v>2</v>
      </c>
      <c r="Z2715">
        <v>1</v>
      </c>
      <c r="AA2715">
        <v>8</v>
      </c>
      <c r="AB2715">
        <v>3</v>
      </c>
      <c r="AC2715">
        <v>0</v>
      </c>
      <c r="AD2715">
        <v>9</v>
      </c>
      <c r="AE2715">
        <v>0</v>
      </c>
      <c r="AF2715">
        <v>3</v>
      </c>
      <c r="AG2715">
        <v>1</v>
      </c>
      <c r="AH2715">
        <v>0</v>
      </c>
      <c r="AI2715" t="s">
        <v>1183</v>
      </c>
      <c r="AJ2715">
        <v>33.007758000000003</v>
      </c>
      <c r="AK2715" t="s">
        <v>1243</v>
      </c>
      <c r="AL2715">
        <v>-97.659809999999993</v>
      </c>
      <c r="AM2715">
        <v>25</v>
      </c>
      <c r="AN2715">
        <v>1700</v>
      </c>
      <c r="AO2715" t="s">
        <v>118</v>
      </c>
      <c r="AP2715">
        <v>-58</v>
      </c>
      <c r="AQ2715">
        <v>-62</v>
      </c>
      <c r="AR2715">
        <v>-896</v>
      </c>
      <c r="AZ2715">
        <v>7700</v>
      </c>
      <c r="BA2715">
        <v>1</v>
      </c>
      <c r="BB2715" t="str">
        <f t="shared" si="811"/>
        <v xml:space="preserve">N733KP  </v>
      </c>
      <c r="BC2715">
        <v>1</v>
      </c>
      <c r="BE2715">
        <v>0</v>
      </c>
      <c r="BF2715">
        <v>0</v>
      </c>
      <c r="BG2715">
        <v>1</v>
      </c>
      <c r="BH2715">
        <v>1650</v>
      </c>
      <c r="BI2715">
        <v>1</v>
      </c>
      <c r="BJ2715">
        <v>1</v>
      </c>
      <c r="BK2715">
        <v>0</v>
      </c>
      <c r="BL2715">
        <v>0</v>
      </c>
      <c r="BO2715">
        <v>0</v>
      </c>
      <c r="BP2715">
        <v>0</v>
      </c>
      <c r="BW2715" t="str">
        <f>"22:21:30.700"</f>
        <v>22:21:30.700</v>
      </c>
      <c r="CJ2715">
        <v>0</v>
      </c>
      <c r="CK2715">
        <v>2</v>
      </c>
      <c r="CL2715">
        <v>0</v>
      </c>
      <c r="CM2715">
        <v>2</v>
      </c>
      <c r="CN2715">
        <v>0</v>
      </c>
      <c r="CO2715">
        <v>7</v>
      </c>
      <c r="CP2715" t="s">
        <v>119</v>
      </c>
      <c r="CQ2715">
        <v>364</v>
      </c>
      <c r="CR2715">
        <v>0</v>
      </c>
      <c r="CW2715">
        <v>1471262</v>
      </c>
      <c r="CY2715">
        <v>1</v>
      </c>
      <c r="CZ2715">
        <v>0</v>
      </c>
      <c r="DA2715">
        <v>1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3">
      <c r="A2716" t="str">
        <f>"03/24/2022 22:21:30.887"</f>
        <v>03/24/2022 22:21:30.887</v>
      </c>
      <c r="C2716" t="str">
        <f t="shared" si="810"/>
        <v>FFDFD3C0</v>
      </c>
      <c r="D2716" t="s">
        <v>126</v>
      </c>
      <c r="E2716">
        <v>3</v>
      </c>
      <c r="H2716">
        <v>160</v>
      </c>
      <c r="I2716" t="s">
        <v>121</v>
      </c>
      <c r="J2716" t="s">
        <v>127</v>
      </c>
      <c r="K2716">
        <v>0</v>
      </c>
      <c r="L2716">
        <v>3</v>
      </c>
      <c r="M2716">
        <v>0</v>
      </c>
      <c r="N2716">
        <v>2</v>
      </c>
      <c r="O2716">
        <v>0</v>
      </c>
      <c r="P2716">
        <v>1</v>
      </c>
      <c r="Q2716">
        <v>0</v>
      </c>
      <c r="S2716" t="str">
        <f t="shared" si="812"/>
        <v>22:21:30.000</v>
      </c>
      <c r="T2716" t="str">
        <f t="shared" si="812"/>
        <v>22:21:30.000</v>
      </c>
      <c r="U2716" t="str">
        <f t="shared" si="804"/>
        <v>A9D71F</v>
      </c>
      <c r="V2716">
        <v>0</v>
      </c>
      <c r="W2716">
        <v>0</v>
      </c>
      <c r="X2716">
        <v>2</v>
      </c>
      <c r="Z2716">
        <v>1</v>
      </c>
      <c r="AA2716">
        <v>8</v>
      </c>
      <c r="AB2716">
        <v>3</v>
      </c>
      <c r="AC2716">
        <v>0</v>
      </c>
      <c r="AD2716">
        <v>9</v>
      </c>
      <c r="AE2716">
        <v>0</v>
      </c>
      <c r="AF2716">
        <v>3</v>
      </c>
      <c r="AG2716">
        <v>1</v>
      </c>
      <c r="AH2716">
        <v>0</v>
      </c>
      <c r="AI2716" t="s">
        <v>1183</v>
      </c>
      <c r="AJ2716">
        <v>33.007758000000003</v>
      </c>
      <c r="AK2716" t="s">
        <v>1243</v>
      </c>
      <c r="AL2716">
        <v>-97.659809999999993</v>
      </c>
      <c r="AM2716">
        <v>25</v>
      </c>
      <c r="AN2716">
        <v>1700</v>
      </c>
      <c r="AO2716" t="s">
        <v>118</v>
      </c>
      <c r="AP2716">
        <v>-58</v>
      </c>
      <c r="AQ2716">
        <v>-62</v>
      </c>
      <c r="AR2716">
        <v>-896</v>
      </c>
      <c r="AZ2716">
        <v>7700</v>
      </c>
      <c r="BA2716">
        <v>1</v>
      </c>
      <c r="BB2716" t="str">
        <f t="shared" si="811"/>
        <v xml:space="preserve">N733KP  </v>
      </c>
      <c r="BC2716">
        <v>1</v>
      </c>
      <c r="BE2716">
        <v>0</v>
      </c>
      <c r="BF2716">
        <v>0</v>
      </c>
      <c r="BG2716">
        <v>1</v>
      </c>
      <c r="BH2716">
        <v>1650</v>
      </c>
      <c r="BI2716">
        <v>1</v>
      </c>
      <c r="BJ2716">
        <v>1</v>
      </c>
      <c r="BK2716">
        <v>0</v>
      </c>
      <c r="BL2716">
        <v>0</v>
      </c>
      <c r="BO2716">
        <v>0</v>
      </c>
      <c r="BP2716">
        <v>0</v>
      </c>
      <c r="BW2716" t="str">
        <f>"22:21:30.700"</f>
        <v>22:21:30.700</v>
      </c>
      <c r="CJ2716">
        <v>0</v>
      </c>
      <c r="CK2716">
        <v>2</v>
      </c>
      <c r="CL2716">
        <v>0</v>
      </c>
      <c r="CM2716">
        <v>2</v>
      </c>
      <c r="CN2716">
        <v>0</v>
      </c>
      <c r="CO2716">
        <v>7</v>
      </c>
      <c r="CP2716" t="s">
        <v>119</v>
      </c>
      <c r="CQ2716">
        <v>364</v>
      </c>
      <c r="CR2716">
        <v>0</v>
      </c>
      <c r="CW2716">
        <v>1471262</v>
      </c>
      <c r="CY2716">
        <v>1</v>
      </c>
      <c r="CZ2716">
        <v>0</v>
      </c>
      <c r="DA2716">
        <v>1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3">
      <c r="A2717" t="str">
        <f>"03/24/2022 22:21:31.559"</f>
        <v>03/24/2022 22:21:31.559</v>
      </c>
      <c r="C2717" t="str">
        <f t="shared" si="810"/>
        <v>FFDFD3C0</v>
      </c>
      <c r="D2717" t="s">
        <v>123</v>
      </c>
      <c r="E2717">
        <v>8</v>
      </c>
      <c r="H2717">
        <v>31</v>
      </c>
      <c r="I2717" t="s">
        <v>124</v>
      </c>
      <c r="J2717" t="s">
        <v>125</v>
      </c>
      <c r="K2717">
        <v>0</v>
      </c>
      <c r="L2717">
        <v>3</v>
      </c>
      <c r="M2717">
        <v>0</v>
      </c>
      <c r="N2717">
        <v>2</v>
      </c>
      <c r="O2717">
        <v>0</v>
      </c>
      <c r="P2717">
        <v>1</v>
      </c>
      <c r="Q2717">
        <v>0</v>
      </c>
      <c r="S2717" t="str">
        <f t="shared" ref="S2717:T2720" si="813">"22:21:31.000"</f>
        <v>22:21:31.000</v>
      </c>
      <c r="T2717" t="str">
        <f t="shared" si="813"/>
        <v>22:21:31.000</v>
      </c>
      <c r="U2717" t="str">
        <f t="shared" si="804"/>
        <v>A9D71F</v>
      </c>
      <c r="V2717">
        <v>0</v>
      </c>
      <c r="W2717">
        <v>0</v>
      </c>
      <c r="X2717">
        <v>2</v>
      </c>
      <c r="Z2717">
        <v>1</v>
      </c>
      <c r="AA2717">
        <v>8</v>
      </c>
      <c r="AB2717">
        <v>3</v>
      </c>
      <c r="AC2717">
        <v>0</v>
      </c>
      <c r="AD2717">
        <v>9</v>
      </c>
      <c r="AE2717">
        <v>0</v>
      </c>
      <c r="AF2717">
        <v>3</v>
      </c>
      <c r="AG2717">
        <v>1</v>
      </c>
      <c r="AH2717">
        <v>0</v>
      </c>
      <c r="AI2717" t="s">
        <v>1371</v>
      </c>
      <c r="AJ2717">
        <v>33.007478999999996</v>
      </c>
      <c r="AK2717" t="s">
        <v>1037</v>
      </c>
      <c r="AL2717">
        <v>-97.660131000000007</v>
      </c>
      <c r="AM2717">
        <v>25</v>
      </c>
      <c r="AN2717">
        <v>1700</v>
      </c>
      <c r="AO2717" t="s">
        <v>118</v>
      </c>
      <c r="AP2717">
        <v>-59</v>
      </c>
      <c r="AQ2717">
        <v>-58</v>
      </c>
      <c r="AR2717">
        <v>-832</v>
      </c>
      <c r="AZ2717">
        <v>7700</v>
      </c>
      <c r="BA2717">
        <v>1</v>
      </c>
      <c r="BB2717" t="str">
        <f t="shared" si="811"/>
        <v xml:space="preserve">N733KP  </v>
      </c>
      <c r="BC2717">
        <v>1</v>
      </c>
      <c r="BE2717">
        <v>0</v>
      </c>
      <c r="BF2717">
        <v>0</v>
      </c>
      <c r="BG2717">
        <v>1</v>
      </c>
      <c r="BH2717">
        <v>1650</v>
      </c>
      <c r="BI2717">
        <v>1</v>
      </c>
      <c r="BJ2717">
        <v>1</v>
      </c>
      <c r="BK2717">
        <v>0</v>
      </c>
      <c r="BL2717">
        <v>0</v>
      </c>
      <c r="BO2717">
        <v>0</v>
      </c>
      <c r="BP2717">
        <v>0</v>
      </c>
      <c r="BW2717" t="str">
        <f>"22:21:31.365"</f>
        <v>22:21:31.365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6</v>
      </c>
      <c r="CP2717" t="s">
        <v>119</v>
      </c>
      <c r="CQ2717">
        <v>364</v>
      </c>
      <c r="CR2717">
        <v>0</v>
      </c>
      <c r="CW2717">
        <v>1471358</v>
      </c>
      <c r="CY2717">
        <v>1</v>
      </c>
      <c r="CZ2717">
        <v>0</v>
      </c>
      <c r="DA2717">
        <v>0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3">
      <c r="A2718" t="str">
        <f>"03/24/2022 22:21:31.559"</f>
        <v>03/24/2022 22:21:31.559</v>
      </c>
      <c r="C2718" t="str">
        <f t="shared" si="810"/>
        <v>FFDFD3C0</v>
      </c>
      <c r="D2718" t="s">
        <v>113</v>
      </c>
      <c r="E2718">
        <v>24</v>
      </c>
      <c r="F2718">
        <v>2024</v>
      </c>
      <c r="G2718" t="s">
        <v>114</v>
      </c>
      <c r="J2718" t="s">
        <v>115</v>
      </c>
      <c r="K2718">
        <v>0</v>
      </c>
      <c r="L2718">
        <v>3</v>
      </c>
      <c r="M2718">
        <v>0</v>
      </c>
      <c r="N2718">
        <v>2</v>
      </c>
      <c r="O2718">
        <v>0</v>
      </c>
      <c r="P2718">
        <v>1</v>
      </c>
      <c r="Q2718">
        <v>0</v>
      </c>
      <c r="S2718" t="str">
        <f t="shared" si="813"/>
        <v>22:21:31.000</v>
      </c>
      <c r="T2718" t="str">
        <f t="shared" si="813"/>
        <v>22:21:31.000</v>
      </c>
      <c r="U2718" t="str">
        <f t="shared" si="804"/>
        <v>A9D71F</v>
      </c>
      <c r="V2718">
        <v>0</v>
      </c>
      <c r="W2718">
        <v>0</v>
      </c>
      <c r="X2718">
        <v>2</v>
      </c>
      <c r="Z2718">
        <v>1</v>
      </c>
      <c r="AA2718">
        <v>8</v>
      </c>
      <c r="AB2718">
        <v>3</v>
      </c>
      <c r="AC2718">
        <v>0</v>
      </c>
      <c r="AD2718">
        <v>9</v>
      </c>
      <c r="AE2718">
        <v>0</v>
      </c>
      <c r="AF2718">
        <v>3</v>
      </c>
      <c r="AG2718">
        <v>1</v>
      </c>
      <c r="AH2718">
        <v>0</v>
      </c>
      <c r="AI2718" t="s">
        <v>1371</v>
      </c>
      <c r="AJ2718">
        <v>33.007478999999996</v>
      </c>
      <c r="AK2718" t="s">
        <v>1037</v>
      </c>
      <c r="AL2718">
        <v>-97.660131000000007</v>
      </c>
      <c r="AM2718">
        <v>25</v>
      </c>
      <c r="AN2718">
        <v>1700</v>
      </c>
      <c r="AO2718" t="s">
        <v>118</v>
      </c>
      <c r="AP2718">
        <v>-59</v>
      </c>
      <c r="AQ2718">
        <v>-58</v>
      </c>
      <c r="AR2718">
        <v>-832</v>
      </c>
      <c r="AZ2718">
        <v>7700</v>
      </c>
      <c r="BA2718">
        <v>1</v>
      </c>
      <c r="BB2718" t="str">
        <f t="shared" si="811"/>
        <v xml:space="preserve">N733KP  </v>
      </c>
      <c r="BC2718">
        <v>1</v>
      </c>
      <c r="BE2718">
        <v>0</v>
      </c>
      <c r="BF2718">
        <v>0</v>
      </c>
      <c r="BG2718">
        <v>1</v>
      </c>
      <c r="BH2718">
        <v>1650</v>
      </c>
      <c r="BI2718">
        <v>1</v>
      </c>
      <c r="BJ2718">
        <v>1</v>
      </c>
      <c r="BK2718">
        <v>0</v>
      </c>
      <c r="BL2718">
        <v>0</v>
      </c>
      <c r="BO2718">
        <v>0</v>
      </c>
      <c r="BP2718">
        <v>0</v>
      </c>
      <c r="BW2718" t="str">
        <f>"22:21:31.365"</f>
        <v>22:21:31.365</v>
      </c>
      <c r="CJ2718">
        <v>0</v>
      </c>
      <c r="CK2718">
        <v>2</v>
      </c>
      <c r="CL2718">
        <v>0</v>
      </c>
      <c r="CM2718">
        <v>2</v>
      </c>
      <c r="CN2718">
        <v>0</v>
      </c>
      <c r="CO2718">
        <v>6</v>
      </c>
      <c r="CP2718" t="s">
        <v>119</v>
      </c>
      <c r="CQ2718">
        <v>364</v>
      </c>
      <c r="CR2718">
        <v>0</v>
      </c>
      <c r="CW2718">
        <v>1471358</v>
      </c>
      <c r="CY2718">
        <v>1</v>
      </c>
      <c r="CZ2718">
        <v>0</v>
      </c>
      <c r="DA2718">
        <v>1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3">
      <c r="A2719" t="str">
        <f>"03/24/2022 22:21:31.559"</f>
        <v>03/24/2022 22:21:31.559</v>
      </c>
      <c r="C2719" t="str">
        <f t="shared" si="810"/>
        <v>FFDFD3C0</v>
      </c>
      <c r="D2719" t="s">
        <v>120</v>
      </c>
      <c r="E2719">
        <v>14</v>
      </c>
      <c r="F2719">
        <v>1014</v>
      </c>
      <c r="G2719" t="s">
        <v>121</v>
      </c>
      <c r="J2719" t="s">
        <v>122</v>
      </c>
      <c r="K2719">
        <v>0</v>
      </c>
      <c r="L2719">
        <v>3</v>
      </c>
      <c r="M2719">
        <v>0</v>
      </c>
      <c r="N2719">
        <v>2</v>
      </c>
      <c r="O2719">
        <v>0</v>
      </c>
      <c r="P2719">
        <v>1</v>
      </c>
      <c r="Q2719">
        <v>0</v>
      </c>
      <c r="S2719" t="str">
        <f t="shared" si="813"/>
        <v>22:21:31.000</v>
      </c>
      <c r="T2719" t="str">
        <f t="shared" si="813"/>
        <v>22:21:31.000</v>
      </c>
      <c r="U2719" t="str">
        <f t="shared" si="804"/>
        <v>A9D71F</v>
      </c>
      <c r="V2719">
        <v>0</v>
      </c>
      <c r="W2719">
        <v>0</v>
      </c>
      <c r="X2719">
        <v>2</v>
      </c>
      <c r="Z2719">
        <v>1</v>
      </c>
      <c r="AA2719">
        <v>8</v>
      </c>
      <c r="AB2719">
        <v>3</v>
      </c>
      <c r="AC2719">
        <v>0</v>
      </c>
      <c r="AD2719">
        <v>9</v>
      </c>
      <c r="AE2719">
        <v>0</v>
      </c>
      <c r="AF2719">
        <v>3</v>
      </c>
      <c r="AG2719">
        <v>1</v>
      </c>
      <c r="AH2719">
        <v>0</v>
      </c>
      <c r="AI2719" t="s">
        <v>1371</v>
      </c>
      <c r="AJ2719">
        <v>33.007478999999996</v>
      </c>
      <c r="AK2719" t="s">
        <v>1037</v>
      </c>
      <c r="AL2719">
        <v>-97.660131000000007</v>
      </c>
      <c r="AM2719">
        <v>25</v>
      </c>
      <c r="AN2719">
        <v>1700</v>
      </c>
      <c r="AO2719" t="s">
        <v>118</v>
      </c>
      <c r="AP2719">
        <v>-59</v>
      </c>
      <c r="AQ2719">
        <v>-58</v>
      </c>
      <c r="AR2719">
        <v>-832</v>
      </c>
      <c r="AZ2719">
        <v>7700</v>
      </c>
      <c r="BA2719">
        <v>1</v>
      </c>
      <c r="BB2719" t="str">
        <f t="shared" si="811"/>
        <v xml:space="preserve">N733KP  </v>
      </c>
      <c r="BC2719">
        <v>1</v>
      </c>
      <c r="BE2719">
        <v>0</v>
      </c>
      <c r="BF2719">
        <v>0</v>
      </c>
      <c r="BG2719">
        <v>1</v>
      </c>
      <c r="BH2719">
        <v>1650</v>
      </c>
      <c r="BI2719">
        <v>1</v>
      </c>
      <c r="BJ2719">
        <v>1</v>
      </c>
      <c r="BK2719">
        <v>0</v>
      </c>
      <c r="BL2719">
        <v>0</v>
      </c>
      <c r="BO2719">
        <v>0</v>
      </c>
      <c r="BP2719">
        <v>0</v>
      </c>
      <c r="BW2719" t="str">
        <f>"22:21:31.365"</f>
        <v>22:21:31.365</v>
      </c>
      <c r="CJ2719">
        <v>0</v>
      </c>
      <c r="CK2719">
        <v>2</v>
      </c>
      <c r="CL2719">
        <v>0</v>
      </c>
      <c r="CM2719">
        <v>2</v>
      </c>
      <c r="CN2719">
        <v>0</v>
      </c>
      <c r="CO2719">
        <v>6</v>
      </c>
      <c r="CP2719" t="s">
        <v>119</v>
      </c>
      <c r="CQ2719">
        <v>364</v>
      </c>
      <c r="CR2719">
        <v>0</v>
      </c>
      <c r="CW2719">
        <v>1471358</v>
      </c>
      <c r="CY2719">
        <v>1</v>
      </c>
      <c r="CZ2719">
        <v>0</v>
      </c>
      <c r="DA2719">
        <v>1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3">
      <c r="A2720" t="str">
        <f>"03/24/2022 22:21:31.559"</f>
        <v>03/24/2022 22:21:31.559</v>
      </c>
      <c r="C2720" t="str">
        <f t="shared" si="810"/>
        <v>FFDFD3C0</v>
      </c>
      <c r="D2720" t="s">
        <v>126</v>
      </c>
      <c r="E2720">
        <v>3</v>
      </c>
      <c r="H2720">
        <v>160</v>
      </c>
      <c r="I2720" t="s">
        <v>121</v>
      </c>
      <c r="J2720" t="s">
        <v>127</v>
      </c>
      <c r="K2720">
        <v>0</v>
      </c>
      <c r="L2720">
        <v>3</v>
      </c>
      <c r="M2720">
        <v>0</v>
      </c>
      <c r="N2720">
        <v>2</v>
      </c>
      <c r="O2720">
        <v>0</v>
      </c>
      <c r="P2720">
        <v>1</v>
      </c>
      <c r="Q2720">
        <v>0</v>
      </c>
      <c r="S2720" t="str">
        <f t="shared" si="813"/>
        <v>22:21:31.000</v>
      </c>
      <c r="T2720" t="str">
        <f t="shared" si="813"/>
        <v>22:21:31.000</v>
      </c>
      <c r="U2720" t="str">
        <f t="shared" si="804"/>
        <v>A9D71F</v>
      </c>
      <c r="V2720">
        <v>0</v>
      </c>
      <c r="W2720">
        <v>0</v>
      </c>
      <c r="X2720">
        <v>2</v>
      </c>
      <c r="Z2720">
        <v>1</v>
      </c>
      <c r="AA2720">
        <v>8</v>
      </c>
      <c r="AB2720">
        <v>3</v>
      </c>
      <c r="AC2720">
        <v>0</v>
      </c>
      <c r="AD2720">
        <v>9</v>
      </c>
      <c r="AE2720">
        <v>0</v>
      </c>
      <c r="AF2720">
        <v>3</v>
      </c>
      <c r="AG2720">
        <v>1</v>
      </c>
      <c r="AH2720">
        <v>0</v>
      </c>
      <c r="AI2720" t="s">
        <v>1371</v>
      </c>
      <c r="AJ2720">
        <v>33.007478999999996</v>
      </c>
      <c r="AK2720" t="s">
        <v>1037</v>
      </c>
      <c r="AL2720">
        <v>-97.660131000000007</v>
      </c>
      <c r="AM2720">
        <v>25</v>
      </c>
      <c r="AN2720">
        <v>1700</v>
      </c>
      <c r="AO2720" t="s">
        <v>118</v>
      </c>
      <c r="AP2720">
        <v>-59</v>
      </c>
      <c r="AQ2720">
        <v>-58</v>
      </c>
      <c r="AR2720">
        <v>-832</v>
      </c>
      <c r="AZ2720">
        <v>7700</v>
      </c>
      <c r="BA2720">
        <v>1</v>
      </c>
      <c r="BB2720" t="str">
        <f t="shared" si="811"/>
        <v xml:space="preserve">N733KP  </v>
      </c>
      <c r="BC2720">
        <v>1</v>
      </c>
      <c r="BE2720">
        <v>0</v>
      </c>
      <c r="BF2720">
        <v>0</v>
      </c>
      <c r="BG2720">
        <v>1</v>
      </c>
      <c r="BH2720">
        <v>1650</v>
      </c>
      <c r="BI2720">
        <v>1</v>
      </c>
      <c r="BJ2720">
        <v>1</v>
      </c>
      <c r="BK2720">
        <v>0</v>
      </c>
      <c r="BL2720">
        <v>0</v>
      </c>
      <c r="BO2720">
        <v>0</v>
      </c>
      <c r="BP2720">
        <v>0</v>
      </c>
      <c r="BW2720" t="str">
        <f>"22:21:31.365"</f>
        <v>22:21:31.365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6</v>
      </c>
      <c r="CP2720" t="s">
        <v>119</v>
      </c>
      <c r="CQ2720">
        <v>364</v>
      </c>
      <c r="CR2720">
        <v>0</v>
      </c>
      <c r="CW2720">
        <v>1471358</v>
      </c>
      <c r="CY2720">
        <v>1</v>
      </c>
      <c r="CZ2720">
        <v>0</v>
      </c>
      <c r="DA2720">
        <v>1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3">
      <c r="A2721" t="str">
        <f>"03/24/2022 22:21:32.732"</f>
        <v>03/24/2022 22:21:32.732</v>
      </c>
      <c r="C2721" t="str">
        <f t="shared" si="810"/>
        <v>FFDFD3C0</v>
      </c>
      <c r="D2721" t="s">
        <v>123</v>
      </c>
      <c r="E2721">
        <v>8</v>
      </c>
      <c r="H2721">
        <v>31</v>
      </c>
      <c r="I2721" t="s">
        <v>124</v>
      </c>
      <c r="J2721" t="s">
        <v>125</v>
      </c>
      <c r="K2721">
        <v>0</v>
      </c>
      <c r="L2721">
        <v>3</v>
      </c>
      <c r="M2721">
        <v>0</v>
      </c>
      <c r="N2721">
        <v>2</v>
      </c>
      <c r="O2721">
        <v>0</v>
      </c>
      <c r="P2721">
        <v>1</v>
      </c>
      <c r="Q2721">
        <v>0</v>
      </c>
      <c r="S2721" t="str">
        <f t="shared" ref="S2721:T2724" si="814">"22:21:32.000"</f>
        <v>22:21:32.000</v>
      </c>
      <c r="T2721" t="str">
        <f t="shared" si="814"/>
        <v>22:21:32.000</v>
      </c>
      <c r="U2721" t="str">
        <f t="shared" si="804"/>
        <v>A9D71F</v>
      </c>
      <c r="V2721">
        <v>0</v>
      </c>
      <c r="W2721">
        <v>0</v>
      </c>
      <c r="X2721">
        <v>2</v>
      </c>
      <c r="Z2721">
        <v>1</v>
      </c>
      <c r="AA2721">
        <v>8</v>
      </c>
      <c r="AB2721">
        <v>3</v>
      </c>
      <c r="AC2721">
        <v>0</v>
      </c>
      <c r="AD2721">
        <v>9</v>
      </c>
      <c r="AE2721">
        <v>0</v>
      </c>
      <c r="AF2721">
        <v>3</v>
      </c>
      <c r="AG2721">
        <v>1</v>
      </c>
      <c r="AH2721">
        <v>0</v>
      </c>
      <c r="AI2721" t="s">
        <v>1372</v>
      </c>
      <c r="AJ2721">
        <v>33.007178000000003</v>
      </c>
      <c r="AK2721" t="s">
        <v>1373</v>
      </c>
      <c r="AL2721">
        <v>-97.660475000000005</v>
      </c>
      <c r="AM2721">
        <v>25</v>
      </c>
      <c r="AN2721">
        <v>1600</v>
      </c>
      <c r="AO2721" t="s">
        <v>118</v>
      </c>
      <c r="AP2721">
        <v>-53</v>
      </c>
      <c r="AQ2721">
        <v>-67</v>
      </c>
      <c r="AR2721">
        <v>-704</v>
      </c>
      <c r="AZ2721">
        <v>7700</v>
      </c>
      <c r="BA2721">
        <v>1</v>
      </c>
      <c r="BB2721" t="str">
        <f t="shared" si="811"/>
        <v xml:space="preserve">N733KP  </v>
      </c>
      <c r="BC2721">
        <v>1</v>
      </c>
      <c r="BE2721">
        <v>0</v>
      </c>
      <c r="BF2721">
        <v>0</v>
      </c>
      <c r="BG2721">
        <v>1</v>
      </c>
      <c r="BH2721">
        <v>1650</v>
      </c>
      <c r="BI2721">
        <v>1</v>
      </c>
      <c r="BJ2721">
        <v>1</v>
      </c>
      <c r="BK2721">
        <v>0</v>
      </c>
      <c r="BL2721">
        <v>0</v>
      </c>
      <c r="BO2721">
        <v>0</v>
      </c>
      <c r="BP2721">
        <v>0</v>
      </c>
      <c r="BW2721" t="str">
        <f>"22:21:32.526"</f>
        <v>22:21:32.526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6</v>
      </c>
      <c r="CP2721" t="s">
        <v>119</v>
      </c>
      <c r="CQ2721">
        <v>364</v>
      </c>
      <c r="CR2721">
        <v>0</v>
      </c>
      <c r="CW2721">
        <v>1471526</v>
      </c>
      <c r="CY2721">
        <v>1</v>
      </c>
      <c r="CZ2721">
        <v>0</v>
      </c>
      <c r="DA2721">
        <v>0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3">
      <c r="A2722" t="str">
        <f>"03/24/2022 22:21:32.732"</f>
        <v>03/24/2022 22:21:32.732</v>
      </c>
      <c r="C2722" t="str">
        <f t="shared" si="810"/>
        <v>FFDFD3C0</v>
      </c>
      <c r="D2722" t="s">
        <v>113</v>
      </c>
      <c r="E2722">
        <v>24</v>
      </c>
      <c r="F2722">
        <v>2024</v>
      </c>
      <c r="G2722" t="s">
        <v>114</v>
      </c>
      <c r="J2722" t="s">
        <v>115</v>
      </c>
      <c r="K2722">
        <v>0</v>
      </c>
      <c r="L2722">
        <v>3</v>
      </c>
      <c r="M2722">
        <v>0</v>
      </c>
      <c r="N2722">
        <v>2</v>
      </c>
      <c r="O2722">
        <v>0</v>
      </c>
      <c r="P2722">
        <v>1</v>
      </c>
      <c r="Q2722">
        <v>0</v>
      </c>
      <c r="S2722" t="str">
        <f t="shared" si="814"/>
        <v>22:21:32.000</v>
      </c>
      <c r="T2722" t="str">
        <f t="shared" si="814"/>
        <v>22:21:32.000</v>
      </c>
      <c r="U2722" t="str">
        <f t="shared" si="804"/>
        <v>A9D71F</v>
      </c>
      <c r="V2722">
        <v>0</v>
      </c>
      <c r="W2722">
        <v>0</v>
      </c>
      <c r="X2722">
        <v>2</v>
      </c>
      <c r="Z2722">
        <v>1</v>
      </c>
      <c r="AA2722">
        <v>8</v>
      </c>
      <c r="AB2722">
        <v>3</v>
      </c>
      <c r="AC2722">
        <v>0</v>
      </c>
      <c r="AD2722">
        <v>9</v>
      </c>
      <c r="AE2722">
        <v>0</v>
      </c>
      <c r="AF2722">
        <v>3</v>
      </c>
      <c r="AG2722">
        <v>1</v>
      </c>
      <c r="AH2722">
        <v>0</v>
      </c>
      <c r="AI2722" t="s">
        <v>1372</v>
      </c>
      <c r="AJ2722">
        <v>33.007178000000003</v>
      </c>
      <c r="AK2722" t="s">
        <v>1373</v>
      </c>
      <c r="AL2722">
        <v>-97.660475000000005</v>
      </c>
      <c r="AM2722">
        <v>25</v>
      </c>
      <c r="AN2722">
        <v>1600</v>
      </c>
      <c r="AO2722" t="s">
        <v>118</v>
      </c>
      <c r="AP2722">
        <v>-53</v>
      </c>
      <c r="AQ2722">
        <v>-67</v>
      </c>
      <c r="AR2722">
        <v>-704</v>
      </c>
      <c r="AZ2722">
        <v>7700</v>
      </c>
      <c r="BA2722">
        <v>1</v>
      </c>
      <c r="BB2722" t="str">
        <f t="shared" si="811"/>
        <v xml:space="preserve">N733KP  </v>
      </c>
      <c r="BC2722">
        <v>1</v>
      </c>
      <c r="BE2722">
        <v>0</v>
      </c>
      <c r="BF2722">
        <v>0</v>
      </c>
      <c r="BG2722">
        <v>1</v>
      </c>
      <c r="BH2722">
        <v>1650</v>
      </c>
      <c r="BI2722">
        <v>1</v>
      </c>
      <c r="BJ2722">
        <v>1</v>
      </c>
      <c r="BK2722">
        <v>0</v>
      </c>
      <c r="BL2722">
        <v>0</v>
      </c>
      <c r="BO2722">
        <v>0</v>
      </c>
      <c r="BP2722">
        <v>0</v>
      </c>
      <c r="BW2722" t="str">
        <f>"22:21:32.526"</f>
        <v>22:21:32.526</v>
      </c>
      <c r="CJ2722">
        <v>0</v>
      </c>
      <c r="CK2722">
        <v>2</v>
      </c>
      <c r="CL2722">
        <v>0</v>
      </c>
      <c r="CM2722">
        <v>2</v>
      </c>
      <c r="CN2722">
        <v>0</v>
      </c>
      <c r="CO2722">
        <v>6</v>
      </c>
      <c r="CP2722" t="s">
        <v>119</v>
      </c>
      <c r="CQ2722">
        <v>364</v>
      </c>
      <c r="CR2722">
        <v>0</v>
      </c>
      <c r="CW2722">
        <v>1471526</v>
      </c>
      <c r="CY2722">
        <v>1</v>
      </c>
      <c r="CZ2722">
        <v>0</v>
      </c>
      <c r="DA2722">
        <v>1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3">
      <c r="A2723" t="str">
        <f>"03/24/2022 22:21:32.732"</f>
        <v>03/24/2022 22:21:32.732</v>
      </c>
      <c r="C2723" t="str">
        <f t="shared" si="810"/>
        <v>FFDFD3C0</v>
      </c>
      <c r="D2723" t="s">
        <v>126</v>
      </c>
      <c r="E2723">
        <v>3</v>
      </c>
      <c r="H2723">
        <v>160</v>
      </c>
      <c r="I2723" t="s">
        <v>121</v>
      </c>
      <c r="J2723" t="s">
        <v>127</v>
      </c>
      <c r="K2723">
        <v>0</v>
      </c>
      <c r="L2723">
        <v>3</v>
      </c>
      <c r="M2723">
        <v>0</v>
      </c>
      <c r="N2723">
        <v>2</v>
      </c>
      <c r="O2723">
        <v>0</v>
      </c>
      <c r="P2723">
        <v>1</v>
      </c>
      <c r="Q2723">
        <v>0</v>
      </c>
      <c r="S2723" t="str">
        <f t="shared" si="814"/>
        <v>22:21:32.000</v>
      </c>
      <c r="T2723" t="str">
        <f t="shared" si="814"/>
        <v>22:21:32.000</v>
      </c>
      <c r="U2723" t="str">
        <f t="shared" si="804"/>
        <v>A9D71F</v>
      </c>
      <c r="V2723">
        <v>0</v>
      </c>
      <c r="W2723">
        <v>0</v>
      </c>
      <c r="X2723">
        <v>2</v>
      </c>
      <c r="Z2723">
        <v>1</v>
      </c>
      <c r="AA2723">
        <v>8</v>
      </c>
      <c r="AB2723">
        <v>3</v>
      </c>
      <c r="AC2723">
        <v>0</v>
      </c>
      <c r="AD2723">
        <v>9</v>
      </c>
      <c r="AE2723">
        <v>0</v>
      </c>
      <c r="AF2723">
        <v>3</v>
      </c>
      <c r="AG2723">
        <v>1</v>
      </c>
      <c r="AH2723">
        <v>0</v>
      </c>
      <c r="AI2723" t="s">
        <v>1372</v>
      </c>
      <c r="AJ2723">
        <v>33.007178000000003</v>
      </c>
      <c r="AK2723" t="s">
        <v>1373</v>
      </c>
      <c r="AL2723">
        <v>-97.660475000000005</v>
      </c>
      <c r="AM2723">
        <v>25</v>
      </c>
      <c r="AN2723">
        <v>1600</v>
      </c>
      <c r="AO2723" t="s">
        <v>118</v>
      </c>
      <c r="AP2723">
        <v>-53</v>
      </c>
      <c r="AQ2723">
        <v>-67</v>
      </c>
      <c r="AR2723">
        <v>-704</v>
      </c>
      <c r="AZ2723">
        <v>7700</v>
      </c>
      <c r="BA2723">
        <v>1</v>
      </c>
      <c r="BB2723" t="str">
        <f t="shared" si="811"/>
        <v xml:space="preserve">N733KP  </v>
      </c>
      <c r="BC2723">
        <v>1</v>
      </c>
      <c r="BE2723">
        <v>0</v>
      </c>
      <c r="BF2723">
        <v>0</v>
      </c>
      <c r="BG2723">
        <v>1</v>
      </c>
      <c r="BH2723">
        <v>1650</v>
      </c>
      <c r="BI2723">
        <v>1</v>
      </c>
      <c r="BJ2723">
        <v>1</v>
      </c>
      <c r="BK2723">
        <v>0</v>
      </c>
      <c r="BL2723">
        <v>0</v>
      </c>
      <c r="BO2723">
        <v>0</v>
      </c>
      <c r="BP2723">
        <v>0</v>
      </c>
      <c r="BW2723" t="str">
        <f>"22:21:32.526"</f>
        <v>22:21:32.526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6</v>
      </c>
      <c r="CP2723" t="s">
        <v>119</v>
      </c>
      <c r="CQ2723">
        <v>364</v>
      </c>
      <c r="CR2723">
        <v>0</v>
      </c>
      <c r="CW2723">
        <v>1471526</v>
      </c>
      <c r="CY2723">
        <v>1</v>
      </c>
      <c r="CZ2723">
        <v>0</v>
      </c>
      <c r="DA2723">
        <v>1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3">
      <c r="A2724" t="str">
        <f>"03/24/2022 22:21:32.732"</f>
        <v>03/24/2022 22:21:32.732</v>
      </c>
      <c r="C2724" t="str">
        <f t="shared" si="810"/>
        <v>FFDFD3C0</v>
      </c>
      <c r="D2724" t="s">
        <v>120</v>
      </c>
      <c r="E2724">
        <v>14</v>
      </c>
      <c r="F2724">
        <v>1014</v>
      </c>
      <c r="G2724" t="s">
        <v>121</v>
      </c>
      <c r="J2724" t="s">
        <v>122</v>
      </c>
      <c r="K2724">
        <v>0</v>
      </c>
      <c r="L2724">
        <v>3</v>
      </c>
      <c r="M2724">
        <v>0</v>
      </c>
      <c r="N2724">
        <v>2</v>
      </c>
      <c r="O2724">
        <v>0</v>
      </c>
      <c r="P2724">
        <v>1</v>
      </c>
      <c r="Q2724">
        <v>0</v>
      </c>
      <c r="S2724" t="str">
        <f t="shared" si="814"/>
        <v>22:21:32.000</v>
      </c>
      <c r="T2724" t="str">
        <f t="shared" si="814"/>
        <v>22:21:32.000</v>
      </c>
      <c r="U2724" t="str">
        <f t="shared" si="804"/>
        <v>A9D71F</v>
      </c>
      <c r="V2724">
        <v>0</v>
      </c>
      <c r="W2724">
        <v>0</v>
      </c>
      <c r="X2724">
        <v>2</v>
      </c>
      <c r="Z2724">
        <v>1</v>
      </c>
      <c r="AA2724">
        <v>8</v>
      </c>
      <c r="AB2724">
        <v>3</v>
      </c>
      <c r="AC2724">
        <v>0</v>
      </c>
      <c r="AD2724">
        <v>9</v>
      </c>
      <c r="AE2724">
        <v>0</v>
      </c>
      <c r="AF2724">
        <v>3</v>
      </c>
      <c r="AG2724">
        <v>1</v>
      </c>
      <c r="AH2724">
        <v>0</v>
      </c>
      <c r="AI2724" t="s">
        <v>1372</v>
      </c>
      <c r="AJ2724">
        <v>33.007178000000003</v>
      </c>
      <c r="AK2724" t="s">
        <v>1373</v>
      </c>
      <c r="AL2724">
        <v>-97.660475000000005</v>
      </c>
      <c r="AM2724">
        <v>25</v>
      </c>
      <c r="AN2724">
        <v>1600</v>
      </c>
      <c r="AO2724" t="s">
        <v>118</v>
      </c>
      <c r="AP2724">
        <v>-53</v>
      </c>
      <c r="AQ2724">
        <v>-67</v>
      </c>
      <c r="AR2724">
        <v>-704</v>
      </c>
      <c r="AZ2724">
        <v>7700</v>
      </c>
      <c r="BA2724">
        <v>1</v>
      </c>
      <c r="BB2724" t="str">
        <f t="shared" si="811"/>
        <v xml:space="preserve">N733KP  </v>
      </c>
      <c r="BC2724">
        <v>1</v>
      </c>
      <c r="BE2724">
        <v>0</v>
      </c>
      <c r="BF2724">
        <v>0</v>
      </c>
      <c r="BG2724">
        <v>1</v>
      </c>
      <c r="BH2724">
        <v>1650</v>
      </c>
      <c r="BI2724">
        <v>1</v>
      </c>
      <c r="BJ2724">
        <v>1</v>
      </c>
      <c r="BK2724">
        <v>0</v>
      </c>
      <c r="BL2724">
        <v>0</v>
      </c>
      <c r="BO2724">
        <v>0</v>
      </c>
      <c r="BP2724">
        <v>0</v>
      </c>
      <c r="BW2724" t="str">
        <f>"22:21:32.526"</f>
        <v>22:21:32.526</v>
      </c>
      <c r="CJ2724">
        <v>0</v>
      </c>
      <c r="CK2724">
        <v>2</v>
      </c>
      <c r="CL2724">
        <v>0</v>
      </c>
      <c r="CM2724">
        <v>2</v>
      </c>
      <c r="CN2724">
        <v>0</v>
      </c>
      <c r="CO2724">
        <v>6</v>
      </c>
      <c r="CP2724" t="s">
        <v>119</v>
      </c>
      <c r="CQ2724">
        <v>364</v>
      </c>
      <c r="CR2724">
        <v>0</v>
      </c>
      <c r="CW2724">
        <v>1471526</v>
      </c>
      <c r="CY2724">
        <v>1</v>
      </c>
      <c r="CZ2724">
        <v>0</v>
      </c>
      <c r="DA2724">
        <v>1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3">
      <c r="A2725" t="str">
        <f>"03/24/2022 22:21:33.750"</f>
        <v>03/24/2022 22:21:33.750</v>
      </c>
      <c r="C2725" t="str">
        <f t="shared" si="810"/>
        <v>FFDFD3C0</v>
      </c>
      <c r="D2725" t="s">
        <v>123</v>
      </c>
      <c r="E2725">
        <v>8</v>
      </c>
      <c r="H2725">
        <v>31</v>
      </c>
      <c r="I2725" t="s">
        <v>124</v>
      </c>
      <c r="J2725" t="s">
        <v>125</v>
      </c>
      <c r="K2725">
        <v>0</v>
      </c>
      <c r="L2725">
        <v>3</v>
      </c>
      <c r="M2725">
        <v>0</v>
      </c>
      <c r="N2725">
        <v>2</v>
      </c>
      <c r="O2725">
        <v>0</v>
      </c>
      <c r="P2725">
        <v>1</v>
      </c>
      <c r="Q2725">
        <v>0</v>
      </c>
      <c r="S2725" t="str">
        <f t="shared" ref="S2725:T2728" si="815">"22:21:33.000"</f>
        <v>22:21:33.000</v>
      </c>
      <c r="T2725" t="str">
        <f t="shared" si="815"/>
        <v>22:21:33.000</v>
      </c>
      <c r="U2725" t="str">
        <f t="shared" si="804"/>
        <v>A9D71F</v>
      </c>
      <c r="V2725">
        <v>0</v>
      </c>
      <c r="W2725">
        <v>0</v>
      </c>
      <c r="X2725">
        <v>2</v>
      </c>
      <c r="Z2725">
        <v>1</v>
      </c>
      <c r="AA2725">
        <v>8</v>
      </c>
      <c r="AB2725">
        <v>3</v>
      </c>
      <c r="AC2725">
        <v>0</v>
      </c>
      <c r="AD2725">
        <v>9</v>
      </c>
      <c r="AE2725">
        <v>0</v>
      </c>
      <c r="AF2725">
        <v>3</v>
      </c>
      <c r="AG2725">
        <v>1</v>
      </c>
      <c r="AH2725">
        <v>0</v>
      </c>
      <c r="AI2725" t="s">
        <v>1374</v>
      </c>
      <c r="AJ2725">
        <v>33.006878</v>
      </c>
      <c r="AK2725" t="s">
        <v>1375</v>
      </c>
      <c r="AL2725">
        <v>-97.660775000000001</v>
      </c>
      <c r="AM2725">
        <v>25</v>
      </c>
      <c r="AN2725">
        <v>1600</v>
      </c>
      <c r="AO2725" t="s">
        <v>118</v>
      </c>
      <c r="AP2725">
        <v>-55</v>
      </c>
      <c r="AQ2725">
        <v>-61</v>
      </c>
      <c r="AR2725">
        <v>-512</v>
      </c>
      <c r="AZ2725">
        <v>7700</v>
      </c>
      <c r="BA2725">
        <v>1</v>
      </c>
      <c r="BB2725" t="str">
        <f t="shared" si="811"/>
        <v xml:space="preserve">N733KP  </v>
      </c>
      <c r="BC2725">
        <v>1</v>
      </c>
      <c r="BE2725">
        <v>0</v>
      </c>
      <c r="BF2725">
        <v>0</v>
      </c>
      <c r="BG2725">
        <v>1</v>
      </c>
      <c r="BH2725">
        <v>1600</v>
      </c>
      <c r="BI2725">
        <v>1</v>
      </c>
      <c r="BJ2725">
        <v>1</v>
      </c>
      <c r="BK2725">
        <v>0</v>
      </c>
      <c r="BL2725">
        <v>0</v>
      </c>
      <c r="BO2725">
        <v>0</v>
      </c>
      <c r="BP2725">
        <v>0</v>
      </c>
      <c r="BW2725" t="str">
        <f>"22:21:33.584"</f>
        <v>22:21:33.584</v>
      </c>
      <c r="CJ2725">
        <v>0</v>
      </c>
      <c r="CK2725">
        <v>2</v>
      </c>
      <c r="CL2725">
        <v>0</v>
      </c>
      <c r="CM2725">
        <v>2</v>
      </c>
      <c r="CN2725">
        <v>0</v>
      </c>
      <c r="CO2725">
        <v>6</v>
      </c>
      <c r="CP2725" t="s">
        <v>119</v>
      </c>
      <c r="CQ2725">
        <v>364</v>
      </c>
      <c r="CR2725">
        <v>0</v>
      </c>
      <c r="CW2725">
        <v>1471700</v>
      </c>
      <c r="CY2725">
        <v>1</v>
      </c>
      <c r="CZ2725">
        <v>0</v>
      </c>
      <c r="DA2725">
        <v>0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3">
      <c r="A2726" t="str">
        <f>"03/24/2022 22:21:33.812"</f>
        <v>03/24/2022 22:21:33.812</v>
      </c>
      <c r="C2726" t="str">
        <f t="shared" si="810"/>
        <v>FFDFD3C0</v>
      </c>
      <c r="D2726" t="s">
        <v>113</v>
      </c>
      <c r="E2726">
        <v>24</v>
      </c>
      <c r="F2726">
        <v>2024</v>
      </c>
      <c r="G2726" t="s">
        <v>114</v>
      </c>
      <c r="J2726" t="s">
        <v>115</v>
      </c>
      <c r="K2726">
        <v>0</v>
      </c>
      <c r="L2726">
        <v>3</v>
      </c>
      <c r="M2726">
        <v>0</v>
      </c>
      <c r="N2726">
        <v>2</v>
      </c>
      <c r="O2726">
        <v>0</v>
      </c>
      <c r="P2726">
        <v>1</v>
      </c>
      <c r="Q2726">
        <v>0</v>
      </c>
      <c r="S2726" t="str">
        <f t="shared" si="815"/>
        <v>22:21:33.000</v>
      </c>
      <c r="T2726" t="str">
        <f t="shared" si="815"/>
        <v>22:21:33.000</v>
      </c>
      <c r="U2726" t="str">
        <f t="shared" si="804"/>
        <v>A9D71F</v>
      </c>
      <c r="V2726">
        <v>0</v>
      </c>
      <c r="W2726">
        <v>0</v>
      </c>
      <c r="X2726">
        <v>2</v>
      </c>
      <c r="Z2726">
        <v>1</v>
      </c>
      <c r="AA2726">
        <v>8</v>
      </c>
      <c r="AB2726">
        <v>3</v>
      </c>
      <c r="AC2726">
        <v>0</v>
      </c>
      <c r="AD2726">
        <v>9</v>
      </c>
      <c r="AE2726">
        <v>0</v>
      </c>
      <c r="AF2726">
        <v>3</v>
      </c>
      <c r="AG2726">
        <v>1</v>
      </c>
      <c r="AH2726">
        <v>0</v>
      </c>
      <c r="AI2726" t="s">
        <v>1374</v>
      </c>
      <c r="AJ2726">
        <v>33.006878</v>
      </c>
      <c r="AK2726" t="s">
        <v>1375</v>
      </c>
      <c r="AL2726">
        <v>-97.660775000000001</v>
      </c>
      <c r="AM2726">
        <v>25</v>
      </c>
      <c r="AN2726">
        <v>1600</v>
      </c>
      <c r="AO2726" t="s">
        <v>118</v>
      </c>
      <c r="AP2726">
        <v>-55</v>
      </c>
      <c r="AQ2726">
        <v>-61</v>
      </c>
      <c r="AR2726">
        <v>-512</v>
      </c>
      <c r="AZ2726">
        <v>7700</v>
      </c>
      <c r="BA2726">
        <v>1</v>
      </c>
      <c r="BB2726" t="str">
        <f t="shared" si="811"/>
        <v xml:space="preserve">N733KP  </v>
      </c>
      <c r="BC2726">
        <v>1</v>
      </c>
      <c r="BE2726">
        <v>0</v>
      </c>
      <c r="BF2726">
        <v>0</v>
      </c>
      <c r="BG2726">
        <v>1</v>
      </c>
      <c r="BH2726">
        <v>1600</v>
      </c>
      <c r="BI2726">
        <v>1</v>
      </c>
      <c r="BJ2726">
        <v>1</v>
      </c>
      <c r="BK2726">
        <v>0</v>
      </c>
      <c r="BL2726">
        <v>0</v>
      </c>
      <c r="BO2726">
        <v>0</v>
      </c>
      <c r="BP2726">
        <v>0</v>
      </c>
      <c r="BW2726" t="str">
        <f>"22:21:33.584"</f>
        <v>22:21:33.584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6</v>
      </c>
      <c r="CP2726" t="s">
        <v>119</v>
      </c>
      <c r="CQ2726">
        <v>364</v>
      </c>
      <c r="CR2726">
        <v>0</v>
      </c>
      <c r="CW2726">
        <v>1471700</v>
      </c>
      <c r="CY2726">
        <v>1</v>
      </c>
      <c r="CZ2726">
        <v>0</v>
      </c>
      <c r="DA2726">
        <v>1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3">
      <c r="A2727" t="str">
        <f>"03/24/2022 22:21:33.812"</f>
        <v>03/24/2022 22:21:33.812</v>
      </c>
      <c r="C2727" t="str">
        <f t="shared" si="810"/>
        <v>FFDFD3C0</v>
      </c>
      <c r="D2727" t="s">
        <v>126</v>
      </c>
      <c r="E2727">
        <v>3</v>
      </c>
      <c r="H2727">
        <v>160</v>
      </c>
      <c r="I2727" t="s">
        <v>121</v>
      </c>
      <c r="J2727" t="s">
        <v>127</v>
      </c>
      <c r="K2727">
        <v>0</v>
      </c>
      <c r="L2727">
        <v>3</v>
      </c>
      <c r="M2727">
        <v>0</v>
      </c>
      <c r="N2727">
        <v>2</v>
      </c>
      <c r="O2727">
        <v>0</v>
      </c>
      <c r="P2727">
        <v>1</v>
      </c>
      <c r="Q2727">
        <v>0</v>
      </c>
      <c r="S2727" t="str">
        <f t="shared" si="815"/>
        <v>22:21:33.000</v>
      </c>
      <c r="T2727" t="str">
        <f t="shared" si="815"/>
        <v>22:21:33.000</v>
      </c>
      <c r="U2727" t="str">
        <f t="shared" si="804"/>
        <v>A9D71F</v>
      </c>
      <c r="V2727">
        <v>0</v>
      </c>
      <c r="W2727">
        <v>0</v>
      </c>
      <c r="X2727">
        <v>2</v>
      </c>
      <c r="Z2727">
        <v>1</v>
      </c>
      <c r="AA2727">
        <v>8</v>
      </c>
      <c r="AB2727">
        <v>3</v>
      </c>
      <c r="AC2727">
        <v>0</v>
      </c>
      <c r="AD2727">
        <v>9</v>
      </c>
      <c r="AE2727">
        <v>0</v>
      </c>
      <c r="AF2727">
        <v>3</v>
      </c>
      <c r="AG2727">
        <v>1</v>
      </c>
      <c r="AH2727">
        <v>0</v>
      </c>
      <c r="AI2727" t="s">
        <v>1374</v>
      </c>
      <c r="AJ2727">
        <v>33.006878</v>
      </c>
      <c r="AK2727" t="s">
        <v>1375</v>
      </c>
      <c r="AL2727">
        <v>-97.660775000000001</v>
      </c>
      <c r="AM2727">
        <v>25</v>
      </c>
      <c r="AN2727">
        <v>1600</v>
      </c>
      <c r="AO2727" t="s">
        <v>118</v>
      </c>
      <c r="AP2727">
        <v>-55</v>
      </c>
      <c r="AQ2727">
        <v>-61</v>
      </c>
      <c r="AR2727">
        <v>-512</v>
      </c>
      <c r="AZ2727">
        <v>7700</v>
      </c>
      <c r="BA2727">
        <v>1</v>
      </c>
      <c r="BB2727" t="str">
        <f t="shared" si="811"/>
        <v xml:space="preserve">N733KP  </v>
      </c>
      <c r="BC2727">
        <v>1</v>
      </c>
      <c r="BE2727">
        <v>0</v>
      </c>
      <c r="BF2727">
        <v>0</v>
      </c>
      <c r="BG2727">
        <v>1</v>
      </c>
      <c r="BH2727">
        <v>1600</v>
      </c>
      <c r="BI2727">
        <v>1</v>
      </c>
      <c r="BJ2727">
        <v>1</v>
      </c>
      <c r="BK2727">
        <v>0</v>
      </c>
      <c r="BL2727">
        <v>0</v>
      </c>
      <c r="BO2727">
        <v>0</v>
      </c>
      <c r="BP2727">
        <v>0</v>
      </c>
      <c r="BW2727" t="str">
        <f>"22:21:33.584"</f>
        <v>22:21:33.584</v>
      </c>
      <c r="CJ2727">
        <v>0</v>
      </c>
      <c r="CK2727">
        <v>2</v>
      </c>
      <c r="CL2727">
        <v>0</v>
      </c>
      <c r="CM2727">
        <v>2</v>
      </c>
      <c r="CN2727">
        <v>0</v>
      </c>
      <c r="CO2727">
        <v>6</v>
      </c>
      <c r="CP2727" t="s">
        <v>119</v>
      </c>
      <c r="CQ2727">
        <v>364</v>
      </c>
      <c r="CR2727">
        <v>0</v>
      </c>
      <c r="CW2727">
        <v>1471700</v>
      </c>
      <c r="CY2727">
        <v>1</v>
      </c>
      <c r="CZ2727">
        <v>0</v>
      </c>
      <c r="DA2727">
        <v>1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3">
      <c r="A2728" t="str">
        <f>"03/24/2022 22:21:33.812"</f>
        <v>03/24/2022 22:21:33.812</v>
      </c>
      <c r="C2728" t="str">
        <f t="shared" si="810"/>
        <v>FFDFD3C0</v>
      </c>
      <c r="D2728" t="s">
        <v>120</v>
      </c>
      <c r="E2728">
        <v>14</v>
      </c>
      <c r="F2728">
        <v>1014</v>
      </c>
      <c r="G2728" t="s">
        <v>121</v>
      </c>
      <c r="J2728" t="s">
        <v>122</v>
      </c>
      <c r="K2728">
        <v>0</v>
      </c>
      <c r="L2728">
        <v>3</v>
      </c>
      <c r="M2728">
        <v>0</v>
      </c>
      <c r="N2728">
        <v>2</v>
      </c>
      <c r="O2728">
        <v>0</v>
      </c>
      <c r="P2728">
        <v>1</v>
      </c>
      <c r="Q2728">
        <v>0</v>
      </c>
      <c r="S2728" t="str">
        <f t="shared" si="815"/>
        <v>22:21:33.000</v>
      </c>
      <c r="T2728" t="str">
        <f t="shared" si="815"/>
        <v>22:21:33.000</v>
      </c>
      <c r="U2728" t="str">
        <f t="shared" si="804"/>
        <v>A9D71F</v>
      </c>
      <c r="V2728">
        <v>0</v>
      </c>
      <c r="W2728">
        <v>0</v>
      </c>
      <c r="X2728">
        <v>2</v>
      </c>
      <c r="Z2728">
        <v>1</v>
      </c>
      <c r="AA2728">
        <v>8</v>
      </c>
      <c r="AB2728">
        <v>3</v>
      </c>
      <c r="AC2728">
        <v>0</v>
      </c>
      <c r="AD2728">
        <v>9</v>
      </c>
      <c r="AE2728">
        <v>0</v>
      </c>
      <c r="AF2728">
        <v>3</v>
      </c>
      <c r="AG2728">
        <v>1</v>
      </c>
      <c r="AH2728">
        <v>0</v>
      </c>
      <c r="AI2728" t="s">
        <v>1374</v>
      </c>
      <c r="AJ2728">
        <v>33.006878</v>
      </c>
      <c r="AK2728" t="s">
        <v>1375</v>
      </c>
      <c r="AL2728">
        <v>-97.660775000000001</v>
      </c>
      <c r="AM2728">
        <v>25</v>
      </c>
      <c r="AN2728">
        <v>1600</v>
      </c>
      <c r="AO2728" t="s">
        <v>118</v>
      </c>
      <c r="AP2728">
        <v>-55</v>
      </c>
      <c r="AQ2728">
        <v>-61</v>
      </c>
      <c r="AR2728">
        <v>-512</v>
      </c>
      <c r="AZ2728">
        <v>7700</v>
      </c>
      <c r="BA2728">
        <v>1</v>
      </c>
      <c r="BB2728" t="str">
        <f t="shared" si="811"/>
        <v xml:space="preserve">N733KP  </v>
      </c>
      <c r="BC2728">
        <v>1</v>
      </c>
      <c r="BE2728">
        <v>0</v>
      </c>
      <c r="BF2728">
        <v>0</v>
      </c>
      <c r="BG2728">
        <v>1</v>
      </c>
      <c r="BH2728">
        <v>1600</v>
      </c>
      <c r="BI2728">
        <v>1</v>
      </c>
      <c r="BJ2728">
        <v>1</v>
      </c>
      <c r="BK2728">
        <v>0</v>
      </c>
      <c r="BL2728">
        <v>0</v>
      </c>
      <c r="BO2728">
        <v>0</v>
      </c>
      <c r="BP2728">
        <v>0</v>
      </c>
      <c r="BW2728" t="str">
        <f>"22:21:33.584"</f>
        <v>22:21:33.584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6</v>
      </c>
      <c r="CP2728" t="s">
        <v>119</v>
      </c>
      <c r="CQ2728">
        <v>364</v>
      </c>
      <c r="CR2728">
        <v>0</v>
      </c>
      <c r="CW2728">
        <v>1471700</v>
      </c>
      <c r="CY2728">
        <v>1</v>
      </c>
      <c r="CZ2728">
        <v>0</v>
      </c>
      <c r="DA2728">
        <v>1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3">
      <c r="A2729" t="str">
        <f>"03/24/2022 22:21:34.938"</f>
        <v>03/24/2022 22:21:34.938</v>
      </c>
      <c r="C2729" t="str">
        <f t="shared" si="810"/>
        <v>FFDFD3C0</v>
      </c>
      <c r="D2729" t="s">
        <v>113</v>
      </c>
      <c r="E2729">
        <v>24</v>
      </c>
      <c r="F2729">
        <v>2024</v>
      </c>
      <c r="G2729" t="s">
        <v>114</v>
      </c>
      <c r="J2729" t="s">
        <v>115</v>
      </c>
      <c r="K2729">
        <v>0</v>
      </c>
      <c r="L2729">
        <v>3</v>
      </c>
      <c r="M2729">
        <v>0</v>
      </c>
      <c r="N2729">
        <v>2</v>
      </c>
      <c r="O2729">
        <v>0</v>
      </c>
      <c r="P2729">
        <v>1</v>
      </c>
      <c r="Q2729">
        <v>0</v>
      </c>
      <c r="S2729" t="str">
        <f t="shared" ref="S2729:T2732" si="816">"22:21:34.000"</f>
        <v>22:21:34.000</v>
      </c>
      <c r="T2729" t="str">
        <f t="shared" si="816"/>
        <v>22:21:34.000</v>
      </c>
      <c r="U2729" t="str">
        <f t="shared" si="804"/>
        <v>A9D71F</v>
      </c>
      <c r="V2729">
        <v>0</v>
      </c>
      <c r="W2729">
        <v>0</v>
      </c>
      <c r="X2729">
        <v>2</v>
      </c>
      <c r="Z2729">
        <v>1</v>
      </c>
      <c r="AA2729">
        <v>8</v>
      </c>
      <c r="AB2729">
        <v>3</v>
      </c>
      <c r="AC2729">
        <v>0</v>
      </c>
      <c r="AD2729">
        <v>9</v>
      </c>
      <c r="AE2729">
        <v>0</v>
      </c>
      <c r="AF2729">
        <v>3</v>
      </c>
      <c r="AG2729">
        <v>1</v>
      </c>
      <c r="AH2729">
        <v>0</v>
      </c>
      <c r="AI2729" t="s">
        <v>1376</v>
      </c>
      <c r="AJ2729">
        <v>33.006619999999998</v>
      </c>
      <c r="AK2729" t="s">
        <v>1377</v>
      </c>
      <c r="AL2729">
        <v>-97.661075999999994</v>
      </c>
      <c r="AM2729">
        <v>25</v>
      </c>
      <c r="AN2729">
        <v>1600</v>
      </c>
      <c r="AO2729" t="s">
        <v>118</v>
      </c>
      <c r="AP2729">
        <v>-52</v>
      </c>
      <c r="AQ2729">
        <v>-67</v>
      </c>
      <c r="AR2729">
        <v>-576</v>
      </c>
      <c r="AZ2729">
        <v>7700</v>
      </c>
      <c r="BA2729">
        <v>1</v>
      </c>
      <c r="BB2729" t="str">
        <f t="shared" si="811"/>
        <v xml:space="preserve">N733KP  </v>
      </c>
      <c r="BC2729">
        <v>1</v>
      </c>
      <c r="BE2729">
        <v>0</v>
      </c>
      <c r="BF2729">
        <v>0</v>
      </c>
      <c r="BG2729">
        <v>1</v>
      </c>
      <c r="BH2729">
        <v>1600</v>
      </c>
      <c r="BI2729">
        <v>1</v>
      </c>
      <c r="BJ2729">
        <v>1</v>
      </c>
      <c r="BK2729">
        <v>0</v>
      </c>
      <c r="BL2729">
        <v>0</v>
      </c>
      <c r="BO2729">
        <v>0</v>
      </c>
      <c r="BP2729">
        <v>0</v>
      </c>
      <c r="BW2729" t="str">
        <f>"22:21:34.739"</f>
        <v>22:21:34.739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4</v>
      </c>
      <c r="CP2729" t="s">
        <v>119</v>
      </c>
      <c r="CQ2729">
        <v>365</v>
      </c>
      <c r="CR2729">
        <v>0</v>
      </c>
      <c r="CW2729">
        <v>11566369</v>
      </c>
      <c r="CY2729">
        <v>1</v>
      </c>
      <c r="CZ2729">
        <v>0</v>
      </c>
      <c r="DA2729">
        <v>0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3">
      <c r="A2730" t="str">
        <f>"03/24/2022 22:21:34.938"</f>
        <v>03/24/2022 22:21:34.938</v>
      </c>
      <c r="C2730" t="str">
        <f t="shared" si="810"/>
        <v>FFDFD3C0</v>
      </c>
      <c r="D2730" t="s">
        <v>126</v>
      </c>
      <c r="E2730">
        <v>3</v>
      </c>
      <c r="H2730">
        <v>160</v>
      </c>
      <c r="I2730" t="s">
        <v>121</v>
      </c>
      <c r="J2730" t="s">
        <v>127</v>
      </c>
      <c r="K2730">
        <v>0</v>
      </c>
      <c r="L2730">
        <v>3</v>
      </c>
      <c r="M2730">
        <v>0</v>
      </c>
      <c r="N2730">
        <v>2</v>
      </c>
      <c r="O2730">
        <v>0</v>
      </c>
      <c r="P2730">
        <v>1</v>
      </c>
      <c r="Q2730">
        <v>0</v>
      </c>
      <c r="S2730" t="str">
        <f t="shared" si="816"/>
        <v>22:21:34.000</v>
      </c>
      <c r="T2730" t="str">
        <f t="shared" si="816"/>
        <v>22:21:34.000</v>
      </c>
      <c r="U2730" t="str">
        <f t="shared" si="804"/>
        <v>A9D71F</v>
      </c>
      <c r="V2730">
        <v>0</v>
      </c>
      <c r="W2730">
        <v>0</v>
      </c>
      <c r="X2730">
        <v>2</v>
      </c>
      <c r="Z2730">
        <v>1</v>
      </c>
      <c r="AA2730">
        <v>8</v>
      </c>
      <c r="AB2730">
        <v>3</v>
      </c>
      <c r="AC2730">
        <v>0</v>
      </c>
      <c r="AD2730">
        <v>9</v>
      </c>
      <c r="AE2730">
        <v>0</v>
      </c>
      <c r="AF2730">
        <v>3</v>
      </c>
      <c r="AG2730">
        <v>1</v>
      </c>
      <c r="AH2730">
        <v>0</v>
      </c>
      <c r="AI2730" t="s">
        <v>1376</v>
      </c>
      <c r="AJ2730">
        <v>33.006619999999998</v>
      </c>
      <c r="AK2730" t="s">
        <v>1377</v>
      </c>
      <c r="AL2730">
        <v>-97.661075999999994</v>
      </c>
      <c r="AM2730">
        <v>25</v>
      </c>
      <c r="AN2730">
        <v>1600</v>
      </c>
      <c r="AO2730" t="s">
        <v>118</v>
      </c>
      <c r="AP2730">
        <v>-52</v>
      </c>
      <c r="AQ2730">
        <v>-67</v>
      </c>
      <c r="AR2730">
        <v>-576</v>
      </c>
      <c r="AZ2730">
        <v>7700</v>
      </c>
      <c r="BA2730">
        <v>1</v>
      </c>
      <c r="BB2730" t="str">
        <f t="shared" si="811"/>
        <v xml:space="preserve">N733KP  </v>
      </c>
      <c r="BC2730">
        <v>1</v>
      </c>
      <c r="BE2730">
        <v>0</v>
      </c>
      <c r="BF2730">
        <v>0</v>
      </c>
      <c r="BG2730">
        <v>1</v>
      </c>
      <c r="BH2730">
        <v>1600</v>
      </c>
      <c r="BI2730">
        <v>1</v>
      </c>
      <c r="BJ2730">
        <v>1</v>
      </c>
      <c r="BK2730">
        <v>0</v>
      </c>
      <c r="BL2730">
        <v>0</v>
      </c>
      <c r="BO2730">
        <v>0</v>
      </c>
      <c r="BP2730">
        <v>0</v>
      </c>
      <c r="BW2730" t="str">
        <f>"22:21:34.739"</f>
        <v>22:21:34.739</v>
      </c>
      <c r="CJ2730">
        <v>0</v>
      </c>
      <c r="CK2730">
        <v>2</v>
      </c>
      <c r="CL2730">
        <v>0</v>
      </c>
      <c r="CM2730">
        <v>2</v>
      </c>
      <c r="CN2730">
        <v>0</v>
      </c>
      <c r="CO2730">
        <v>4</v>
      </c>
      <c r="CP2730" t="s">
        <v>119</v>
      </c>
      <c r="CQ2730">
        <v>365</v>
      </c>
      <c r="CR2730">
        <v>0</v>
      </c>
      <c r="CW2730">
        <v>11566369</v>
      </c>
      <c r="CY2730">
        <v>1</v>
      </c>
      <c r="CZ2730">
        <v>0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3">
      <c r="A2731" t="str">
        <f>"03/24/2022 22:21:34.938"</f>
        <v>03/24/2022 22:21:34.938</v>
      </c>
      <c r="C2731" t="str">
        <f t="shared" si="810"/>
        <v>FFDFD3C0</v>
      </c>
      <c r="D2731" t="s">
        <v>120</v>
      </c>
      <c r="E2731">
        <v>14</v>
      </c>
      <c r="F2731">
        <v>1014</v>
      </c>
      <c r="G2731" t="s">
        <v>121</v>
      </c>
      <c r="J2731" t="s">
        <v>122</v>
      </c>
      <c r="K2731">
        <v>0</v>
      </c>
      <c r="L2731">
        <v>3</v>
      </c>
      <c r="M2731">
        <v>0</v>
      </c>
      <c r="N2731">
        <v>2</v>
      </c>
      <c r="O2731">
        <v>0</v>
      </c>
      <c r="P2731">
        <v>1</v>
      </c>
      <c r="Q2731">
        <v>0</v>
      </c>
      <c r="S2731" t="str">
        <f t="shared" si="816"/>
        <v>22:21:34.000</v>
      </c>
      <c r="T2731" t="str">
        <f t="shared" si="816"/>
        <v>22:21:34.000</v>
      </c>
      <c r="U2731" t="str">
        <f t="shared" si="804"/>
        <v>A9D71F</v>
      </c>
      <c r="V2731">
        <v>0</v>
      </c>
      <c r="W2731">
        <v>0</v>
      </c>
      <c r="X2731">
        <v>2</v>
      </c>
      <c r="Z2731">
        <v>1</v>
      </c>
      <c r="AA2731">
        <v>8</v>
      </c>
      <c r="AB2731">
        <v>3</v>
      </c>
      <c r="AC2731">
        <v>0</v>
      </c>
      <c r="AD2731">
        <v>9</v>
      </c>
      <c r="AE2731">
        <v>0</v>
      </c>
      <c r="AF2731">
        <v>3</v>
      </c>
      <c r="AG2731">
        <v>1</v>
      </c>
      <c r="AH2731">
        <v>0</v>
      </c>
      <c r="AI2731" t="s">
        <v>1376</v>
      </c>
      <c r="AJ2731">
        <v>33.006619999999998</v>
      </c>
      <c r="AK2731" t="s">
        <v>1377</v>
      </c>
      <c r="AL2731">
        <v>-97.661075999999994</v>
      </c>
      <c r="AM2731">
        <v>25</v>
      </c>
      <c r="AN2731">
        <v>1600</v>
      </c>
      <c r="AO2731" t="s">
        <v>118</v>
      </c>
      <c r="AP2731">
        <v>-52</v>
      </c>
      <c r="AQ2731">
        <v>-67</v>
      </c>
      <c r="AR2731">
        <v>-576</v>
      </c>
      <c r="AZ2731">
        <v>7700</v>
      </c>
      <c r="BA2731">
        <v>1</v>
      </c>
      <c r="BB2731" t="str">
        <f t="shared" si="811"/>
        <v xml:space="preserve">N733KP  </v>
      </c>
      <c r="BC2731">
        <v>1</v>
      </c>
      <c r="BE2731">
        <v>0</v>
      </c>
      <c r="BF2731">
        <v>0</v>
      </c>
      <c r="BG2731">
        <v>1</v>
      </c>
      <c r="BH2731">
        <v>1600</v>
      </c>
      <c r="BI2731">
        <v>1</v>
      </c>
      <c r="BJ2731">
        <v>1</v>
      </c>
      <c r="BK2731">
        <v>0</v>
      </c>
      <c r="BL2731">
        <v>0</v>
      </c>
      <c r="BO2731">
        <v>0</v>
      </c>
      <c r="BP2731">
        <v>0</v>
      </c>
      <c r="BW2731" t="str">
        <f>"22:21:34.739"</f>
        <v>22:21:34.739</v>
      </c>
      <c r="CJ2731">
        <v>0</v>
      </c>
      <c r="CK2731">
        <v>2</v>
      </c>
      <c r="CL2731">
        <v>0</v>
      </c>
      <c r="CM2731">
        <v>2</v>
      </c>
      <c r="CN2731">
        <v>0</v>
      </c>
      <c r="CO2731">
        <v>4</v>
      </c>
      <c r="CP2731" t="s">
        <v>119</v>
      </c>
      <c r="CQ2731">
        <v>365</v>
      </c>
      <c r="CR2731">
        <v>0</v>
      </c>
      <c r="CW2731">
        <v>11566369</v>
      </c>
      <c r="CY2731">
        <v>1</v>
      </c>
      <c r="CZ2731">
        <v>0</v>
      </c>
      <c r="DA2731">
        <v>1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3">
      <c r="A2732" t="str">
        <f>"03/24/2022 22:21:34.938"</f>
        <v>03/24/2022 22:21:34.938</v>
      </c>
      <c r="C2732" t="str">
        <f t="shared" si="810"/>
        <v>FFDFD3C0</v>
      </c>
      <c r="D2732" t="s">
        <v>123</v>
      </c>
      <c r="E2732">
        <v>8</v>
      </c>
      <c r="H2732">
        <v>31</v>
      </c>
      <c r="I2732" t="s">
        <v>124</v>
      </c>
      <c r="J2732" t="s">
        <v>125</v>
      </c>
      <c r="K2732">
        <v>0</v>
      </c>
      <c r="L2732">
        <v>3</v>
      </c>
      <c r="M2732">
        <v>0</v>
      </c>
      <c r="N2732">
        <v>2</v>
      </c>
      <c r="O2732">
        <v>0</v>
      </c>
      <c r="P2732">
        <v>1</v>
      </c>
      <c r="Q2732">
        <v>0</v>
      </c>
      <c r="S2732" t="str">
        <f t="shared" si="816"/>
        <v>22:21:34.000</v>
      </c>
      <c r="T2732" t="str">
        <f t="shared" si="816"/>
        <v>22:21:34.000</v>
      </c>
      <c r="U2732" t="str">
        <f t="shared" si="804"/>
        <v>A9D71F</v>
      </c>
      <c r="V2732">
        <v>0</v>
      </c>
      <c r="W2732">
        <v>0</v>
      </c>
      <c r="X2732">
        <v>2</v>
      </c>
      <c r="Z2732">
        <v>1</v>
      </c>
      <c r="AA2732">
        <v>8</v>
      </c>
      <c r="AB2732">
        <v>3</v>
      </c>
      <c r="AC2732">
        <v>0</v>
      </c>
      <c r="AD2732">
        <v>9</v>
      </c>
      <c r="AE2732">
        <v>0</v>
      </c>
      <c r="AF2732">
        <v>3</v>
      </c>
      <c r="AG2732">
        <v>1</v>
      </c>
      <c r="AH2732">
        <v>0</v>
      </c>
      <c r="AI2732" t="s">
        <v>1376</v>
      </c>
      <c r="AJ2732">
        <v>33.006619999999998</v>
      </c>
      <c r="AK2732" t="s">
        <v>1377</v>
      </c>
      <c r="AL2732">
        <v>-97.661075999999994</v>
      </c>
      <c r="AM2732">
        <v>25</v>
      </c>
      <c r="AN2732">
        <v>1600</v>
      </c>
      <c r="AO2732" t="s">
        <v>118</v>
      </c>
      <c r="AP2732">
        <v>-52</v>
      </c>
      <c r="AQ2732">
        <v>-67</v>
      </c>
      <c r="AR2732">
        <v>-576</v>
      </c>
      <c r="AZ2732">
        <v>7700</v>
      </c>
      <c r="BA2732">
        <v>1</v>
      </c>
      <c r="BB2732" t="str">
        <f t="shared" si="811"/>
        <v xml:space="preserve">N733KP  </v>
      </c>
      <c r="BC2732">
        <v>1</v>
      </c>
      <c r="BE2732">
        <v>0</v>
      </c>
      <c r="BF2732">
        <v>0</v>
      </c>
      <c r="BG2732">
        <v>1</v>
      </c>
      <c r="BH2732">
        <v>1600</v>
      </c>
      <c r="BI2732">
        <v>1</v>
      </c>
      <c r="BJ2732">
        <v>1</v>
      </c>
      <c r="BK2732">
        <v>0</v>
      </c>
      <c r="BL2732">
        <v>0</v>
      </c>
      <c r="BO2732">
        <v>0</v>
      </c>
      <c r="BP2732">
        <v>0</v>
      </c>
      <c r="BW2732" t="str">
        <f>"22:21:34.739"</f>
        <v>22:21:34.739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4</v>
      </c>
      <c r="CP2732" t="s">
        <v>119</v>
      </c>
      <c r="CQ2732">
        <v>365</v>
      </c>
      <c r="CR2732">
        <v>0</v>
      </c>
      <c r="CW2732">
        <v>11566369</v>
      </c>
      <c r="CY2732">
        <v>1</v>
      </c>
      <c r="CZ2732">
        <v>0</v>
      </c>
      <c r="DA2732">
        <v>1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3">
      <c r="A2733" t="str">
        <f>"03/24/2022 22:21:35.594"</f>
        <v>03/24/2022 22:21:35.594</v>
      </c>
      <c r="C2733" t="str">
        <f t="shared" si="810"/>
        <v>FFDFD3C0</v>
      </c>
      <c r="D2733" t="s">
        <v>123</v>
      </c>
      <c r="E2733">
        <v>8</v>
      </c>
      <c r="H2733">
        <v>31</v>
      </c>
      <c r="I2733" t="s">
        <v>124</v>
      </c>
      <c r="J2733" t="s">
        <v>125</v>
      </c>
      <c r="K2733">
        <v>0</v>
      </c>
      <c r="L2733">
        <v>3</v>
      </c>
      <c r="M2733">
        <v>0</v>
      </c>
      <c r="N2733">
        <v>2</v>
      </c>
      <c r="O2733">
        <v>0</v>
      </c>
      <c r="P2733">
        <v>1</v>
      </c>
      <c r="Q2733">
        <v>0</v>
      </c>
      <c r="S2733" t="str">
        <f t="shared" ref="S2733:T2736" si="817">"22:21:35.000"</f>
        <v>22:21:35.000</v>
      </c>
      <c r="T2733" t="str">
        <f t="shared" si="817"/>
        <v>22:21:35.000</v>
      </c>
      <c r="U2733" t="str">
        <f t="shared" si="804"/>
        <v>A9D71F</v>
      </c>
      <c r="V2733">
        <v>0</v>
      </c>
      <c r="W2733">
        <v>0</v>
      </c>
      <c r="X2733">
        <v>2</v>
      </c>
      <c r="Z2733">
        <v>1</v>
      </c>
      <c r="AA2733">
        <v>8</v>
      </c>
      <c r="AB2733">
        <v>3</v>
      </c>
      <c r="AC2733">
        <v>0</v>
      </c>
      <c r="AD2733">
        <v>9</v>
      </c>
      <c r="AE2733">
        <v>0</v>
      </c>
      <c r="AF2733">
        <v>3</v>
      </c>
      <c r="AG2733">
        <v>1</v>
      </c>
      <c r="AH2733">
        <v>0</v>
      </c>
      <c r="AI2733" t="s">
        <v>1256</v>
      </c>
      <c r="AJ2733">
        <v>33.006320000000002</v>
      </c>
      <c r="AK2733" t="s">
        <v>1378</v>
      </c>
      <c r="AL2733">
        <v>-97.661376000000004</v>
      </c>
      <c r="AM2733">
        <v>25</v>
      </c>
      <c r="AN2733">
        <v>1600</v>
      </c>
      <c r="AO2733" t="s">
        <v>118</v>
      </c>
      <c r="AP2733">
        <v>-52</v>
      </c>
      <c r="AQ2733">
        <v>-66</v>
      </c>
      <c r="AR2733">
        <v>-576</v>
      </c>
      <c r="AZ2733">
        <v>7700</v>
      </c>
      <c r="BA2733">
        <v>1</v>
      </c>
      <c r="BB2733" t="str">
        <f t="shared" si="811"/>
        <v xml:space="preserve">N733KP  </v>
      </c>
      <c r="BC2733">
        <v>1</v>
      </c>
      <c r="BE2733">
        <v>0</v>
      </c>
      <c r="BF2733">
        <v>0</v>
      </c>
      <c r="BG2733">
        <v>1</v>
      </c>
      <c r="BH2733">
        <v>1600</v>
      </c>
      <c r="BI2733">
        <v>1</v>
      </c>
      <c r="BJ2733">
        <v>1</v>
      </c>
      <c r="BK2733">
        <v>0</v>
      </c>
      <c r="BL2733">
        <v>0</v>
      </c>
      <c r="BO2733">
        <v>0</v>
      </c>
      <c r="BP2733">
        <v>0</v>
      </c>
      <c r="BW2733" t="str">
        <f>"22:21:35.389"</f>
        <v>22:21:35.389</v>
      </c>
      <c r="CJ2733">
        <v>0</v>
      </c>
      <c r="CK2733">
        <v>2</v>
      </c>
      <c r="CL2733">
        <v>0</v>
      </c>
      <c r="CM2733">
        <v>2</v>
      </c>
      <c r="CN2733">
        <v>0</v>
      </c>
      <c r="CO2733">
        <v>6</v>
      </c>
      <c r="CP2733" t="s">
        <v>119</v>
      </c>
      <c r="CQ2733">
        <v>364</v>
      </c>
      <c r="CR2733">
        <v>0</v>
      </c>
      <c r="CW2733">
        <v>1471993</v>
      </c>
      <c r="CY2733">
        <v>1</v>
      </c>
      <c r="CZ2733">
        <v>0</v>
      </c>
      <c r="DA2733">
        <v>0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3">
      <c r="A2734" t="str">
        <f>"03/24/2022 22:21:35.594"</f>
        <v>03/24/2022 22:21:35.594</v>
      </c>
      <c r="C2734" t="str">
        <f t="shared" si="810"/>
        <v>FFDFD3C0</v>
      </c>
      <c r="D2734" t="s">
        <v>113</v>
      </c>
      <c r="E2734">
        <v>24</v>
      </c>
      <c r="F2734">
        <v>2024</v>
      </c>
      <c r="G2734" t="s">
        <v>114</v>
      </c>
      <c r="J2734" t="s">
        <v>115</v>
      </c>
      <c r="K2734">
        <v>0</v>
      </c>
      <c r="L2734">
        <v>3</v>
      </c>
      <c r="M2734">
        <v>0</v>
      </c>
      <c r="N2734">
        <v>2</v>
      </c>
      <c r="O2734">
        <v>0</v>
      </c>
      <c r="P2734">
        <v>1</v>
      </c>
      <c r="Q2734">
        <v>0</v>
      </c>
      <c r="S2734" t="str">
        <f t="shared" si="817"/>
        <v>22:21:35.000</v>
      </c>
      <c r="T2734" t="str">
        <f t="shared" si="817"/>
        <v>22:21:35.000</v>
      </c>
      <c r="U2734" t="str">
        <f t="shared" si="804"/>
        <v>A9D71F</v>
      </c>
      <c r="V2734">
        <v>0</v>
      </c>
      <c r="W2734">
        <v>0</v>
      </c>
      <c r="X2734">
        <v>2</v>
      </c>
      <c r="Z2734">
        <v>1</v>
      </c>
      <c r="AA2734">
        <v>8</v>
      </c>
      <c r="AB2734">
        <v>3</v>
      </c>
      <c r="AC2734">
        <v>0</v>
      </c>
      <c r="AD2734">
        <v>9</v>
      </c>
      <c r="AE2734">
        <v>0</v>
      </c>
      <c r="AF2734">
        <v>3</v>
      </c>
      <c r="AG2734">
        <v>1</v>
      </c>
      <c r="AH2734">
        <v>0</v>
      </c>
      <c r="AI2734" t="s">
        <v>1256</v>
      </c>
      <c r="AJ2734">
        <v>33.006320000000002</v>
      </c>
      <c r="AK2734" t="s">
        <v>1378</v>
      </c>
      <c r="AL2734">
        <v>-97.661376000000004</v>
      </c>
      <c r="AM2734">
        <v>25</v>
      </c>
      <c r="AN2734">
        <v>1600</v>
      </c>
      <c r="AO2734" t="s">
        <v>118</v>
      </c>
      <c r="AP2734">
        <v>-52</v>
      </c>
      <c r="AQ2734">
        <v>-66</v>
      </c>
      <c r="AR2734">
        <v>-576</v>
      </c>
      <c r="AZ2734">
        <v>7700</v>
      </c>
      <c r="BA2734">
        <v>1</v>
      </c>
      <c r="BB2734" t="str">
        <f t="shared" si="811"/>
        <v xml:space="preserve">N733KP  </v>
      </c>
      <c r="BC2734">
        <v>1</v>
      </c>
      <c r="BE2734">
        <v>0</v>
      </c>
      <c r="BF2734">
        <v>0</v>
      </c>
      <c r="BG2734">
        <v>1</v>
      </c>
      <c r="BH2734">
        <v>1600</v>
      </c>
      <c r="BI2734">
        <v>1</v>
      </c>
      <c r="BJ2734">
        <v>1</v>
      </c>
      <c r="BK2734">
        <v>0</v>
      </c>
      <c r="BL2734">
        <v>0</v>
      </c>
      <c r="BO2734">
        <v>0</v>
      </c>
      <c r="BP2734">
        <v>0</v>
      </c>
      <c r="BW2734" t="str">
        <f>"22:21:35.389"</f>
        <v>22:21:35.389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6</v>
      </c>
      <c r="CP2734" t="s">
        <v>119</v>
      </c>
      <c r="CQ2734">
        <v>364</v>
      </c>
      <c r="CR2734">
        <v>0</v>
      </c>
      <c r="CW2734">
        <v>1471993</v>
      </c>
      <c r="CY2734">
        <v>1</v>
      </c>
      <c r="CZ2734">
        <v>0</v>
      </c>
      <c r="DA2734">
        <v>1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3">
      <c r="A2735" t="str">
        <f>"03/24/2022 22:21:35.609"</f>
        <v>03/24/2022 22:21:35.609</v>
      </c>
      <c r="C2735" t="str">
        <f t="shared" si="810"/>
        <v>FFDFD3C0</v>
      </c>
      <c r="D2735" t="s">
        <v>126</v>
      </c>
      <c r="E2735">
        <v>3</v>
      </c>
      <c r="H2735">
        <v>160</v>
      </c>
      <c r="I2735" t="s">
        <v>121</v>
      </c>
      <c r="J2735" t="s">
        <v>127</v>
      </c>
      <c r="K2735">
        <v>0</v>
      </c>
      <c r="L2735">
        <v>3</v>
      </c>
      <c r="M2735">
        <v>0</v>
      </c>
      <c r="N2735">
        <v>2</v>
      </c>
      <c r="O2735">
        <v>0</v>
      </c>
      <c r="P2735">
        <v>1</v>
      </c>
      <c r="Q2735">
        <v>0</v>
      </c>
      <c r="S2735" t="str">
        <f t="shared" si="817"/>
        <v>22:21:35.000</v>
      </c>
      <c r="T2735" t="str">
        <f t="shared" si="817"/>
        <v>22:21:35.000</v>
      </c>
      <c r="U2735" t="str">
        <f t="shared" si="804"/>
        <v>A9D71F</v>
      </c>
      <c r="V2735">
        <v>0</v>
      </c>
      <c r="W2735">
        <v>0</v>
      </c>
      <c r="X2735">
        <v>2</v>
      </c>
      <c r="Z2735">
        <v>1</v>
      </c>
      <c r="AA2735">
        <v>8</v>
      </c>
      <c r="AB2735">
        <v>3</v>
      </c>
      <c r="AC2735">
        <v>0</v>
      </c>
      <c r="AD2735">
        <v>9</v>
      </c>
      <c r="AE2735">
        <v>0</v>
      </c>
      <c r="AF2735">
        <v>3</v>
      </c>
      <c r="AG2735">
        <v>1</v>
      </c>
      <c r="AH2735">
        <v>0</v>
      </c>
      <c r="AI2735" t="s">
        <v>1256</v>
      </c>
      <c r="AJ2735">
        <v>33.006320000000002</v>
      </c>
      <c r="AK2735" t="s">
        <v>1378</v>
      </c>
      <c r="AL2735">
        <v>-97.661376000000004</v>
      </c>
      <c r="AM2735">
        <v>25</v>
      </c>
      <c r="AN2735">
        <v>1600</v>
      </c>
      <c r="AO2735" t="s">
        <v>118</v>
      </c>
      <c r="AP2735">
        <v>-52</v>
      </c>
      <c r="AQ2735">
        <v>-66</v>
      </c>
      <c r="AR2735">
        <v>-576</v>
      </c>
      <c r="AZ2735">
        <v>7700</v>
      </c>
      <c r="BA2735">
        <v>1</v>
      </c>
      <c r="BB2735" t="str">
        <f t="shared" si="811"/>
        <v xml:space="preserve">N733KP  </v>
      </c>
      <c r="BC2735">
        <v>1</v>
      </c>
      <c r="BE2735">
        <v>0</v>
      </c>
      <c r="BF2735">
        <v>0</v>
      </c>
      <c r="BG2735">
        <v>1</v>
      </c>
      <c r="BH2735">
        <v>1600</v>
      </c>
      <c r="BI2735">
        <v>1</v>
      </c>
      <c r="BJ2735">
        <v>1</v>
      </c>
      <c r="BK2735">
        <v>0</v>
      </c>
      <c r="BL2735">
        <v>0</v>
      </c>
      <c r="BO2735">
        <v>0</v>
      </c>
      <c r="BP2735">
        <v>0</v>
      </c>
      <c r="BW2735" t="str">
        <f>"22:21:35.389"</f>
        <v>22:21:35.389</v>
      </c>
      <c r="CJ2735">
        <v>0</v>
      </c>
      <c r="CK2735">
        <v>2</v>
      </c>
      <c r="CL2735">
        <v>0</v>
      </c>
      <c r="CM2735">
        <v>2</v>
      </c>
      <c r="CN2735">
        <v>0</v>
      </c>
      <c r="CO2735">
        <v>6</v>
      </c>
      <c r="CP2735" t="s">
        <v>119</v>
      </c>
      <c r="CQ2735">
        <v>364</v>
      </c>
      <c r="CR2735">
        <v>0</v>
      </c>
      <c r="CW2735">
        <v>1471993</v>
      </c>
      <c r="CY2735">
        <v>1</v>
      </c>
      <c r="CZ2735">
        <v>0</v>
      </c>
      <c r="DA2735">
        <v>1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3">
      <c r="A2736" t="str">
        <f>"03/24/2022 22:21:35.625"</f>
        <v>03/24/2022 22:21:35.625</v>
      </c>
      <c r="C2736" t="str">
        <f t="shared" si="810"/>
        <v>FFDFD3C0</v>
      </c>
      <c r="D2736" t="s">
        <v>120</v>
      </c>
      <c r="E2736">
        <v>14</v>
      </c>
      <c r="F2736">
        <v>1014</v>
      </c>
      <c r="G2736" t="s">
        <v>121</v>
      </c>
      <c r="J2736" t="s">
        <v>122</v>
      </c>
      <c r="K2736">
        <v>0</v>
      </c>
      <c r="L2736">
        <v>3</v>
      </c>
      <c r="M2736">
        <v>0</v>
      </c>
      <c r="N2736">
        <v>2</v>
      </c>
      <c r="O2736">
        <v>0</v>
      </c>
      <c r="P2736">
        <v>1</v>
      </c>
      <c r="Q2736">
        <v>0</v>
      </c>
      <c r="S2736" t="str">
        <f t="shared" si="817"/>
        <v>22:21:35.000</v>
      </c>
      <c r="T2736" t="str">
        <f t="shared" si="817"/>
        <v>22:21:35.000</v>
      </c>
      <c r="U2736" t="str">
        <f t="shared" si="804"/>
        <v>A9D71F</v>
      </c>
      <c r="V2736">
        <v>0</v>
      </c>
      <c r="W2736">
        <v>0</v>
      </c>
      <c r="X2736">
        <v>2</v>
      </c>
      <c r="Z2736">
        <v>1</v>
      </c>
      <c r="AA2736">
        <v>8</v>
      </c>
      <c r="AB2736">
        <v>3</v>
      </c>
      <c r="AC2736">
        <v>0</v>
      </c>
      <c r="AD2736">
        <v>9</v>
      </c>
      <c r="AE2736">
        <v>0</v>
      </c>
      <c r="AF2736">
        <v>3</v>
      </c>
      <c r="AG2736">
        <v>1</v>
      </c>
      <c r="AH2736">
        <v>0</v>
      </c>
      <c r="AI2736" t="s">
        <v>1256</v>
      </c>
      <c r="AJ2736">
        <v>33.006320000000002</v>
      </c>
      <c r="AK2736" t="s">
        <v>1378</v>
      </c>
      <c r="AL2736">
        <v>-97.661376000000004</v>
      </c>
      <c r="AM2736">
        <v>25</v>
      </c>
      <c r="AN2736">
        <v>1600</v>
      </c>
      <c r="AO2736" t="s">
        <v>118</v>
      </c>
      <c r="AP2736">
        <v>-52</v>
      </c>
      <c r="AQ2736">
        <v>-66</v>
      </c>
      <c r="AR2736">
        <v>-576</v>
      </c>
      <c r="AZ2736">
        <v>7700</v>
      </c>
      <c r="BA2736">
        <v>1</v>
      </c>
      <c r="BB2736" t="str">
        <f t="shared" si="811"/>
        <v xml:space="preserve">N733KP  </v>
      </c>
      <c r="BC2736">
        <v>1</v>
      </c>
      <c r="BE2736">
        <v>0</v>
      </c>
      <c r="BF2736">
        <v>0</v>
      </c>
      <c r="BG2736">
        <v>1</v>
      </c>
      <c r="BH2736">
        <v>1600</v>
      </c>
      <c r="BI2736">
        <v>1</v>
      </c>
      <c r="BJ2736">
        <v>1</v>
      </c>
      <c r="BK2736">
        <v>0</v>
      </c>
      <c r="BL2736">
        <v>0</v>
      </c>
      <c r="BO2736">
        <v>0</v>
      </c>
      <c r="BP2736">
        <v>0</v>
      </c>
      <c r="BW2736" t="str">
        <f>"22:21:35.389"</f>
        <v>22:21:35.389</v>
      </c>
      <c r="CJ2736">
        <v>0</v>
      </c>
      <c r="CK2736">
        <v>2</v>
      </c>
      <c r="CL2736">
        <v>0</v>
      </c>
      <c r="CM2736">
        <v>2</v>
      </c>
      <c r="CN2736">
        <v>0</v>
      </c>
      <c r="CO2736">
        <v>6</v>
      </c>
      <c r="CP2736" t="s">
        <v>119</v>
      </c>
      <c r="CQ2736">
        <v>364</v>
      </c>
      <c r="CR2736">
        <v>0</v>
      </c>
      <c r="CW2736">
        <v>1471993</v>
      </c>
      <c r="CY2736">
        <v>1</v>
      </c>
      <c r="CZ2736">
        <v>0</v>
      </c>
      <c r="DA2736">
        <v>1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3">
      <c r="A2737" t="str">
        <f>"03/24/2022 22:21:37.110"</f>
        <v>03/24/2022 22:21:37.110</v>
      </c>
      <c r="C2737" t="str">
        <f t="shared" si="810"/>
        <v>FFDFD3C0</v>
      </c>
      <c r="D2737" t="s">
        <v>126</v>
      </c>
      <c r="E2737">
        <v>3</v>
      </c>
      <c r="H2737">
        <v>160</v>
      </c>
      <c r="I2737" t="s">
        <v>121</v>
      </c>
      <c r="J2737" t="s">
        <v>127</v>
      </c>
      <c r="K2737">
        <v>0</v>
      </c>
      <c r="L2737">
        <v>3</v>
      </c>
      <c r="M2737">
        <v>0</v>
      </c>
      <c r="N2737">
        <v>2</v>
      </c>
      <c r="O2737">
        <v>0</v>
      </c>
      <c r="P2737">
        <v>1</v>
      </c>
      <c r="Q2737">
        <v>0</v>
      </c>
      <c r="S2737" t="str">
        <f t="shared" ref="S2737:T2740" si="818">"22:21:36.000"</f>
        <v>22:21:36.000</v>
      </c>
      <c r="T2737" t="str">
        <f t="shared" si="818"/>
        <v>22:21:36.000</v>
      </c>
      <c r="U2737" t="str">
        <f t="shared" si="804"/>
        <v>A9D71F</v>
      </c>
      <c r="V2737">
        <v>0</v>
      </c>
      <c r="W2737">
        <v>0</v>
      </c>
      <c r="X2737">
        <v>2</v>
      </c>
      <c r="Z2737">
        <v>1</v>
      </c>
      <c r="AA2737">
        <v>8</v>
      </c>
      <c r="AB2737">
        <v>3</v>
      </c>
      <c r="AC2737">
        <v>0</v>
      </c>
      <c r="AD2737">
        <v>9</v>
      </c>
      <c r="AE2737">
        <v>0</v>
      </c>
      <c r="AF2737">
        <v>3</v>
      </c>
      <c r="AG2737">
        <v>1</v>
      </c>
      <c r="AH2737">
        <v>0</v>
      </c>
      <c r="AI2737" t="s">
        <v>1379</v>
      </c>
      <c r="AJ2737">
        <v>33.005912000000002</v>
      </c>
      <c r="AK2737" t="s">
        <v>1380</v>
      </c>
      <c r="AL2737">
        <v>-97.661632999999995</v>
      </c>
      <c r="AM2737">
        <v>25</v>
      </c>
      <c r="AN2737">
        <v>1600</v>
      </c>
      <c r="AO2737" t="s">
        <v>118</v>
      </c>
      <c r="AP2737">
        <v>-49</v>
      </c>
      <c r="AQ2737">
        <v>-68</v>
      </c>
      <c r="AR2737">
        <v>-640</v>
      </c>
      <c r="AZ2737">
        <v>7700</v>
      </c>
      <c r="BA2737">
        <v>1</v>
      </c>
      <c r="BB2737" t="str">
        <f t="shared" si="811"/>
        <v xml:space="preserve">N733KP  </v>
      </c>
      <c r="BC2737">
        <v>1</v>
      </c>
      <c r="BE2737">
        <v>0</v>
      </c>
      <c r="BF2737">
        <v>0</v>
      </c>
      <c r="BG2737">
        <v>1</v>
      </c>
      <c r="BH2737">
        <v>1600</v>
      </c>
      <c r="BI2737">
        <v>1</v>
      </c>
      <c r="BJ2737">
        <v>1</v>
      </c>
      <c r="BK2737">
        <v>0</v>
      </c>
      <c r="BL2737">
        <v>0</v>
      </c>
      <c r="BO2737">
        <v>0</v>
      </c>
      <c r="BP2737">
        <v>0</v>
      </c>
      <c r="BW2737" t="str">
        <f>"22:21:36.936"</f>
        <v>22:21:36.936</v>
      </c>
      <c r="CJ2737">
        <v>0</v>
      </c>
      <c r="CK2737">
        <v>2</v>
      </c>
      <c r="CL2737">
        <v>0</v>
      </c>
      <c r="CM2737">
        <v>2</v>
      </c>
      <c r="CN2737">
        <v>0</v>
      </c>
      <c r="CO2737">
        <v>6</v>
      </c>
      <c r="CP2737" t="s">
        <v>119</v>
      </c>
      <c r="CQ2737">
        <v>364</v>
      </c>
      <c r="CR2737">
        <v>0</v>
      </c>
      <c r="CW2737">
        <v>1472242</v>
      </c>
      <c r="CY2737">
        <v>1</v>
      </c>
      <c r="CZ2737">
        <v>0</v>
      </c>
      <c r="DA2737">
        <v>0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3">
      <c r="A2738" t="str">
        <f>"03/24/2022 22:21:37.110"</f>
        <v>03/24/2022 22:21:37.110</v>
      </c>
      <c r="C2738" t="str">
        <f t="shared" si="810"/>
        <v>FFDFD3C0</v>
      </c>
      <c r="D2738" t="s">
        <v>113</v>
      </c>
      <c r="E2738">
        <v>24</v>
      </c>
      <c r="F2738">
        <v>2024</v>
      </c>
      <c r="G2738" t="s">
        <v>114</v>
      </c>
      <c r="J2738" t="s">
        <v>115</v>
      </c>
      <c r="K2738">
        <v>0</v>
      </c>
      <c r="L2738">
        <v>3</v>
      </c>
      <c r="M2738">
        <v>0</v>
      </c>
      <c r="N2738">
        <v>2</v>
      </c>
      <c r="O2738">
        <v>0</v>
      </c>
      <c r="P2738">
        <v>1</v>
      </c>
      <c r="Q2738">
        <v>0</v>
      </c>
      <c r="S2738" t="str">
        <f t="shared" si="818"/>
        <v>22:21:36.000</v>
      </c>
      <c r="T2738" t="str">
        <f t="shared" si="818"/>
        <v>22:21:36.000</v>
      </c>
      <c r="U2738" t="str">
        <f t="shared" si="804"/>
        <v>A9D71F</v>
      </c>
      <c r="V2738">
        <v>0</v>
      </c>
      <c r="W2738">
        <v>0</v>
      </c>
      <c r="X2738">
        <v>2</v>
      </c>
      <c r="Z2738">
        <v>1</v>
      </c>
      <c r="AA2738">
        <v>8</v>
      </c>
      <c r="AB2738">
        <v>3</v>
      </c>
      <c r="AC2738">
        <v>0</v>
      </c>
      <c r="AD2738">
        <v>9</v>
      </c>
      <c r="AE2738">
        <v>0</v>
      </c>
      <c r="AF2738">
        <v>3</v>
      </c>
      <c r="AG2738">
        <v>1</v>
      </c>
      <c r="AH2738">
        <v>0</v>
      </c>
      <c r="AI2738" t="s">
        <v>1379</v>
      </c>
      <c r="AJ2738">
        <v>33.005912000000002</v>
      </c>
      <c r="AK2738" t="s">
        <v>1380</v>
      </c>
      <c r="AL2738">
        <v>-97.661632999999995</v>
      </c>
      <c r="AM2738">
        <v>25</v>
      </c>
      <c r="AN2738">
        <v>1600</v>
      </c>
      <c r="AO2738" t="s">
        <v>118</v>
      </c>
      <c r="AP2738">
        <v>-49</v>
      </c>
      <c r="AQ2738">
        <v>-68</v>
      </c>
      <c r="AR2738">
        <v>-640</v>
      </c>
      <c r="AZ2738">
        <v>7700</v>
      </c>
      <c r="BA2738">
        <v>1</v>
      </c>
      <c r="BB2738" t="str">
        <f t="shared" si="811"/>
        <v xml:space="preserve">N733KP  </v>
      </c>
      <c r="BC2738">
        <v>1</v>
      </c>
      <c r="BE2738">
        <v>0</v>
      </c>
      <c r="BF2738">
        <v>0</v>
      </c>
      <c r="BG2738">
        <v>1</v>
      </c>
      <c r="BH2738">
        <v>1600</v>
      </c>
      <c r="BI2738">
        <v>1</v>
      </c>
      <c r="BJ2738">
        <v>1</v>
      </c>
      <c r="BK2738">
        <v>0</v>
      </c>
      <c r="BL2738">
        <v>0</v>
      </c>
      <c r="BO2738">
        <v>0</v>
      </c>
      <c r="BP2738">
        <v>0</v>
      </c>
      <c r="BW2738" t="str">
        <f>"22:21:36.936"</f>
        <v>22:21:36.936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6</v>
      </c>
      <c r="CP2738" t="s">
        <v>119</v>
      </c>
      <c r="CQ2738">
        <v>364</v>
      </c>
      <c r="CR2738">
        <v>0</v>
      </c>
      <c r="CW2738">
        <v>1472242</v>
      </c>
      <c r="CY2738">
        <v>1</v>
      </c>
      <c r="CZ2738">
        <v>0</v>
      </c>
      <c r="DA2738">
        <v>1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3">
      <c r="A2739" t="str">
        <f>"03/24/2022 22:21:37.172"</f>
        <v>03/24/2022 22:21:37.172</v>
      </c>
      <c r="C2739" t="str">
        <f t="shared" si="810"/>
        <v>FFDFD3C0</v>
      </c>
      <c r="D2739" t="s">
        <v>120</v>
      </c>
      <c r="E2739">
        <v>14</v>
      </c>
      <c r="F2739">
        <v>1014</v>
      </c>
      <c r="G2739" t="s">
        <v>121</v>
      </c>
      <c r="J2739" t="s">
        <v>122</v>
      </c>
      <c r="K2739">
        <v>0</v>
      </c>
      <c r="L2739">
        <v>3</v>
      </c>
      <c r="M2739">
        <v>0</v>
      </c>
      <c r="N2739">
        <v>2</v>
      </c>
      <c r="O2739">
        <v>0</v>
      </c>
      <c r="P2739">
        <v>1</v>
      </c>
      <c r="Q2739">
        <v>0</v>
      </c>
      <c r="S2739" t="str">
        <f t="shared" si="818"/>
        <v>22:21:36.000</v>
      </c>
      <c r="T2739" t="str">
        <f t="shared" si="818"/>
        <v>22:21:36.000</v>
      </c>
      <c r="U2739" t="str">
        <f t="shared" si="804"/>
        <v>A9D71F</v>
      </c>
      <c r="V2739">
        <v>0</v>
      </c>
      <c r="W2739">
        <v>0</v>
      </c>
      <c r="X2739">
        <v>2</v>
      </c>
      <c r="Z2739">
        <v>1</v>
      </c>
      <c r="AA2739">
        <v>8</v>
      </c>
      <c r="AB2739">
        <v>3</v>
      </c>
      <c r="AC2739">
        <v>0</v>
      </c>
      <c r="AD2739">
        <v>9</v>
      </c>
      <c r="AE2739">
        <v>0</v>
      </c>
      <c r="AF2739">
        <v>3</v>
      </c>
      <c r="AG2739">
        <v>1</v>
      </c>
      <c r="AH2739">
        <v>0</v>
      </c>
      <c r="AI2739" t="s">
        <v>1379</v>
      </c>
      <c r="AJ2739">
        <v>33.005912000000002</v>
      </c>
      <c r="AK2739" t="s">
        <v>1380</v>
      </c>
      <c r="AL2739">
        <v>-97.661632999999995</v>
      </c>
      <c r="AM2739">
        <v>25</v>
      </c>
      <c r="AN2739">
        <v>1600</v>
      </c>
      <c r="AO2739" t="s">
        <v>118</v>
      </c>
      <c r="AP2739">
        <v>-49</v>
      </c>
      <c r="AQ2739">
        <v>-68</v>
      </c>
      <c r="AR2739">
        <v>-640</v>
      </c>
      <c r="AZ2739">
        <v>7700</v>
      </c>
      <c r="BA2739">
        <v>1</v>
      </c>
      <c r="BB2739" t="str">
        <f t="shared" si="811"/>
        <v xml:space="preserve">N733KP  </v>
      </c>
      <c r="BC2739">
        <v>1</v>
      </c>
      <c r="BE2739">
        <v>0</v>
      </c>
      <c r="BF2739">
        <v>0</v>
      </c>
      <c r="BG2739">
        <v>1</v>
      </c>
      <c r="BH2739">
        <v>1600</v>
      </c>
      <c r="BI2739">
        <v>1</v>
      </c>
      <c r="BJ2739">
        <v>1</v>
      </c>
      <c r="BK2739">
        <v>0</v>
      </c>
      <c r="BL2739">
        <v>0</v>
      </c>
      <c r="BO2739">
        <v>0</v>
      </c>
      <c r="BP2739">
        <v>0</v>
      </c>
      <c r="BW2739" t="str">
        <f>"22:21:36.936"</f>
        <v>22:21:36.936</v>
      </c>
      <c r="CJ2739">
        <v>0</v>
      </c>
      <c r="CK2739">
        <v>2</v>
      </c>
      <c r="CL2739">
        <v>0</v>
      </c>
      <c r="CM2739">
        <v>2</v>
      </c>
      <c r="CN2739">
        <v>0</v>
      </c>
      <c r="CO2739">
        <v>6</v>
      </c>
      <c r="CP2739" t="s">
        <v>119</v>
      </c>
      <c r="CQ2739">
        <v>364</v>
      </c>
      <c r="CR2739">
        <v>0</v>
      </c>
      <c r="CW2739">
        <v>1472242</v>
      </c>
      <c r="CY2739">
        <v>1</v>
      </c>
      <c r="CZ2739">
        <v>0</v>
      </c>
      <c r="DA2739">
        <v>1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3">
      <c r="A2740" t="str">
        <f>"03/24/2022 22:21:37.172"</f>
        <v>03/24/2022 22:21:37.172</v>
      </c>
      <c r="C2740" t="str">
        <f t="shared" si="810"/>
        <v>FFDFD3C0</v>
      </c>
      <c r="D2740" t="s">
        <v>123</v>
      </c>
      <c r="E2740">
        <v>8</v>
      </c>
      <c r="H2740">
        <v>31</v>
      </c>
      <c r="I2740" t="s">
        <v>124</v>
      </c>
      <c r="J2740" t="s">
        <v>125</v>
      </c>
      <c r="K2740">
        <v>0</v>
      </c>
      <c r="L2740">
        <v>3</v>
      </c>
      <c r="M2740">
        <v>0</v>
      </c>
      <c r="N2740">
        <v>2</v>
      </c>
      <c r="O2740">
        <v>0</v>
      </c>
      <c r="P2740">
        <v>1</v>
      </c>
      <c r="Q2740">
        <v>0</v>
      </c>
      <c r="S2740" t="str">
        <f t="shared" si="818"/>
        <v>22:21:36.000</v>
      </c>
      <c r="T2740" t="str">
        <f t="shared" si="818"/>
        <v>22:21:36.000</v>
      </c>
      <c r="U2740" t="str">
        <f t="shared" si="804"/>
        <v>A9D71F</v>
      </c>
      <c r="V2740">
        <v>0</v>
      </c>
      <c r="W2740">
        <v>0</v>
      </c>
      <c r="X2740">
        <v>2</v>
      </c>
      <c r="Z2740">
        <v>1</v>
      </c>
      <c r="AA2740">
        <v>8</v>
      </c>
      <c r="AB2740">
        <v>3</v>
      </c>
      <c r="AC2740">
        <v>0</v>
      </c>
      <c r="AD2740">
        <v>9</v>
      </c>
      <c r="AE2740">
        <v>0</v>
      </c>
      <c r="AF2740">
        <v>3</v>
      </c>
      <c r="AG2740">
        <v>1</v>
      </c>
      <c r="AH2740">
        <v>0</v>
      </c>
      <c r="AI2740" t="s">
        <v>1379</v>
      </c>
      <c r="AJ2740">
        <v>33.005912000000002</v>
      </c>
      <c r="AK2740" t="s">
        <v>1380</v>
      </c>
      <c r="AL2740">
        <v>-97.661632999999995</v>
      </c>
      <c r="AM2740">
        <v>25</v>
      </c>
      <c r="AN2740">
        <v>1600</v>
      </c>
      <c r="AO2740" t="s">
        <v>118</v>
      </c>
      <c r="AP2740">
        <v>-49</v>
      </c>
      <c r="AQ2740">
        <v>-68</v>
      </c>
      <c r="AR2740">
        <v>-640</v>
      </c>
      <c r="AZ2740">
        <v>7700</v>
      </c>
      <c r="BA2740">
        <v>1</v>
      </c>
      <c r="BB2740" t="str">
        <f t="shared" si="811"/>
        <v xml:space="preserve">N733KP  </v>
      </c>
      <c r="BC2740">
        <v>1</v>
      </c>
      <c r="BE2740">
        <v>0</v>
      </c>
      <c r="BF2740">
        <v>0</v>
      </c>
      <c r="BG2740">
        <v>1</v>
      </c>
      <c r="BH2740">
        <v>1600</v>
      </c>
      <c r="BI2740">
        <v>1</v>
      </c>
      <c r="BJ2740">
        <v>1</v>
      </c>
      <c r="BK2740">
        <v>0</v>
      </c>
      <c r="BL2740">
        <v>0</v>
      </c>
      <c r="BO2740">
        <v>0</v>
      </c>
      <c r="BP2740">
        <v>0</v>
      </c>
      <c r="BW2740" t="str">
        <f>"22:21:36.936"</f>
        <v>22:21:36.936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6</v>
      </c>
      <c r="CP2740" t="s">
        <v>119</v>
      </c>
      <c r="CQ2740">
        <v>364</v>
      </c>
      <c r="CR2740">
        <v>0</v>
      </c>
      <c r="CW2740">
        <v>1472242</v>
      </c>
      <c r="CY2740">
        <v>1</v>
      </c>
      <c r="CZ2740">
        <v>0</v>
      </c>
      <c r="DA2740">
        <v>1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3">
      <c r="A2741" t="str">
        <f>"03/24/2022 22:21:38.048"</f>
        <v>03/24/2022 22:21:38.048</v>
      </c>
      <c r="C2741" t="str">
        <f t="shared" si="810"/>
        <v>FFDFD3C0</v>
      </c>
      <c r="D2741" t="s">
        <v>113</v>
      </c>
      <c r="E2741">
        <v>24</v>
      </c>
      <c r="F2741">
        <v>2024</v>
      </c>
      <c r="G2741" t="s">
        <v>114</v>
      </c>
      <c r="J2741" t="s">
        <v>115</v>
      </c>
      <c r="K2741">
        <v>0</v>
      </c>
      <c r="L2741">
        <v>3</v>
      </c>
      <c r="M2741">
        <v>0</v>
      </c>
      <c r="N2741">
        <v>2</v>
      </c>
      <c r="O2741">
        <v>0</v>
      </c>
      <c r="P2741">
        <v>1</v>
      </c>
      <c r="Q2741">
        <v>0</v>
      </c>
      <c r="S2741" t="str">
        <f t="shared" ref="S2741:T2744" si="819">"22:21:37.000"</f>
        <v>22:21:37.000</v>
      </c>
      <c r="T2741" t="str">
        <f t="shared" si="819"/>
        <v>22:21:37.000</v>
      </c>
      <c r="U2741" t="str">
        <f t="shared" si="804"/>
        <v>A9D71F</v>
      </c>
      <c r="V2741">
        <v>0</v>
      </c>
      <c r="W2741">
        <v>0</v>
      </c>
      <c r="X2741">
        <v>2</v>
      </c>
      <c r="Z2741">
        <v>1</v>
      </c>
      <c r="AA2741">
        <v>8</v>
      </c>
      <c r="AB2741">
        <v>3</v>
      </c>
      <c r="AC2741">
        <v>0</v>
      </c>
      <c r="AD2741">
        <v>9</v>
      </c>
      <c r="AE2741">
        <v>0</v>
      </c>
      <c r="AF2741">
        <v>3</v>
      </c>
      <c r="AG2741">
        <v>1</v>
      </c>
      <c r="AH2741">
        <v>0</v>
      </c>
      <c r="AI2741" t="s">
        <v>1381</v>
      </c>
      <c r="AJ2741">
        <v>33.005611999999999</v>
      </c>
      <c r="AK2741" t="s">
        <v>1382</v>
      </c>
      <c r="AL2741">
        <v>-97.661912000000001</v>
      </c>
      <c r="AM2741">
        <v>25</v>
      </c>
      <c r="AN2741">
        <v>1600</v>
      </c>
      <c r="AO2741" t="s">
        <v>118</v>
      </c>
      <c r="AP2741">
        <v>-48</v>
      </c>
      <c r="AQ2741">
        <v>-68</v>
      </c>
      <c r="AR2741">
        <v>-704</v>
      </c>
      <c r="AZ2741">
        <v>7700</v>
      </c>
      <c r="BA2741">
        <v>1</v>
      </c>
      <c r="BB2741" t="str">
        <f t="shared" si="811"/>
        <v xml:space="preserve">N733KP  </v>
      </c>
      <c r="BC2741">
        <v>1</v>
      </c>
      <c r="BE2741">
        <v>0</v>
      </c>
      <c r="BF2741">
        <v>0</v>
      </c>
      <c r="BG2741">
        <v>1</v>
      </c>
      <c r="BH2741">
        <v>1600</v>
      </c>
      <c r="BI2741">
        <v>1</v>
      </c>
      <c r="BJ2741">
        <v>1</v>
      </c>
      <c r="BK2741">
        <v>0</v>
      </c>
      <c r="BL2741">
        <v>0</v>
      </c>
      <c r="BO2741">
        <v>0</v>
      </c>
      <c r="BP2741">
        <v>0</v>
      </c>
      <c r="BW2741" t="str">
        <f>"22:21:37.780"</f>
        <v>22:21:37.780</v>
      </c>
      <c r="CJ2741">
        <v>0</v>
      </c>
      <c r="CK2741">
        <v>2</v>
      </c>
      <c r="CL2741">
        <v>0</v>
      </c>
      <c r="CM2741">
        <v>2</v>
      </c>
      <c r="CN2741">
        <v>0</v>
      </c>
      <c r="CO2741">
        <v>6</v>
      </c>
      <c r="CP2741" t="s">
        <v>119</v>
      </c>
      <c r="CQ2741">
        <v>364</v>
      </c>
      <c r="CR2741">
        <v>0</v>
      </c>
      <c r="CW2741">
        <v>1472392</v>
      </c>
      <c r="CY2741">
        <v>1</v>
      </c>
      <c r="CZ2741">
        <v>0</v>
      </c>
      <c r="DA2741">
        <v>0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3">
      <c r="A2742" t="str">
        <f>"03/24/2022 22:21:38.048"</f>
        <v>03/24/2022 22:21:38.048</v>
      </c>
      <c r="C2742" t="str">
        <f t="shared" si="810"/>
        <v>FFDFD3C0</v>
      </c>
      <c r="D2742" t="s">
        <v>126</v>
      </c>
      <c r="E2742">
        <v>3</v>
      </c>
      <c r="H2742">
        <v>160</v>
      </c>
      <c r="I2742" t="s">
        <v>121</v>
      </c>
      <c r="J2742" t="s">
        <v>127</v>
      </c>
      <c r="K2742">
        <v>0</v>
      </c>
      <c r="L2742">
        <v>3</v>
      </c>
      <c r="M2742">
        <v>0</v>
      </c>
      <c r="N2742">
        <v>2</v>
      </c>
      <c r="O2742">
        <v>0</v>
      </c>
      <c r="P2742">
        <v>1</v>
      </c>
      <c r="Q2742">
        <v>0</v>
      </c>
      <c r="S2742" t="str">
        <f t="shared" si="819"/>
        <v>22:21:37.000</v>
      </c>
      <c r="T2742" t="str">
        <f t="shared" si="819"/>
        <v>22:21:37.000</v>
      </c>
      <c r="U2742" t="str">
        <f t="shared" si="804"/>
        <v>A9D71F</v>
      </c>
      <c r="V2742">
        <v>0</v>
      </c>
      <c r="W2742">
        <v>0</v>
      </c>
      <c r="X2742">
        <v>2</v>
      </c>
      <c r="Z2742">
        <v>1</v>
      </c>
      <c r="AA2742">
        <v>8</v>
      </c>
      <c r="AB2742">
        <v>3</v>
      </c>
      <c r="AC2742">
        <v>0</v>
      </c>
      <c r="AD2742">
        <v>9</v>
      </c>
      <c r="AE2742">
        <v>0</v>
      </c>
      <c r="AF2742">
        <v>3</v>
      </c>
      <c r="AG2742">
        <v>1</v>
      </c>
      <c r="AH2742">
        <v>0</v>
      </c>
      <c r="AI2742" t="s">
        <v>1381</v>
      </c>
      <c r="AJ2742">
        <v>33.005611999999999</v>
      </c>
      <c r="AK2742" t="s">
        <v>1382</v>
      </c>
      <c r="AL2742">
        <v>-97.661912000000001</v>
      </c>
      <c r="AM2742">
        <v>25</v>
      </c>
      <c r="AN2742">
        <v>1600</v>
      </c>
      <c r="AO2742" t="s">
        <v>118</v>
      </c>
      <c r="AP2742">
        <v>-48</v>
      </c>
      <c r="AQ2742">
        <v>-68</v>
      </c>
      <c r="AR2742">
        <v>-704</v>
      </c>
      <c r="AZ2742">
        <v>7700</v>
      </c>
      <c r="BA2742">
        <v>1</v>
      </c>
      <c r="BB2742" t="str">
        <f t="shared" si="811"/>
        <v xml:space="preserve">N733KP  </v>
      </c>
      <c r="BC2742">
        <v>1</v>
      </c>
      <c r="BE2742">
        <v>0</v>
      </c>
      <c r="BF2742">
        <v>0</v>
      </c>
      <c r="BG2742">
        <v>1</v>
      </c>
      <c r="BH2742">
        <v>1600</v>
      </c>
      <c r="BI2742">
        <v>1</v>
      </c>
      <c r="BJ2742">
        <v>1</v>
      </c>
      <c r="BK2742">
        <v>0</v>
      </c>
      <c r="BL2742">
        <v>0</v>
      </c>
      <c r="BO2742">
        <v>0</v>
      </c>
      <c r="BP2742">
        <v>0</v>
      </c>
      <c r="BW2742" t="str">
        <f>"22:21:37.780"</f>
        <v>22:21:37.780</v>
      </c>
      <c r="CJ2742">
        <v>0</v>
      </c>
      <c r="CK2742">
        <v>2</v>
      </c>
      <c r="CL2742">
        <v>0</v>
      </c>
      <c r="CM2742">
        <v>2</v>
      </c>
      <c r="CN2742">
        <v>0</v>
      </c>
      <c r="CO2742">
        <v>6</v>
      </c>
      <c r="CP2742" t="s">
        <v>119</v>
      </c>
      <c r="CQ2742">
        <v>364</v>
      </c>
      <c r="CR2742">
        <v>0</v>
      </c>
      <c r="CW2742">
        <v>1472392</v>
      </c>
      <c r="CY2742">
        <v>1</v>
      </c>
      <c r="CZ2742">
        <v>0</v>
      </c>
      <c r="DA2742">
        <v>1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3">
      <c r="A2743" t="str">
        <f>"03/24/2022 22:21:38.048"</f>
        <v>03/24/2022 22:21:38.048</v>
      </c>
      <c r="C2743" t="str">
        <f t="shared" si="810"/>
        <v>FFDFD3C0</v>
      </c>
      <c r="D2743" t="s">
        <v>120</v>
      </c>
      <c r="E2743">
        <v>14</v>
      </c>
      <c r="F2743">
        <v>1014</v>
      </c>
      <c r="G2743" t="s">
        <v>121</v>
      </c>
      <c r="J2743" t="s">
        <v>122</v>
      </c>
      <c r="K2743">
        <v>0</v>
      </c>
      <c r="L2743">
        <v>3</v>
      </c>
      <c r="M2743">
        <v>0</v>
      </c>
      <c r="N2743">
        <v>2</v>
      </c>
      <c r="O2743">
        <v>0</v>
      </c>
      <c r="P2743">
        <v>1</v>
      </c>
      <c r="Q2743">
        <v>0</v>
      </c>
      <c r="S2743" t="str">
        <f t="shared" si="819"/>
        <v>22:21:37.000</v>
      </c>
      <c r="T2743" t="str">
        <f t="shared" si="819"/>
        <v>22:21:37.000</v>
      </c>
      <c r="U2743" t="str">
        <f t="shared" si="804"/>
        <v>A9D71F</v>
      </c>
      <c r="V2743">
        <v>0</v>
      </c>
      <c r="W2743">
        <v>0</v>
      </c>
      <c r="X2743">
        <v>2</v>
      </c>
      <c r="Z2743">
        <v>1</v>
      </c>
      <c r="AA2743">
        <v>8</v>
      </c>
      <c r="AB2743">
        <v>3</v>
      </c>
      <c r="AC2743">
        <v>0</v>
      </c>
      <c r="AD2743">
        <v>9</v>
      </c>
      <c r="AE2743">
        <v>0</v>
      </c>
      <c r="AF2743">
        <v>3</v>
      </c>
      <c r="AG2743">
        <v>1</v>
      </c>
      <c r="AH2743">
        <v>0</v>
      </c>
      <c r="AI2743" t="s">
        <v>1381</v>
      </c>
      <c r="AJ2743">
        <v>33.005611999999999</v>
      </c>
      <c r="AK2743" t="s">
        <v>1382</v>
      </c>
      <c r="AL2743">
        <v>-97.661912000000001</v>
      </c>
      <c r="AM2743">
        <v>25</v>
      </c>
      <c r="AN2743">
        <v>1600</v>
      </c>
      <c r="AO2743" t="s">
        <v>118</v>
      </c>
      <c r="AP2743">
        <v>-48</v>
      </c>
      <c r="AQ2743">
        <v>-68</v>
      </c>
      <c r="AR2743">
        <v>-704</v>
      </c>
      <c r="AZ2743">
        <v>7700</v>
      </c>
      <c r="BA2743">
        <v>1</v>
      </c>
      <c r="BB2743" t="str">
        <f t="shared" si="811"/>
        <v xml:space="preserve">N733KP  </v>
      </c>
      <c r="BC2743">
        <v>1</v>
      </c>
      <c r="BE2743">
        <v>0</v>
      </c>
      <c r="BF2743">
        <v>0</v>
      </c>
      <c r="BG2743">
        <v>1</v>
      </c>
      <c r="BH2743">
        <v>1600</v>
      </c>
      <c r="BI2743">
        <v>1</v>
      </c>
      <c r="BJ2743">
        <v>1</v>
      </c>
      <c r="BK2743">
        <v>0</v>
      </c>
      <c r="BL2743">
        <v>0</v>
      </c>
      <c r="BO2743">
        <v>0</v>
      </c>
      <c r="BP2743">
        <v>0</v>
      </c>
      <c r="BW2743" t="str">
        <f>"22:21:37.780"</f>
        <v>22:21:37.780</v>
      </c>
      <c r="CJ2743">
        <v>0</v>
      </c>
      <c r="CK2743">
        <v>2</v>
      </c>
      <c r="CL2743">
        <v>0</v>
      </c>
      <c r="CM2743">
        <v>2</v>
      </c>
      <c r="CN2743">
        <v>0</v>
      </c>
      <c r="CO2743">
        <v>6</v>
      </c>
      <c r="CP2743" t="s">
        <v>119</v>
      </c>
      <c r="CQ2743">
        <v>364</v>
      </c>
      <c r="CR2743">
        <v>0</v>
      </c>
      <c r="CW2743">
        <v>1472392</v>
      </c>
      <c r="CY2743">
        <v>1</v>
      </c>
      <c r="CZ2743">
        <v>0</v>
      </c>
      <c r="DA2743">
        <v>1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3">
      <c r="A2744" t="str">
        <f>"03/24/2022 22:21:38.048"</f>
        <v>03/24/2022 22:21:38.048</v>
      </c>
      <c r="C2744" t="str">
        <f t="shared" si="810"/>
        <v>FFDFD3C0</v>
      </c>
      <c r="D2744" t="s">
        <v>123</v>
      </c>
      <c r="E2744">
        <v>8</v>
      </c>
      <c r="H2744">
        <v>31</v>
      </c>
      <c r="I2744" t="s">
        <v>124</v>
      </c>
      <c r="J2744" t="s">
        <v>125</v>
      </c>
      <c r="K2744">
        <v>0</v>
      </c>
      <c r="L2744">
        <v>3</v>
      </c>
      <c r="M2744">
        <v>0</v>
      </c>
      <c r="N2744">
        <v>2</v>
      </c>
      <c r="O2744">
        <v>0</v>
      </c>
      <c r="P2744">
        <v>1</v>
      </c>
      <c r="Q2744">
        <v>0</v>
      </c>
      <c r="S2744" t="str">
        <f t="shared" si="819"/>
        <v>22:21:37.000</v>
      </c>
      <c r="T2744" t="str">
        <f t="shared" si="819"/>
        <v>22:21:37.000</v>
      </c>
      <c r="U2744" t="str">
        <f t="shared" si="804"/>
        <v>A9D71F</v>
      </c>
      <c r="V2744">
        <v>0</v>
      </c>
      <c r="W2744">
        <v>0</v>
      </c>
      <c r="X2744">
        <v>2</v>
      </c>
      <c r="Z2744">
        <v>1</v>
      </c>
      <c r="AA2744">
        <v>8</v>
      </c>
      <c r="AB2744">
        <v>3</v>
      </c>
      <c r="AC2744">
        <v>0</v>
      </c>
      <c r="AD2744">
        <v>9</v>
      </c>
      <c r="AE2744">
        <v>0</v>
      </c>
      <c r="AF2744">
        <v>3</v>
      </c>
      <c r="AG2744">
        <v>1</v>
      </c>
      <c r="AH2744">
        <v>0</v>
      </c>
      <c r="AI2744" t="s">
        <v>1381</v>
      </c>
      <c r="AJ2744">
        <v>33.005611999999999</v>
      </c>
      <c r="AK2744" t="s">
        <v>1382</v>
      </c>
      <c r="AL2744">
        <v>-97.661912000000001</v>
      </c>
      <c r="AM2744">
        <v>25</v>
      </c>
      <c r="AN2744">
        <v>1600</v>
      </c>
      <c r="AO2744" t="s">
        <v>118</v>
      </c>
      <c r="AP2744">
        <v>-48</v>
      </c>
      <c r="AQ2744">
        <v>-68</v>
      </c>
      <c r="AR2744">
        <v>-704</v>
      </c>
      <c r="AZ2744">
        <v>7700</v>
      </c>
      <c r="BA2744">
        <v>1</v>
      </c>
      <c r="BB2744" t="str">
        <f t="shared" si="811"/>
        <v xml:space="preserve">N733KP  </v>
      </c>
      <c r="BC2744">
        <v>1</v>
      </c>
      <c r="BE2744">
        <v>0</v>
      </c>
      <c r="BF2744">
        <v>0</v>
      </c>
      <c r="BG2744">
        <v>1</v>
      </c>
      <c r="BH2744">
        <v>1600</v>
      </c>
      <c r="BI2744">
        <v>1</v>
      </c>
      <c r="BJ2744">
        <v>1</v>
      </c>
      <c r="BK2744">
        <v>0</v>
      </c>
      <c r="BL2744">
        <v>0</v>
      </c>
      <c r="BO2744">
        <v>0</v>
      </c>
      <c r="BP2744">
        <v>0</v>
      </c>
      <c r="BW2744" t="str">
        <f>"22:21:37.780"</f>
        <v>22:21:37.780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6</v>
      </c>
      <c r="CP2744" t="s">
        <v>119</v>
      </c>
      <c r="CQ2744">
        <v>364</v>
      </c>
      <c r="CR2744">
        <v>0</v>
      </c>
      <c r="CW2744">
        <v>1472392</v>
      </c>
      <c r="CY2744">
        <v>1</v>
      </c>
      <c r="CZ2744">
        <v>0</v>
      </c>
      <c r="DA2744">
        <v>1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3">
      <c r="A2745" t="str">
        <f>"03/24/2022 22:21:38.677"</f>
        <v>03/24/2022 22:21:38.677</v>
      </c>
      <c r="C2745" t="str">
        <f t="shared" si="810"/>
        <v>FFDFD3C0</v>
      </c>
      <c r="D2745" t="s">
        <v>126</v>
      </c>
      <c r="E2745">
        <v>3</v>
      </c>
      <c r="H2745">
        <v>160</v>
      </c>
      <c r="I2745" t="s">
        <v>121</v>
      </c>
      <c r="J2745" t="s">
        <v>127</v>
      </c>
      <c r="K2745">
        <v>0</v>
      </c>
      <c r="L2745">
        <v>3</v>
      </c>
      <c r="M2745">
        <v>0</v>
      </c>
      <c r="N2745">
        <v>2</v>
      </c>
      <c r="O2745">
        <v>0</v>
      </c>
      <c r="P2745">
        <v>1</v>
      </c>
      <c r="Q2745">
        <v>0</v>
      </c>
      <c r="S2745" t="str">
        <f t="shared" ref="S2745:T2748" si="820">"22:21:38.000"</f>
        <v>22:21:38.000</v>
      </c>
      <c r="T2745" t="str">
        <f t="shared" si="820"/>
        <v>22:21:38.000</v>
      </c>
      <c r="U2745" t="str">
        <f t="shared" si="804"/>
        <v>A9D71F</v>
      </c>
      <c r="V2745">
        <v>0</v>
      </c>
      <c r="W2745">
        <v>0</v>
      </c>
      <c r="X2745">
        <v>2</v>
      </c>
      <c r="Z2745">
        <v>1</v>
      </c>
      <c r="AA2745">
        <v>8</v>
      </c>
      <c r="AB2745">
        <v>3</v>
      </c>
      <c r="AC2745">
        <v>0</v>
      </c>
      <c r="AD2745">
        <v>9</v>
      </c>
      <c r="AE2745">
        <v>0</v>
      </c>
      <c r="AF2745">
        <v>3</v>
      </c>
      <c r="AG2745">
        <v>1</v>
      </c>
      <c r="AH2745">
        <v>0</v>
      </c>
      <c r="AI2745" t="s">
        <v>1383</v>
      </c>
      <c r="AJ2745">
        <v>33.005290000000002</v>
      </c>
      <c r="AK2745" t="s">
        <v>1009</v>
      </c>
      <c r="AL2745">
        <v>-97.662191000000007</v>
      </c>
      <c r="AM2745">
        <v>25</v>
      </c>
      <c r="AN2745">
        <v>1600</v>
      </c>
      <c r="AO2745" t="s">
        <v>118</v>
      </c>
      <c r="AP2745">
        <v>-47</v>
      </c>
      <c r="AQ2745">
        <v>-69</v>
      </c>
      <c r="AR2745">
        <v>-768</v>
      </c>
      <c r="AZ2745">
        <v>7700</v>
      </c>
      <c r="BA2745">
        <v>1</v>
      </c>
      <c r="BB2745" t="str">
        <f t="shared" si="811"/>
        <v xml:space="preserve">N733KP  </v>
      </c>
      <c r="BC2745">
        <v>1</v>
      </c>
      <c r="BE2745">
        <v>0</v>
      </c>
      <c r="BF2745">
        <v>0</v>
      </c>
      <c r="BG2745">
        <v>1</v>
      </c>
      <c r="BH2745">
        <v>1575</v>
      </c>
      <c r="BI2745">
        <v>1</v>
      </c>
      <c r="BJ2745">
        <v>1</v>
      </c>
      <c r="BK2745">
        <v>0</v>
      </c>
      <c r="BL2745">
        <v>0</v>
      </c>
      <c r="BO2745">
        <v>0</v>
      </c>
      <c r="BP2745">
        <v>0</v>
      </c>
      <c r="BW2745" t="str">
        <f>"22:21:38.520"</f>
        <v>22:21:38.520</v>
      </c>
      <c r="CJ2745">
        <v>0</v>
      </c>
      <c r="CK2745">
        <v>2</v>
      </c>
      <c r="CL2745">
        <v>0</v>
      </c>
      <c r="CM2745">
        <v>2</v>
      </c>
      <c r="CN2745">
        <v>0</v>
      </c>
      <c r="CO2745">
        <v>5</v>
      </c>
      <c r="CP2745" t="s">
        <v>119</v>
      </c>
      <c r="CQ2745">
        <v>364</v>
      </c>
      <c r="CR2745">
        <v>0</v>
      </c>
      <c r="CW2745">
        <v>1472500</v>
      </c>
      <c r="CY2745">
        <v>1</v>
      </c>
      <c r="CZ2745">
        <v>0</v>
      </c>
      <c r="DA2745">
        <v>0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3">
      <c r="A2746" t="str">
        <f>"03/24/2022 22:21:38.677"</f>
        <v>03/24/2022 22:21:38.677</v>
      </c>
      <c r="C2746" t="str">
        <f t="shared" si="810"/>
        <v>FFDFD3C0</v>
      </c>
      <c r="D2746" t="s">
        <v>113</v>
      </c>
      <c r="E2746">
        <v>24</v>
      </c>
      <c r="F2746">
        <v>2024</v>
      </c>
      <c r="G2746" t="s">
        <v>114</v>
      </c>
      <c r="J2746" t="s">
        <v>115</v>
      </c>
      <c r="K2746">
        <v>0</v>
      </c>
      <c r="L2746">
        <v>3</v>
      </c>
      <c r="M2746">
        <v>0</v>
      </c>
      <c r="N2746">
        <v>2</v>
      </c>
      <c r="O2746">
        <v>0</v>
      </c>
      <c r="P2746">
        <v>1</v>
      </c>
      <c r="Q2746">
        <v>0</v>
      </c>
      <c r="S2746" t="str">
        <f t="shared" si="820"/>
        <v>22:21:38.000</v>
      </c>
      <c r="T2746" t="str">
        <f t="shared" si="820"/>
        <v>22:21:38.000</v>
      </c>
      <c r="U2746" t="str">
        <f t="shared" si="804"/>
        <v>A9D71F</v>
      </c>
      <c r="V2746">
        <v>0</v>
      </c>
      <c r="W2746">
        <v>0</v>
      </c>
      <c r="X2746">
        <v>2</v>
      </c>
      <c r="Z2746">
        <v>1</v>
      </c>
      <c r="AA2746">
        <v>8</v>
      </c>
      <c r="AB2746">
        <v>3</v>
      </c>
      <c r="AC2746">
        <v>0</v>
      </c>
      <c r="AD2746">
        <v>9</v>
      </c>
      <c r="AE2746">
        <v>0</v>
      </c>
      <c r="AF2746">
        <v>3</v>
      </c>
      <c r="AG2746">
        <v>1</v>
      </c>
      <c r="AH2746">
        <v>0</v>
      </c>
      <c r="AI2746" t="s">
        <v>1383</v>
      </c>
      <c r="AJ2746">
        <v>33.005290000000002</v>
      </c>
      <c r="AK2746" t="s">
        <v>1009</v>
      </c>
      <c r="AL2746">
        <v>-97.662191000000007</v>
      </c>
      <c r="AM2746">
        <v>25</v>
      </c>
      <c r="AN2746">
        <v>1600</v>
      </c>
      <c r="AO2746" t="s">
        <v>118</v>
      </c>
      <c r="AP2746">
        <v>-47</v>
      </c>
      <c r="AQ2746">
        <v>-69</v>
      </c>
      <c r="AR2746">
        <v>-768</v>
      </c>
      <c r="AZ2746">
        <v>7700</v>
      </c>
      <c r="BA2746">
        <v>1</v>
      </c>
      <c r="BB2746" t="str">
        <f t="shared" si="811"/>
        <v xml:space="preserve">N733KP  </v>
      </c>
      <c r="BC2746">
        <v>1</v>
      </c>
      <c r="BE2746">
        <v>0</v>
      </c>
      <c r="BF2746">
        <v>0</v>
      </c>
      <c r="BG2746">
        <v>1</v>
      </c>
      <c r="BH2746">
        <v>1575</v>
      </c>
      <c r="BI2746">
        <v>1</v>
      </c>
      <c r="BJ2746">
        <v>1</v>
      </c>
      <c r="BK2746">
        <v>0</v>
      </c>
      <c r="BL2746">
        <v>0</v>
      </c>
      <c r="BO2746">
        <v>0</v>
      </c>
      <c r="BP2746">
        <v>0</v>
      </c>
      <c r="BW2746" t="str">
        <f>"22:21:38.520"</f>
        <v>22:21:38.520</v>
      </c>
      <c r="CJ2746">
        <v>0</v>
      </c>
      <c r="CK2746">
        <v>2</v>
      </c>
      <c r="CL2746">
        <v>0</v>
      </c>
      <c r="CM2746">
        <v>2</v>
      </c>
      <c r="CN2746">
        <v>0</v>
      </c>
      <c r="CO2746">
        <v>5</v>
      </c>
      <c r="CP2746" t="s">
        <v>119</v>
      </c>
      <c r="CQ2746">
        <v>364</v>
      </c>
      <c r="CR2746">
        <v>0</v>
      </c>
      <c r="CW2746">
        <v>1472500</v>
      </c>
      <c r="CY2746">
        <v>1</v>
      </c>
      <c r="CZ2746">
        <v>0</v>
      </c>
      <c r="DA2746">
        <v>1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3">
      <c r="A2747" t="str">
        <f>"03/24/2022 22:21:38.817"</f>
        <v>03/24/2022 22:21:38.817</v>
      </c>
      <c r="C2747" t="str">
        <f t="shared" si="810"/>
        <v>FFDFD3C0</v>
      </c>
      <c r="D2747" t="s">
        <v>120</v>
      </c>
      <c r="E2747">
        <v>14</v>
      </c>
      <c r="F2747">
        <v>1014</v>
      </c>
      <c r="G2747" t="s">
        <v>121</v>
      </c>
      <c r="J2747" t="s">
        <v>122</v>
      </c>
      <c r="K2747">
        <v>0</v>
      </c>
      <c r="L2747">
        <v>3</v>
      </c>
      <c r="M2747">
        <v>0</v>
      </c>
      <c r="N2747">
        <v>2</v>
      </c>
      <c r="O2747">
        <v>0</v>
      </c>
      <c r="P2747">
        <v>1</v>
      </c>
      <c r="Q2747">
        <v>0</v>
      </c>
      <c r="S2747" t="str">
        <f t="shared" si="820"/>
        <v>22:21:38.000</v>
      </c>
      <c r="T2747" t="str">
        <f t="shared" si="820"/>
        <v>22:21:38.000</v>
      </c>
      <c r="U2747" t="str">
        <f t="shared" si="804"/>
        <v>A9D71F</v>
      </c>
      <c r="V2747">
        <v>0</v>
      </c>
      <c r="W2747">
        <v>0</v>
      </c>
      <c r="X2747">
        <v>2</v>
      </c>
      <c r="Z2747">
        <v>1</v>
      </c>
      <c r="AA2747">
        <v>8</v>
      </c>
      <c r="AB2747">
        <v>3</v>
      </c>
      <c r="AC2747">
        <v>0</v>
      </c>
      <c r="AD2747">
        <v>9</v>
      </c>
      <c r="AE2747">
        <v>0</v>
      </c>
      <c r="AF2747">
        <v>3</v>
      </c>
      <c r="AG2747">
        <v>1</v>
      </c>
      <c r="AH2747">
        <v>0</v>
      </c>
      <c r="AI2747" t="s">
        <v>1383</v>
      </c>
      <c r="AJ2747">
        <v>33.005290000000002</v>
      </c>
      <c r="AK2747" t="s">
        <v>1009</v>
      </c>
      <c r="AL2747">
        <v>-97.662191000000007</v>
      </c>
      <c r="AM2747">
        <v>25</v>
      </c>
      <c r="AN2747">
        <v>1600</v>
      </c>
      <c r="AO2747" t="s">
        <v>118</v>
      </c>
      <c r="AP2747">
        <v>-47</v>
      </c>
      <c r="AQ2747">
        <v>-69</v>
      </c>
      <c r="AR2747">
        <v>-768</v>
      </c>
      <c r="AZ2747">
        <v>7700</v>
      </c>
      <c r="BA2747">
        <v>1</v>
      </c>
      <c r="BB2747" t="str">
        <f t="shared" si="811"/>
        <v xml:space="preserve">N733KP  </v>
      </c>
      <c r="BC2747">
        <v>1</v>
      </c>
      <c r="BE2747">
        <v>0</v>
      </c>
      <c r="BF2747">
        <v>0</v>
      </c>
      <c r="BG2747">
        <v>1</v>
      </c>
      <c r="BH2747">
        <v>1575</v>
      </c>
      <c r="BI2747">
        <v>1</v>
      </c>
      <c r="BJ2747">
        <v>1</v>
      </c>
      <c r="BK2747">
        <v>0</v>
      </c>
      <c r="BL2747">
        <v>0</v>
      </c>
      <c r="BO2747">
        <v>0</v>
      </c>
      <c r="BP2747">
        <v>0</v>
      </c>
      <c r="BW2747" t="str">
        <f>"22:21:38.520"</f>
        <v>22:21:38.520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5</v>
      </c>
      <c r="CP2747" t="s">
        <v>119</v>
      </c>
      <c r="CQ2747">
        <v>364</v>
      </c>
      <c r="CR2747">
        <v>0</v>
      </c>
      <c r="CW2747">
        <v>1472500</v>
      </c>
      <c r="CY2747">
        <v>1</v>
      </c>
      <c r="CZ2747">
        <v>0</v>
      </c>
      <c r="DA2747">
        <v>1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3">
      <c r="A2748" t="str">
        <f>"03/24/2022 22:21:38.817"</f>
        <v>03/24/2022 22:21:38.817</v>
      </c>
      <c r="C2748" t="str">
        <f t="shared" si="810"/>
        <v>FFDFD3C0</v>
      </c>
      <c r="D2748" t="s">
        <v>123</v>
      </c>
      <c r="E2748">
        <v>8</v>
      </c>
      <c r="H2748">
        <v>31</v>
      </c>
      <c r="I2748" t="s">
        <v>124</v>
      </c>
      <c r="J2748" t="s">
        <v>125</v>
      </c>
      <c r="K2748">
        <v>0</v>
      </c>
      <c r="L2748">
        <v>3</v>
      </c>
      <c r="M2748">
        <v>0</v>
      </c>
      <c r="N2748">
        <v>2</v>
      </c>
      <c r="O2748">
        <v>0</v>
      </c>
      <c r="P2748">
        <v>1</v>
      </c>
      <c r="Q2748">
        <v>0</v>
      </c>
      <c r="S2748" t="str">
        <f t="shared" si="820"/>
        <v>22:21:38.000</v>
      </c>
      <c r="T2748" t="str">
        <f t="shared" si="820"/>
        <v>22:21:38.000</v>
      </c>
      <c r="U2748" t="str">
        <f t="shared" si="804"/>
        <v>A9D71F</v>
      </c>
      <c r="V2748">
        <v>0</v>
      </c>
      <c r="W2748">
        <v>0</v>
      </c>
      <c r="X2748">
        <v>2</v>
      </c>
      <c r="Z2748">
        <v>1</v>
      </c>
      <c r="AA2748">
        <v>8</v>
      </c>
      <c r="AB2748">
        <v>3</v>
      </c>
      <c r="AC2748">
        <v>0</v>
      </c>
      <c r="AD2748">
        <v>9</v>
      </c>
      <c r="AE2748">
        <v>0</v>
      </c>
      <c r="AF2748">
        <v>3</v>
      </c>
      <c r="AG2748">
        <v>1</v>
      </c>
      <c r="AH2748">
        <v>0</v>
      </c>
      <c r="AI2748" t="s">
        <v>1383</v>
      </c>
      <c r="AJ2748">
        <v>33.005290000000002</v>
      </c>
      <c r="AK2748" t="s">
        <v>1009</v>
      </c>
      <c r="AL2748">
        <v>-97.662191000000007</v>
      </c>
      <c r="AM2748">
        <v>25</v>
      </c>
      <c r="AN2748">
        <v>1600</v>
      </c>
      <c r="AO2748" t="s">
        <v>118</v>
      </c>
      <c r="AP2748">
        <v>-47</v>
      </c>
      <c r="AQ2748">
        <v>-69</v>
      </c>
      <c r="AR2748">
        <v>-768</v>
      </c>
      <c r="AZ2748">
        <v>7700</v>
      </c>
      <c r="BA2748">
        <v>1</v>
      </c>
      <c r="BB2748" t="str">
        <f t="shared" si="811"/>
        <v xml:space="preserve">N733KP  </v>
      </c>
      <c r="BC2748">
        <v>1</v>
      </c>
      <c r="BE2748">
        <v>0</v>
      </c>
      <c r="BF2748">
        <v>0</v>
      </c>
      <c r="BG2748">
        <v>1</v>
      </c>
      <c r="BH2748">
        <v>1575</v>
      </c>
      <c r="BI2748">
        <v>1</v>
      </c>
      <c r="BJ2748">
        <v>1</v>
      </c>
      <c r="BK2748">
        <v>0</v>
      </c>
      <c r="BL2748">
        <v>0</v>
      </c>
      <c r="BO2748">
        <v>0</v>
      </c>
      <c r="BP2748">
        <v>0</v>
      </c>
      <c r="BW2748" t="str">
        <f>"22:21:38.520"</f>
        <v>22:21:38.520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5</v>
      </c>
      <c r="CP2748" t="s">
        <v>119</v>
      </c>
      <c r="CQ2748">
        <v>364</v>
      </c>
      <c r="CR2748">
        <v>0</v>
      </c>
      <c r="CW2748">
        <v>1472500</v>
      </c>
      <c r="CY2748">
        <v>1</v>
      </c>
      <c r="CZ2748">
        <v>0</v>
      </c>
      <c r="DA2748">
        <v>1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3">
      <c r="A2749" t="str">
        <f>"03/24/2022 22:21:40.114"</f>
        <v>03/24/2022 22:21:40.114</v>
      </c>
      <c r="C2749" t="str">
        <f t="shared" si="810"/>
        <v>FFDFD3C0</v>
      </c>
      <c r="D2749" t="s">
        <v>120</v>
      </c>
      <c r="E2749">
        <v>14</v>
      </c>
      <c r="F2749">
        <v>1014</v>
      </c>
      <c r="G2749" t="s">
        <v>121</v>
      </c>
      <c r="J2749" t="s">
        <v>122</v>
      </c>
      <c r="K2749">
        <v>0</v>
      </c>
      <c r="L2749">
        <v>3</v>
      </c>
      <c r="M2749">
        <v>0</v>
      </c>
      <c r="N2749">
        <v>2</v>
      </c>
      <c r="O2749">
        <v>0</v>
      </c>
      <c r="P2749">
        <v>1</v>
      </c>
      <c r="Q2749">
        <v>0</v>
      </c>
      <c r="S2749" t="str">
        <f t="shared" ref="S2749:T2752" si="821">"22:21:39.000"</f>
        <v>22:21:39.000</v>
      </c>
      <c r="T2749" t="str">
        <f t="shared" si="821"/>
        <v>22:21:39.000</v>
      </c>
      <c r="U2749" t="str">
        <f t="shared" si="804"/>
        <v>A9D71F</v>
      </c>
      <c r="V2749">
        <v>0</v>
      </c>
      <c r="W2749">
        <v>0</v>
      </c>
      <c r="X2749">
        <v>2</v>
      </c>
      <c r="Z2749">
        <v>1</v>
      </c>
      <c r="AA2749">
        <v>8</v>
      </c>
      <c r="AB2749">
        <v>3</v>
      </c>
      <c r="AC2749">
        <v>0</v>
      </c>
      <c r="AD2749">
        <v>9</v>
      </c>
      <c r="AE2749">
        <v>0</v>
      </c>
      <c r="AF2749">
        <v>3</v>
      </c>
      <c r="AG2749">
        <v>1</v>
      </c>
      <c r="AH2749">
        <v>0</v>
      </c>
      <c r="AI2749" t="s">
        <v>1384</v>
      </c>
      <c r="AJ2749">
        <v>33.005032999999997</v>
      </c>
      <c r="AK2749" t="s">
        <v>1385</v>
      </c>
      <c r="AL2749">
        <v>-97.662492</v>
      </c>
      <c r="AM2749">
        <v>25</v>
      </c>
      <c r="AN2749">
        <v>1600</v>
      </c>
      <c r="AO2749" t="s">
        <v>118</v>
      </c>
      <c r="AP2749">
        <v>-45</v>
      </c>
      <c r="AQ2749">
        <v>-69</v>
      </c>
      <c r="AR2749">
        <v>-832</v>
      </c>
      <c r="AZ2749">
        <v>7700</v>
      </c>
      <c r="BA2749">
        <v>1</v>
      </c>
      <c r="BB2749" t="str">
        <f t="shared" si="811"/>
        <v xml:space="preserve">N733KP  </v>
      </c>
      <c r="BC2749">
        <v>1</v>
      </c>
      <c r="BE2749">
        <v>0</v>
      </c>
      <c r="BF2749">
        <v>0</v>
      </c>
      <c r="BG2749">
        <v>1</v>
      </c>
      <c r="BH2749">
        <v>1575</v>
      </c>
      <c r="BI2749">
        <v>1</v>
      </c>
      <c r="BJ2749">
        <v>1</v>
      </c>
      <c r="BK2749">
        <v>0</v>
      </c>
      <c r="BL2749">
        <v>0</v>
      </c>
      <c r="BO2749">
        <v>0</v>
      </c>
      <c r="BP2749">
        <v>0</v>
      </c>
      <c r="BW2749" t="str">
        <f>"22:21:39.957"</f>
        <v>22:21:39.957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5</v>
      </c>
      <c r="CP2749" t="s">
        <v>119</v>
      </c>
      <c r="CQ2749">
        <v>364</v>
      </c>
      <c r="CR2749">
        <v>0</v>
      </c>
      <c r="CW2749">
        <v>1472736</v>
      </c>
      <c r="CY2749">
        <v>1</v>
      </c>
      <c r="CZ2749">
        <v>0</v>
      </c>
      <c r="DA2749">
        <v>0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3">
      <c r="A2750" t="str">
        <f>"03/24/2022 22:21:40.146"</f>
        <v>03/24/2022 22:21:40.146</v>
      </c>
      <c r="C2750" t="str">
        <f t="shared" si="810"/>
        <v>FFDFD3C0</v>
      </c>
      <c r="D2750" t="s">
        <v>123</v>
      </c>
      <c r="E2750">
        <v>8</v>
      </c>
      <c r="H2750">
        <v>31</v>
      </c>
      <c r="I2750" t="s">
        <v>124</v>
      </c>
      <c r="J2750" t="s">
        <v>125</v>
      </c>
      <c r="K2750">
        <v>0</v>
      </c>
      <c r="L2750">
        <v>3</v>
      </c>
      <c r="M2750">
        <v>0</v>
      </c>
      <c r="N2750">
        <v>2</v>
      </c>
      <c r="O2750">
        <v>0</v>
      </c>
      <c r="P2750">
        <v>1</v>
      </c>
      <c r="Q2750">
        <v>0</v>
      </c>
      <c r="S2750" t="str">
        <f t="shared" si="821"/>
        <v>22:21:39.000</v>
      </c>
      <c r="T2750" t="str">
        <f t="shared" si="821"/>
        <v>22:21:39.000</v>
      </c>
      <c r="U2750" t="str">
        <f t="shared" si="804"/>
        <v>A9D71F</v>
      </c>
      <c r="V2750">
        <v>0</v>
      </c>
      <c r="W2750">
        <v>0</v>
      </c>
      <c r="X2750">
        <v>2</v>
      </c>
      <c r="Z2750">
        <v>1</v>
      </c>
      <c r="AA2750">
        <v>8</v>
      </c>
      <c r="AB2750">
        <v>3</v>
      </c>
      <c r="AC2750">
        <v>0</v>
      </c>
      <c r="AD2750">
        <v>9</v>
      </c>
      <c r="AE2750">
        <v>0</v>
      </c>
      <c r="AF2750">
        <v>3</v>
      </c>
      <c r="AG2750">
        <v>1</v>
      </c>
      <c r="AH2750">
        <v>0</v>
      </c>
      <c r="AI2750" t="s">
        <v>1384</v>
      </c>
      <c r="AJ2750">
        <v>33.005032999999997</v>
      </c>
      <c r="AK2750" t="s">
        <v>1385</v>
      </c>
      <c r="AL2750">
        <v>-97.662492</v>
      </c>
      <c r="AM2750">
        <v>25</v>
      </c>
      <c r="AN2750">
        <v>1600</v>
      </c>
      <c r="AO2750" t="s">
        <v>118</v>
      </c>
      <c r="AP2750">
        <v>-45</v>
      </c>
      <c r="AQ2750">
        <v>-69</v>
      </c>
      <c r="AR2750">
        <v>-832</v>
      </c>
      <c r="AZ2750">
        <v>7700</v>
      </c>
      <c r="BA2750">
        <v>1</v>
      </c>
      <c r="BB2750" t="str">
        <f t="shared" si="811"/>
        <v xml:space="preserve">N733KP  </v>
      </c>
      <c r="BC2750">
        <v>1</v>
      </c>
      <c r="BE2750">
        <v>0</v>
      </c>
      <c r="BF2750">
        <v>0</v>
      </c>
      <c r="BG2750">
        <v>1</v>
      </c>
      <c r="BH2750">
        <v>1575</v>
      </c>
      <c r="BI2750">
        <v>1</v>
      </c>
      <c r="BJ2750">
        <v>1</v>
      </c>
      <c r="BK2750">
        <v>0</v>
      </c>
      <c r="BL2750">
        <v>0</v>
      </c>
      <c r="BO2750">
        <v>0</v>
      </c>
      <c r="BP2750">
        <v>0</v>
      </c>
      <c r="BW2750" t="str">
        <f>"22:21:39.957"</f>
        <v>22:21:39.957</v>
      </c>
      <c r="CJ2750">
        <v>0</v>
      </c>
      <c r="CK2750">
        <v>2</v>
      </c>
      <c r="CL2750">
        <v>0</v>
      </c>
      <c r="CM2750">
        <v>2</v>
      </c>
      <c r="CN2750">
        <v>0</v>
      </c>
      <c r="CO2750">
        <v>5</v>
      </c>
      <c r="CP2750" t="s">
        <v>119</v>
      </c>
      <c r="CQ2750">
        <v>364</v>
      </c>
      <c r="CR2750">
        <v>0</v>
      </c>
      <c r="CW2750">
        <v>1472736</v>
      </c>
      <c r="CY2750">
        <v>1</v>
      </c>
      <c r="CZ2750">
        <v>0</v>
      </c>
      <c r="DA2750">
        <v>1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3">
      <c r="A2751" t="str">
        <f>"03/24/2022 22:21:40.177"</f>
        <v>03/24/2022 22:21:40.177</v>
      </c>
      <c r="C2751" t="str">
        <f t="shared" si="810"/>
        <v>FFDFD3C0</v>
      </c>
      <c r="D2751" t="s">
        <v>126</v>
      </c>
      <c r="E2751">
        <v>3</v>
      </c>
      <c r="H2751">
        <v>160</v>
      </c>
      <c r="I2751" t="s">
        <v>121</v>
      </c>
      <c r="J2751" t="s">
        <v>127</v>
      </c>
      <c r="K2751">
        <v>0</v>
      </c>
      <c r="L2751">
        <v>3</v>
      </c>
      <c r="M2751">
        <v>0</v>
      </c>
      <c r="N2751">
        <v>2</v>
      </c>
      <c r="O2751">
        <v>0</v>
      </c>
      <c r="P2751">
        <v>1</v>
      </c>
      <c r="Q2751">
        <v>0</v>
      </c>
      <c r="S2751" t="str">
        <f t="shared" si="821"/>
        <v>22:21:39.000</v>
      </c>
      <c r="T2751" t="str">
        <f t="shared" si="821"/>
        <v>22:21:39.000</v>
      </c>
      <c r="U2751" t="str">
        <f t="shared" si="804"/>
        <v>A9D71F</v>
      </c>
      <c r="V2751">
        <v>0</v>
      </c>
      <c r="W2751">
        <v>0</v>
      </c>
      <c r="X2751">
        <v>2</v>
      </c>
      <c r="Z2751">
        <v>1</v>
      </c>
      <c r="AA2751">
        <v>8</v>
      </c>
      <c r="AB2751">
        <v>3</v>
      </c>
      <c r="AC2751">
        <v>0</v>
      </c>
      <c r="AD2751">
        <v>9</v>
      </c>
      <c r="AE2751">
        <v>0</v>
      </c>
      <c r="AF2751">
        <v>3</v>
      </c>
      <c r="AG2751">
        <v>1</v>
      </c>
      <c r="AH2751">
        <v>0</v>
      </c>
      <c r="AI2751" t="s">
        <v>1384</v>
      </c>
      <c r="AJ2751">
        <v>33.005032999999997</v>
      </c>
      <c r="AK2751" t="s">
        <v>1385</v>
      </c>
      <c r="AL2751">
        <v>-97.662492</v>
      </c>
      <c r="AM2751">
        <v>25</v>
      </c>
      <c r="AN2751">
        <v>1600</v>
      </c>
      <c r="AO2751" t="s">
        <v>118</v>
      </c>
      <c r="AP2751">
        <v>-45</v>
      </c>
      <c r="AQ2751">
        <v>-69</v>
      </c>
      <c r="AR2751">
        <v>-832</v>
      </c>
      <c r="AZ2751">
        <v>7700</v>
      </c>
      <c r="BA2751">
        <v>1</v>
      </c>
      <c r="BB2751" t="str">
        <f t="shared" si="811"/>
        <v xml:space="preserve">N733KP  </v>
      </c>
      <c r="BC2751">
        <v>1</v>
      </c>
      <c r="BE2751">
        <v>0</v>
      </c>
      <c r="BF2751">
        <v>0</v>
      </c>
      <c r="BG2751">
        <v>1</v>
      </c>
      <c r="BH2751">
        <v>1575</v>
      </c>
      <c r="BI2751">
        <v>1</v>
      </c>
      <c r="BJ2751">
        <v>1</v>
      </c>
      <c r="BK2751">
        <v>0</v>
      </c>
      <c r="BL2751">
        <v>0</v>
      </c>
      <c r="BO2751">
        <v>0</v>
      </c>
      <c r="BP2751">
        <v>0</v>
      </c>
      <c r="BW2751" t="str">
        <f>"22:21:39.957"</f>
        <v>22:21:39.957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5</v>
      </c>
      <c r="CP2751" t="s">
        <v>119</v>
      </c>
      <c r="CQ2751">
        <v>364</v>
      </c>
      <c r="CR2751">
        <v>0</v>
      </c>
      <c r="CW2751">
        <v>1472736</v>
      </c>
      <c r="CY2751">
        <v>1</v>
      </c>
      <c r="CZ2751">
        <v>0</v>
      </c>
      <c r="DA2751">
        <v>1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3">
      <c r="A2752" t="str">
        <f>"03/24/2022 22:21:40.177"</f>
        <v>03/24/2022 22:21:40.177</v>
      </c>
      <c r="C2752" t="str">
        <f t="shared" si="810"/>
        <v>FFDFD3C0</v>
      </c>
      <c r="D2752" t="s">
        <v>113</v>
      </c>
      <c r="E2752">
        <v>24</v>
      </c>
      <c r="F2752">
        <v>2024</v>
      </c>
      <c r="G2752" t="s">
        <v>114</v>
      </c>
      <c r="J2752" t="s">
        <v>115</v>
      </c>
      <c r="K2752">
        <v>0</v>
      </c>
      <c r="L2752">
        <v>3</v>
      </c>
      <c r="M2752">
        <v>0</v>
      </c>
      <c r="N2752">
        <v>2</v>
      </c>
      <c r="O2752">
        <v>0</v>
      </c>
      <c r="P2752">
        <v>1</v>
      </c>
      <c r="Q2752">
        <v>0</v>
      </c>
      <c r="S2752" t="str">
        <f t="shared" si="821"/>
        <v>22:21:39.000</v>
      </c>
      <c r="T2752" t="str">
        <f t="shared" si="821"/>
        <v>22:21:39.000</v>
      </c>
      <c r="U2752" t="str">
        <f t="shared" si="804"/>
        <v>A9D71F</v>
      </c>
      <c r="V2752">
        <v>0</v>
      </c>
      <c r="W2752">
        <v>0</v>
      </c>
      <c r="X2752">
        <v>2</v>
      </c>
      <c r="Z2752">
        <v>1</v>
      </c>
      <c r="AA2752">
        <v>8</v>
      </c>
      <c r="AB2752">
        <v>3</v>
      </c>
      <c r="AC2752">
        <v>0</v>
      </c>
      <c r="AD2752">
        <v>9</v>
      </c>
      <c r="AE2752">
        <v>0</v>
      </c>
      <c r="AF2752">
        <v>3</v>
      </c>
      <c r="AG2752">
        <v>1</v>
      </c>
      <c r="AH2752">
        <v>0</v>
      </c>
      <c r="AI2752" t="s">
        <v>1384</v>
      </c>
      <c r="AJ2752">
        <v>33.005032999999997</v>
      </c>
      <c r="AK2752" t="s">
        <v>1385</v>
      </c>
      <c r="AL2752">
        <v>-97.662492</v>
      </c>
      <c r="AM2752">
        <v>25</v>
      </c>
      <c r="AN2752">
        <v>1600</v>
      </c>
      <c r="AO2752" t="s">
        <v>118</v>
      </c>
      <c r="AP2752">
        <v>-45</v>
      </c>
      <c r="AQ2752">
        <v>-69</v>
      </c>
      <c r="AR2752">
        <v>-832</v>
      </c>
      <c r="AZ2752">
        <v>7700</v>
      </c>
      <c r="BA2752">
        <v>1</v>
      </c>
      <c r="BB2752" t="str">
        <f t="shared" si="811"/>
        <v xml:space="preserve">N733KP  </v>
      </c>
      <c r="BC2752">
        <v>1</v>
      </c>
      <c r="BE2752">
        <v>0</v>
      </c>
      <c r="BF2752">
        <v>0</v>
      </c>
      <c r="BG2752">
        <v>1</v>
      </c>
      <c r="BH2752">
        <v>1575</v>
      </c>
      <c r="BI2752">
        <v>1</v>
      </c>
      <c r="BJ2752">
        <v>1</v>
      </c>
      <c r="BK2752">
        <v>0</v>
      </c>
      <c r="BL2752">
        <v>0</v>
      </c>
      <c r="BO2752">
        <v>0</v>
      </c>
      <c r="BP2752">
        <v>0</v>
      </c>
      <c r="BW2752" t="str">
        <f>"22:21:39.957"</f>
        <v>22:21:39.957</v>
      </c>
      <c r="CJ2752">
        <v>0</v>
      </c>
      <c r="CK2752">
        <v>2</v>
      </c>
      <c r="CL2752">
        <v>0</v>
      </c>
      <c r="CM2752">
        <v>2</v>
      </c>
      <c r="CN2752">
        <v>0</v>
      </c>
      <c r="CO2752">
        <v>5</v>
      </c>
      <c r="CP2752" t="s">
        <v>119</v>
      </c>
      <c r="CQ2752">
        <v>364</v>
      </c>
      <c r="CR2752">
        <v>0</v>
      </c>
      <c r="CW2752">
        <v>1472736</v>
      </c>
      <c r="CY2752">
        <v>1</v>
      </c>
      <c r="CZ2752">
        <v>0</v>
      </c>
      <c r="DA2752">
        <v>1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3">
      <c r="A2753" t="str">
        <f>"03/24/2022 22:21:40.880"</f>
        <v>03/24/2022 22:21:40.880</v>
      </c>
      <c r="C2753" t="str">
        <f t="shared" si="810"/>
        <v>FFDFD3C0</v>
      </c>
      <c r="D2753" t="s">
        <v>126</v>
      </c>
      <c r="E2753">
        <v>3</v>
      </c>
      <c r="H2753">
        <v>160</v>
      </c>
      <c r="I2753" t="s">
        <v>121</v>
      </c>
      <c r="J2753" t="s">
        <v>127</v>
      </c>
      <c r="K2753">
        <v>0</v>
      </c>
      <c r="L2753">
        <v>3</v>
      </c>
      <c r="M2753">
        <v>0</v>
      </c>
      <c r="N2753">
        <v>2</v>
      </c>
      <c r="O2753">
        <v>0</v>
      </c>
      <c r="P2753">
        <v>1</v>
      </c>
      <c r="Q2753">
        <v>0</v>
      </c>
      <c r="S2753" t="str">
        <f t="shared" ref="S2753:T2756" si="822">"22:21:40.000"</f>
        <v>22:21:40.000</v>
      </c>
      <c r="T2753" t="str">
        <f t="shared" si="822"/>
        <v>22:21:40.000</v>
      </c>
      <c r="U2753" t="str">
        <f t="shared" si="804"/>
        <v>A9D71F</v>
      </c>
      <c r="V2753">
        <v>0</v>
      </c>
      <c r="W2753">
        <v>0</v>
      </c>
      <c r="X2753">
        <v>2</v>
      </c>
      <c r="Z2753">
        <v>1</v>
      </c>
      <c r="AA2753">
        <v>8</v>
      </c>
      <c r="AB2753">
        <v>3</v>
      </c>
      <c r="AC2753">
        <v>0</v>
      </c>
      <c r="AD2753">
        <v>9</v>
      </c>
      <c r="AE2753">
        <v>0</v>
      </c>
      <c r="AF2753">
        <v>3</v>
      </c>
      <c r="AG2753">
        <v>1</v>
      </c>
      <c r="AH2753">
        <v>0</v>
      </c>
      <c r="AI2753" t="s">
        <v>1386</v>
      </c>
      <c r="AJ2753">
        <v>33.004731999999997</v>
      </c>
      <c r="AK2753" t="s">
        <v>1387</v>
      </c>
      <c r="AL2753">
        <v>-97.662749000000005</v>
      </c>
      <c r="AM2753">
        <v>25</v>
      </c>
      <c r="AN2753">
        <v>1600</v>
      </c>
      <c r="AO2753" t="s">
        <v>118</v>
      </c>
      <c r="AP2753">
        <v>-42</v>
      </c>
      <c r="AQ2753">
        <v>-71</v>
      </c>
      <c r="AR2753">
        <v>-768</v>
      </c>
      <c r="AZ2753">
        <v>7700</v>
      </c>
      <c r="BA2753">
        <v>1</v>
      </c>
      <c r="BB2753" t="str">
        <f t="shared" si="811"/>
        <v xml:space="preserve">N733KP  </v>
      </c>
      <c r="BC2753">
        <v>1</v>
      </c>
      <c r="BE2753">
        <v>0</v>
      </c>
      <c r="BF2753">
        <v>0</v>
      </c>
      <c r="BG2753">
        <v>1</v>
      </c>
      <c r="BH2753">
        <v>1575</v>
      </c>
      <c r="BI2753">
        <v>1</v>
      </c>
      <c r="BJ2753">
        <v>1</v>
      </c>
      <c r="BK2753">
        <v>0</v>
      </c>
      <c r="BL2753">
        <v>0</v>
      </c>
      <c r="BO2753">
        <v>0</v>
      </c>
      <c r="BP2753">
        <v>0</v>
      </c>
      <c r="BW2753" t="str">
        <f>"22:21:40.690"</f>
        <v>22:21:40.690</v>
      </c>
      <c r="CJ2753">
        <v>0</v>
      </c>
      <c r="CK2753">
        <v>2</v>
      </c>
      <c r="CL2753">
        <v>0</v>
      </c>
      <c r="CM2753">
        <v>2</v>
      </c>
      <c r="CN2753">
        <v>0</v>
      </c>
      <c r="CO2753">
        <v>5</v>
      </c>
      <c r="CP2753" t="s">
        <v>119</v>
      </c>
      <c r="CQ2753">
        <v>364</v>
      </c>
      <c r="CR2753">
        <v>0</v>
      </c>
      <c r="CW2753">
        <v>1472858</v>
      </c>
      <c r="CY2753">
        <v>1</v>
      </c>
      <c r="CZ2753">
        <v>0</v>
      </c>
      <c r="DA2753">
        <v>0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3">
      <c r="A2754" t="str">
        <f>"03/24/2022 22:21:40.880"</f>
        <v>03/24/2022 22:21:40.880</v>
      </c>
      <c r="C2754" t="str">
        <f t="shared" si="810"/>
        <v>FFDFD3C0</v>
      </c>
      <c r="D2754" t="s">
        <v>113</v>
      </c>
      <c r="E2754">
        <v>24</v>
      </c>
      <c r="F2754">
        <v>2024</v>
      </c>
      <c r="G2754" t="s">
        <v>114</v>
      </c>
      <c r="J2754" t="s">
        <v>115</v>
      </c>
      <c r="K2754">
        <v>0</v>
      </c>
      <c r="L2754">
        <v>3</v>
      </c>
      <c r="M2754">
        <v>0</v>
      </c>
      <c r="N2754">
        <v>2</v>
      </c>
      <c r="O2754">
        <v>0</v>
      </c>
      <c r="P2754">
        <v>1</v>
      </c>
      <c r="Q2754">
        <v>0</v>
      </c>
      <c r="S2754" t="str">
        <f t="shared" si="822"/>
        <v>22:21:40.000</v>
      </c>
      <c r="T2754" t="str">
        <f t="shared" si="822"/>
        <v>22:21:40.000</v>
      </c>
      <c r="U2754" t="str">
        <f t="shared" ref="U2754:U2817" si="823">"A9D71F"</f>
        <v>A9D71F</v>
      </c>
      <c r="V2754">
        <v>0</v>
      </c>
      <c r="W2754">
        <v>0</v>
      </c>
      <c r="X2754">
        <v>2</v>
      </c>
      <c r="Z2754">
        <v>1</v>
      </c>
      <c r="AA2754">
        <v>8</v>
      </c>
      <c r="AB2754">
        <v>3</v>
      </c>
      <c r="AC2754">
        <v>0</v>
      </c>
      <c r="AD2754">
        <v>9</v>
      </c>
      <c r="AE2754">
        <v>0</v>
      </c>
      <c r="AF2754">
        <v>3</v>
      </c>
      <c r="AG2754">
        <v>1</v>
      </c>
      <c r="AH2754">
        <v>0</v>
      </c>
      <c r="AI2754" t="s">
        <v>1386</v>
      </c>
      <c r="AJ2754">
        <v>33.004731999999997</v>
      </c>
      <c r="AK2754" t="s">
        <v>1387</v>
      </c>
      <c r="AL2754">
        <v>-97.662749000000005</v>
      </c>
      <c r="AM2754">
        <v>25</v>
      </c>
      <c r="AN2754">
        <v>1600</v>
      </c>
      <c r="AO2754" t="s">
        <v>118</v>
      </c>
      <c r="AP2754">
        <v>-42</v>
      </c>
      <c r="AQ2754">
        <v>-71</v>
      </c>
      <c r="AR2754">
        <v>-768</v>
      </c>
      <c r="AZ2754">
        <v>7700</v>
      </c>
      <c r="BA2754">
        <v>1</v>
      </c>
      <c r="BB2754" t="str">
        <f t="shared" si="811"/>
        <v xml:space="preserve">N733KP  </v>
      </c>
      <c r="BC2754">
        <v>1</v>
      </c>
      <c r="BE2754">
        <v>0</v>
      </c>
      <c r="BF2754">
        <v>0</v>
      </c>
      <c r="BG2754">
        <v>1</v>
      </c>
      <c r="BH2754">
        <v>1575</v>
      </c>
      <c r="BI2754">
        <v>1</v>
      </c>
      <c r="BJ2754">
        <v>1</v>
      </c>
      <c r="BK2754">
        <v>0</v>
      </c>
      <c r="BL2754">
        <v>0</v>
      </c>
      <c r="BO2754">
        <v>0</v>
      </c>
      <c r="BP2754">
        <v>0</v>
      </c>
      <c r="BW2754" t="str">
        <f>"22:21:40.690"</f>
        <v>22:21:40.690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5</v>
      </c>
      <c r="CP2754" t="s">
        <v>119</v>
      </c>
      <c r="CQ2754">
        <v>364</v>
      </c>
      <c r="CR2754">
        <v>0</v>
      </c>
      <c r="CW2754">
        <v>1472858</v>
      </c>
      <c r="CY2754">
        <v>1</v>
      </c>
      <c r="CZ2754">
        <v>0</v>
      </c>
      <c r="DA2754">
        <v>1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3">
      <c r="A2755" t="str">
        <f>"03/24/2022 22:21:40.880"</f>
        <v>03/24/2022 22:21:40.880</v>
      </c>
      <c r="C2755" t="str">
        <f t="shared" si="810"/>
        <v>FFDFD3C0</v>
      </c>
      <c r="D2755" t="s">
        <v>123</v>
      </c>
      <c r="E2755">
        <v>8</v>
      </c>
      <c r="H2755">
        <v>31</v>
      </c>
      <c r="I2755" t="s">
        <v>124</v>
      </c>
      <c r="J2755" t="s">
        <v>125</v>
      </c>
      <c r="K2755">
        <v>0</v>
      </c>
      <c r="L2755">
        <v>3</v>
      </c>
      <c r="M2755">
        <v>0</v>
      </c>
      <c r="N2755">
        <v>2</v>
      </c>
      <c r="O2755">
        <v>0</v>
      </c>
      <c r="P2755">
        <v>1</v>
      </c>
      <c r="Q2755">
        <v>0</v>
      </c>
      <c r="S2755" t="str">
        <f t="shared" si="822"/>
        <v>22:21:40.000</v>
      </c>
      <c r="T2755" t="str">
        <f t="shared" si="822"/>
        <v>22:21:40.000</v>
      </c>
      <c r="U2755" t="str">
        <f t="shared" si="823"/>
        <v>A9D71F</v>
      </c>
      <c r="V2755">
        <v>0</v>
      </c>
      <c r="W2755">
        <v>0</v>
      </c>
      <c r="X2755">
        <v>2</v>
      </c>
      <c r="Z2755">
        <v>1</v>
      </c>
      <c r="AA2755">
        <v>8</v>
      </c>
      <c r="AB2755">
        <v>3</v>
      </c>
      <c r="AC2755">
        <v>0</v>
      </c>
      <c r="AD2755">
        <v>9</v>
      </c>
      <c r="AE2755">
        <v>0</v>
      </c>
      <c r="AF2755">
        <v>3</v>
      </c>
      <c r="AG2755">
        <v>1</v>
      </c>
      <c r="AH2755">
        <v>0</v>
      </c>
      <c r="AI2755" t="s">
        <v>1386</v>
      </c>
      <c r="AJ2755">
        <v>33.004731999999997</v>
      </c>
      <c r="AK2755" t="s">
        <v>1387</v>
      </c>
      <c r="AL2755">
        <v>-97.662749000000005</v>
      </c>
      <c r="AM2755">
        <v>25</v>
      </c>
      <c r="AN2755">
        <v>1600</v>
      </c>
      <c r="AO2755" t="s">
        <v>118</v>
      </c>
      <c r="AP2755">
        <v>-42</v>
      </c>
      <c r="AQ2755">
        <v>-71</v>
      </c>
      <c r="AR2755">
        <v>-768</v>
      </c>
      <c r="AZ2755">
        <v>7700</v>
      </c>
      <c r="BA2755">
        <v>1</v>
      </c>
      <c r="BB2755" t="str">
        <f t="shared" si="811"/>
        <v xml:space="preserve">N733KP  </v>
      </c>
      <c r="BC2755">
        <v>1</v>
      </c>
      <c r="BE2755">
        <v>0</v>
      </c>
      <c r="BF2755">
        <v>0</v>
      </c>
      <c r="BG2755">
        <v>1</v>
      </c>
      <c r="BH2755">
        <v>1575</v>
      </c>
      <c r="BI2755">
        <v>1</v>
      </c>
      <c r="BJ2755">
        <v>1</v>
      </c>
      <c r="BK2755">
        <v>0</v>
      </c>
      <c r="BL2755">
        <v>0</v>
      </c>
      <c r="BO2755">
        <v>0</v>
      </c>
      <c r="BP2755">
        <v>0</v>
      </c>
      <c r="BW2755" t="str">
        <f>"22:21:40.690"</f>
        <v>22:21:40.690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5</v>
      </c>
      <c r="CP2755" t="s">
        <v>119</v>
      </c>
      <c r="CQ2755">
        <v>364</v>
      </c>
      <c r="CR2755">
        <v>0</v>
      </c>
      <c r="CW2755">
        <v>1472858</v>
      </c>
      <c r="CY2755">
        <v>1</v>
      </c>
      <c r="CZ2755">
        <v>0</v>
      </c>
      <c r="DA2755">
        <v>1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3">
      <c r="A2756" t="str">
        <f>"03/24/2022 22:21:40.880"</f>
        <v>03/24/2022 22:21:40.880</v>
      </c>
      <c r="C2756" t="str">
        <f t="shared" si="810"/>
        <v>FFDFD3C0</v>
      </c>
      <c r="D2756" t="s">
        <v>120</v>
      </c>
      <c r="E2756">
        <v>14</v>
      </c>
      <c r="F2756">
        <v>1014</v>
      </c>
      <c r="G2756" t="s">
        <v>121</v>
      </c>
      <c r="J2756" t="s">
        <v>122</v>
      </c>
      <c r="K2756">
        <v>0</v>
      </c>
      <c r="L2756">
        <v>3</v>
      </c>
      <c r="M2756">
        <v>0</v>
      </c>
      <c r="N2756">
        <v>2</v>
      </c>
      <c r="O2756">
        <v>0</v>
      </c>
      <c r="P2756">
        <v>1</v>
      </c>
      <c r="Q2756">
        <v>0</v>
      </c>
      <c r="S2756" t="str">
        <f t="shared" si="822"/>
        <v>22:21:40.000</v>
      </c>
      <c r="T2756" t="str">
        <f t="shared" si="822"/>
        <v>22:21:40.000</v>
      </c>
      <c r="U2756" t="str">
        <f t="shared" si="823"/>
        <v>A9D71F</v>
      </c>
      <c r="V2756">
        <v>0</v>
      </c>
      <c r="W2756">
        <v>0</v>
      </c>
      <c r="X2756">
        <v>2</v>
      </c>
      <c r="Z2756">
        <v>1</v>
      </c>
      <c r="AA2756">
        <v>8</v>
      </c>
      <c r="AB2756">
        <v>3</v>
      </c>
      <c r="AC2756">
        <v>0</v>
      </c>
      <c r="AD2756">
        <v>9</v>
      </c>
      <c r="AE2756">
        <v>0</v>
      </c>
      <c r="AF2756">
        <v>3</v>
      </c>
      <c r="AG2756">
        <v>1</v>
      </c>
      <c r="AH2756">
        <v>0</v>
      </c>
      <c r="AI2756" t="s">
        <v>1386</v>
      </c>
      <c r="AJ2756">
        <v>33.004731999999997</v>
      </c>
      <c r="AK2756" t="s">
        <v>1387</v>
      </c>
      <c r="AL2756">
        <v>-97.662749000000005</v>
      </c>
      <c r="AM2756">
        <v>25</v>
      </c>
      <c r="AN2756">
        <v>1600</v>
      </c>
      <c r="AO2756" t="s">
        <v>118</v>
      </c>
      <c r="AP2756">
        <v>-42</v>
      </c>
      <c r="AQ2756">
        <v>-71</v>
      </c>
      <c r="AR2756">
        <v>-768</v>
      </c>
      <c r="AZ2756">
        <v>7700</v>
      </c>
      <c r="BA2756">
        <v>1</v>
      </c>
      <c r="BB2756" t="str">
        <f t="shared" si="811"/>
        <v xml:space="preserve">N733KP  </v>
      </c>
      <c r="BC2756">
        <v>1</v>
      </c>
      <c r="BE2756">
        <v>0</v>
      </c>
      <c r="BF2756">
        <v>0</v>
      </c>
      <c r="BG2756">
        <v>1</v>
      </c>
      <c r="BH2756">
        <v>1575</v>
      </c>
      <c r="BI2756">
        <v>1</v>
      </c>
      <c r="BJ2756">
        <v>1</v>
      </c>
      <c r="BK2756">
        <v>0</v>
      </c>
      <c r="BL2756">
        <v>0</v>
      </c>
      <c r="BO2756">
        <v>0</v>
      </c>
      <c r="BP2756">
        <v>0</v>
      </c>
      <c r="BW2756" t="str">
        <f>"22:21:40.690"</f>
        <v>22:21:40.690</v>
      </c>
      <c r="CJ2756">
        <v>0</v>
      </c>
      <c r="CK2756">
        <v>2</v>
      </c>
      <c r="CL2756">
        <v>0</v>
      </c>
      <c r="CM2756">
        <v>2</v>
      </c>
      <c r="CN2756">
        <v>0</v>
      </c>
      <c r="CO2756">
        <v>5</v>
      </c>
      <c r="CP2756" t="s">
        <v>119</v>
      </c>
      <c r="CQ2756">
        <v>364</v>
      </c>
      <c r="CR2756">
        <v>0</v>
      </c>
      <c r="CW2756">
        <v>1472858</v>
      </c>
      <c r="CY2756">
        <v>1</v>
      </c>
      <c r="CZ2756">
        <v>0</v>
      </c>
      <c r="DA2756">
        <v>1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3">
      <c r="A2757" t="str">
        <f>"03/24/2022 22:21:43.053"</f>
        <v>03/24/2022 22:21:43.053</v>
      </c>
      <c r="C2757" t="str">
        <f t="shared" si="810"/>
        <v>FFDFD3C0</v>
      </c>
      <c r="D2757" t="s">
        <v>126</v>
      </c>
      <c r="E2757">
        <v>3</v>
      </c>
      <c r="H2757">
        <v>160</v>
      </c>
      <c r="I2757" t="s">
        <v>121</v>
      </c>
      <c r="J2757" t="s">
        <v>127</v>
      </c>
      <c r="K2757">
        <v>0</v>
      </c>
      <c r="L2757">
        <v>3</v>
      </c>
      <c r="M2757">
        <v>0</v>
      </c>
      <c r="N2757">
        <v>2</v>
      </c>
      <c r="O2757">
        <v>0</v>
      </c>
      <c r="P2757">
        <v>1</v>
      </c>
      <c r="Q2757">
        <v>0</v>
      </c>
      <c r="S2757" t="str">
        <f t="shared" ref="S2757:T2760" si="824">"22:21:42.000"</f>
        <v>22:21:42.000</v>
      </c>
      <c r="T2757" t="str">
        <f t="shared" si="824"/>
        <v>22:21:42.000</v>
      </c>
      <c r="U2757" t="str">
        <f t="shared" si="823"/>
        <v>A9D71F</v>
      </c>
      <c r="V2757">
        <v>0</v>
      </c>
      <c r="W2757">
        <v>0</v>
      </c>
      <c r="X2757">
        <v>2</v>
      </c>
      <c r="Z2757">
        <v>1</v>
      </c>
      <c r="AA2757">
        <v>8</v>
      </c>
      <c r="AB2757">
        <v>3</v>
      </c>
      <c r="AC2757">
        <v>0</v>
      </c>
      <c r="AD2757">
        <v>9</v>
      </c>
      <c r="AE2757">
        <v>0</v>
      </c>
      <c r="AF2757">
        <v>3</v>
      </c>
      <c r="AG2757">
        <v>1</v>
      </c>
      <c r="AH2757">
        <v>0</v>
      </c>
      <c r="AI2757" t="s">
        <v>1388</v>
      </c>
      <c r="AJ2757">
        <v>33.004088000000003</v>
      </c>
      <c r="AK2757" t="s">
        <v>1389</v>
      </c>
      <c r="AL2757">
        <v>-97.663242999999994</v>
      </c>
      <c r="AM2757">
        <v>25</v>
      </c>
      <c r="AN2757">
        <v>1500</v>
      </c>
      <c r="AO2757" t="s">
        <v>118</v>
      </c>
      <c r="AP2757">
        <v>-40</v>
      </c>
      <c r="AQ2757">
        <v>-74</v>
      </c>
      <c r="AR2757">
        <v>-896</v>
      </c>
      <c r="AZ2757">
        <v>7700</v>
      </c>
      <c r="BA2757">
        <v>1</v>
      </c>
      <c r="BB2757" t="str">
        <f t="shared" si="811"/>
        <v xml:space="preserve">N733KP  </v>
      </c>
      <c r="BC2757">
        <v>1</v>
      </c>
      <c r="BE2757">
        <v>0</v>
      </c>
      <c r="BF2757">
        <v>0</v>
      </c>
      <c r="BG2757">
        <v>1</v>
      </c>
      <c r="BH2757">
        <v>1575</v>
      </c>
      <c r="BI2757">
        <v>1</v>
      </c>
      <c r="BJ2757">
        <v>1</v>
      </c>
      <c r="BK2757">
        <v>0</v>
      </c>
      <c r="BL2757">
        <v>0</v>
      </c>
      <c r="BO2757">
        <v>0</v>
      </c>
      <c r="BP2757">
        <v>0</v>
      </c>
      <c r="BW2757" t="str">
        <f>"22:21:42.847"</f>
        <v>22:21:42.847</v>
      </c>
      <c r="CJ2757">
        <v>0</v>
      </c>
      <c r="CK2757">
        <v>2</v>
      </c>
      <c r="CL2757">
        <v>0</v>
      </c>
      <c r="CM2757">
        <v>2</v>
      </c>
      <c r="CN2757">
        <v>0</v>
      </c>
      <c r="CO2757">
        <v>5</v>
      </c>
      <c r="CP2757" t="s">
        <v>119</v>
      </c>
      <c r="CQ2757">
        <v>364</v>
      </c>
      <c r="CR2757">
        <v>0</v>
      </c>
      <c r="CW2757">
        <v>1473209</v>
      </c>
      <c r="CY2757">
        <v>1</v>
      </c>
      <c r="CZ2757">
        <v>0</v>
      </c>
      <c r="DA2757">
        <v>0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3">
      <c r="A2758" t="str">
        <f>"03/24/2022 22:21:43.053"</f>
        <v>03/24/2022 22:21:43.053</v>
      </c>
      <c r="C2758" t="str">
        <f t="shared" si="810"/>
        <v>FFDFD3C0</v>
      </c>
      <c r="D2758" t="s">
        <v>113</v>
      </c>
      <c r="E2758">
        <v>24</v>
      </c>
      <c r="F2758">
        <v>2024</v>
      </c>
      <c r="G2758" t="s">
        <v>114</v>
      </c>
      <c r="J2758" t="s">
        <v>115</v>
      </c>
      <c r="K2758">
        <v>0</v>
      </c>
      <c r="L2758">
        <v>3</v>
      </c>
      <c r="M2758">
        <v>0</v>
      </c>
      <c r="N2758">
        <v>2</v>
      </c>
      <c r="O2758">
        <v>0</v>
      </c>
      <c r="P2758">
        <v>1</v>
      </c>
      <c r="Q2758">
        <v>0</v>
      </c>
      <c r="S2758" t="str">
        <f t="shared" si="824"/>
        <v>22:21:42.000</v>
      </c>
      <c r="T2758" t="str">
        <f t="shared" si="824"/>
        <v>22:21:42.000</v>
      </c>
      <c r="U2758" t="str">
        <f t="shared" si="823"/>
        <v>A9D71F</v>
      </c>
      <c r="V2758">
        <v>0</v>
      </c>
      <c r="W2758">
        <v>0</v>
      </c>
      <c r="X2758">
        <v>2</v>
      </c>
      <c r="Z2758">
        <v>1</v>
      </c>
      <c r="AA2758">
        <v>8</v>
      </c>
      <c r="AB2758">
        <v>3</v>
      </c>
      <c r="AC2758">
        <v>0</v>
      </c>
      <c r="AD2758">
        <v>9</v>
      </c>
      <c r="AE2758">
        <v>0</v>
      </c>
      <c r="AF2758">
        <v>3</v>
      </c>
      <c r="AG2758">
        <v>1</v>
      </c>
      <c r="AH2758">
        <v>0</v>
      </c>
      <c r="AI2758" t="s">
        <v>1388</v>
      </c>
      <c r="AJ2758">
        <v>33.004088000000003</v>
      </c>
      <c r="AK2758" t="s">
        <v>1389</v>
      </c>
      <c r="AL2758">
        <v>-97.663242999999994</v>
      </c>
      <c r="AM2758">
        <v>25</v>
      </c>
      <c r="AN2758">
        <v>1500</v>
      </c>
      <c r="AO2758" t="s">
        <v>118</v>
      </c>
      <c r="AP2758">
        <v>-40</v>
      </c>
      <c r="AQ2758">
        <v>-74</v>
      </c>
      <c r="AR2758">
        <v>-896</v>
      </c>
      <c r="AZ2758">
        <v>7700</v>
      </c>
      <c r="BA2758">
        <v>1</v>
      </c>
      <c r="BB2758" t="str">
        <f t="shared" si="811"/>
        <v xml:space="preserve">N733KP  </v>
      </c>
      <c r="BC2758">
        <v>1</v>
      </c>
      <c r="BE2758">
        <v>0</v>
      </c>
      <c r="BF2758">
        <v>0</v>
      </c>
      <c r="BG2758">
        <v>1</v>
      </c>
      <c r="BH2758">
        <v>1575</v>
      </c>
      <c r="BI2758">
        <v>1</v>
      </c>
      <c r="BJ2758">
        <v>1</v>
      </c>
      <c r="BK2758">
        <v>0</v>
      </c>
      <c r="BL2758">
        <v>0</v>
      </c>
      <c r="BO2758">
        <v>0</v>
      </c>
      <c r="BP2758">
        <v>0</v>
      </c>
      <c r="BW2758" t="str">
        <f>"22:21:42.847"</f>
        <v>22:21:42.847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5</v>
      </c>
      <c r="CP2758" t="s">
        <v>119</v>
      </c>
      <c r="CQ2758">
        <v>364</v>
      </c>
      <c r="CR2758">
        <v>0</v>
      </c>
      <c r="CW2758">
        <v>1473209</v>
      </c>
      <c r="CY2758">
        <v>1</v>
      </c>
      <c r="CZ2758">
        <v>0</v>
      </c>
      <c r="DA2758">
        <v>1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3">
      <c r="A2759" t="str">
        <f>"03/24/2022 22:21:43.053"</f>
        <v>03/24/2022 22:21:43.053</v>
      </c>
      <c r="C2759" t="str">
        <f t="shared" si="810"/>
        <v>FFDFD3C0</v>
      </c>
      <c r="D2759" t="s">
        <v>120</v>
      </c>
      <c r="E2759">
        <v>14</v>
      </c>
      <c r="F2759">
        <v>1014</v>
      </c>
      <c r="G2759" t="s">
        <v>121</v>
      </c>
      <c r="J2759" t="s">
        <v>122</v>
      </c>
      <c r="K2759">
        <v>0</v>
      </c>
      <c r="L2759">
        <v>3</v>
      </c>
      <c r="M2759">
        <v>0</v>
      </c>
      <c r="N2759">
        <v>2</v>
      </c>
      <c r="O2759">
        <v>0</v>
      </c>
      <c r="P2759">
        <v>1</v>
      </c>
      <c r="Q2759">
        <v>0</v>
      </c>
      <c r="S2759" t="str">
        <f t="shared" si="824"/>
        <v>22:21:42.000</v>
      </c>
      <c r="T2759" t="str">
        <f t="shared" si="824"/>
        <v>22:21:42.000</v>
      </c>
      <c r="U2759" t="str">
        <f t="shared" si="823"/>
        <v>A9D71F</v>
      </c>
      <c r="V2759">
        <v>0</v>
      </c>
      <c r="W2759">
        <v>0</v>
      </c>
      <c r="X2759">
        <v>2</v>
      </c>
      <c r="Z2759">
        <v>1</v>
      </c>
      <c r="AA2759">
        <v>8</v>
      </c>
      <c r="AB2759">
        <v>3</v>
      </c>
      <c r="AC2759">
        <v>0</v>
      </c>
      <c r="AD2759">
        <v>9</v>
      </c>
      <c r="AE2759">
        <v>0</v>
      </c>
      <c r="AF2759">
        <v>3</v>
      </c>
      <c r="AG2759">
        <v>1</v>
      </c>
      <c r="AH2759">
        <v>0</v>
      </c>
      <c r="AI2759" t="s">
        <v>1388</v>
      </c>
      <c r="AJ2759">
        <v>33.004088000000003</v>
      </c>
      <c r="AK2759" t="s">
        <v>1389</v>
      </c>
      <c r="AL2759">
        <v>-97.663242999999994</v>
      </c>
      <c r="AM2759">
        <v>25</v>
      </c>
      <c r="AN2759">
        <v>1500</v>
      </c>
      <c r="AO2759" t="s">
        <v>118</v>
      </c>
      <c r="AP2759">
        <v>-40</v>
      </c>
      <c r="AQ2759">
        <v>-74</v>
      </c>
      <c r="AR2759">
        <v>-896</v>
      </c>
      <c r="AZ2759">
        <v>7700</v>
      </c>
      <c r="BA2759">
        <v>1</v>
      </c>
      <c r="BB2759" t="str">
        <f t="shared" si="811"/>
        <v xml:space="preserve">N733KP  </v>
      </c>
      <c r="BC2759">
        <v>1</v>
      </c>
      <c r="BE2759">
        <v>0</v>
      </c>
      <c r="BF2759">
        <v>0</v>
      </c>
      <c r="BG2759">
        <v>1</v>
      </c>
      <c r="BH2759">
        <v>1575</v>
      </c>
      <c r="BI2759">
        <v>1</v>
      </c>
      <c r="BJ2759">
        <v>1</v>
      </c>
      <c r="BK2759">
        <v>0</v>
      </c>
      <c r="BL2759">
        <v>0</v>
      </c>
      <c r="BO2759">
        <v>0</v>
      </c>
      <c r="BP2759">
        <v>0</v>
      </c>
      <c r="BW2759" t="str">
        <f>"22:21:42.847"</f>
        <v>22:21:42.847</v>
      </c>
      <c r="CJ2759">
        <v>0</v>
      </c>
      <c r="CK2759">
        <v>2</v>
      </c>
      <c r="CL2759">
        <v>0</v>
      </c>
      <c r="CM2759">
        <v>2</v>
      </c>
      <c r="CN2759">
        <v>0</v>
      </c>
      <c r="CO2759">
        <v>5</v>
      </c>
      <c r="CP2759" t="s">
        <v>119</v>
      </c>
      <c r="CQ2759">
        <v>364</v>
      </c>
      <c r="CR2759">
        <v>0</v>
      </c>
      <c r="CW2759">
        <v>1473209</v>
      </c>
      <c r="CY2759">
        <v>1</v>
      </c>
      <c r="CZ2759">
        <v>0</v>
      </c>
      <c r="DA2759">
        <v>1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3">
      <c r="A2760" t="str">
        <f>"03/24/2022 22:21:43.100"</f>
        <v>03/24/2022 22:21:43.100</v>
      </c>
      <c r="C2760" t="str">
        <f t="shared" si="810"/>
        <v>FFDFD3C0</v>
      </c>
      <c r="D2760" t="s">
        <v>123</v>
      </c>
      <c r="E2760">
        <v>8</v>
      </c>
      <c r="H2760">
        <v>31</v>
      </c>
      <c r="I2760" t="s">
        <v>124</v>
      </c>
      <c r="J2760" t="s">
        <v>125</v>
      </c>
      <c r="K2760">
        <v>0</v>
      </c>
      <c r="L2760">
        <v>3</v>
      </c>
      <c r="M2760">
        <v>0</v>
      </c>
      <c r="N2760">
        <v>2</v>
      </c>
      <c r="O2760">
        <v>0</v>
      </c>
      <c r="P2760">
        <v>1</v>
      </c>
      <c r="Q2760">
        <v>0</v>
      </c>
      <c r="S2760" t="str">
        <f t="shared" si="824"/>
        <v>22:21:42.000</v>
      </c>
      <c r="T2760" t="str">
        <f t="shared" si="824"/>
        <v>22:21:42.000</v>
      </c>
      <c r="U2760" t="str">
        <f t="shared" si="823"/>
        <v>A9D71F</v>
      </c>
      <c r="V2760">
        <v>0</v>
      </c>
      <c r="W2760">
        <v>0</v>
      </c>
      <c r="X2760">
        <v>2</v>
      </c>
      <c r="Z2760">
        <v>1</v>
      </c>
      <c r="AA2760">
        <v>8</v>
      </c>
      <c r="AB2760">
        <v>3</v>
      </c>
      <c r="AC2760">
        <v>0</v>
      </c>
      <c r="AD2760">
        <v>9</v>
      </c>
      <c r="AE2760">
        <v>0</v>
      </c>
      <c r="AF2760">
        <v>3</v>
      </c>
      <c r="AG2760">
        <v>1</v>
      </c>
      <c r="AH2760">
        <v>0</v>
      </c>
      <c r="AI2760" t="s">
        <v>1388</v>
      </c>
      <c r="AJ2760">
        <v>33.004088000000003</v>
      </c>
      <c r="AK2760" t="s">
        <v>1389</v>
      </c>
      <c r="AL2760">
        <v>-97.663242999999994</v>
      </c>
      <c r="AM2760">
        <v>25</v>
      </c>
      <c r="AN2760">
        <v>1500</v>
      </c>
      <c r="AO2760" t="s">
        <v>118</v>
      </c>
      <c r="AP2760">
        <v>-40</v>
      </c>
      <c r="AQ2760">
        <v>-74</v>
      </c>
      <c r="AR2760">
        <v>-896</v>
      </c>
      <c r="AZ2760">
        <v>7700</v>
      </c>
      <c r="BA2760">
        <v>1</v>
      </c>
      <c r="BB2760" t="str">
        <f t="shared" si="811"/>
        <v xml:space="preserve">N733KP  </v>
      </c>
      <c r="BC2760">
        <v>1</v>
      </c>
      <c r="BE2760">
        <v>0</v>
      </c>
      <c r="BF2760">
        <v>0</v>
      </c>
      <c r="BG2760">
        <v>1</v>
      </c>
      <c r="BH2760">
        <v>1575</v>
      </c>
      <c r="BI2760">
        <v>1</v>
      </c>
      <c r="BJ2760">
        <v>1</v>
      </c>
      <c r="BK2760">
        <v>0</v>
      </c>
      <c r="BL2760">
        <v>0</v>
      </c>
      <c r="BO2760">
        <v>0</v>
      </c>
      <c r="BP2760">
        <v>0</v>
      </c>
      <c r="BW2760" t="str">
        <f>"22:21:42.847"</f>
        <v>22:21:42.847</v>
      </c>
      <c r="CJ2760">
        <v>0</v>
      </c>
      <c r="CK2760">
        <v>2</v>
      </c>
      <c r="CL2760">
        <v>0</v>
      </c>
      <c r="CM2760">
        <v>2</v>
      </c>
      <c r="CN2760">
        <v>0</v>
      </c>
      <c r="CO2760">
        <v>5</v>
      </c>
      <c r="CP2760" t="s">
        <v>119</v>
      </c>
      <c r="CQ2760">
        <v>364</v>
      </c>
      <c r="CR2760">
        <v>0</v>
      </c>
      <c r="CW2760">
        <v>1473209</v>
      </c>
      <c r="CY2760">
        <v>1</v>
      </c>
      <c r="CZ2760">
        <v>0</v>
      </c>
      <c r="DA2760">
        <v>1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3">
      <c r="A2761" t="str">
        <f>"03/24/2022 22:21:44.134"</f>
        <v>03/24/2022 22:21:44.134</v>
      </c>
      <c r="C2761" t="str">
        <f t="shared" si="810"/>
        <v>FFDFD3C0</v>
      </c>
      <c r="D2761" t="s">
        <v>126</v>
      </c>
      <c r="E2761">
        <v>3</v>
      </c>
      <c r="H2761">
        <v>160</v>
      </c>
      <c r="I2761" t="s">
        <v>121</v>
      </c>
      <c r="J2761" t="s">
        <v>127</v>
      </c>
      <c r="K2761">
        <v>0</v>
      </c>
      <c r="L2761">
        <v>3</v>
      </c>
      <c r="M2761">
        <v>0</v>
      </c>
      <c r="N2761">
        <v>2</v>
      </c>
      <c r="O2761">
        <v>0</v>
      </c>
      <c r="P2761">
        <v>1</v>
      </c>
      <c r="Q2761">
        <v>0</v>
      </c>
      <c r="S2761" t="str">
        <f t="shared" ref="S2761:T2763" si="825">"22:21:43.000"</f>
        <v>22:21:43.000</v>
      </c>
      <c r="T2761" t="str">
        <f t="shared" si="825"/>
        <v>22:21:43.000</v>
      </c>
      <c r="U2761" t="str">
        <f t="shared" si="823"/>
        <v>A9D71F</v>
      </c>
      <c r="V2761">
        <v>0</v>
      </c>
      <c r="W2761">
        <v>0</v>
      </c>
      <c r="X2761">
        <v>2</v>
      </c>
      <c r="Z2761">
        <v>1</v>
      </c>
      <c r="AA2761">
        <v>8</v>
      </c>
      <c r="AB2761">
        <v>3</v>
      </c>
      <c r="AC2761">
        <v>0</v>
      </c>
      <c r="AD2761">
        <v>9</v>
      </c>
      <c r="AE2761">
        <v>0</v>
      </c>
      <c r="AF2761">
        <v>3</v>
      </c>
      <c r="AG2761">
        <v>1</v>
      </c>
      <c r="AH2761">
        <v>0</v>
      </c>
      <c r="AI2761" t="s">
        <v>1390</v>
      </c>
      <c r="AJ2761">
        <v>33.003616000000001</v>
      </c>
      <c r="AK2761" t="s">
        <v>1391</v>
      </c>
      <c r="AL2761">
        <v>-97.663436000000004</v>
      </c>
      <c r="AM2761">
        <v>25</v>
      </c>
      <c r="AN2761">
        <v>1500</v>
      </c>
      <c r="AO2761" t="s">
        <v>118</v>
      </c>
      <c r="AP2761">
        <v>-37</v>
      </c>
      <c r="AQ2761">
        <v>-76</v>
      </c>
      <c r="AR2761">
        <v>-960</v>
      </c>
      <c r="AZ2761">
        <v>7700</v>
      </c>
      <c r="BA2761">
        <v>1</v>
      </c>
      <c r="BB2761" t="str">
        <f t="shared" si="811"/>
        <v xml:space="preserve">N733KP  </v>
      </c>
      <c r="BC2761">
        <v>1</v>
      </c>
      <c r="BE2761">
        <v>0</v>
      </c>
      <c r="BF2761">
        <v>0</v>
      </c>
      <c r="BG2761">
        <v>1</v>
      </c>
      <c r="BH2761">
        <v>1575</v>
      </c>
      <c r="BI2761">
        <v>1</v>
      </c>
      <c r="BJ2761">
        <v>1</v>
      </c>
      <c r="BK2761">
        <v>0</v>
      </c>
      <c r="BL2761">
        <v>0</v>
      </c>
      <c r="BO2761">
        <v>0</v>
      </c>
      <c r="BP2761">
        <v>0</v>
      </c>
      <c r="BW2761" t="str">
        <f>"22:21:43.874"</f>
        <v>22:21:43.874</v>
      </c>
      <c r="CJ2761">
        <v>0</v>
      </c>
      <c r="CK2761">
        <v>2</v>
      </c>
      <c r="CL2761">
        <v>0</v>
      </c>
      <c r="CM2761">
        <v>2</v>
      </c>
      <c r="CN2761">
        <v>0</v>
      </c>
      <c r="CO2761">
        <v>6</v>
      </c>
      <c r="CP2761" t="s">
        <v>119</v>
      </c>
      <c r="CQ2761">
        <v>364</v>
      </c>
      <c r="CR2761">
        <v>0</v>
      </c>
      <c r="CW2761">
        <v>1473366</v>
      </c>
      <c r="CY2761">
        <v>1</v>
      </c>
      <c r="CZ2761">
        <v>0</v>
      </c>
      <c r="DA2761">
        <v>0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3">
      <c r="A2762" t="str">
        <f>"03/24/2022 22:21:44.134"</f>
        <v>03/24/2022 22:21:44.134</v>
      </c>
      <c r="C2762" t="str">
        <f t="shared" si="810"/>
        <v>FFDFD3C0</v>
      </c>
      <c r="D2762" t="s">
        <v>120</v>
      </c>
      <c r="E2762">
        <v>14</v>
      </c>
      <c r="F2762">
        <v>1014</v>
      </c>
      <c r="G2762" t="s">
        <v>121</v>
      </c>
      <c r="J2762" t="s">
        <v>122</v>
      </c>
      <c r="K2762">
        <v>0</v>
      </c>
      <c r="L2762">
        <v>3</v>
      </c>
      <c r="M2762">
        <v>0</v>
      </c>
      <c r="N2762">
        <v>2</v>
      </c>
      <c r="O2762">
        <v>0</v>
      </c>
      <c r="P2762">
        <v>1</v>
      </c>
      <c r="Q2762">
        <v>0</v>
      </c>
      <c r="S2762" t="str">
        <f t="shared" si="825"/>
        <v>22:21:43.000</v>
      </c>
      <c r="T2762" t="str">
        <f t="shared" si="825"/>
        <v>22:21:43.000</v>
      </c>
      <c r="U2762" t="str">
        <f t="shared" si="823"/>
        <v>A9D71F</v>
      </c>
      <c r="V2762">
        <v>0</v>
      </c>
      <c r="W2762">
        <v>0</v>
      </c>
      <c r="X2762">
        <v>2</v>
      </c>
      <c r="Z2762">
        <v>1</v>
      </c>
      <c r="AA2762">
        <v>8</v>
      </c>
      <c r="AB2762">
        <v>3</v>
      </c>
      <c r="AC2762">
        <v>0</v>
      </c>
      <c r="AD2762">
        <v>9</v>
      </c>
      <c r="AE2762">
        <v>0</v>
      </c>
      <c r="AF2762">
        <v>3</v>
      </c>
      <c r="AG2762">
        <v>1</v>
      </c>
      <c r="AH2762">
        <v>0</v>
      </c>
      <c r="AI2762" t="s">
        <v>1390</v>
      </c>
      <c r="AJ2762">
        <v>33.003616000000001</v>
      </c>
      <c r="AK2762" t="s">
        <v>1391</v>
      </c>
      <c r="AL2762">
        <v>-97.663436000000004</v>
      </c>
      <c r="AM2762">
        <v>25</v>
      </c>
      <c r="AN2762">
        <v>1500</v>
      </c>
      <c r="AO2762" t="s">
        <v>118</v>
      </c>
      <c r="AP2762">
        <v>-37</v>
      </c>
      <c r="AQ2762">
        <v>-76</v>
      </c>
      <c r="AR2762">
        <v>-960</v>
      </c>
      <c r="AZ2762">
        <v>7700</v>
      </c>
      <c r="BA2762">
        <v>1</v>
      </c>
      <c r="BB2762" t="str">
        <f t="shared" si="811"/>
        <v xml:space="preserve">N733KP  </v>
      </c>
      <c r="BC2762">
        <v>1</v>
      </c>
      <c r="BE2762">
        <v>0</v>
      </c>
      <c r="BF2762">
        <v>0</v>
      </c>
      <c r="BG2762">
        <v>1</v>
      </c>
      <c r="BH2762">
        <v>1575</v>
      </c>
      <c r="BI2762">
        <v>1</v>
      </c>
      <c r="BJ2762">
        <v>1</v>
      </c>
      <c r="BK2762">
        <v>0</v>
      </c>
      <c r="BL2762">
        <v>0</v>
      </c>
      <c r="BO2762">
        <v>0</v>
      </c>
      <c r="BP2762">
        <v>0</v>
      </c>
      <c r="BW2762" t="str">
        <f>"22:21:43.874"</f>
        <v>22:21:43.874</v>
      </c>
      <c r="CJ2762">
        <v>0</v>
      </c>
      <c r="CK2762">
        <v>2</v>
      </c>
      <c r="CL2762">
        <v>0</v>
      </c>
      <c r="CM2762">
        <v>2</v>
      </c>
      <c r="CN2762">
        <v>0</v>
      </c>
      <c r="CO2762">
        <v>6</v>
      </c>
      <c r="CP2762" t="s">
        <v>119</v>
      </c>
      <c r="CQ2762">
        <v>364</v>
      </c>
      <c r="CR2762">
        <v>0</v>
      </c>
      <c r="CW2762">
        <v>1473366</v>
      </c>
      <c r="CY2762">
        <v>1</v>
      </c>
      <c r="CZ2762">
        <v>0</v>
      </c>
      <c r="DA2762">
        <v>1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3">
      <c r="A2763" t="str">
        <f>"03/24/2022 22:21:44.134"</f>
        <v>03/24/2022 22:21:44.134</v>
      </c>
      <c r="C2763" t="str">
        <f t="shared" si="810"/>
        <v>FFDFD3C0</v>
      </c>
      <c r="D2763" t="s">
        <v>123</v>
      </c>
      <c r="E2763">
        <v>8</v>
      </c>
      <c r="H2763">
        <v>31</v>
      </c>
      <c r="I2763" t="s">
        <v>124</v>
      </c>
      <c r="J2763" t="s">
        <v>125</v>
      </c>
      <c r="K2763">
        <v>0</v>
      </c>
      <c r="L2763">
        <v>3</v>
      </c>
      <c r="M2763">
        <v>0</v>
      </c>
      <c r="N2763">
        <v>2</v>
      </c>
      <c r="O2763">
        <v>0</v>
      </c>
      <c r="P2763">
        <v>1</v>
      </c>
      <c r="Q2763">
        <v>0</v>
      </c>
      <c r="S2763" t="str">
        <f t="shared" si="825"/>
        <v>22:21:43.000</v>
      </c>
      <c r="T2763" t="str">
        <f t="shared" si="825"/>
        <v>22:21:43.000</v>
      </c>
      <c r="U2763" t="str">
        <f t="shared" si="823"/>
        <v>A9D71F</v>
      </c>
      <c r="V2763">
        <v>0</v>
      </c>
      <c r="W2763">
        <v>0</v>
      </c>
      <c r="X2763">
        <v>2</v>
      </c>
      <c r="Z2763">
        <v>1</v>
      </c>
      <c r="AA2763">
        <v>8</v>
      </c>
      <c r="AB2763">
        <v>3</v>
      </c>
      <c r="AC2763">
        <v>0</v>
      </c>
      <c r="AD2763">
        <v>9</v>
      </c>
      <c r="AE2763">
        <v>0</v>
      </c>
      <c r="AF2763">
        <v>3</v>
      </c>
      <c r="AG2763">
        <v>1</v>
      </c>
      <c r="AH2763">
        <v>0</v>
      </c>
      <c r="AI2763" t="s">
        <v>1390</v>
      </c>
      <c r="AJ2763">
        <v>33.003616000000001</v>
      </c>
      <c r="AK2763" t="s">
        <v>1391</v>
      </c>
      <c r="AL2763">
        <v>-97.663436000000004</v>
      </c>
      <c r="AM2763">
        <v>25</v>
      </c>
      <c r="AN2763">
        <v>1500</v>
      </c>
      <c r="AO2763" t="s">
        <v>118</v>
      </c>
      <c r="AP2763">
        <v>-37</v>
      </c>
      <c r="AQ2763">
        <v>-76</v>
      </c>
      <c r="AR2763">
        <v>-960</v>
      </c>
      <c r="AZ2763">
        <v>7700</v>
      </c>
      <c r="BA2763">
        <v>1</v>
      </c>
      <c r="BB2763" t="str">
        <f t="shared" si="811"/>
        <v xml:space="preserve">N733KP  </v>
      </c>
      <c r="BC2763">
        <v>1</v>
      </c>
      <c r="BE2763">
        <v>0</v>
      </c>
      <c r="BF2763">
        <v>0</v>
      </c>
      <c r="BG2763">
        <v>1</v>
      </c>
      <c r="BH2763">
        <v>1575</v>
      </c>
      <c r="BI2763">
        <v>1</v>
      </c>
      <c r="BJ2763">
        <v>1</v>
      </c>
      <c r="BK2763">
        <v>0</v>
      </c>
      <c r="BL2763">
        <v>0</v>
      </c>
      <c r="BO2763">
        <v>0</v>
      </c>
      <c r="BP2763">
        <v>0</v>
      </c>
      <c r="BW2763" t="str">
        <f>"22:21:43.874"</f>
        <v>22:21:43.874</v>
      </c>
      <c r="CJ2763">
        <v>0</v>
      </c>
      <c r="CK2763">
        <v>2</v>
      </c>
      <c r="CL2763">
        <v>0</v>
      </c>
      <c r="CM2763">
        <v>2</v>
      </c>
      <c r="CN2763">
        <v>0</v>
      </c>
      <c r="CO2763">
        <v>6</v>
      </c>
      <c r="CP2763" t="s">
        <v>119</v>
      </c>
      <c r="CQ2763">
        <v>364</v>
      </c>
      <c r="CR2763">
        <v>0</v>
      </c>
      <c r="CW2763">
        <v>1473366</v>
      </c>
      <c r="CY2763">
        <v>1</v>
      </c>
      <c r="CZ2763">
        <v>0</v>
      </c>
      <c r="DA2763">
        <v>1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3">
      <c r="A2764" t="str">
        <f>"03/24/2022 22:21:45.195"</f>
        <v>03/24/2022 22:21:45.195</v>
      </c>
      <c r="C2764" t="str">
        <f t="shared" si="810"/>
        <v>FFDFD3C0</v>
      </c>
      <c r="D2764" t="s">
        <v>120</v>
      </c>
      <c r="E2764">
        <v>14</v>
      </c>
      <c r="F2764">
        <v>1014</v>
      </c>
      <c r="G2764" t="s">
        <v>121</v>
      </c>
      <c r="J2764" t="s">
        <v>122</v>
      </c>
      <c r="K2764">
        <v>0</v>
      </c>
      <c r="L2764">
        <v>3</v>
      </c>
      <c r="M2764">
        <v>0</v>
      </c>
      <c r="N2764">
        <v>2</v>
      </c>
      <c r="O2764">
        <v>0</v>
      </c>
      <c r="P2764">
        <v>1</v>
      </c>
      <c r="Q2764">
        <v>0</v>
      </c>
      <c r="S2764" t="str">
        <f t="shared" ref="S2764:T2767" si="826">"22:21:44.000"</f>
        <v>22:21:44.000</v>
      </c>
      <c r="T2764" t="str">
        <f t="shared" si="826"/>
        <v>22:21:44.000</v>
      </c>
      <c r="U2764" t="str">
        <f t="shared" si="823"/>
        <v>A9D71F</v>
      </c>
      <c r="V2764">
        <v>0</v>
      </c>
      <c r="W2764">
        <v>0</v>
      </c>
      <c r="X2764">
        <v>2</v>
      </c>
      <c r="Z2764">
        <v>1</v>
      </c>
      <c r="AA2764">
        <v>8</v>
      </c>
      <c r="AB2764">
        <v>3</v>
      </c>
      <c r="AC2764">
        <v>0</v>
      </c>
      <c r="AD2764">
        <v>9</v>
      </c>
      <c r="AE2764">
        <v>0</v>
      </c>
      <c r="AF2764">
        <v>3</v>
      </c>
      <c r="AG2764">
        <v>1</v>
      </c>
      <c r="AH2764">
        <v>0</v>
      </c>
      <c r="AI2764" t="s">
        <v>1392</v>
      </c>
      <c r="AJ2764">
        <v>33.003359000000003</v>
      </c>
      <c r="AK2764" t="s">
        <v>987</v>
      </c>
      <c r="AL2764">
        <v>-97.663672000000005</v>
      </c>
      <c r="AM2764">
        <v>25</v>
      </c>
      <c r="AN2764">
        <v>1500</v>
      </c>
      <c r="AO2764" t="s">
        <v>118</v>
      </c>
      <c r="AP2764">
        <v>-35</v>
      </c>
      <c r="AQ2764">
        <v>-79</v>
      </c>
      <c r="AR2764">
        <v>-832</v>
      </c>
      <c r="AZ2764">
        <v>7700</v>
      </c>
      <c r="BA2764">
        <v>1</v>
      </c>
      <c r="BB2764" t="str">
        <f t="shared" si="811"/>
        <v xml:space="preserve">N733KP  </v>
      </c>
      <c r="BC2764">
        <v>1</v>
      </c>
      <c r="BE2764">
        <v>0</v>
      </c>
      <c r="BF2764">
        <v>0</v>
      </c>
      <c r="BG2764">
        <v>1</v>
      </c>
      <c r="BH2764">
        <v>1550</v>
      </c>
      <c r="BI2764">
        <v>1</v>
      </c>
      <c r="BJ2764">
        <v>1</v>
      </c>
      <c r="BK2764">
        <v>0</v>
      </c>
      <c r="BL2764">
        <v>0</v>
      </c>
      <c r="BO2764">
        <v>0</v>
      </c>
      <c r="BP2764">
        <v>0</v>
      </c>
      <c r="BW2764" t="str">
        <f>"22:21:44.991"</f>
        <v>22:21:44.991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5</v>
      </c>
      <c r="CP2764" t="s">
        <v>119</v>
      </c>
      <c r="CQ2764">
        <v>364</v>
      </c>
      <c r="CR2764">
        <v>0</v>
      </c>
      <c r="CW2764">
        <v>1473571</v>
      </c>
      <c r="CY2764">
        <v>1</v>
      </c>
      <c r="CZ2764">
        <v>0</v>
      </c>
      <c r="DA2764">
        <v>0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3">
      <c r="A2765" t="str">
        <f>"03/24/2022 22:21:45.195"</f>
        <v>03/24/2022 22:21:45.195</v>
      </c>
      <c r="C2765" t="str">
        <f t="shared" si="810"/>
        <v>FFDFD3C0</v>
      </c>
      <c r="D2765" t="s">
        <v>126</v>
      </c>
      <c r="E2765">
        <v>3</v>
      </c>
      <c r="H2765">
        <v>160</v>
      </c>
      <c r="I2765" t="s">
        <v>121</v>
      </c>
      <c r="J2765" t="s">
        <v>127</v>
      </c>
      <c r="K2765">
        <v>0</v>
      </c>
      <c r="L2765">
        <v>3</v>
      </c>
      <c r="M2765">
        <v>0</v>
      </c>
      <c r="N2765">
        <v>2</v>
      </c>
      <c r="O2765">
        <v>0</v>
      </c>
      <c r="P2765">
        <v>1</v>
      </c>
      <c r="Q2765">
        <v>0</v>
      </c>
      <c r="S2765" t="str">
        <f t="shared" si="826"/>
        <v>22:21:44.000</v>
      </c>
      <c r="T2765" t="str">
        <f t="shared" si="826"/>
        <v>22:21:44.000</v>
      </c>
      <c r="U2765" t="str">
        <f t="shared" si="823"/>
        <v>A9D71F</v>
      </c>
      <c r="V2765">
        <v>0</v>
      </c>
      <c r="W2765">
        <v>0</v>
      </c>
      <c r="X2765">
        <v>2</v>
      </c>
      <c r="Z2765">
        <v>1</v>
      </c>
      <c r="AA2765">
        <v>8</v>
      </c>
      <c r="AB2765">
        <v>3</v>
      </c>
      <c r="AC2765">
        <v>0</v>
      </c>
      <c r="AD2765">
        <v>9</v>
      </c>
      <c r="AE2765">
        <v>0</v>
      </c>
      <c r="AF2765">
        <v>3</v>
      </c>
      <c r="AG2765">
        <v>1</v>
      </c>
      <c r="AH2765">
        <v>0</v>
      </c>
      <c r="AI2765" t="s">
        <v>1392</v>
      </c>
      <c r="AJ2765">
        <v>33.003359000000003</v>
      </c>
      <c r="AK2765" t="s">
        <v>987</v>
      </c>
      <c r="AL2765">
        <v>-97.663672000000005</v>
      </c>
      <c r="AM2765">
        <v>25</v>
      </c>
      <c r="AN2765">
        <v>1500</v>
      </c>
      <c r="AO2765" t="s">
        <v>118</v>
      </c>
      <c r="AP2765">
        <v>-35</v>
      </c>
      <c r="AQ2765">
        <v>-79</v>
      </c>
      <c r="AR2765">
        <v>-832</v>
      </c>
      <c r="AZ2765">
        <v>7700</v>
      </c>
      <c r="BA2765">
        <v>1</v>
      </c>
      <c r="BB2765" t="str">
        <f t="shared" si="811"/>
        <v xml:space="preserve">N733KP  </v>
      </c>
      <c r="BC2765">
        <v>1</v>
      </c>
      <c r="BE2765">
        <v>0</v>
      </c>
      <c r="BF2765">
        <v>0</v>
      </c>
      <c r="BG2765">
        <v>1</v>
      </c>
      <c r="BH2765">
        <v>1550</v>
      </c>
      <c r="BI2765">
        <v>1</v>
      </c>
      <c r="BJ2765">
        <v>1</v>
      </c>
      <c r="BK2765">
        <v>0</v>
      </c>
      <c r="BL2765">
        <v>0</v>
      </c>
      <c r="BO2765">
        <v>0</v>
      </c>
      <c r="BP2765">
        <v>0</v>
      </c>
      <c r="BW2765" t="str">
        <f>"22:21:44.991"</f>
        <v>22:21:44.991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5</v>
      </c>
      <c r="CP2765" t="s">
        <v>119</v>
      </c>
      <c r="CQ2765">
        <v>364</v>
      </c>
      <c r="CR2765">
        <v>0</v>
      </c>
      <c r="CW2765">
        <v>1473571</v>
      </c>
      <c r="CY2765">
        <v>1</v>
      </c>
      <c r="CZ2765">
        <v>0</v>
      </c>
      <c r="DA2765">
        <v>1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3">
      <c r="A2766" t="str">
        <f>"03/24/2022 22:21:45.226"</f>
        <v>03/24/2022 22:21:45.226</v>
      </c>
      <c r="C2766" t="str">
        <f t="shared" si="810"/>
        <v>FFDFD3C0</v>
      </c>
      <c r="D2766" t="s">
        <v>113</v>
      </c>
      <c r="E2766">
        <v>24</v>
      </c>
      <c r="F2766">
        <v>2024</v>
      </c>
      <c r="G2766" t="s">
        <v>114</v>
      </c>
      <c r="J2766" t="s">
        <v>115</v>
      </c>
      <c r="K2766">
        <v>0</v>
      </c>
      <c r="L2766">
        <v>3</v>
      </c>
      <c r="M2766">
        <v>0</v>
      </c>
      <c r="N2766">
        <v>2</v>
      </c>
      <c r="O2766">
        <v>0</v>
      </c>
      <c r="P2766">
        <v>1</v>
      </c>
      <c r="Q2766">
        <v>0</v>
      </c>
      <c r="S2766" t="str">
        <f t="shared" si="826"/>
        <v>22:21:44.000</v>
      </c>
      <c r="T2766" t="str">
        <f t="shared" si="826"/>
        <v>22:21:44.000</v>
      </c>
      <c r="U2766" t="str">
        <f t="shared" si="823"/>
        <v>A9D71F</v>
      </c>
      <c r="V2766">
        <v>0</v>
      </c>
      <c r="W2766">
        <v>0</v>
      </c>
      <c r="X2766">
        <v>2</v>
      </c>
      <c r="Z2766">
        <v>1</v>
      </c>
      <c r="AA2766">
        <v>8</v>
      </c>
      <c r="AB2766">
        <v>3</v>
      </c>
      <c r="AC2766">
        <v>0</v>
      </c>
      <c r="AD2766">
        <v>9</v>
      </c>
      <c r="AE2766">
        <v>0</v>
      </c>
      <c r="AF2766">
        <v>3</v>
      </c>
      <c r="AG2766">
        <v>1</v>
      </c>
      <c r="AH2766">
        <v>0</v>
      </c>
      <c r="AI2766" t="s">
        <v>1392</v>
      </c>
      <c r="AJ2766">
        <v>33.003359000000003</v>
      </c>
      <c r="AK2766" t="s">
        <v>987</v>
      </c>
      <c r="AL2766">
        <v>-97.663672000000005</v>
      </c>
      <c r="AM2766">
        <v>25</v>
      </c>
      <c r="AN2766">
        <v>1500</v>
      </c>
      <c r="AO2766" t="s">
        <v>118</v>
      </c>
      <c r="AP2766">
        <v>-35</v>
      </c>
      <c r="AQ2766">
        <v>-79</v>
      </c>
      <c r="AR2766">
        <v>-832</v>
      </c>
      <c r="AZ2766">
        <v>7700</v>
      </c>
      <c r="BA2766">
        <v>1</v>
      </c>
      <c r="BB2766" t="str">
        <f t="shared" si="811"/>
        <v xml:space="preserve">N733KP  </v>
      </c>
      <c r="BC2766">
        <v>1</v>
      </c>
      <c r="BE2766">
        <v>0</v>
      </c>
      <c r="BF2766">
        <v>0</v>
      </c>
      <c r="BG2766">
        <v>1</v>
      </c>
      <c r="BH2766">
        <v>1550</v>
      </c>
      <c r="BI2766">
        <v>1</v>
      </c>
      <c r="BJ2766">
        <v>1</v>
      </c>
      <c r="BK2766">
        <v>0</v>
      </c>
      <c r="BL2766">
        <v>0</v>
      </c>
      <c r="BO2766">
        <v>0</v>
      </c>
      <c r="BP2766">
        <v>0</v>
      </c>
      <c r="BW2766" t="str">
        <f>"22:21:44.991"</f>
        <v>22:21:44.991</v>
      </c>
      <c r="CJ2766">
        <v>0</v>
      </c>
      <c r="CK2766">
        <v>2</v>
      </c>
      <c r="CL2766">
        <v>0</v>
      </c>
      <c r="CM2766">
        <v>2</v>
      </c>
      <c r="CN2766">
        <v>0</v>
      </c>
      <c r="CO2766">
        <v>5</v>
      </c>
      <c r="CP2766" t="s">
        <v>119</v>
      </c>
      <c r="CQ2766">
        <v>364</v>
      </c>
      <c r="CR2766">
        <v>0</v>
      </c>
      <c r="CW2766">
        <v>1473571</v>
      </c>
      <c r="CY2766">
        <v>1</v>
      </c>
      <c r="CZ2766">
        <v>0</v>
      </c>
      <c r="DA2766">
        <v>1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3">
      <c r="A2767" t="str">
        <f>"03/24/2022 22:21:45.242"</f>
        <v>03/24/2022 22:21:45.242</v>
      </c>
      <c r="C2767" t="str">
        <f t="shared" si="810"/>
        <v>FFDFD3C0</v>
      </c>
      <c r="D2767" t="s">
        <v>123</v>
      </c>
      <c r="E2767">
        <v>8</v>
      </c>
      <c r="H2767">
        <v>31</v>
      </c>
      <c r="I2767" t="s">
        <v>124</v>
      </c>
      <c r="J2767" t="s">
        <v>125</v>
      </c>
      <c r="K2767">
        <v>0</v>
      </c>
      <c r="L2767">
        <v>3</v>
      </c>
      <c r="M2767">
        <v>0</v>
      </c>
      <c r="N2767">
        <v>2</v>
      </c>
      <c r="O2767">
        <v>0</v>
      </c>
      <c r="P2767">
        <v>1</v>
      </c>
      <c r="Q2767">
        <v>0</v>
      </c>
      <c r="S2767" t="str">
        <f t="shared" si="826"/>
        <v>22:21:44.000</v>
      </c>
      <c r="T2767" t="str">
        <f t="shared" si="826"/>
        <v>22:21:44.000</v>
      </c>
      <c r="U2767" t="str">
        <f t="shared" si="823"/>
        <v>A9D71F</v>
      </c>
      <c r="V2767">
        <v>0</v>
      </c>
      <c r="W2767">
        <v>0</v>
      </c>
      <c r="X2767">
        <v>2</v>
      </c>
      <c r="Z2767">
        <v>1</v>
      </c>
      <c r="AA2767">
        <v>8</v>
      </c>
      <c r="AB2767">
        <v>3</v>
      </c>
      <c r="AC2767">
        <v>0</v>
      </c>
      <c r="AD2767">
        <v>9</v>
      </c>
      <c r="AE2767">
        <v>0</v>
      </c>
      <c r="AF2767">
        <v>3</v>
      </c>
      <c r="AG2767">
        <v>1</v>
      </c>
      <c r="AH2767">
        <v>0</v>
      </c>
      <c r="AI2767" t="s">
        <v>1392</v>
      </c>
      <c r="AJ2767">
        <v>33.003359000000003</v>
      </c>
      <c r="AK2767" t="s">
        <v>987</v>
      </c>
      <c r="AL2767">
        <v>-97.663672000000005</v>
      </c>
      <c r="AM2767">
        <v>25</v>
      </c>
      <c r="AN2767">
        <v>1500</v>
      </c>
      <c r="AO2767" t="s">
        <v>118</v>
      </c>
      <c r="AP2767">
        <v>-35</v>
      </c>
      <c r="AQ2767">
        <v>-79</v>
      </c>
      <c r="AR2767">
        <v>-832</v>
      </c>
      <c r="AZ2767">
        <v>7700</v>
      </c>
      <c r="BA2767">
        <v>1</v>
      </c>
      <c r="BB2767" t="str">
        <f t="shared" si="811"/>
        <v xml:space="preserve">N733KP  </v>
      </c>
      <c r="BC2767">
        <v>1</v>
      </c>
      <c r="BE2767">
        <v>0</v>
      </c>
      <c r="BF2767">
        <v>0</v>
      </c>
      <c r="BG2767">
        <v>1</v>
      </c>
      <c r="BH2767">
        <v>1550</v>
      </c>
      <c r="BI2767">
        <v>1</v>
      </c>
      <c r="BJ2767">
        <v>1</v>
      </c>
      <c r="BK2767">
        <v>0</v>
      </c>
      <c r="BL2767">
        <v>0</v>
      </c>
      <c r="BO2767">
        <v>0</v>
      </c>
      <c r="BP2767">
        <v>0</v>
      </c>
      <c r="BW2767" t="str">
        <f>"22:21:44.991"</f>
        <v>22:21:44.991</v>
      </c>
      <c r="CJ2767">
        <v>0</v>
      </c>
      <c r="CK2767">
        <v>2</v>
      </c>
      <c r="CL2767">
        <v>0</v>
      </c>
      <c r="CM2767">
        <v>2</v>
      </c>
      <c r="CN2767">
        <v>0</v>
      </c>
      <c r="CO2767">
        <v>5</v>
      </c>
      <c r="CP2767" t="s">
        <v>119</v>
      </c>
      <c r="CQ2767">
        <v>364</v>
      </c>
      <c r="CR2767">
        <v>0</v>
      </c>
      <c r="CW2767">
        <v>1473571</v>
      </c>
      <c r="CY2767">
        <v>1</v>
      </c>
      <c r="CZ2767">
        <v>0</v>
      </c>
      <c r="DA2767">
        <v>1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3">
      <c r="A2768" t="str">
        <f>"03/24/2022 22:21:45.789"</f>
        <v>03/24/2022 22:21:45.789</v>
      </c>
      <c r="C2768" t="str">
        <f t="shared" si="810"/>
        <v>FFDFD3C0</v>
      </c>
      <c r="D2768" t="s">
        <v>120</v>
      </c>
      <c r="E2768">
        <v>14</v>
      </c>
      <c r="F2768">
        <v>1014</v>
      </c>
      <c r="G2768" t="s">
        <v>121</v>
      </c>
      <c r="J2768" t="s">
        <v>122</v>
      </c>
      <c r="K2768">
        <v>0</v>
      </c>
      <c r="L2768">
        <v>3</v>
      </c>
      <c r="M2768">
        <v>0</v>
      </c>
      <c r="N2768">
        <v>2</v>
      </c>
      <c r="O2768">
        <v>0</v>
      </c>
      <c r="P2768">
        <v>1</v>
      </c>
      <c r="Q2768">
        <v>0</v>
      </c>
      <c r="S2768" t="str">
        <f t="shared" ref="S2768:T2771" si="827">"22:21:45.000"</f>
        <v>22:21:45.000</v>
      </c>
      <c r="T2768" t="str">
        <f t="shared" si="827"/>
        <v>22:21:45.000</v>
      </c>
      <c r="U2768" t="str">
        <f t="shared" si="823"/>
        <v>A9D71F</v>
      </c>
      <c r="V2768">
        <v>0</v>
      </c>
      <c r="W2768">
        <v>0</v>
      </c>
      <c r="X2768">
        <v>2</v>
      </c>
      <c r="Z2768">
        <v>1</v>
      </c>
      <c r="AA2768">
        <v>8</v>
      </c>
      <c r="AB2768">
        <v>3</v>
      </c>
      <c r="AC2768">
        <v>0</v>
      </c>
      <c r="AD2768">
        <v>9</v>
      </c>
      <c r="AE2768">
        <v>0</v>
      </c>
      <c r="AF2768">
        <v>3</v>
      </c>
      <c r="AG2768">
        <v>1</v>
      </c>
      <c r="AH2768">
        <v>0</v>
      </c>
      <c r="AI2768" t="s">
        <v>1393</v>
      </c>
      <c r="AJ2768">
        <v>33.002994000000001</v>
      </c>
      <c r="AK2768" t="s">
        <v>1394</v>
      </c>
      <c r="AL2768">
        <v>-97.663908000000006</v>
      </c>
      <c r="AM2768">
        <v>25</v>
      </c>
      <c r="AN2768">
        <v>1500</v>
      </c>
      <c r="AO2768" t="s">
        <v>118</v>
      </c>
      <c r="AP2768">
        <v>-35</v>
      </c>
      <c r="AQ2768">
        <v>-79</v>
      </c>
      <c r="AR2768">
        <v>-896</v>
      </c>
      <c r="AZ2768">
        <v>7700</v>
      </c>
      <c r="BA2768">
        <v>1</v>
      </c>
      <c r="BB2768" t="str">
        <f t="shared" si="811"/>
        <v xml:space="preserve">N733KP  </v>
      </c>
      <c r="BC2768">
        <v>1</v>
      </c>
      <c r="BE2768">
        <v>0</v>
      </c>
      <c r="BF2768">
        <v>0</v>
      </c>
      <c r="BG2768">
        <v>1</v>
      </c>
      <c r="BH2768">
        <v>1550</v>
      </c>
      <c r="BI2768">
        <v>1</v>
      </c>
      <c r="BJ2768">
        <v>1</v>
      </c>
      <c r="BK2768">
        <v>0</v>
      </c>
      <c r="BL2768">
        <v>0</v>
      </c>
      <c r="BO2768">
        <v>0</v>
      </c>
      <c r="BP2768">
        <v>0</v>
      </c>
      <c r="BW2768" t="str">
        <f>"22:21:45.612"</f>
        <v>22:21:45.612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4</v>
      </c>
      <c r="CP2768" t="s">
        <v>119</v>
      </c>
      <c r="CQ2768">
        <v>365</v>
      </c>
      <c r="CR2768">
        <v>0</v>
      </c>
      <c r="CW2768">
        <v>11569487</v>
      </c>
      <c r="CY2768">
        <v>1</v>
      </c>
      <c r="CZ2768">
        <v>0</v>
      </c>
      <c r="DA2768">
        <v>0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3">
      <c r="A2769" t="str">
        <f>"03/24/2022 22:21:45.836"</f>
        <v>03/24/2022 22:21:45.836</v>
      </c>
      <c r="C2769" t="str">
        <f t="shared" si="810"/>
        <v>FFDFD3C0</v>
      </c>
      <c r="D2769" t="s">
        <v>126</v>
      </c>
      <c r="E2769">
        <v>3</v>
      </c>
      <c r="H2769">
        <v>160</v>
      </c>
      <c r="I2769" t="s">
        <v>121</v>
      </c>
      <c r="J2769" t="s">
        <v>127</v>
      </c>
      <c r="K2769">
        <v>0</v>
      </c>
      <c r="L2769">
        <v>3</v>
      </c>
      <c r="M2769">
        <v>0</v>
      </c>
      <c r="N2769">
        <v>2</v>
      </c>
      <c r="O2769">
        <v>0</v>
      </c>
      <c r="P2769">
        <v>1</v>
      </c>
      <c r="Q2769">
        <v>0</v>
      </c>
      <c r="S2769" t="str">
        <f t="shared" si="827"/>
        <v>22:21:45.000</v>
      </c>
      <c r="T2769" t="str">
        <f t="shared" si="827"/>
        <v>22:21:45.000</v>
      </c>
      <c r="U2769" t="str">
        <f t="shared" si="823"/>
        <v>A9D71F</v>
      </c>
      <c r="V2769">
        <v>0</v>
      </c>
      <c r="W2769">
        <v>0</v>
      </c>
      <c r="X2769">
        <v>2</v>
      </c>
      <c r="Z2769">
        <v>1</v>
      </c>
      <c r="AA2769">
        <v>8</v>
      </c>
      <c r="AB2769">
        <v>3</v>
      </c>
      <c r="AC2769">
        <v>0</v>
      </c>
      <c r="AD2769">
        <v>9</v>
      </c>
      <c r="AE2769">
        <v>0</v>
      </c>
      <c r="AF2769">
        <v>3</v>
      </c>
      <c r="AG2769">
        <v>1</v>
      </c>
      <c r="AH2769">
        <v>0</v>
      </c>
      <c r="AI2769" t="s">
        <v>1393</v>
      </c>
      <c r="AJ2769">
        <v>33.002994000000001</v>
      </c>
      <c r="AK2769" t="s">
        <v>1394</v>
      </c>
      <c r="AL2769">
        <v>-97.663908000000006</v>
      </c>
      <c r="AM2769">
        <v>25</v>
      </c>
      <c r="AN2769">
        <v>1500</v>
      </c>
      <c r="AO2769" t="s">
        <v>118</v>
      </c>
      <c r="AP2769">
        <v>-35</v>
      </c>
      <c r="AQ2769">
        <v>-79</v>
      </c>
      <c r="AR2769">
        <v>-896</v>
      </c>
      <c r="AZ2769">
        <v>7700</v>
      </c>
      <c r="BA2769">
        <v>1</v>
      </c>
      <c r="BB2769" t="str">
        <f t="shared" si="811"/>
        <v xml:space="preserve">N733KP  </v>
      </c>
      <c r="BC2769">
        <v>1</v>
      </c>
      <c r="BE2769">
        <v>0</v>
      </c>
      <c r="BF2769">
        <v>0</v>
      </c>
      <c r="BG2769">
        <v>1</v>
      </c>
      <c r="BH2769">
        <v>1550</v>
      </c>
      <c r="BI2769">
        <v>1</v>
      </c>
      <c r="BJ2769">
        <v>1</v>
      </c>
      <c r="BK2769">
        <v>0</v>
      </c>
      <c r="BL2769">
        <v>0</v>
      </c>
      <c r="BO2769">
        <v>0</v>
      </c>
      <c r="BP2769">
        <v>0</v>
      </c>
      <c r="BW2769" t="str">
        <f>"22:21:45.612"</f>
        <v>22:21:45.612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4</v>
      </c>
      <c r="CP2769" t="s">
        <v>119</v>
      </c>
      <c r="CQ2769">
        <v>365</v>
      </c>
      <c r="CR2769">
        <v>0</v>
      </c>
      <c r="CW2769">
        <v>11569487</v>
      </c>
      <c r="CY2769">
        <v>1</v>
      </c>
      <c r="CZ2769">
        <v>0</v>
      </c>
      <c r="DA2769">
        <v>1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3">
      <c r="A2770" t="str">
        <f>"03/24/2022 22:21:45.851"</f>
        <v>03/24/2022 22:21:45.851</v>
      </c>
      <c r="C2770" t="str">
        <f t="shared" si="810"/>
        <v>FFDFD3C0</v>
      </c>
      <c r="D2770" t="s">
        <v>113</v>
      </c>
      <c r="E2770">
        <v>24</v>
      </c>
      <c r="F2770">
        <v>2024</v>
      </c>
      <c r="G2770" t="s">
        <v>114</v>
      </c>
      <c r="J2770" t="s">
        <v>115</v>
      </c>
      <c r="K2770">
        <v>0</v>
      </c>
      <c r="L2770">
        <v>3</v>
      </c>
      <c r="M2770">
        <v>0</v>
      </c>
      <c r="N2770">
        <v>2</v>
      </c>
      <c r="O2770">
        <v>0</v>
      </c>
      <c r="P2770">
        <v>1</v>
      </c>
      <c r="Q2770">
        <v>0</v>
      </c>
      <c r="S2770" t="str">
        <f t="shared" si="827"/>
        <v>22:21:45.000</v>
      </c>
      <c r="T2770" t="str">
        <f t="shared" si="827"/>
        <v>22:21:45.000</v>
      </c>
      <c r="U2770" t="str">
        <f t="shared" si="823"/>
        <v>A9D71F</v>
      </c>
      <c r="V2770">
        <v>0</v>
      </c>
      <c r="W2770">
        <v>0</v>
      </c>
      <c r="X2770">
        <v>2</v>
      </c>
      <c r="Z2770">
        <v>1</v>
      </c>
      <c r="AA2770">
        <v>8</v>
      </c>
      <c r="AB2770">
        <v>3</v>
      </c>
      <c r="AC2770">
        <v>0</v>
      </c>
      <c r="AD2770">
        <v>9</v>
      </c>
      <c r="AE2770">
        <v>0</v>
      </c>
      <c r="AF2770">
        <v>3</v>
      </c>
      <c r="AG2770">
        <v>1</v>
      </c>
      <c r="AH2770">
        <v>0</v>
      </c>
      <c r="AI2770" t="s">
        <v>1393</v>
      </c>
      <c r="AJ2770">
        <v>33.002994000000001</v>
      </c>
      <c r="AK2770" t="s">
        <v>1394</v>
      </c>
      <c r="AL2770">
        <v>-97.663908000000006</v>
      </c>
      <c r="AM2770">
        <v>25</v>
      </c>
      <c r="AN2770">
        <v>1500</v>
      </c>
      <c r="AO2770" t="s">
        <v>118</v>
      </c>
      <c r="AP2770">
        <v>-35</v>
      </c>
      <c r="AQ2770">
        <v>-79</v>
      </c>
      <c r="AR2770">
        <v>-896</v>
      </c>
      <c r="AZ2770">
        <v>7700</v>
      </c>
      <c r="BA2770">
        <v>1</v>
      </c>
      <c r="BB2770" t="str">
        <f t="shared" si="811"/>
        <v xml:space="preserve">N733KP  </v>
      </c>
      <c r="BC2770">
        <v>1</v>
      </c>
      <c r="BE2770">
        <v>0</v>
      </c>
      <c r="BF2770">
        <v>0</v>
      </c>
      <c r="BG2770">
        <v>1</v>
      </c>
      <c r="BH2770">
        <v>1550</v>
      </c>
      <c r="BI2770">
        <v>1</v>
      </c>
      <c r="BJ2770">
        <v>1</v>
      </c>
      <c r="BK2770">
        <v>0</v>
      </c>
      <c r="BL2770">
        <v>0</v>
      </c>
      <c r="BO2770">
        <v>0</v>
      </c>
      <c r="BP2770">
        <v>0</v>
      </c>
      <c r="BW2770" t="str">
        <f>"22:21:45.612"</f>
        <v>22:21:45.612</v>
      </c>
      <c r="CJ2770">
        <v>0</v>
      </c>
      <c r="CK2770">
        <v>2</v>
      </c>
      <c r="CL2770">
        <v>0</v>
      </c>
      <c r="CM2770">
        <v>2</v>
      </c>
      <c r="CN2770">
        <v>0</v>
      </c>
      <c r="CO2770">
        <v>4</v>
      </c>
      <c r="CP2770" t="s">
        <v>119</v>
      </c>
      <c r="CQ2770">
        <v>365</v>
      </c>
      <c r="CR2770">
        <v>0</v>
      </c>
      <c r="CW2770">
        <v>11569487</v>
      </c>
      <c r="CY2770">
        <v>1</v>
      </c>
      <c r="CZ2770">
        <v>0</v>
      </c>
      <c r="DA2770">
        <v>1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3">
      <c r="A2771" t="str">
        <f>"03/24/2022 22:21:45.867"</f>
        <v>03/24/2022 22:21:45.867</v>
      </c>
      <c r="C2771" t="str">
        <f t="shared" si="810"/>
        <v>FFDFD3C0</v>
      </c>
      <c r="D2771" t="s">
        <v>123</v>
      </c>
      <c r="E2771">
        <v>8</v>
      </c>
      <c r="H2771">
        <v>31</v>
      </c>
      <c r="I2771" t="s">
        <v>124</v>
      </c>
      <c r="J2771" t="s">
        <v>125</v>
      </c>
      <c r="K2771">
        <v>0</v>
      </c>
      <c r="L2771">
        <v>3</v>
      </c>
      <c r="M2771">
        <v>0</v>
      </c>
      <c r="N2771">
        <v>2</v>
      </c>
      <c r="O2771">
        <v>0</v>
      </c>
      <c r="P2771">
        <v>1</v>
      </c>
      <c r="Q2771">
        <v>0</v>
      </c>
      <c r="S2771" t="str">
        <f t="shared" si="827"/>
        <v>22:21:45.000</v>
      </c>
      <c r="T2771" t="str">
        <f t="shared" si="827"/>
        <v>22:21:45.000</v>
      </c>
      <c r="U2771" t="str">
        <f t="shared" si="823"/>
        <v>A9D71F</v>
      </c>
      <c r="V2771">
        <v>0</v>
      </c>
      <c r="W2771">
        <v>0</v>
      </c>
      <c r="X2771">
        <v>2</v>
      </c>
      <c r="Z2771">
        <v>1</v>
      </c>
      <c r="AA2771">
        <v>8</v>
      </c>
      <c r="AB2771">
        <v>3</v>
      </c>
      <c r="AC2771">
        <v>0</v>
      </c>
      <c r="AD2771">
        <v>9</v>
      </c>
      <c r="AE2771">
        <v>0</v>
      </c>
      <c r="AF2771">
        <v>3</v>
      </c>
      <c r="AG2771">
        <v>1</v>
      </c>
      <c r="AH2771">
        <v>0</v>
      </c>
      <c r="AI2771" t="s">
        <v>1393</v>
      </c>
      <c r="AJ2771">
        <v>33.002994000000001</v>
      </c>
      <c r="AK2771" t="s">
        <v>1394</v>
      </c>
      <c r="AL2771">
        <v>-97.663908000000006</v>
      </c>
      <c r="AM2771">
        <v>25</v>
      </c>
      <c r="AN2771">
        <v>1500</v>
      </c>
      <c r="AO2771" t="s">
        <v>118</v>
      </c>
      <c r="AP2771">
        <v>-35</v>
      </c>
      <c r="AQ2771">
        <v>-79</v>
      </c>
      <c r="AR2771">
        <v>-896</v>
      </c>
      <c r="AZ2771">
        <v>7700</v>
      </c>
      <c r="BA2771">
        <v>1</v>
      </c>
      <c r="BB2771" t="str">
        <f t="shared" si="811"/>
        <v xml:space="preserve">N733KP  </v>
      </c>
      <c r="BC2771">
        <v>1</v>
      </c>
      <c r="BE2771">
        <v>0</v>
      </c>
      <c r="BF2771">
        <v>0</v>
      </c>
      <c r="BG2771">
        <v>1</v>
      </c>
      <c r="BH2771">
        <v>1550</v>
      </c>
      <c r="BI2771">
        <v>1</v>
      </c>
      <c r="BJ2771">
        <v>1</v>
      </c>
      <c r="BK2771">
        <v>0</v>
      </c>
      <c r="BL2771">
        <v>0</v>
      </c>
      <c r="BO2771">
        <v>0</v>
      </c>
      <c r="BP2771">
        <v>0</v>
      </c>
      <c r="BW2771" t="str">
        <f>"22:21:45.612"</f>
        <v>22:21:45.612</v>
      </c>
      <c r="CJ2771">
        <v>0</v>
      </c>
      <c r="CK2771">
        <v>2</v>
      </c>
      <c r="CL2771">
        <v>0</v>
      </c>
      <c r="CM2771">
        <v>2</v>
      </c>
      <c r="CN2771">
        <v>0</v>
      </c>
      <c r="CO2771">
        <v>4</v>
      </c>
      <c r="CP2771" t="s">
        <v>119</v>
      </c>
      <c r="CQ2771">
        <v>365</v>
      </c>
      <c r="CR2771">
        <v>0</v>
      </c>
      <c r="CW2771">
        <v>11569487</v>
      </c>
      <c r="CY2771">
        <v>1</v>
      </c>
      <c r="CZ2771">
        <v>0</v>
      </c>
      <c r="DA2771">
        <v>1</v>
      </c>
      <c r="DB2771">
        <v>0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3">
      <c r="A2772" t="str">
        <f>"03/24/2022 22:21:46.930"</f>
        <v>03/24/2022 22:21:46.930</v>
      </c>
      <c r="C2772" t="str">
        <f t="shared" si="810"/>
        <v>FFDFD3C0</v>
      </c>
      <c r="D2772" t="s">
        <v>113</v>
      </c>
      <c r="E2772">
        <v>24</v>
      </c>
      <c r="F2772">
        <v>2024</v>
      </c>
      <c r="G2772" t="s">
        <v>114</v>
      </c>
      <c r="J2772" t="s">
        <v>115</v>
      </c>
      <c r="K2772">
        <v>0</v>
      </c>
      <c r="L2772">
        <v>3</v>
      </c>
      <c r="M2772">
        <v>0</v>
      </c>
      <c r="N2772">
        <v>2</v>
      </c>
      <c r="O2772">
        <v>0</v>
      </c>
      <c r="P2772">
        <v>1</v>
      </c>
      <c r="Q2772">
        <v>0</v>
      </c>
      <c r="S2772" t="str">
        <f t="shared" ref="S2772:T2775" si="828">"22:21:46.000"</f>
        <v>22:21:46.000</v>
      </c>
      <c r="T2772" t="str">
        <f t="shared" si="828"/>
        <v>22:21:46.000</v>
      </c>
      <c r="U2772" t="str">
        <f t="shared" si="823"/>
        <v>A9D71F</v>
      </c>
      <c r="V2772">
        <v>0</v>
      </c>
      <c r="W2772">
        <v>0</v>
      </c>
      <c r="X2772">
        <v>2</v>
      </c>
      <c r="Z2772">
        <v>1</v>
      </c>
      <c r="AA2772">
        <v>8</v>
      </c>
      <c r="AB2772">
        <v>3</v>
      </c>
      <c r="AC2772">
        <v>0</v>
      </c>
      <c r="AD2772">
        <v>9</v>
      </c>
      <c r="AE2772">
        <v>0</v>
      </c>
      <c r="AF2772">
        <v>3</v>
      </c>
      <c r="AG2772">
        <v>1</v>
      </c>
      <c r="AH2772">
        <v>0</v>
      </c>
      <c r="AI2772" t="s">
        <v>1395</v>
      </c>
      <c r="AJ2772">
        <v>33.002651</v>
      </c>
      <c r="AK2772" t="s">
        <v>1396</v>
      </c>
      <c r="AL2772">
        <v>-97.664123000000004</v>
      </c>
      <c r="AM2772">
        <v>25</v>
      </c>
      <c r="AN2772">
        <v>1500</v>
      </c>
      <c r="AO2772" t="s">
        <v>118</v>
      </c>
      <c r="AP2772">
        <v>-33</v>
      </c>
      <c r="AQ2772">
        <v>-79</v>
      </c>
      <c r="AR2772">
        <v>-1024</v>
      </c>
      <c r="AZ2772">
        <v>7700</v>
      </c>
      <c r="BA2772">
        <v>1</v>
      </c>
      <c r="BB2772" t="str">
        <f t="shared" si="811"/>
        <v xml:space="preserve">N733KP  </v>
      </c>
      <c r="BC2772">
        <v>1</v>
      </c>
      <c r="BE2772">
        <v>0</v>
      </c>
      <c r="BF2772">
        <v>0</v>
      </c>
      <c r="BG2772">
        <v>1</v>
      </c>
      <c r="BH2772">
        <v>1575</v>
      </c>
      <c r="BI2772">
        <v>1</v>
      </c>
      <c r="BJ2772">
        <v>1</v>
      </c>
      <c r="BK2772">
        <v>0</v>
      </c>
      <c r="BL2772">
        <v>0</v>
      </c>
      <c r="BO2772">
        <v>0</v>
      </c>
      <c r="BP2772">
        <v>0</v>
      </c>
      <c r="BW2772" t="str">
        <f>"22:21:46.720"</f>
        <v>22:21:46.720</v>
      </c>
      <c r="CJ2772">
        <v>0</v>
      </c>
      <c r="CK2772">
        <v>2</v>
      </c>
      <c r="CL2772">
        <v>0</v>
      </c>
      <c r="CM2772">
        <v>2</v>
      </c>
      <c r="CN2772">
        <v>0</v>
      </c>
      <c r="CO2772">
        <v>6</v>
      </c>
      <c r="CP2772" t="s">
        <v>119</v>
      </c>
      <c r="CQ2772">
        <v>364</v>
      </c>
      <c r="CR2772">
        <v>0</v>
      </c>
      <c r="CW2772">
        <v>1473825</v>
      </c>
      <c r="CY2772">
        <v>1</v>
      </c>
      <c r="CZ2772">
        <v>0</v>
      </c>
      <c r="DA2772">
        <v>0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3">
      <c r="A2773" t="str">
        <f>"03/24/2022 22:21:46.930"</f>
        <v>03/24/2022 22:21:46.930</v>
      </c>
      <c r="C2773" t="str">
        <f t="shared" si="810"/>
        <v>FFDFD3C0</v>
      </c>
      <c r="D2773" t="s">
        <v>123</v>
      </c>
      <c r="E2773">
        <v>8</v>
      </c>
      <c r="H2773">
        <v>31</v>
      </c>
      <c r="I2773" t="s">
        <v>124</v>
      </c>
      <c r="J2773" t="s">
        <v>125</v>
      </c>
      <c r="K2773">
        <v>0</v>
      </c>
      <c r="L2773">
        <v>3</v>
      </c>
      <c r="M2773">
        <v>0</v>
      </c>
      <c r="N2773">
        <v>2</v>
      </c>
      <c r="O2773">
        <v>0</v>
      </c>
      <c r="P2773">
        <v>1</v>
      </c>
      <c r="Q2773">
        <v>0</v>
      </c>
      <c r="S2773" t="str">
        <f t="shared" si="828"/>
        <v>22:21:46.000</v>
      </c>
      <c r="T2773" t="str">
        <f t="shared" si="828"/>
        <v>22:21:46.000</v>
      </c>
      <c r="U2773" t="str">
        <f t="shared" si="823"/>
        <v>A9D71F</v>
      </c>
      <c r="V2773">
        <v>0</v>
      </c>
      <c r="W2773">
        <v>0</v>
      </c>
      <c r="X2773">
        <v>2</v>
      </c>
      <c r="Z2773">
        <v>1</v>
      </c>
      <c r="AA2773">
        <v>8</v>
      </c>
      <c r="AB2773">
        <v>3</v>
      </c>
      <c r="AC2773">
        <v>0</v>
      </c>
      <c r="AD2773">
        <v>9</v>
      </c>
      <c r="AE2773">
        <v>0</v>
      </c>
      <c r="AF2773">
        <v>3</v>
      </c>
      <c r="AG2773">
        <v>1</v>
      </c>
      <c r="AH2773">
        <v>0</v>
      </c>
      <c r="AI2773" t="s">
        <v>1395</v>
      </c>
      <c r="AJ2773">
        <v>33.002651</v>
      </c>
      <c r="AK2773" t="s">
        <v>1396</v>
      </c>
      <c r="AL2773">
        <v>-97.664123000000004</v>
      </c>
      <c r="AM2773">
        <v>25</v>
      </c>
      <c r="AN2773">
        <v>1500</v>
      </c>
      <c r="AO2773" t="s">
        <v>118</v>
      </c>
      <c r="AP2773">
        <v>-33</v>
      </c>
      <c r="AQ2773">
        <v>-79</v>
      </c>
      <c r="AR2773">
        <v>-1024</v>
      </c>
      <c r="AZ2773">
        <v>7700</v>
      </c>
      <c r="BA2773">
        <v>1</v>
      </c>
      <c r="BB2773" t="str">
        <f t="shared" si="811"/>
        <v xml:space="preserve">N733KP  </v>
      </c>
      <c r="BC2773">
        <v>1</v>
      </c>
      <c r="BE2773">
        <v>0</v>
      </c>
      <c r="BF2773">
        <v>0</v>
      </c>
      <c r="BG2773">
        <v>1</v>
      </c>
      <c r="BH2773">
        <v>1575</v>
      </c>
      <c r="BI2773">
        <v>1</v>
      </c>
      <c r="BJ2773">
        <v>1</v>
      </c>
      <c r="BK2773">
        <v>0</v>
      </c>
      <c r="BL2773">
        <v>0</v>
      </c>
      <c r="BO2773">
        <v>0</v>
      </c>
      <c r="BP2773">
        <v>0</v>
      </c>
      <c r="BW2773" t="str">
        <f>"22:21:46.720"</f>
        <v>22:21:46.720</v>
      </c>
      <c r="CJ2773">
        <v>0</v>
      </c>
      <c r="CK2773">
        <v>2</v>
      </c>
      <c r="CL2773">
        <v>0</v>
      </c>
      <c r="CM2773">
        <v>2</v>
      </c>
      <c r="CN2773">
        <v>0</v>
      </c>
      <c r="CO2773">
        <v>6</v>
      </c>
      <c r="CP2773" t="s">
        <v>119</v>
      </c>
      <c r="CQ2773">
        <v>364</v>
      </c>
      <c r="CR2773">
        <v>0</v>
      </c>
      <c r="CW2773">
        <v>1473825</v>
      </c>
      <c r="CY2773">
        <v>1</v>
      </c>
      <c r="CZ2773">
        <v>0</v>
      </c>
      <c r="DA2773">
        <v>1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3">
      <c r="A2774" t="str">
        <f>"03/24/2022 22:21:46.945"</f>
        <v>03/24/2022 22:21:46.945</v>
      </c>
      <c r="C2774" t="str">
        <f t="shared" ref="C2774:C2837" si="829">"FFDFD3C0"</f>
        <v>FFDFD3C0</v>
      </c>
      <c r="D2774" t="s">
        <v>120</v>
      </c>
      <c r="E2774">
        <v>14</v>
      </c>
      <c r="F2774">
        <v>1014</v>
      </c>
      <c r="G2774" t="s">
        <v>121</v>
      </c>
      <c r="J2774" t="s">
        <v>122</v>
      </c>
      <c r="K2774">
        <v>0</v>
      </c>
      <c r="L2774">
        <v>3</v>
      </c>
      <c r="M2774">
        <v>0</v>
      </c>
      <c r="N2774">
        <v>2</v>
      </c>
      <c r="O2774">
        <v>0</v>
      </c>
      <c r="P2774">
        <v>1</v>
      </c>
      <c r="Q2774">
        <v>0</v>
      </c>
      <c r="S2774" t="str">
        <f t="shared" si="828"/>
        <v>22:21:46.000</v>
      </c>
      <c r="T2774" t="str">
        <f t="shared" si="828"/>
        <v>22:21:46.000</v>
      </c>
      <c r="U2774" t="str">
        <f t="shared" si="823"/>
        <v>A9D71F</v>
      </c>
      <c r="V2774">
        <v>0</v>
      </c>
      <c r="W2774">
        <v>0</v>
      </c>
      <c r="X2774">
        <v>2</v>
      </c>
      <c r="Z2774">
        <v>1</v>
      </c>
      <c r="AA2774">
        <v>8</v>
      </c>
      <c r="AB2774">
        <v>3</v>
      </c>
      <c r="AC2774">
        <v>0</v>
      </c>
      <c r="AD2774">
        <v>9</v>
      </c>
      <c r="AE2774">
        <v>0</v>
      </c>
      <c r="AF2774">
        <v>3</v>
      </c>
      <c r="AG2774">
        <v>1</v>
      </c>
      <c r="AH2774">
        <v>0</v>
      </c>
      <c r="AI2774" t="s">
        <v>1395</v>
      </c>
      <c r="AJ2774">
        <v>33.002651</v>
      </c>
      <c r="AK2774" t="s">
        <v>1396</v>
      </c>
      <c r="AL2774">
        <v>-97.664123000000004</v>
      </c>
      <c r="AM2774">
        <v>25</v>
      </c>
      <c r="AN2774">
        <v>1500</v>
      </c>
      <c r="AO2774" t="s">
        <v>118</v>
      </c>
      <c r="AP2774">
        <v>-33</v>
      </c>
      <c r="AQ2774">
        <v>-79</v>
      </c>
      <c r="AR2774">
        <v>-1024</v>
      </c>
      <c r="AZ2774">
        <v>7700</v>
      </c>
      <c r="BA2774">
        <v>1</v>
      </c>
      <c r="BB2774" t="str">
        <f t="shared" ref="BB2774:BB2837" si="830">"N733KP  "</f>
        <v xml:space="preserve">N733KP  </v>
      </c>
      <c r="BC2774">
        <v>1</v>
      </c>
      <c r="BE2774">
        <v>0</v>
      </c>
      <c r="BF2774">
        <v>0</v>
      </c>
      <c r="BG2774">
        <v>1</v>
      </c>
      <c r="BH2774">
        <v>1575</v>
      </c>
      <c r="BI2774">
        <v>1</v>
      </c>
      <c r="BJ2774">
        <v>1</v>
      </c>
      <c r="BK2774">
        <v>0</v>
      </c>
      <c r="BL2774">
        <v>0</v>
      </c>
      <c r="BO2774">
        <v>0</v>
      </c>
      <c r="BP2774">
        <v>0</v>
      </c>
      <c r="BW2774" t="str">
        <f>"22:21:46.720"</f>
        <v>22:21:46.720</v>
      </c>
      <c r="CJ2774">
        <v>0</v>
      </c>
      <c r="CK2774">
        <v>2</v>
      </c>
      <c r="CL2774">
        <v>0</v>
      </c>
      <c r="CM2774">
        <v>2</v>
      </c>
      <c r="CN2774">
        <v>0</v>
      </c>
      <c r="CO2774">
        <v>6</v>
      </c>
      <c r="CP2774" t="s">
        <v>119</v>
      </c>
      <c r="CQ2774">
        <v>364</v>
      </c>
      <c r="CR2774">
        <v>0</v>
      </c>
      <c r="CW2774">
        <v>1473825</v>
      </c>
      <c r="CY2774">
        <v>1</v>
      </c>
      <c r="CZ2774">
        <v>0</v>
      </c>
      <c r="DA2774">
        <v>1</v>
      </c>
      <c r="DB2774">
        <v>0</v>
      </c>
      <c r="DC2774">
        <v>0</v>
      </c>
      <c r="DD2774">
        <v>0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3">
      <c r="A2775" t="str">
        <f>"03/24/2022 22:21:46.945"</f>
        <v>03/24/2022 22:21:46.945</v>
      </c>
      <c r="C2775" t="str">
        <f t="shared" si="829"/>
        <v>FFDFD3C0</v>
      </c>
      <c r="D2775" t="s">
        <v>126</v>
      </c>
      <c r="E2775">
        <v>3</v>
      </c>
      <c r="H2775">
        <v>160</v>
      </c>
      <c r="I2775" t="s">
        <v>121</v>
      </c>
      <c r="J2775" t="s">
        <v>127</v>
      </c>
      <c r="K2775">
        <v>0</v>
      </c>
      <c r="L2775">
        <v>3</v>
      </c>
      <c r="M2775">
        <v>0</v>
      </c>
      <c r="N2775">
        <v>2</v>
      </c>
      <c r="O2775">
        <v>0</v>
      </c>
      <c r="P2775">
        <v>1</v>
      </c>
      <c r="Q2775">
        <v>0</v>
      </c>
      <c r="S2775" t="str">
        <f t="shared" si="828"/>
        <v>22:21:46.000</v>
      </c>
      <c r="T2775" t="str">
        <f t="shared" si="828"/>
        <v>22:21:46.000</v>
      </c>
      <c r="U2775" t="str">
        <f t="shared" si="823"/>
        <v>A9D71F</v>
      </c>
      <c r="V2775">
        <v>0</v>
      </c>
      <c r="W2775">
        <v>0</v>
      </c>
      <c r="X2775">
        <v>2</v>
      </c>
      <c r="Z2775">
        <v>1</v>
      </c>
      <c r="AA2775">
        <v>8</v>
      </c>
      <c r="AB2775">
        <v>3</v>
      </c>
      <c r="AC2775">
        <v>0</v>
      </c>
      <c r="AD2775">
        <v>9</v>
      </c>
      <c r="AE2775">
        <v>0</v>
      </c>
      <c r="AF2775">
        <v>3</v>
      </c>
      <c r="AG2775">
        <v>1</v>
      </c>
      <c r="AH2775">
        <v>0</v>
      </c>
      <c r="AI2775" t="s">
        <v>1395</v>
      </c>
      <c r="AJ2775">
        <v>33.002651</v>
      </c>
      <c r="AK2775" t="s">
        <v>1396</v>
      </c>
      <c r="AL2775">
        <v>-97.664123000000004</v>
      </c>
      <c r="AM2775">
        <v>25</v>
      </c>
      <c r="AN2775">
        <v>1500</v>
      </c>
      <c r="AO2775" t="s">
        <v>118</v>
      </c>
      <c r="AP2775">
        <v>-33</v>
      </c>
      <c r="AQ2775">
        <v>-79</v>
      </c>
      <c r="AR2775">
        <v>-1024</v>
      </c>
      <c r="AZ2775">
        <v>7700</v>
      </c>
      <c r="BA2775">
        <v>1</v>
      </c>
      <c r="BB2775" t="str">
        <f t="shared" si="830"/>
        <v xml:space="preserve">N733KP  </v>
      </c>
      <c r="BC2775">
        <v>1</v>
      </c>
      <c r="BE2775">
        <v>0</v>
      </c>
      <c r="BF2775">
        <v>0</v>
      </c>
      <c r="BG2775">
        <v>1</v>
      </c>
      <c r="BH2775">
        <v>1575</v>
      </c>
      <c r="BI2775">
        <v>1</v>
      </c>
      <c r="BJ2775">
        <v>1</v>
      </c>
      <c r="BK2775">
        <v>0</v>
      </c>
      <c r="BL2775">
        <v>0</v>
      </c>
      <c r="BO2775">
        <v>0</v>
      </c>
      <c r="BP2775">
        <v>0</v>
      </c>
      <c r="BW2775" t="str">
        <f>"22:21:46.720"</f>
        <v>22:21:46.720</v>
      </c>
      <c r="CJ2775">
        <v>0</v>
      </c>
      <c r="CK2775">
        <v>2</v>
      </c>
      <c r="CL2775">
        <v>0</v>
      </c>
      <c r="CM2775">
        <v>2</v>
      </c>
      <c r="CN2775">
        <v>0</v>
      </c>
      <c r="CO2775">
        <v>6</v>
      </c>
      <c r="CP2775" t="s">
        <v>119</v>
      </c>
      <c r="CQ2775">
        <v>364</v>
      </c>
      <c r="CR2775">
        <v>0</v>
      </c>
      <c r="CW2775">
        <v>1473825</v>
      </c>
      <c r="CY2775">
        <v>1</v>
      </c>
      <c r="CZ2775">
        <v>0</v>
      </c>
      <c r="DA2775">
        <v>1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3">
      <c r="A2776" t="str">
        <f>"03/24/2022 22:21:48.307"</f>
        <v>03/24/2022 22:21:48.307</v>
      </c>
      <c r="C2776" t="str">
        <f t="shared" si="829"/>
        <v>FFDFD3C0</v>
      </c>
      <c r="D2776" t="s">
        <v>113</v>
      </c>
      <c r="E2776">
        <v>24</v>
      </c>
      <c r="F2776">
        <v>2024</v>
      </c>
      <c r="G2776" t="s">
        <v>114</v>
      </c>
      <c r="J2776" t="s">
        <v>115</v>
      </c>
      <c r="K2776">
        <v>0</v>
      </c>
      <c r="L2776">
        <v>3</v>
      </c>
      <c r="M2776">
        <v>0</v>
      </c>
      <c r="N2776">
        <v>2</v>
      </c>
      <c r="O2776">
        <v>0</v>
      </c>
      <c r="P2776">
        <v>1</v>
      </c>
      <c r="Q2776">
        <v>0</v>
      </c>
      <c r="S2776" t="str">
        <f t="shared" ref="S2776:T2779" si="831">"22:21:47.000"</f>
        <v>22:21:47.000</v>
      </c>
      <c r="T2776" t="str">
        <f t="shared" si="831"/>
        <v>22:21:47.000</v>
      </c>
      <c r="U2776" t="str">
        <f t="shared" si="823"/>
        <v>A9D71F</v>
      </c>
      <c r="V2776">
        <v>0</v>
      </c>
      <c r="W2776">
        <v>0</v>
      </c>
      <c r="X2776">
        <v>2</v>
      </c>
      <c r="Z2776">
        <v>1</v>
      </c>
      <c r="AA2776">
        <v>8</v>
      </c>
      <c r="AB2776">
        <v>3</v>
      </c>
      <c r="AC2776">
        <v>0</v>
      </c>
      <c r="AD2776">
        <v>9</v>
      </c>
      <c r="AE2776">
        <v>0</v>
      </c>
      <c r="AF2776">
        <v>3</v>
      </c>
      <c r="AG2776">
        <v>1</v>
      </c>
      <c r="AH2776">
        <v>0</v>
      </c>
      <c r="AI2776" t="s">
        <v>1397</v>
      </c>
      <c r="AJ2776">
        <v>33.002392999999998</v>
      </c>
      <c r="AK2776" t="s">
        <v>1398</v>
      </c>
      <c r="AL2776">
        <v>-97.664337000000003</v>
      </c>
      <c r="AM2776">
        <v>25</v>
      </c>
      <c r="AN2776">
        <v>1500</v>
      </c>
      <c r="AO2776" t="s">
        <v>118</v>
      </c>
      <c r="AP2776">
        <v>-32</v>
      </c>
      <c r="AQ2776">
        <v>-80</v>
      </c>
      <c r="AR2776">
        <v>-1024</v>
      </c>
      <c r="AZ2776">
        <v>7700</v>
      </c>
      <c r="BA2776">
        <v>1</v>
      </c>
      <c r="BB2776" t="str">
        <f t="shared" si="830"/>
        <v xml:space="preserve">N733KP  </v>
      </c>
      <c r="BC2776">
        <v>1</v>
      </c>
      <c r="BE2776">
        <v>0</v>
      </c>
      <c r="BF2776">
        <v>0</v>
      </c>
      <c r="BG2776">
        <v>1</v>
      </c>
      <c r="BH2776">
        <v>1575</v>
      </c>
      <c r="BI2776">
        <v>1</v>
      </c>
      <c r="BJ2776">
        <v>1</v>
      </c>
      <c r="BK2776">
        <v>0</v>
      </c>
      <c r="BL2776">
        <v>0</v>
      </c>
      <c r="BO2776">
        <v>0</v>
      </c>
      <c r="BP2776">
        <v>0</v>
      </c>
      <c r="BW2776" t="str">
        <f>"22:21:47.936"</f>
        <v>22:21:47.936</v>
      </c>
      <c r="CJ2776">
        <v>0</v>
      </c>
      <c r="CK2776">
        <v>2</v>
      </c>
      <c r="CL2776">
        <v>0</v>
      </c>
      <c r="CM2776">
        <v>2</v>
      </c>
      <c r="CN2776">
        <v>0</v>
      </c>
      <c r="CO2776">
        <v>6</v>
      </c>
      <c r="CP2776" t="s">
        <v>119</v>
      </c>
      <c r="CQ2776">
        <v>364</v>
      </c>
      <c r="CR2776">
        <v>0</v>
      </c>
      <c r="CW2776">
        <v>1474020</v>
      </c>
      <c r="CY2776">
        <v>1</v>
      </c>
      <c r="CZ2776">
        <v>0</v>
      </c>
      <c r="DA2776">
        <v>0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3">
      <c r="A2777" t="str">
        <f>"03/24/2022 22:21:48.307"</f>
        <v>03/24/2022 22:21:48.307</v>
      </c>
      <c r="C2777" t="str">
        <f t="shared" si="829"/>
        <v>FFDFD3C0</v>
      </c>
      <c r="D2777" t="s">
        <v>123</v>
      </c>
      <c r="E2777">
        <v>8</v>
      </c>
      <c r="H2777">
        <v>31</v>
      </c>
      <c r="I2777" t="s">
        <v>124</v>
      </c>
      <c r="J2777" t="s">
        <v>125</v>
      </c>
      <c r="K2777">
        <v>0</v>
      </c>
      <c r="L2777">
        <v>3</v>
      </c>
      <c r="M2777">
        <v>0</v>
      </c>
      <c r="N2777">
        <v>2</v>
      </c>
      <c r="O2777">
        <v>0</v>
      </c>
      <c r="P2777">
        <v>1</v>
      </c>
      <c r="Q2777">
        <v>0</v>
      </c>
      <c r="S2777" t="str">
        <f t="shared" si="831"/>
        <v>22:21:47.000</v>
      </c>
      <c r="T2777" t="str">
        <f t="shared" si="831"/>
        <v>22:21:47.000</v>
      </c>
      <c r="U2777" t="str">
        <f t="shared" si="823"/>
        <v>A9D71F</v>
      </c>
      <c r="V2777">
        <v>0</v>
      </c>
      <c r="W2777">
        <v>0</v>
      </c>
      <c r="X2777">
        <v>2</v>
      </c>
      <c r="Z2777">
        <v>1</v>
      </c>
      <c r="AA2777">
        <v>8</v>
      </c>
      <c r="AB2777">
        <v>3</v>
      </c>
      <c r="AC2777">
        <v>0</v>
      </c>
      <c r="AD2777">
        <v>9</v>
      </c>
      <c r="AE2777">
        <v>0</v>
      </c>
      <c r="AF2777">
        <v>3</v>
      </c>
      <c r="AG2777">
        <v>1</v>
      </c>
      <c r="AH2777">
        <v>0</v>
      </c>
      <c r="AI2777" t="s">
        <v>1397</v>
      </c>
      <c r="AJ2777">
        <v>33.002392999999998</v>
      </c>
      <c r="AK2777" t="s">
        <v>1398</v>
      </c>
      <c r="AL2777">
        <v>-97.664337000000003</v>
      </c>
      <c r="AM2777">
        <v>25</v>
      </c>
      <c r="AN2777">
        <v>1500</v>
      </c>
      <c r="AO2777" t="s">
        <v>118</v>
      </c>
      <c r="AP2777">
        <v>-32</v>
      </c>
      <c r="AQ2777">
        <v>-80</v>
      </c>
      <c r="AR2777">
        <v>-1024</v>
      </c>
      <c r="AZ2777">
        <v>7700</v>
      </c>
      <c r="BA2777">
        <v>1</v>
      </c>
      <c r="BB2777" t="str">
        <f t="shared" si="830"/>
        <v xml:space="preserve">N733KP  </v>
      </c>
      <c r="BC2777">
        <v>1</v>
      </c>
      <c r="BE2777">
        <v>0</v>
      </c>
      <c r="BF2777">
        <v>0</v>
      </c>
      <c r="BG2777">
        <v>1</v>
      </c>
      <c r="BH2777">
        <v>1575</v>
      </c>
      <c r="BI2777">
        <v>1</v>
      </c>
      <c r="BJ2777">
        <v>1</v>
      </c>
      <c r="BK2777">
        <v>0</v>
      </c>
      <c r="BL2777">
        <v>0</v>
      </c>
      <c r="BO2777">
        <v>0</v>
      </c>
      <c r="BP2777">
        <v>0</v>
      </c>
      <c r="BW2777" t="str">
        <f>"22:21:47.936"</f>
        <v>22:21:47.936</v>
      </c>
      <c r="CJ2777">
        <v>0</v>
      </c>
      <c r="CK2777">
        <v>2</v>
      </c>
      <c r="CL2777">
        <v>0</v>
      </c>
      <c r="CM2777">
        <v>2</v>
      </c>
      <c r="CN2777">
        <v>0</v>
      </c>
      <c r="CO2777">
        <v>6</v>
      </c>
      <c r="CP2777" t="s">
        <v>119</v>
      </c>
      <c r="CQ2777">
        <v>364</v>
      </c>
      <c r="CR2777">
        <v>0</v>
      </c>
      <c r="CW2777">
        <v>1474020</v>
      </c>
      <c r="CY2777">
        <v>1</v>
      </c>
      <c r="CZ2777">
        <v>0</v>
      </c>
      <c r="DA2777">
        <v>1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3">
      <c r="A2778" t="str">
        <f>"03/24/2022 22:21:48.354"</f>
        <v>03/24/2022 22:21:48.354</v>
      </c>
      <c r="C2778" t="str">
        <f t="shared" si="829"/>
        <v>FFDFD3C0</v>
      </c>
      <c r="D2778" t="s">
        <v>120</v>
      </c>
      <c r="E2778">
        <v>14</v>
      </c>
      <c r="F2778">
        <v>1014</v>
      </c>
      <c r="G2778" t="s">
        <v>121</v>
      </c>
      <c r="J2778" t="s">
        <v>122</v>
      </c>
      <c r="K2778">
        <v>0</v>
      </c>
      <c r="L2778">
        <v>3</v>
      </c>
      <c r="M2778">
        <v>0</v>
      </c>
      <c r="N2778">
        <v>2</v>
      </c>
      <c r="O2778">
        <v>0</v>
      </c>
      <c r="P2778">
        <v>1</v>
      </c>
      <c r="Q2778">
        <v>0</v>
      </c>
      <c r="S2778" t="str">
        <f t="shared" si="831"/>
        <v>22:21:47.000</v>
      </c>
      <c r="T2778" t="str">
        <f t="shared" si="831"/>
        <v>22:21:47.000</v>
      </c>
      <c r="U2778" t="str">
        <f t="shared" si="823"/>
        <v>A9D71F</v>
      </c>
      <c r="V2778">
        <v>0</v>
      </c>
      <c r="W2778">
        <v>0</v>
      </c>
      <c r="X2778">
        <v>2</v>
      </c>
      <c r="Z2778">
        <v>1</v>
      </c>
      <c r="AA2778">
        <v>8</v>
      </c>
      <c r="AB2778">
        <v>3</v>
      </c>
      <c r="AC2778">
        <v>0</v>
      </c>
      <c r="AD2778">
        <v>9</v>
      </c>
      <c r="AE2778">
        <v>0</v>
      </c>
      <c r="AF2778">
        <v>3</v>
      </c>
      <c r="AG2778">
        <v>1</v>
      </c>
      <c r="AH2778">
        <v>0</v>
      </c>
      <c r="AI2778" t="s">
        <v>1397</v>
      </c>
      <c r="AJ2778">
        <v>33.002392999999998</v>
      </c>
      <c r="AK2778" t="s">
        <v>1398</v>
      </c>
      <c r="AL2778">
        <v>-97.664337000000003</v>
      </c>
      <c r="AM2778">
        <v>25</v>
      </c>
      <c r="AN2778">
        <v>1500</v>
      </c>
      <c r="AO2778" t="s">
        <v>118</v>
      </c>
      <c r="AP2778">
        <v>-32</v>
      </c>
      <c r="AQ2778">
        <v>-80</v>
      </c>
      <c r="AR2778">
        <v>-1024</v>
      </c>
      <c r="AZ2778">
        <v>7700</v>
      </c>
      <c r="BA2778">
        <v>1</v>
      </c>
      <c r="BB2778" t="str">
        <f t="shared" si="830"/>
        <v xml:space="preserve">N733KP  </v>
      </c>
      <c r="BC2778">
        <v>1</v>
      </c>
      <c r="BE2778">
        <v>0</v>
      </c>
      <c r="BF2778">
        <v>0</v>
      </c>
      <c r="BG2778">
        <v>1</v>
      </c>
      <c r="BH2778">
        <v>1575</v>
      </c>
      <c r="BI2778">
        <v>1</v>
      </c>
      <c r="BJ2778">
        <v>1</v>
      </c>
      <c r="BK2778">
        <v>0</v>
      </c>
      <c r="BL2778">
        <v>0</v>
      </c>
      <c r="BO2778">
        <v>0</v>
      </c>
      <c r="BP2778">
        <v>0</v>
      </c>
      <c r="BW2778" t="str">
        <f>"22:21:47.936"</f>
        <v>22:21:47.936</v>
      </c>
      <c r="CJ2778">
        <v>0</v>
      </c>
      <c r="CK2778">
        <v>2</v>
      </c>
      <c r="CL2778">
        <v>0</v>
      </c>
      <c r="CM2778">
        <v>2</v>
      </c>
      <c r="CN2778">
        <v>0</v>
      </c>
      <c r="CO2778">
        <v>6</v>
      </c>
      <c r="CP2778" t="s">
        <v>119</v>
      </c>
      <c r="CQ2778">
        <v>364</v>
      </c>
      <c r="CR2778">
        <v>0</v>
      </c>
      <c r="CW2778">
        <v>1474020</v>
      </c>
      <c r="CY2778">
        <v>1</v>
      </c>
      <c r="CZ2778">
        <v>0</v>
      </c>
      <c r="DA2778">
        <v>1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3">
      <c r="A2779" t="str">
        <f>"03/24/2022 22:21:48.354"</f>
        <v>03/24/2022 22:21:48.354</v>
      </c>
      <c r="C2779" t="str">
        <f t="shared" si="829"/>
        <v>FFDFD3C0</v>
      </c>
      <c r="D2779" t="s">
        <v>126</v>
      </c>
      <c r="E2779">
        <v>3</v>
      </c>
      <c r="H2779">
        <v>160</v>
      </c>
      <c r="I2779" t="s">
        <v>121</v>
      </c>
      <c r="J2779" t="s">
        <v>127</v>
      </c>
      <c r="K2779">
        <v>0</v>
      </c>
      <c r="L2779">
        <v>3</v>
      </c>
      <c r="M2779">
        <v>0</v>
      </c>
      <c r="N2779">
        <v>2</v>
      </c>
      <c r="O2779">
        <v>0</v>
      </c>
      <c r="P2779">
        <v>1</v>
      </c>
      <c r="Q2779">
        <v>0</v>
      </c>
      <c r="S2779" t="str">
        <f t="shared" si="831"/>
        <v>22:21:47.000</v>
      </c>
      <c r="T2779" t="str">
        <f t="shared" si="831"/>
        <v>22:21:47.000</v>
      </c>
      <c r="U2779" t="str">
        <f t="shared" si="823"/>
        <v>A9D71F</v>
      </c>
      <c r="V2779">
        <v>0</v>
      </c>
      <c r="W2779">
        <v>0</v>
      </c>
      <c r="X2779">
        <v>2</v>
      </c>
      <c r="Z2779">
        <v>1</v>
      </c>
      <c r="AA2779">
        <v>8</v>
      </c>
      <c r="AB2779">
        <v>3</v>
      </c>
      <c r="AC2779">
        <v>0</v>
      </c>
      <c r="AD2779">
        <v>9</v>
      </c>
      <c r="AE2779">
        <v>0</v>
      </c>
      <c r="AF2779">
        <v>3</v>
      </c>
      <c r="AG2779">
        <v>1</v>
      </c>
      <c r="AH2779">
        <v>0</v>
      </c>
      <c r="AI2779" t="s">
        <v>1397</v>
      </c>
      <c r="AJ2779">
        <v>33.002392999999998</v>
      </c>
      <c r="AK2779" t="s">
        <v>1398</v>
      </c>
      <c r="AL2779">
        <v>-97.664337000000003</v>
      </c>
      <c r="AM2779">
        <v>25</v>
      </c>
      <c r="AN2779">
        <v>1500</v>
      </c>
      <c r="AO2779" t="s">
        <v>118</v>
      </c>
      <c r="AP2779">
        <v>-32</v>
      </c>
      <c r="AQ2779">
        <v>-80</v>
      </c>
      <c r="AR2779">
        <v>-1024</v>
      </c>
      <c r="AZ2779">
        <v>7700</v>
      </c>
      <c r="BA2779">
        <v>1</v>
      </c>
      <c r="BB2779" t="str">
        <f t="shared" si="830"/>
        <v xml:space="preserve">N733KP  </v>
      </c>
      <c r="BC2779">
        <v>1</v>
      </c>
      <c r="BE2779">
        <v>0</v>
      </c>
      <c r="BF2779">
        <v>0</v>
      </c>
      <c r="BG2779">
        <v>1</v>
      </c>
      <c r="BH2779">
        <v>1575</v>
      </c>
      <c r="BI2779">
        <v>1</v>
      </c>
      <c r="BJ2779">
        <v>1</v>
      </c>
      <c r="BK2779">
        <v>0</v>
      </c>
      <c r="BL2779">
        <v>0</v>
      </c>
      <c r="BO2779">
        <v>0</v>
      </c>
      <c r="BP2779">
        <v>0</v>
      </c>
      <c r="BW2779" t="str">
        <f>"22:21:47.936"</f>
        <v>22:21:47.936</v>
      </c>
      <c r="CJ2779">
        <v>0</v>
      </c>
      <c r="CK2779">
        <v>2</v>
      </c>
      <c r="CL2779">
        <v>0</v>
      </c>
      <c r="CM2779">
        <v>2</v>
      </c>
      <c r="CN2779">
        <v>0</v>
      </c>
      <c r="CO2779">
        <v>6</v>
      </c>
      <c r="CP2779" t="s">
        <v>119</v>
      </c>
      <c r="CQ2779">
        <v>364</v>
      </c>
      <c r="CR2779">
        <v>0</v>
      </c>
      <c r="CW2779">
        <v>1474020</v>
      </c>
      <c r="CY2779">
        <v>1</v>
      </c>
      <c r="CZ2779">
        <v>0</v>
      </c>
      <c r="DA2779">
        <v>1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3">
      <c r="A2780" t="str">
        <f>"03/24/2022 22:21:49.423"</f>
        <v>03/24/2022 22:21:49.423</v>
      </c>
      <c r="C2780" t="str">
        <f t="shared" si="829"/>
        <v>FFDFD3C0</v>
      </c>
      <c r="D2780" t="s">
        <v>126</v>
      </c>
      <c r="E2780">
        <v>3</v>
      </c>
      <c r="H2780">
        <v>160</v>
      </c>
      <c r="I2780" t="s">
        <v>121</v>
      </c>
      <c r="J2780" t="s">
        <v>127</v>
      </c>
      <c r="K2780">
        <v>0</v>
      </c>
      <c r="L2780">
        <v>3</v>
      </c>
      <c r="M2780">
        <v>0</v>
      </c>
      <c r="N2780">
        <v>2</v>
      </c>
      <c r="O2780">
        <v>0</v>
      </c>
      <c r="P2780">
        <v>1</v>
      </c>
      <c r="Q2780">
        <v>0</v>
      </c>
      <c r="S2780" t="str">
        <f>"22:21:49.000"</f>
        <v>22:21:49.000</v>
      </c>
      <c r="T2780" t="str">
        <f>"22:21:49.000"</f>
        <v>22:21:49.000</v>
      </c>
      <c r="U2780" t="str">
        <f t="shared" si="823"/>
        <v>A9D71F</v>
      </c>
      <c r="V2780">
        <v>0</v>
      </c>
      <c r="W2780">
        <v>0</v>
      </c>
      <c r="X2780">
        <v>2</v>
      </c>
      <c r="Z2780">
        <v>1</v>
      </c>
      <c r="AA2780">
        <v>8</v>
      </c>
      <c r="AB2780">
        <v>3</v>
      </c>
      <c r="AC2780">
        <v>0</v>
      </c>
      <c r="AD2780">
        <v>9</v>
      </c>
      <c r="AE2780">
        <v>0</v>
      </c>
      <c r="AF2780">
        <v>3</v>
      </c>
      <c r="AG2780">
        <v>1</v>
      </c>
      <c r="AH2780">
        <v>0</v>
      </c>
      <c r="AI2780" t="s">
        <v>1399</v>
      </c>
      <c r="AJ2780">
        <v>33.001556000000001</v>
      </c>
      <c r="AK2780" t="s">
        <v>1400</v>
      </c>
      <c r="AL2780">
        <v>-97.664637999999997</v>
      </c>
      <c r="AM2780">
        <v>25</v>
      </c>
      <c r="AN2780">
        <v>1400</v>
      </c>
      <c r="AO2780" t="s">
        <v>118</v>
      </c>
      <c r="AP2780">
        <v>-32</v>
      </c>
      <c r="AQ2780">
        <v>-81</v>
      </c>
      <c r="AR2780">
        <v>-960</v>
      </c>
      <c r="AZ2780">
        <v>7700</v>
      </c>
      <c r="BA2780">
        <v>1</v>
      </c>
      <c r="BB2780" t="str">
        <f t="shared" si="830"/>
        <v xml:space="preserve">N733KP  </v>
      </c>
      <c r="BC2780">
        <v>1</v>
      </c>
      <c r="BE2780">
        <v>0</v>
      </c>
      <c r="BF2780">
        <v>0</v>
      </c>
      <c r="BG2780">
        <v>1</v>
      </c>
      <c r="BH2780">
        <v>1550</v>
      </c>
      <c r="BI2780">
        <v>1</v>
      </c>
      <c r="BJ2780">
        <v>1</v>
      </c>
      <c r="BK2780">
        <v>0</v>
      </c>
      <c r="BL2780">
        <v>0</v>
      </c>
      <c r="BO2780">
        <v>0</v>
      </c>
      <c r="BP2780">
        <v>0</v>
      </c>
      <c r="BW2780" t="str">
        <f>"22:21:49.250"</f>
        <v>22:21:49.250</v>
      </c>
      <c r="CJ2780">
        <v>0</v>
      </c>
      <c r="CK2780">
        <v>2</v>
      </c>
      <c r="CL2780">
        <v>0</v>
      </c>
      <c r="CM2780">
        <v>2</v>
      </c>
      <c r="CN2780">
        <v>0</v>
      </c>
      <c r="CO2780">
        <v>6</v>
      </c>
      <c r="CP2780" t="s">
        <v>119</v>
      </c>
      <c r="CQ2780">
        <v>364</v>
      </c>
      <c r="CR2780">
        <v>0</v>
      </c>
      <c r="CW2780">
        <v>1474217</v>
      </c>
      <c r="CY2780">
        <v>1</v>
      </c>
      <c r="CZ2780">
        <v>0</v>
      </c>
      <c r="DA2780">
        <v>0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3">
      <c r="A2781" t="str">
        <f>"03/24/2022 22:21:49.158"</f>
        <v>03/24/2022 22:21:49.158</v>
      </c>
      <c r="C2781" t="str">
        <f t="shared" si="829"/>
        <v>FFDFD3C0</v>
      </c>
      <c r="D2781" t="s">
        <v>113</v>
      </c>
      <c r="E2781">
        <v>24</v>
      </c>
      <c r="F2781">
        <v>2024</v>
      </c>
      <c r="G2781" t="s">
        <v>114</v>
      </c>
      <c r="J2781" t="s">
        <v>115</v>
      </c>
      <c r="K2781">
        <v>0</v>
      </c>
      <c r="L2781">
        <v>3</v>
      </c>
      <c r="M2781">
        <v>0</v>
      </c>
      <c r="N2781">
        <v>2</v>
      </c>
      <c r="O2781">
        <v>0</v>
      </c>
      <c r="P2781">
        <v>1</v>
      </c>
      <c r="Q2781">
        <v>0</v>
      </c>
      <c r="S2781" t="str">
        <f t="shared" ref="S2781:T2784" si="832">"22:21:48.000"</f>
        <v>22:21:48.000</v>
      </c>
      <c r="T2781" t="str">
        <f t="shared" si="832"/>
        <v>22:21:48.000</v>
      </c>
      <c r="U2781" t="str">
        <f t="shared" si="823"/>
        <v>A9D71F</v>
      </c>
      <c r="V2781">
        <v>0</v>
      </c>
      <c r="W2781">
        <v>0</v>
      </c>
      <c r="X2781">
        <v>2</v>
      </c>
      <c r="Z2781">
        <v>1</v>
      </c>
      <c r="AA2781">
        <v>8</v>
      </c>
      <c r="AB2781">
        <v>3</v>
      </c>
      <c r="AC2781">
        <v>0</v>
      </c>
      <c r="AD2781">
        <v>9</v>
      </c>
      <c r="AE2781">
        <v>0</v>
      </c>
      <c r="AF2781">
        <v>3</v>
      </c>
      <c r="AG2781">
        <v>1</v>
      </c>
      <c r="AH2781">
        <v>0</v>
      </c>
      <c r="AI2781" t="s">
        <v>1401</v>
      </c>
      <c r="AJ2781">
        <v>33.001986000000002</v>
      </c>
      <c r="AK2781" t="s">
        <v>975</v>
      </c>
      <c r="AL2781">
        <v>-97.664508999999995</v>
      </c>
      <c r="AM2781">
        <v>25</v>
      </c>
      <c r="AN2781">
        <v>1500</v>
      </c>
      <c r="AO2781" t="s">
        <v>118</v>
      </c>
      <c r="AP2781">
        <v>-32</v>
      </c>
      <c r="AQ2781">
        <v>-81</v>
      </c>
      <c r="AR2781">
        <v>-960</v>
      </c>
      <c r="AZ2781">
        <v>7700</v>
      </c>
      <c r="BA2781">
        <v>1</v>
      </c>
      <c r="BB2781" t="str">
        <f t="shared" si="830"/>
        <v xml:space="preserve">N733KP  </v>
      </c>
      <c r="BC2781">
        <v>1</v>
      </c>
      <c r="BE2781">
        <v>0</v>
      </c>
      <c r="BF2781">
        <v>0</v>
      </c>
      <c r="BG2781">
        <v>1</v>
      </c>
      <c r="BH2781">
        <v>1575</v>
      </c>
      <c r="BI2781">
        <v>1</v>
      </c>
      <c r="BJ2781">
        <v>1</v>
      </c>
      <c r="BK2781">
        <v>0</v>
      </c>
      <c r="BL2781">
        <v>0</v>
      </c>
      <c r="BO2781">
        <v>0</v>
      </c>
      <c r="BP2781">
        <v>0</v>
      </c>
      <c r="BW2781" t="str">
        <f>"22:21:48.837"</f>
        <v>22:21:48.837</v>
      </c>
      <c r="CJ2781">
        <v>0</v>
      </c>
      <c r="CK2781">
        <v>2</v>
      </c>
      <c r="CL2781">
        <v>0</v>
      </c>
      <c r="CM2781">
        <v>2</v>
      </c>
      <c r="CN2781">
        <v>0</v>
      </c>
      <c r="CO2781">
        <v>5</v>
      </c>
      <c r="CP2781" t="s">
        <v>119</v>
      </c>
      <c r="CQ2781">
        <v>364</v>
      </c>
      <c r="CR2781">
        <v>0</v>
      </c>
      <c r="CW2781">
        <v>1474166</v>
      </c>
      <c r="CY2781">
        <v>1</v>
      </c>
      <c r="CZ2781">
        <v>0</v>
      </c>
      <c r="DA2781">
        <v>1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3">
      <c r="A2782" t="str">
        <f>"03/24/2022 22:21:49.158"</f>
        <v>03/24/2022 22:21:49.158</v>
      </c>
      <c r="C2782" t="str">
        <f t="shared" si="829"/>
        <v>FFDFD3C0</v>
      </c>
      <c r="D2782" t="s">
        <v>123</v>
      </c>
      <c r="E2782">
        <v>8</v>
      </c>
      <c r="H2782">
        <v>31</v>
      </c>
      <c r="I2782" t="s">
        <v>124</v>
      </c>
      <c r="J2782" t="s">
        <v>125</v>
      </c>
      <c r="K2782">
        <v>0</v>
      </c>
      <c r="L2782">
        <v>3</v>
      </c>
      <c r="M2782">
        <v>0</v>
      </c>
      <c r="N2782">
        <v>2</v>
      </c>
      <c r="O2782">
        <v>0</v>
      </c>
      <c r="P2782">
        <v>1</v>
      </c>
      <c r="Q2782">
        <v>0</v>
      </c>
      <c r="S2782" t="str">
        <f t="shared" si="832"/>
        <v>22:21:48.000</v>
      </c>
      <c r="T2782" t="str">
        <f t="shared" si="832"/>
        <v>22:21:48.000</v>
      </c>
      <c r="U2782" t="str">
        <f t="shared" si="823"/>
        <v>A9D71F</v>
      </c>
      <c r="V2782">
        <v>0</v>
      </c>
      <c r="W2782">
        <v>0</v>
      </c>
      <c r="X2782">
        <v>2</v>
      </c>
      <c r="Z2782">
        <v>1</v>
      </c>
      <c r="AA2782">
        <v>8</v>
      </c>
      <c r="AB2782">
        <v>3</v>
      </c>
      <c r="AC2782">
        <v>0</v>
      </c>
      <c r="AD2782">
        <v>9</v>
      </c>
      <c r="AE2782">
        <v>0</v>
      </c>
      <c r="AF2782">
        <v>3</v>
      </c>
      <c r="AG2782">
        <v>1</v>
      </c>
      <c r="AH2782">
        <v>0</v>
      </c>
      <c r="AI2782" t="s">
        <v>1401</v>
      </c>
      <c r="AJ2782">
        <v>33.001986000000002</v>
      </c>
      <c r="AK2782" t="s">
        <v>975</v>
      </c>
      <c r="AL2782">
        <v>-97.664508999999995</v>
      </c>
      <c r="AM2782">
        <v>25</v>
      </c>
      <c r="AN2782">
        <v>1500</v>
      </c>
      <c r="AO2782" t="s">
        <v>118</v>
      </c>
      <c r="AP2782">
        <v>-32</v>
      </c>
      <c r="AQ2782">
        <v>-81</v>
      </c>
      <c r="AR2782">
        <v>-960</v>
      </c>
      <c r="AZ2782">
        <v>7700</v>
      </c>
      <c r="BA2782">
        <v>1</v>
      </c>
      <c r="BB2782" t="str">
        <f t="shared" si="830"/>
        <v xml:space="preserve">N733KP  </v>
      </c>
      <c r="BC2782">
        <v>1</v>
      </c>
      <c r="BE2782">
        <v>0</v>
      </c>
      <c r="BF2782">
        <v>0</v>
      </c>
      <c r="BG2782">
        <v>1</v>
      </c>
      <c r="BH2782">
        <v>1575</v>
      </c>
      <c r="BI2782">
        <v>1</v>
      </c>
      <c r="BJ2782">
        <v>1</v>
      </c>
      <c r="BK2782">
        <v>0</v>
      </c>
      <c r="BL2782">
        <v>0</v>
      </c>
      <c r="BO2782">
        <v>0</v>
      </c>
      <c r="BP2782">
        <v>0</v>
      </c>
      <c r="BW2782" t="str">
        <f>"22:21:48.837"</f>
        <v>22:21:48.837</v>
      </c>
      <c r="CJ2782">
        <v>0</v>
      </c>
      <c r="CK2782">
        <v>2</v>
      </c>
      <c r="CL2782">
        <v>0</v>
      </c>
      <c r="CM2782">
        <v>2</v>
      </c>
      <c r="CN2782">
        <v>0</v>
      </c>
      <c r="CO2782">
        <v>5</v>
      </c>
      <c r="CP2782" t="s">
        <v>119</v>
      </c>
      <c r="CQ2782">
        <v>364</v>
      </c>
      <c r="CR2782">
        <v>0</v>
      </c>
      <c r="CW2782">
        <v>1474166</v>
      </c>
      <c r="CY2782">
        <v>1</v>
      </c>
      <c r="CZ2782">
        <v>0</v>
      </c>
      <c r="DA2782">
        <v>1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3">
      <c r="A2783" t="str">
        <f>"03/24/2022 22:21:49.158"</f>
        <v>03/24/2022 22:21:49.158</v>
      </c>
      <c r="C2783" t="str">
        <f t="shared" si="829"/>
        <v>FFDFD3C0</v>
      </c>
      <c r="D2783" t="s">
        <v>120</v>
      </c>
      <c r="E2783">
        <v>14</v>
      </c>
      <c r="F2783">
        <v>1014</v>
      </c>
      <c r="G2783" t="s">
        <v>121</v>
      </c>
      <c r="J2783" t="s">
        <v>122</v>
      </c>
      <c r="K2783">
        <v>0</v>
      </c>
      <c r="L2783">
        <v>3</v>
      </c>
      <c r="M2783">
        <v>0</v>
      </c>
      <c r="N2783">
        <v>2</v>
      </c>
      <c r="O2783">
        <v>0</v>
      </c>
      <c r="P2783">
        <v>1</v>
      </c>
      <c r="Q2783">
        <v>0</v>
      </c>
      <c r="S2783" t="str">
        <f t="shared" si="832"/>
        <v>22:21:48.000</v>
      </c>
      <c r="T2783" t="str">
        <f t="shared" si="832"/>
        <v>22:21:48.000</v>
      </c>
      <c r="U2783" t="str">
        <f t="shared" si="823"/>
        <v>A9D71F</v>
      </c>
      <c r="V2783">
        <v>0</v>
      </c>
      <c r="W2783">
        <v>0</v>
      </c>
      <c r="X2783">
        <v>2</v>
      </c>
      <c r="Z2783">
        <v>1</v>
      </c>
      <c r="AA2783">
        <v>8</v>
      </c>
      <c r="AB2783">
        <v>3</v>
      </c>
      <c r="AC2783">
        <v>0</v>
      </c>
      <c r="AD2783">
        <v>9</v>
      </c>
      <c r="AE2783">
        <v>0</v>
      </c>
      <c r="AF2783">
        <v>3</v>
      </c>
      <c r="AG2783">
        <v>1</v>
      </c>
      <c r="AH2783">
        <v>0</v>
      </c>
      <c r="AI2783" t="s">
        <v>1401</v>
      </c>
      <c r="AJ2783">
        <v>33.001986000000002</v>
      </c>
      <c r="AK2783" t="s">
        <v>975</v>
      </c>
      <c r="AL2783">
        <v>-97.664508999999995</v>
      </c>
      <c r="AM2783">
        <v>25</v>
      </c>
      <c r="AN2783">
        <v>1500</v>
      </c>
      <c r="AO2783" t="s">
        <v>118</v>
      </c>
      <c r="AP2783">
        <v>-32</v>
      </c>
      <c r="AQ2783">
        <v>-81</v>
      </c>
      <c r="AR2783">
        <v>-960</v>
      </c>
      <c r="AZ2783">
        <v>7700</v>
      </c>
      <c r="BA2783">
        <v>1</v>
      </c>
      <c r="BB2783" t="str">
        <f t="shared" si="830"/>
        <v xml:space="preserve">N733KP  </v>
      </c>
      <c r="BC2783">
        <v>1</v>
      </c>
      <c r="BE2783">
        <v>0</v>
      </c>
      <c r="BF2783">
        <v>0</v>
      </c>
      <c r="BG2783">
        <v>1</v>
      </c>
      <c r="BH2783">
        <v>1575</v>
      </c>
      <c r="BI2783">
        <v>1</v>
      </c>
      <c r="BJ2783">
        <v>1</v>
      </c>
      <c r="BK2783">
        <v>0</v>
      </c>
      <c r="BL2783">
        <v>0</v>
      </c>
      <c r="BO2783">
        <v>0</v>
      </c>
      <c r="BP2783">
        <v>0</v>
      </c>
      <c r="BW2783" t="str">
        <f>"22:21:48.837"</f>
        <v>22:21:48.837</v>
      </c>
      <c r="CJ2783">
        <v>0</v>
      </c>
      <c r="CK2783">
        <v>2</v>
      </c>
      <c r="CL2783">
        <v>0</v>
      </c>
      <c r="CM2783">
        <v>2</v>
      </c>
      <c r="CN2783">
        <v>0</v>
      </c>
      <c r="CO2783">
        <v>5</v>
      </c>
      <c r="CP2783" t="s">
        <v>119</v>
      </c>
      <c r="CQ2783">
        <v>364</v>
      </c>
      <c r="CR2783">
        <v>0</v>
      </c>
      <c r="CW2783">
        <v>1474166</v>
      </c>
      <c r="CY2783">
        <v>1</v>
      </c>
      <c r="CZ2783">
        <v>0</v>
      </c>
      <c r="DA2783">
        <v>1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3">
      <c r="A2784" t="str">
        <f>"03/24/2022 22:21:49.142"</f>
        <v>03/24/2022 22:21:49.142</v>
      </c>
      <c r="C2784" t="str">
        <f t="shared" si="829"/>
        <v>FFDFD3C0</v>
      </c>
      <c r="D2784" t="s">
        <v>126</v>
      </c>
      <c r="E2784">
        <v>3</v>
      </c>
      <c r="H2784">
        <v>160</v>
      </c>
      <c r="I2784" t="s">
        <v>121</v>
      </c>
      <c r="J2784" t="s">
        <v>127</v>
      </c>
      <c r="K2784">
        <v>0</v>
      </c>
      <c r="L2784">
        <v>3</v>
      </c>
      <c r="M2784">
        <v>0</v>
      </c>
      <c r="N2784">
        <v>2</v>
      </c>
      <c r="O2784">
        <v>0</v>
      </c>
      <c r="P2784">
        <v>1</v>
      </c>
      <c r="Q2784">
        <v>0</v>
      </c>
      <c r="S2784" t="str">
        <f t="shared" si="832"/>
        <v>22:21:48.000</v>
      </c>
      <c r="T2784" t="str">
        <f t="shared" si="832"/>
        <v>22:21:48.000</v>
      </c>
      <c r="U2784" t="str">
        <f t="shared" si="823"/>
        <v>A9D71F</v>
      </c>
      <c r="V2784">
        <v>0</v>
      </c>
      <c r="W2784">
        <v>0</v>
      </c>
      <c r="X2784">
        <v>2</v>
      </c>
      <c r="Z2784">
        <v>1</v>
      </c>
      <c r="AA2784">
        <v>8</v>
      </c>
      <c r="AB2784">
        <v>3</v>
      </c>
      <c r="AC2784">
        <v>0</v>
      </c>
      <c r="AD2784">
        <v>9</v>
      </c>
      <c r="AE2784">
        <v>0</v>
      </c>
      <c r="AF2784">
        <v>3</v>
      </c>
      <c r="AG2784">
        <v>1</v>
      </c>
      <c r="AH2784">
        <v>0</v>
      </c>
      <c r="AI2784" t="s">
        <v>1401</v>
      </c>
      <c r="AJ2784">
        <v>33.001986000000002</v>
      </c>
      <c r="AK2784" t="s">
        <v>975</v>
      </c>
      <c r="AL2784">
        <v>-97.664508999999995</v>
      </c>
      <c r="AM2784">
        <v>25</v>
      </c>
      <c r="AN2784">
        <v>1500</v>
      </c>
      <c r="AO2784" t="s">
        <v>118</v>
      </c>
      <c r="AP2784">
        <v>-32</v>
      </c>
      <c r="AQ2784">
        <v>-81</v>
      </c>
      <c r="AR2784">
        <v>-960</v>
      </c>
      <c r="AZ2784">
        <v>7700</v>
      </c>
      <c r="BA2784">
        <v>1</v>
      </c>
      <c r="BB2784" t="str">
        <f t="shared" si="830"/>
        <v xml:space="preserve">N733KP  </v>
      </c>
      <c r="BC2784">
        <v>1</v>
      </c>
      <c r="BE2784">
        <v>0</v>
      </c>
      <c r="BF2784">
        <v>0</v>
      </c>
      <c r="BG2784">
        <v>1</v>
      </c>
      <c r="BH2784">
        <v>1575</v>
      </c>
      <c r="BI2784">
        <v>1</v>
      </c>
      <c r="BJ2784">
        <v>1</v>
      </c>
      <c r="BK2784">
        <v>0</v>
      </c>
      <c r="BL2784">
        <v>0</v>
      </c>
      <c r="BO2784">
        <v>0</v>
      </c>
      <c r="BP2784">
        <v>0</v>
      </c>
      <c r="BW2784" t="str">
        <f>"22:21:48.837"</f>
        <v>22:21:48.837</v>
      </c>
      <c r="CJ2784">
        <v>0</v>
      </c>
      <c r="CK2784">
        <v>2</v>
      </c>
      <c r="CL2784">
        <v>0</v>
      </c>
      <c r="CM2784">
        <v>2</v>
      </c>
      <c r="CN2784">
        <v>0</v>
      </c>
      <c r="CO2784">
        <v>5</v>
      </c>
      <c r="CP2784" t="s">
        <v>119</v>
      </c>
      <c r="CQ2784">
        <v>364</v>
      </c>
      <c r="CR2784">
        <v>0</v>
      </c>
      <c r="CW2784">
        <v>1474166</v>
      </c>
      <c r="CY2784">
        <v>1</v>
      </c>
      <c r="CZ2784">
        <v>0</v>
      </c>
      <c r="DA2784">
        <v>1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3">
      <c r="A2785" t="str">
        <f>"03/24/2022 22:21:49.517"</f>
        <v>03/24/2022 22:21:49.517</v>
      </c>
      <c r="C2785" t="str">
        <f t="shared" si="829"/>
        <v>FFDFD3C0</v>
      </c>
      <c r="D2785" t="s">
        <v>113</v>
      </c>
      <c r="E2785">
        <v>24</v>
      </c>
      <c r="F2785">
        <v>2024</v>
      </c>
      <c r="G2785" t="s">
        <v>114</v>
      </c>
      <c r="J2785" t="s">
        <v>115</v>
      </c>
      <c r="K2785">
        <v>0</v>
      </c>
      <c r="L2785">
        <v>3</v>
      </c>
      <c r="M2785">
        <v>0</v>
      </c>
      <c r="N2785">
        <v>2</v>
      </c>
      <c r="O2785">
        <v>0</v>
      </c>
      <c r="P2785">
        <v>1</v>
      </c>
      <c r="Q2785">
        <v>0</v>
      </c>
      <c r="S2785" t="str">
        <f t="shared" ref="S2785:T2787" si="833">"22:21:49.000"</f>
        <v>22:21:49.000</v>
      </c>
      <c r="T2785" t="str">
        <f t="shared" si="833"/>
        <v>22:21:49.000</v>
      </c>
      <c r="U2785" t="str">
        <f t="shared" si="823"/>
        <v>A9D71F</v>
      </c>
      <c r="V2785">
        <v>0</v>
      </c>
      <c r="W2785">
        <v>0</v>
      </c>
      <c r="X2785">
        <v>2</v>
      </c>
      <c r="Z2785">
        <v>1</v>
      </c>
      <c r="AA2785">
        <v>8</v>
      </c>
      <c r="AB2785">
        <v>3</v>
      </c>
      <c r="AC2785">
        <v>0</v>
      </c>
      <c r="AD2785">
        <v>9</v>
      </c>
      <c r="AE2785">
        <v>0</v>
      </c>
      <c r="AF2785">
        <v>3</v>
      </c>
      <c r="AG2785">
        <v>1</v>
      </c>
      <c r="AH2785">
        <v>0</v>
      </c>
      <c r="AI2785" t="s">
        <v>1399</v>
      </c>
      <c r="AJ2785">
        <v>33.001556000000001</v>
      </c>
      <c r="AK2785" t="s">
        <v>1400</v>
      </c>
      <c r="AL2785">
        <v>-97.664637999999997</v>
      </c>
      <c r="AM2785">
        <v>25</v>
      </c>
      <c r="AN2785">
        <v>1400</v>
      </c>
      <c r="AO2785" t="s">
        <v>118</v>
      </c>
      <c r="AP2785">
        <v>-32</v>
      </c>
      <c r="AQ2785">
        <v>-81</v>
      </c>
      <c r="AR2785">
        <v>-960</v>
      </c>
      <c r="AZ2785">
        <v>7700</v>
      </c>
      <c r="BA2785">
        <v>1</v>
      </c>
      <c r="BB2785" t="str">
        <f t="shared" si="830"/>
        <v xml:space="preserve">N733KP  </v>
      </c>
      <c r="BC2785">
        <v>1</v>
      </c>
      <c r="BE2785">
        <v>0</v>
      </c>
      <c r="BF2785">
        <v>0</v>
      </c>
      <c r="BG2785">
        <v>1</v>
      </c>
      <c r="BH2785">
        <v>1550</v>
      </c>
      <c r="BI2785">
        <v>1</v>
      </c>
      <c r="BJ2785">
        <v>1</v>
      </c>
      <c r="BK2785">
        <v>0</v>
      </c>
      <c r="BL2785">
        <v>0</v>
      </c>
      <c r="BO2785">
        <v>0</v>
      </c>
      <c r="BP2785">
        <v>0</v>
      </c>
      <c r="BW2785" t="str">
        <f>"22:21:49.250"</f>
        <v>22:21:49.250</v>
      </c>
      <c r="CJ2785">
        <v>0</v>
      </c>
      <c r="CK2785">
        <v>2</v>
      </c>
      <c r="CL2785">
        <v>0</v>
      </c>
      <c r="CM2785">
        <v>2</v>
      </c>
      <c r="CN2785">
        <v>0</v>
      </c>
      <c r="CO2785">
        <v>6</v>
      </c>
      <c r="CP2785" t="s">
        <v>119</v>
      </c>
      <c r="CQ2785">
        <v>364</v>
      </c>
      <c r="CR2785">
        <v>0</v>
      </c>
      <c r="CW2785">
        <v>1474217</v>
      </c>
      <c r="CY2785">
        <v>1</v>
      </c>
      <c r="CZ2785">
        <v>0</v>
      </c>
      <c r="DA2785">
        <v>0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3">
      <c r="A2786" t="str">
        <f>"03/24/2022 22:21:49.517"</f>
        <v>03/24/2022 22:21:49.517</v>
      </c>
      <c r="C2786" t="str">
        <f t="shared" si="829"/>
        <v>FFDFD3C0</v>
      </c>
      <c r="D2786" t="s">
        <v>123</v>
      </c>
      <c r="E2786">
        <v>8</v>
      </c>
      <c r="H2786">
        <v>31</v>
      </c>
      <c r="I2786" t="s">
        <v>124</v>
      </c>
      <c r="J2786" t="s">
        <v>125</v>
      </c>
      <c r="K2786">
        <v>0</v>
      </c>
      <c r="L2786">
        <v>3</v>
      </c>
      <c r="M2786">
        <v>0</v>
      </c>
      <c r="N2786">
        <v>2</v>
      </c>
      <c r="O2786">
        <v>0</v>
      </c>
      <c r="P2786">
        <v>1</v>
      </c>
      <c r="Q2786">
        <v>0</v>
      </c>
      <c r="S2786" t="str">
        <f t="shared" si="833"/>
        <v>22:21:49.000</v>
      </c>
      <c r="T2786" t="str">
        <f t="shared" si="833"/>
        <v>22:21:49.000</v>
      </c>
      <c r="U2786" t="str">
        <f t="shared" si="823"/>
        <v>A9D71F</v>
      </c>
      <c r="V2786">
        <v>0</v>
      </c>
      <c r="W2786">
        <v>0</v>
      </c>
      <c r="X2786">
        <v>2</v>
      </c>
      <c r="Z2786">
        <v>1</v>
      </c>
      <c r="AA2786">
        <v>8</v>
      </c>
      <c r="AB2786">
        <v>3</v>
      </c>
      <c r="AC2786">
        <v>0</v>
      </c>
      <c r="AD2786">
        <v>9</v>
      </c>
      <c r="AE2786">
        <v>0</v>
      </c>
      <c r="AF2786">
        <v>3</v>
      </c>
      <c r="AG2786">
        <v>1</v>
      </c>
      <c r="AH2786">
        <v>0</v>
      </c>
      <c r="AI2786" t="s">
        <v>1399</v>
      </c>
      <c r="AJ2786">
        <v>33.001556000000001</v>
      </c>
      <c r="AK2786" t="s">
        <v>1400</v>
      </c>
      <c r="AL2786">
        <v>-97.664637999999997</v>
      </c>
      <c r="AM2786">
        <v>25</v>
      </c>
      <c r="AN2786">
        <v>1400</v>
      </c>
      <c r="AO2786" t="s">
        <v>118</v>
      </c>
      <c r="AP2786">
        <v>-32</v>
      </c>
      <c r="AQ2786">
        <v>-81</v>
      </c>
      <c r="AR2786">
        <v>-960</v>
      </c>
      <c r="AZ2786">
        <v>7700</v>
      </c>
      <c r="BA2786">
        <v>1</v>
      </c>
      <c r="BB2786" t="str">
        <f t="shared" si="830"/>
        <v xml:space="preserve">N733KP  </v>
      </c>
      <c r="BC2786">
        <v>1</v>
      </c>
      <c r="BE2786">
        <v>0</v>
      </c>
      <c r="BF2786">
        <v>0</v>
      </c>
      <c r="BG2786">
        <v>1</v>
      </c>
      <c r="BH2786">
        <v>1550</v>
      </c>
      <c r="BI2786">
        <v>1</v>
      </c>
      <c r="BJ2786">
        <v>1</v>
      </c>
      <c r="BK2786">
        <v>0</v>
      </c>
      <c r="BL2786">
        <v>0</v>
      </c>
      <c r="BO2786">
        <v>0</v>
      </c>
      <c r="BP2786">
        <v>0</v>
      </c>
      <c r="BW2786" t="str">
        <f>"22:21:49.250"</f>
        <v>22:21:49.250</v>
      </c>
      <c r="CJ2786">
        <v>0</v>
      </c>
      <c r="CK2786">
        <v>2</v>
      </c>
      <c r="CL2786">
        <v>0</v>
      </c>
      <c r="CM2786">
        <v>2</v>
      </c>
      <c r="CN2786">
        <v>0</v>
      </c>
      <c r="CO2786">
        <v>6</v>
      </c>
      <c r="CP2786" t="s">
        <v>119</v>
      </c>
      <c r="CQ2786">
        <v>364</v>
      </c>
      <c r="CR2786">
        <v>0</v>
      </c>
      <c r="CW2786">
        <v>1474217</v>
      </c>
      <c r="CY2786">
        <v>1</v>
      </c>
      <c r="CZ2786">
        <v>0</v>
      </c>
      <c r="DA2786">
        <v>1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3">
      <c r="A2787" t="str">
        <f>"03/24/2022 22:21:49.517"</f>
        <v>03/24/2022 22:21:49.517</v>
      </c>
      <c r="C2787" t="str">
        <f t="shared" si="829"/>
        <v>FFDFD3C0</v>
      </c>
      <c r="D2787" t="s">
        <v>120</v>
      </c>
      <c r="E2787">
        <v>14</v>
      </c>
      <c r="F2787">
        <v>1014</v>
      </c>
      <c r="G2787" t="s">
        <v>121</v>
      </c>
      <c r="J2787" t="s">
        <v>122</v>
      </c>
      <c r="K2787">
        <v>0</v>
      </c>
      <c r="L2787">
        <v>3</v>
      </c>
      <c r="M2787">
        <v>0</v>
      </c>
      <c r="N2787">
        <v>2</v>
      </c>
      <c r="O2787">
        <v>0</v>
      </c>
      <c r="P2787">
        <v>1</v>
      </c>
      <c r="Q2787">
        <v>0</v>
      </c>
      <c r="S2787" t="str">
        <f t="shared" si="833"/>
        <v>22:21:49.000</v>
      </c>
      <c r="T2787" t="str">
        <f t="shared" si="833"/>
        <v>22:21:49.000</v>
      </c>
      <c r="U2787" t="str">
        <f t="shared" si="823"/>
        <v>A9D71F</v>
      </c>
      <c r="V2787">
        <v>0</v>
      </c>
      <c r="W2787">
        <v>0</v>
      </c>
      <c r="X2787">
        <v>2</v>
      </c>
      <c r="Z2787">
        <v>1</v>
      </c>
      <c r="AA2787">
        <v>8</v>
      </c>
      <c r="AB2787">
        <v>3</v>
      </c>
      <c r="AC2787">
        <v>0</v>
      </c>
      <c r="AD2787">
        <v>9</v>
      </c>
      <c r="AE2787">
        <v>0</v>
      </c>
      <c r="AF2787">
        <v>3</v>
      </c>
      <c r="AG2787">
        <v>1</v>
      </c>
      <c r="AH2787">
        <v>0</v>
      </c>
      <c r="AI2787" t="s">
        <v>1399</v>
      </c>
      <c r="AJ2787">
        <v>33.001556000000001</v>
      </c>
      <c r="AK2787" t="s">
        <v>1400</v>
      </c>
      <c r="AL2787">
        <v>-97.664637999999997</v>
      </c>
      <c r="AM2787">
        <v>25</v>
      </c>
      <c r="AN2787">
        <v>1400</v>
      </c>
      <c r="AO2787" t="s">
        <v>118</v>
      </c>
      <c r="AP2787">
        <v>-32</v>
      </c>
      <c r="AQ2787">
        <v>-81</v>
      </c>
      <c r="AR2787">
        <v>-960</v>
      </c>
      <c r="AZ2787">
        <v>7700</v>
      </c>
      <c r="BA2787">
        <v>1</v>
      </c>
      <c r="BB2787" t="str">
        <f t="shared" si="830"/>
        <v xml:space="preserve">N733KP  </v>
      </c>
      <c r="BC2787">
        <v>1</v>
      </c>
      <c r="BE2787">
        <v>0</v>
      </c>
      <c r="BF2787">
        <v>0</v>
      </c>
      <c r="BG2787">
        <v>1</v>
      </c>
      <c r="BH2787">
        <v>1550</v>
      </c>
      <c r="BI2787">
        <v>1</v>
      </c>
      <c r="BJ2787">
        <v>1</v>
      </c>
      <c r="BK2787">
        <v>0</v>
      </c>
      <c r="BL2787">
        <v>0</v>
      </c>
      <c r="BO2787">
        <v>0</v>
      </c>
      <c r="BP2787">
        <v>0</v>
      </c>
      <c r="BW2787" t="str">
        <f>"22:21:49.250"</f>
        <v>22:21:49.250</v>
      </c>
      <c r="CJ2787">
        <v>0</v>
      </c>
      <c r="CK2787">
        <v>2</v>
      </c>
      <c r="CL2787">
        <v>0</v>
      </c>
      <c r="CM2787">
        <v>2</v>
      </c>
      <c r="CN2787">
        <v>0</v>
      </c>
      <c r="CO2787">
        <v>6</v>
      </c>
      <c r="CP2787" t="s">
        <v>119</v>
      </c>
      <c r="CQ2787">
        <v>364</v>
      </c>
      <c r="CR2787">
        <v>0</v>
      </c>
      <c r="CW2787">
        <v>1474217</v>
      </c>
      <c r="CY2787">
        <v>1</v>
      </c>
      <c r="CZ2787">
        <v>0</v>
      </c>
      <c r="DA2787">
        <v>1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3">
      <c r="A2788" t="str">
        <f>"03/24/2022 22:21:51.064"</f>
        <v>03/24/2022 22:21:51.064</v>
      </c>
      <c r="C2788" t="str">
        <f t="shared" si="829"/>
        <v>FFDFD3C0</v>
      </c>
      <c r="D2788" t="s">
        <v>123</v>
      </c>
      <c r="E2788">
        <v>8</v>
      </c>
      <c r="H2788">
        <v>31</v>
      </c>
      <c r="I2788" t="s">
        <v>124</v>
      </c>
      <c r="J2788" t="s">
        <v>125</v>
      </c>
      <c r="K2788">
        <v>0</v>
      </c>
      <c r="L2788">
        <v>3</v>
      </c>
      <c r="M2788">
        <v>0</v>
      </c>
      <c r="N2788">
        <v>2</v>
      </c>
      <c r="O2788">
        <v>0</v>
      </c>
      <c r="P2788">
        <v>1</v>
      </c>
      <c r="Q2788">
        <v>0</v>
      </c>
      <c r="S2788" t="str">
        <f t="shared" ref="S2788:T2790" si="834">"22:21:50.000"</f>
        <v>22:21:50.000</v>
      </c>
      <c r="T2788" t="str">
        <f t="shared" si="834"/>
        <v>22:21:50.000</v>
      </c>
      <c r="U2788" t="str">
        <f t="shared" si="823"/>
        <v>A9D71F</v>
      </c>
      <c r="V2788">
        <v>0</v>
      </c>
      <c r="W2788">
        <v>0</v>
      </c>
      <c r="X2788">
        <v>2</v>
      </c>
      <c r="Z2788">
        <v>1</v>
      </c>
      <c r="AA2788">
        <v>8</v>
      </c>
      <c r="AB2788">
        <v>3</v>
      </c>
      <c r="AC2788">
        <v>0</v>
      </c>
      <c r="AD2788">
        <v>9</v>
      </c>
      <c r="AE2788">
        <v>0</v>
      </c>
      <c r="AF2788">
        <v>3</v>
      </c>
      <c r="AG2788">
        <v>1</v>
      </c>
      <c r="AH2788">
        <v>0</v>
      </c>
      <c r="AI2788" t="s">
        <v>1402</v>
      </c>
      <c r="AJ2788">
        <v>33.001213</v>
      </c>
      <c r="AK2788" t="s">
        <v>1403</v>
      </c>
      <c r="AL2788">
        <v>-97.664831000000007</v>
      </c>
      <c r="AM2788">
        <v>25</v>
      </c>
      <c r="AN2788">
        <v>1400</v>
      </c>
      <c r="AO2788" t="s">
        <v>118</v>
      </c>
      <c r="AP2788">
        <v>-32</v>
      </c>
      <c r="AQ2788">
        <v>-81</v>
      </c>
      <c r="AR2788">
        <v>-832</v>
      </c>
      <c r="AZ2788">
        <v>7700</v>
      </c>
      <c r="BA2788">
        <v>1</v>
      </c>
      <c r="BB2788" t="str">
        <f t="shared" si="830"/>
        <v xml:space="preserve">N733KP  </v>
      </c>
      <c r="BC2788">
        <v>1</v>
      </c>
      <c r="BE2788">
        <v>0</v>
      </c>
      <c r="BF2788">
        <v>0</v>
      </c>
      <c r="BG2788">
        <v>1</v>
      </c>
      <c r="BH2788">
        <v>1550</v>
      </c>
      <c r="BI2788">
        <v>1</v>
      </c>
      <c r="BJ2788">
        <v>1</v>
      </c>
      <c r="BK2788">
        <v>0</v>
      </c>
      <c r="BL2788">
        <v>0</v>
      </c>
      <c r="BO2788">
        <v>0</v>
      </c>
      <c r="BP2788">
        <v>0</v>
      </c>
      <c r="BW2788" t="str">
        <f>"22:21:50.542"</f>
        <v>22:21:50.542</v>
      </c>
      <c r="CJ2788">
        <v>0</v>
      </c>
      <c r="CK2788">
        <v>2</v>
      </c>
      <c r="CL2788">
        <v>0</v>
      </c>
      <c r="CM2788">
        <v>2</v>
      </c>
      <c r="CN2788">
        <v>0</v>
      </c>
      <c r="CO2788">
        <v>6</v>
      </c>
      <c r="CP2788" t="s">
        <v>119</v>
      </c>
      <c r="CQ2788">
        <v>364</v>
      </c>
      <c r="CR2788">
        <v>0</v>
      </c>
      <c r="CW2788">
        <v>1474426</v>
      </c>
      <c r="CY2788">
        <v>1</v>
      </c>
      <c r="CZ2788">
        <v>0</v>
      </c>
      <c r="DA2788">
        <v>0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3">
      <c r="A2789" t="str">
        <f>"03/24/2022 22:21:51.064"</f>
        <v>03/24/2022 22:21:51.064</v>
      </c>
      <c r="C2789" t="str">
        <f t="shared" si="829"/>
        <v>FFDFD3C0</v>
      </c>
      <c r="D2789" t="s">
        <v>113</v>
      </c>
      <c r="E2789">
        <v>24</v>
      </c>
      <c r="F2789">
        <v>2024</v>
      </c>
      <c r="G2789" t="s">
        <v>114</v>
      </c>
      <c r="J2789" t="s">
        <v>115</v>
      </c>
      <c r="K2789">
        <v>0</v>
      </c>
      <c r="L2789">
        <v>3</v>
      </c>
      <c r="M2789">
        <v>0</v>
      </c>
      <c r="N2789">
        <v>2</v>
      </c>
      <c r="O2789">
        <v>0</v>
      </c>
      <c r="P2789">
        <v>1</v>
      </c>
      <c r="Q2789">
        <v>0</v>
      </c>
      <c r="S2789" t="str">
        <f t="shared" si="834"/>
        <v>22:21:50.000</v>
      </c>
      <c r="T2789" t="str">
        <f t="shared" si="834"/>
        <v>22:21:50.000</v>
      </c>
      <c r="U2789" t="str">
        <f t="shared" si="823"/>
        <v>A9D71F</v>
      </c>
      <c r="V2789">
        <v>0</v>
      </c>
      <c r="W2789">
        <v>0</v>
      </c>
      <c r="X2789">
        <v>2</v>
      </c>
      <c r="Z2789">
        <v>1</v>
      </c>
      <c r="AA2789">
        <v>8</v>
      </c>
      <c r="AB2789">
        <v>3</v>
      </c>
      <c r="AC2789">
        <v>0</v>
      </c>
      <c r="AD2789">
        <v>9</v>
      </c>
      <c r="AE2789">
        <v>0</v>
      </c>
      <c r="AF2789">
        <v>3</v>
      </c>
      <c r="AG2789">
        <v>1</v>
      </c>
      <c r="AH2789">
        <v>0</v>
      </c>
      <c r="AI2789" t="s">
        <v>1402</v>
      </c>
      <c r="AJ2789">
        <v>33.001213</v>
      </c>
      <c r="AK2789" t="s">
        <v>1403</v>
      </c>
      <c r="AL2789">
        <v>-97.664831000000007</v>
      </c>
      <c r="AM2789">
        <v>25</v>
      </c>
      <c r="AN2789">
        <v>1400</v>
      </c>
      <c r="AO2789" t="s">
        <v>118</v>
      </c>
      <c r="AP2789">
        <v>-32</v>
      </c>
      <c r="AQ2789">
        <v>-81</v>
      </c>
      <c r="AR2789">
        <v>-832</v>
      </c>
      <c r="AZ2789">
        <v>7700</v>
      </c>
      <c r="BA2789">
        <v>1</v>
      </c>
      <c r="BB2789" t="str">
        <f t="shared" si="830"/>
        <v xml:space="preserve">N733KP  </v>
      </c>
      <c r="BC2789">
        <v>1</v>
      </c>
      <c r="BE2789">
        <v>0</v>
      </c>
      <c r="BF2789">
        <v>0</v>
      </c>
      <c r="BG2789">
        <v>1</v>
      </c>
      <c r="BH2789">
        <v>1550</v>
      </c>
      <c r="BI2789">
        <v>1</v>
      </c>
      <c r="BJ2789">
        <v>1</v>
      </c>
      <c r="BK2789">
        <v>0</v>
      </c>
      <c r="BL2789">
        <v>0</v>
      </c>
      <c r="BO2789">
        <v>0</v>
      </c>
      <c r="BP2789">
        <v>0</v>
      </c>
      <c r="BW2789" t="str">
        <f>"22:21:50.542"</f>
        <v>22:21:50.542</v>
      </c>
      <c r="CJ2789">
        <v>0</v>
      </c>
      <c r="CK2789">
        <v>2</v>
      </c>
      <c r="CL2789">
        <v>0</v>
      </c>
      <c r="CM2789">
        <v>2</v>
      </c>
      <c r="CN2789">
        <v>0</v>
      </c>
      <c r="CO2789">
        <v>6</v>
      </c>
      <c r="CP2789" t="s">
        <v>119</v>
      </c>
      <c r="CQ2789">
        <v>364</v>
      </c>
      <c r="CR2789">
        <v>0</v>
      </c>
      <c r="CW2789">
        <v>1474426</v>
      </c>
      <c r="CY2789">
        <v>1</v>
      </c>
      <c r="CZ2789">
        <v>0</v>
      </c>
      <c r="DA2789">
        <v>1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3">
      <c r="A2790" t="str">
        <f>"03/24/2022 22:21:51.064"</f>
        <v>03/24/2022 22:21:51.064</v>
      </c>
      <c r="C2790" t="str">
        <f t="shared" si="829"/>
        <v>FFDFD3C0</v>
      </c>
      <c r="D2790" t="s">
        <v>126</v>
      </c>
      <c r="E2790">
        <v>3</v>
      </c>
      <c r="H2790">
        <v>160</v>
      </c>
      <c r="I2790" t="s">
        <v>121</v>
      </c>
      <c r="J2790" t="s">
        <v>127</v>
      </c>
      <c r="K2790">
        <v>0</v>
      </c>
      <c r="L2790">
        <v>3</v>
      </c>
      <c r="M2790">
        <v>0</v>
      </c>
      <c r="N2790">
        <v>2</v>
      </c>
      <c r="O2790">
        <v>0</v>
      </c>
      <c r="P2790">
        <v>1</v>
      </c>
      <c r="Q2790">
        <v>0</v>
      </c>
      <c r="S2790" t="str">
        <f t="shared" si="834"/>
        <v>22:21:50.000</v>
      </c>
      <c r="T2790" t="str">
        <f t="shared" si="834"/>
        <v>22:21:50.000</v>
      </c>
      <c r="U2790" t="str">
        <f t="shared" si="823"/>
        <v>A9D71F</v>
      </c>
      <c r="V2790">
        <v>0</v>
      </c>
      <c r="W2790">
        <v>0</v>
      </c>
      <c r="X2790">
        <v>2</v>
      </c>
      <c r="Z2790">
        <v>1</v>
      </c>
      <c r="AA2790">
        <v>8</v>
      </c>
      <c r="AB2790">
        <v>3</v>
      </c>
      <c r="AC2790">
        <v>0</v>
      </c>
      <c r="AD2790">
        <v>9</v>
      </c>
      <c r="AE2790">
        <v>0</v>
      </c>
      <c r="AF2790">
        <v>3</v>
      </c>
      <c r="AG2790">
        <v>1</v>
      </c>
      <c r="AH2790">
        <v>0</v>
      </c>
      <c r="AI2790" t="s">
        <v>1402</v>
      </c>
      <c r="AJ2790">
        <v>33.001213</v>
      </c>
      <c r="AK2790" t="s">
        <v>1403</v>
      </c>
      <c r="AL2790">
        <v>-97.664831000000007</v>
      </c>
      <c r="AM2790">
        <v>25</v>
      </c>
      <c r="AN2790">
        <v>1400</v>
      </c>
      <c r="AO2790" t="s">
        <v>118</v>
      </c>
      <c r="AP2790">
        <v>-32</v>
      </c>
      <c r="AQ2790">
        <v>-81</v>
      </c>
      <c r="AR2790">
        <v>-832</v>
      </c>
      <c r="AZ2790">
        <v>7700</v>
      </c>
      <c r="BA2790">
        <v>1</v>
      </c>
      <c r="BB2790" t="str">
        <f t="shared" si="830"/>
        <v xml:space="preserve">N733KP  </v>
      </c>
      <c r="BC2790">
        <v>1</v>
      </c>
      <c r="BE2790">
        <v>0</v>
      </c>
      <c r="BF2790">
        <v>0</v>
      </c>
      <c r="BG2790">
        <v>1</v>
      </c>
      <c r="BH2790">
        <v>1550</v>
      </c>
      <c r="BI2790">
        <v>1</v>
      </c>
      <c r="BJ2790">
        <v>1</v>
      </c>
      <c r="BK2790">
        <v>0</v>
      </c>
      <c r="BL2790">
        <v>0</v>
      </c>
      <c r="BO2790">
        <v>0</v>
      </c>
      <c r="BP2790">
        <v>0</v>
      </c>
      <c r="BW2790" t="str">
        <f>"22:21:50.542"</f>
        <v>22:21:50.542</v>
      </c>
      <c r="CJ2790">
        <v>0</v>
      </c>
      <c r="CK2790">
        <v>2</v>
      </c>
      <c r="CL2790">
        <v>0</v>
      </c>
      <c r="CM2790">
        <v>2</v>
      </c>
      <c r="CN2790">
        <v>0</v>
      </c>
      <c r="CO2790">
        <v>6</v>
      </c>
      <c r="CP2790" t="s">
        <v>119</v>
      </c>
      <c r="CQ2790">
        <v>364</v>
      </c>
      <c r="CR2790">
        <v>0</v>
      </c>
      <c r="CW2790">
        <v>1474426</v>
      </c>
      <c r="CY2790">
        <v>1</v>
      </c>
      <c r="CZ2790">
        <v>0</v>
      </c>
      <c r="DA2790">
        <v>1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3">
      <c r="A2791" t="str">
        <f>"03/24/2022 22:21:51.549"</f>
        <v>03/24/2022 22:21:51.549</v>
      </c>
      <c r="C2791" t="str">
        <f t="shared" si="829"/>
        <v>FFDFD3C0</v>
      </c>
      <c r="D2791" t="s">
        <v>126</v>
      </c>
      <c r="E2791">
        <v>3</v>
      </c>
      <c r="H2791">
        <v>160</v>
      </c>
      <c r="I2791" t="s">
        <v>121</v>
      </c>
      <c r="J2791" t="s">
        <v>127</v>
      </c>
      <c r="K2791">
        <v>0</v>
      </c>
      <c r="L2791">
        <v>3</v>
      </c>
      <c r="M2791">
        <v>0</v>
      </c>
      <c r="N2791">
        <v>2</v>
      </c>
      <c r="O2791">
        <v>0</v>
      </c>
      <c r="P2791">
        <v>1</v>
      </c>
      <c r="Q2791">
        <v>0</v>
      </c>
      <c r="S2791" t="str">
        <f t="shared" ref="S2791:T2794" si="835">"22:21:51.000"</f>
        <v>22:21:51.000</v>
      </c>
      <c r="T2791" t="str">
        <f t="shared" si="835"/>
        <v>22:21:51.000</v>
      </c>
      <c r="U2791" t="str">
        <f t="shared" si="823"/>
        <v>A9D71F</v>
      </c>
      <c r="V2791">
        <v>0</v>
      </c>
      <c r="W2791">
        <v>0</v>
      </c>
      <c r="X2791">
        <v>2</v>
      </c>
      <c r="Z2791">
        <v>1</v>
      </c>
      <c r="AA2791">
        <v>8</v>
      </c>
      <c r="AB2791">
        <v>3</v>
      </c>
      <c r="AC2791">
        <v>0</v>
      </c>
      <c r="AD2791">
        <v>9</v>
      </c>
      <c r="AE2791">
        <v>0</v>
      </c>
      <c r="AF2791">
        <v>3</v>
      </c>
      <c r="AG2791">
        <v>1</v>
      </c>
      <c r="AH2791">
        <v>0</v>
      </c>
      <c r="AI2791" t="s">
        <v>1404</v>
      </c>
      <c r="AJ2791">
        <v>33.000827000000001</v>
      </c>
      <c r="AK2791" t="s">
        <v>1405</v>
      </c>
      <c r="AL2791">
        <v>-97.665002000000001</v>
      </c>
      <c r="AM2791">
        <v>25</v>
      </c>
      <c r="AN2791">
        <v>1400</v>
      </c>
      <c r="AO2791" t="s">
        <v>118</v>
      </c>
      <c r="AP2791">
        <v>-32</v>
      </c>
      <c r="AQ2791">
        <v>-81</v>
      </c>
      <c r="AR2791">
        <v>-768</v>
      </c>
      <c r="AZ2791">
        <v>7700</v>
      </c>
      <c r="BA2791">
        <v>1</v>
      </c>
      <c r="BB2791" t="str">
        <f t="shared" si="830"/>
        <v xml:space="preserve">N733KP  </v>
      </c>
      <c r="BC2791">
        <v>1</v>
      </c>
      <c r="BE2791">
        <v>0</v>
      </c>
      <c r="BF2791">
        <v>0</v>
      </c>
      <c r="BG2791">
        <v>1</v>
      </c>
      <c r="BH2791">
        <v>1525</v>
      </c>
      <c r="BI2791">
        <v>1</v>
      </c>
      <c r="BJ2791">
        <v>1</v>
      </c>
      <c r="BK2791">
        <v>0</v>
      </c>
      <c r="BL2791">
        <v>0</v>
      </c>
      <c r="BO2791">
        <v>0</v>
      </c>
      <c r="BP2791">
        <v>0</v>
      </c>
      <c r="BW2791" t="str">
        <f>"22:21:51.350"</f>
        <v>22:21:51.350</v>
      </c>
      <c r="CJ2791">
        <v>0</v>
      </c>
      <c r="CK2791">
        <v>2</v>
      </c>
      <c r="CL2791">
        <v>0</v>
      </c>
      <c r="CM2791">
        <v>2</v>
      </c>
      <c r="CN2791">
        <v>0</v>
      </c>
      <c r="CO2791">
        <v>7</v>
      </c>
      <c r="CP2791" t="s">
        <v>119</v>
      </c>
      <c r="CQ2791">
        <v>364</v>
      </c>
      <c r="CR2791">
        <v>0</v>
      </c>
      <c r="CW2791">
        <v>1474562</v>
      </c>
      <c r="CY2791">
        <v>1</v>
      </c>
      <c r="CZ2791">
        <v>0</v>
      </c>
      <c r="DA2791">
        <v>0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3">
      <c r="A2792" t="str">
        <f>"03/24/2022 22:21:51.549"</f>
        <v>03/24/2022 22:21:51.549</v>
      </c>
      <c r="C2792" t="str">
        <f t="shared" si="829"/>
        <v>FFDFD3C0</v>
      </c>
      <c r="D2792" t="s">
        <v>120</v>
      </c>
      <c r="E2792">
        <v>14</v>
      </c>
      <c r="F2792">
        <v>1014</v>
      </c>
      <c r="G2792" t="s">
        <v>121</v>
      </c>
      <c r="J2792" t="s">
        <v>122</v>
      </c>
      <c r="K2792">
        <v>0</v>
      </c>
      <c r="L2792">
        <v>3</v>
      </c>
      <c r="M2792">
        <v>0</v>
      </c>
      <c r="N2792">
        <v>2</v>
      </c>
      <c r="O2792">
        <v>0</v>
      </c>
      <c r="P2792">
        <v>1</v>
      </c>
      <c r="Q2792">
        <v>0</v>
      </c>
      <c r="S2792" t="str">
        <f t="shared" si="835"/>
        <v>22:21:51.000</v>
      </c>
      <c r="T2792" t="str">
        <f t="shared" si="835"/>
        <v>22:21:51.000</v>
      </c>
      <c r="U2792" t="str">
        <f t="shared" si="823"/>
        <v>A9D71F</v>
      </c>
      <c r="V2792">
        <v>0</v>
      </c>
      <c r="W2792">
        <v>0</v>
      </c>
      <c r="X2792">
        <v>2</v>
      </c>
      <c r="Z2792">
        <v>1</v>
      </c>
      <c r="AA2792">
        <v>8</v>
      </c>
      <c r="AB2792">
        <v>3</v>
      </c>
      <c r="AC2792">
        <v>0</v>
      </c>
      <c r="AD2792">
        <v>9</v>
      </c>
      <c r="AE2792">
        <v>0</v>
      </c>
      <c r="AF2792">
        <v>3</v>
      </c>
      <c r="AG2792">
        <v>1</v>
      </c>
      <c r="AH2792">
        <v>0</v>
      </c>
      <c r="AI2792" t="s">
        <v>1404</v>
      </c>
      <c r="AJ2792">
        <v>33.000827000000001</v>
      </c>
      <c r="AK2792" t="s">
        <v>1405</v>
      </c>
      <c r="AL2792">
        <v>-97.665002000000001</v>
      </c>
      <c r="AM2792">
        <v>25</v>
      </c>
      <c r="AN2792">
        <v>1400</v>
      </c>
      <c r="AO2792" t="s">
        <v>118</v>
      </c>
      <c r="AP2792">
        <v>-32</v>
      </c>
      <c r="AQ2792">
        <v>-81</v>
      </c>
      <c r="AR2792">
        <v>-768</v>
      </c>
      <c r="AZ2792">
        <v>7700</v>
      </c>
      <c r="BA2792">
        <v>1</v>
      </c>
      <c r="BB2792" t="str">
        <f t="shared" si="830"/>
        <v xml:space="preserve">N733KP  </v>
      </c>
      <c r="BC2792">
        <v>1</v>
      </c>
      <c r="BE2792">
        <v>0</v>
      </c>
      <c r="BF2792">
        <v>0</v>
      </c>
      <c r="BG2792">
        <v>1</v>
      </c>
      <c r="BH2792">
        <v>1525</v>
      </c>
      <c r="BI2792">
        <v>1</v>
      </c>
      <c r="BJ2792">
        <v>1</v>
      </c>
      <c r="BK2792">
        <v>0</v>
      </c>
      <c r="BL2792">
        <v>0</v>
      </c>
      <c r="BO2792">
        <v>0</v>
      </c>
      <c r="BP2792">
        <v>0</v>
      </c>
      <c r="BW2792" t="str">
        <f>"22:21:51.350"</f>
        <v>22:21:51.350</v>
      </c>
      <c r="CJ2792">
        <v>0</v>
      </c>
      <c r="CK2792">
        <v>2</v>
      </c>
      <c r="CL2792">
        <v>0</v>
      </c>
      <c r="CM2792">
        <v>2</v>
      </c>
      <c r="CN2792">
        <v>0</v>
      </c>
      <c r="CO2792">
        <v>7</v>
      </c>
      <c r="CP2792" t="s">
        <v>119</v>
      </c>
      <c r="CQ2792">
        <v>364</v>
      </c>
      <c r="CR2792">
        <v>0</v>
      </c>
      <c r="CW2792">
        <v>1474562</v>
      </c>
      <c r="CY2792">
        <v>1</v>
      </c>
      <c r="CZ2792">
        <v>0</v>
      </c>
      <c r="DA2792">
        <v>1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3">
      <c r="A2793" t="str">
        <f>"03/24/2022 22:21:51.549"</f>
        <v>03/24/2022 22:21:51.549</v>
      </c>
      <c r="C2793" t="str">
        <f t="shared" si="829"/>
        <v>FFDFD3C0</v>
      </c>
      <c r="D2793" t="s">
        <v>123</v>
      </c>
      <c r="E2793">
        <v>8</v>
      </c>
      <c r="H2793">
        <v>31</v>
      </c>
      <c r="I2793" t="s">
        <v>124</v>
      </c>
      <c r="J2793" t="s">
        <v>125</v>
      </c>
      <c r="K2793">
        <v>0</v>
      </c>
      <c r="L2793">
        <v>3</v>
      </c>
      <c r="M2793">
        <v>0</v>
      </c>
      <c r="N2793">
        <v>2</v>
      </c>
      <c r="O2793">
        <v>0</v>
      </c>
      <c r="P2793">
        <v>1</v>
      </c>
      <c r="Q2793">
        <v>0</v>
      </c>
      <c r="S2793" t="str">
        <f t="shared" si="835"/>
        <v>22:21:51.000</v>
      </c>
      <c r="T2793" t="str">
        <f t="shared" si="835"/>
        <v>22:21:51.000</v>
      </c>
      <c r="U2793" t="str">
        <f t="shared" si="823"/>
        <v>A9D71F</v>
      </c>
      <c r="V2793">
        <v>0</v>
      </c>
      <c r="W2793">
        <v>0</v>
      </c>
      <c r="X2793">
        <v>2</v>
      </c>
      <c r="Z2793">
        <v>1</v>
      </c>
      <c r="AA2793">
        <v>8</v>
      </c>
      <c r="AB2793">
        <v>3</v>
      </c>
      <c r="AC2793">
        <v>0</v>
      </c>
      <c r="AD2793">
        <v>9</v>
      </c>
      <c r="AE2793">
        <v>0</v>
      </c>
      <c r="AF2793">
        <v>3</v>
      </c>
      <c r="AG2793">
        <v>1</v>
      </c>
      <c r="AH2793">
        <v>0</v>
      </c>
      <c r="AI2793" t="s">
        <v>1404</v>
      </c>
      <c r="AJ2793">
        <v>33.000827000000001</v>
      </c>
      <c r="AK2793" t="s">
        <v>1405</v>
      </c>
      <c r="AL2793">
        <v>-97.665002000000001</v>
      </c>
      <c r="AM2793">
        <v>25</v>
      </c>
      <c r="AN2793">
        <v>1400</v>
      </c>
      <c r="AO2793" t="s">
        <v>118</v>
      </c>
      <c r="AP2793">
        <v>-32</v>
      </c>
      <c r="AQ2793">
        <v>-81</v>
      </c>
      <c r="AR2793">
        <v>-768</v>
      </c>
      <c r="AZ2793">
        <v>7700</v>
      </c>
      <c r="BA2793">
        <v>1</v>
      </c>
      <c r="BB2793" t="str">
        <f t="shared" si="830"/>
        <v xml:space="preserve">N733KP  </v>
      </c>
      <c r="BC2793">
        <v>1</v>
      </c>
      <c r="BE2793">
        <v>0</v>
      </c>
      <c r="BF2793">
        <v>0</v>
      </c>
      <c r="BG2793">
        <v>1</v>
      </c>
      <c r="BH2793">
        <v>1525</v>
      </c>
      <c r="BI2793">
        <v>1</v>
      </c>
      <c r="BJ2793">
        <v>1</v>
      </c>
      <c r="BK2793">
        <v>0</v>
      </c>
      <c r="BL2793">
        <v>0</v>
      </c>
      <c r="BO2793">
        <v>0</v>
      </c>
      <c r="BP2793">
        <v>0</v>
      </c>
      <c r="BW2793" t="str">
        <f>"22:21:51.350"</f>
        <v>22:21:51.350</v>
      </c>
      <c r="CJ2793">
        <v>0</v>
      </c>
      <c r="CK2793">
        <v>2</v>
      </c>
      <c r="CL2793">
        <v>0</v>
      </c>
      <c r="CM2793">
        <v>2</v>
      </c>
      <c r="CN2793">
        <v>0</v>
      </c>
      <c r="CO2793">
        <v>7</v>
      </c>
      <c r="CP2793" t="s">
        <v>119</v>
      </c>
      <c r="CQ2793">
        <v>364</v>
      </c>
      <c r="CR2793">
        <v>0</v>
      </c>
      <c r="CW2793">
        <v>1474562</v>
      </c>
      <c r="CY2793">
        <v>1</v>
      </c>
      <c r="CZ2793">
        <v>0</v>
      </c>
      <c r="DA2793">
        <v>1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3">
      <c r="A2794" t="str">
        <f>"03/24/2022 22:21:51.549"</f>
        <v>03/24/2022 22:21:51.549</v>
      </c>
      <c r="C2794" t="str">
        <f t="shared" si="829"/>
        <v>FFDFD3C0</v>
      </c>
      <c r="D2794" t="s">
        <v>113</v>
      </c>
      <c r="E2794">
        <v>24</v>
      </c>
      <c r="F2794">
        <v>2024</v>
      </c>
      <c r="G2794" t="s">
        <v>114</v>
      </c>
      <c r="J2794" t="s">
        <v>115</v>
      </c>
      <c r="K2794">
        <v>0</v>
      </c>
      <c r="L2794">
        <v>3</v>
      </c>
      <c r="M2794">
        <v>0</v>
      </c>
      <c r="N2794">
        <v>2</v>
      </c>
      <c r="O2794">
        <v>0</v>
      </c>
      <c r="P2794">
        <v>1</v>
      </c>
      <c r="Q2794">
        <v>0</v>
      </c>
      <c r="S2794" t="str">
        <f t="shared" si="835"/>
        <v>22:21:51.000</v>
      </c>
      <c r="T2794" t="str">
        <f t="shared" si="835"/>
        <v>22:21:51.000</v>
      </c>
      <c r="U2794" t="str">
        <f t="shared" si="823"/>
        <v>A9D71F</v>
      </c>
      <c r="V2794">
        <v>0</v>
      </c>
      <c r="W2794">
        <v>0</v>
      </c>
      <c r="X2794">
        <v>2</v>
      </c>
      <c r="Z2794">
        <v>1</v>
      </c>
      <c r="AA2794">
        <v>8</v>
      </c>
      <c r="AB2794">
        <v>3</v>
      </c>
      <c r="AC2794">
        <v>0</v>
      </c>
      <c r="AD2794">
        <v>9</v>
      </c>
      <c r="AE2794">
        <v>0</v>
      </c>
      <c r="AF2794">
        <v>3</v>
      </c>
      <c r="AG2794">
        <v>1</v>
      </c>
      <c r="AH2794">
        <v>0</v>
      </c>
      <c r="AI2794" t="s">
        <v>1404</v>
      </c>
      <c r="AJ2794">
        <v>33.000827000000001</v>
      </c>
      <c r="AK2794" t="s">
        <v>1405</v>
      </c>
      <c r="AL2794">
        <v>-97.665002000000001</v>
      </c>
      <c r="AM2794">
        <v>25</v>
      </c>
      <c r="AN2794">
        <v>1400</v>
      </c>
      <c r="AO2794" t="s">
        <v>118</v>
      </c>
      <c r="AP2794">
        <v>-32</v>
      </c>
      <c r="AQ2794">
        <v>-81</v>
      </c>
      <c r="AR2794">
        <v>-768</v>
      </c>
      <c r="AZ2794">
        <v>7700</v>
      </c>
      <c r="BA2794">
        <v>1</v>
      </c>
      <c r="BB2794" t="str">
        <f t="shared" si="830"/>
        <v xml:space="preserve">N733KP  </v>
      </c>
      <c r="BC2794">
        <v>1</v>
      </c>
      <c r="BE2794">
        <v>0</v>
      </c>
      <c r="BF2794">
        <v>0</v>
      </c>
      <c r="BG2794">
        <v>1</v>
      </c>
      <c r="BH2794">
        <v>1525</v>
      </c>
      <c r="BI2794">
        <v>1</v>
      </c>
      <c r="BJ2794">
        <v>1</v>
      </c>
      <c r="BK2794">
        <v>0</v>
      </c>
      <c r="BL2794">
        <v>0</v>
      </c>
      <c r="BO2794">
        <v>0</v>
      </c>
      <c r="BP2794">
        <v>0</v>
      </c>
      <c r="BW2794" t="str">
        <f>"22:21:51.350"</f>
        <v>22:21:51.350</v>
      </c>
      <c r="CJ2794">
        <v>0</v>
      </c>
      <c r="CK2794">
        <v>2</v>
      </c>
      <c r="CL2794">
        <v>0</v>
      </c>
      <c r="CM2794">
        <v>2</v>
      </c>
      <c r="CN2794">
        <v>0</v>
      </c>
      <c r="CO2794">
        <v>7</v>
      </c>
      <c r="CP2794" t="s">
        <v>119</v>
      </c>
      <c r="CQ2794">
        <v>364</v>
      </c>
      <c r="CR2794">
        <v>0</v>
      </c>
      <c r="CW2794">
        <v>1474562</v>
      </c>
      <c r="CY2794">
        <v>1</v>
      </c>
      <c r="CZ2794">
        <v>0</v>
      </c>
      <c r="DA2794">
        <v>1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3">
      <c r="A2795" t="str">
        <f>"03/24/2022 22:21:53.003"</f>
        <v>03/24/2022 22:21:53.003</v>
      </c>
      <c r="C2795" t="str">
        <f t="shared" si="829"/>
        <v>FFDFD3C0</v>
      </c>
      <c r="D2795" t="s">
        <v>120</v>
      </c>
      <c r="E2795">
        <v>14</v>
      </c>
      <c r="F2795">
        <v>1014</v>
      </c>
      <c r="G2795" t="s">
        <v>121</v>
      </c>
      <c r="J2795" t="s">
        <v>122</v>
      </c>
      <c r="K2795">
        <v>0</v>
      </c>
      <c r="L2795">
        <v>3</v>
      </c>
      <c r="M2795">
        <v>0</v>
      </c>
      <c r="N2795">
        <v>2</v>
      </c>
      <c r="O2795">
        <v>0</v>
      </c>
      <c r="P2795">
        <v>1</v>
      </c>
      <c r="Q2795">
        <v>0</v>
      </c>
      <c r="S2795" t="str">
        <f t="shared" ref="S2795:T2798" si="836">"22:21:52.000"</f>
        <v>22:21:52.000</v>
      </c>
      <c r="T2795" t="str">
        <f t="shared" si="836"/>
        <v>22:21:52.000</v>
      </c>
      <c r="U2795" t="str">
        <f t="shared" si="823"/>
        <v>A9D71F</v>
      </c>
      <c r="V2795">
        <v>0</v>
      </c>
      <c r="W2795">
        <v>0</v>
      </c>
      <c r="X2795">
        <v>2</v>
      </c>
      <c r="Z2795">
        <v>1</v>
      </c>
      <c r="AA2795">
        <v>8</v>
      </c>
      <c r="AB2795">
        <v>3</v>
      </c>
      <c r="AC2795">
        <v>0</v>
      </c>
      <c r="AD2795">
        <v>9</v>
      </c>
      <c r="AE2795">
        <v>0</v>
      </c>
      <c r="AF2795">
        <v>3</v>
      </c>
      <c r="AG2795">
        <v>1</v>
      </c>
      <c r="AH2795">
        <v>0</v>
      </c>
      <c r="AI2795" t="s">
        <v>1406</v>
      </c>
      <c r="AJ2795">
        <v>33.000397999999997</v>
      </c>
      <c r="AK2795" t="s">
        <v>1407</v>
      </c>
      <c r="AL2795">
        <v>-97.665153000000004</v>
      </c>
      <c r="AM2795">
        <v>25</v>
      </c>
      <c r="AN2795">
        <v>1400</v>
      </c>
      <c r="AO2795" t="s">
        <v>118</v>
      </c>
      <c r="AP2795">
        <v>-31</v>
      </c>
      <c r="AQ2795">
        <v>-82</v>
      </c>
      <c r="AR2795">
        <v>-704</v>
      </c>
      <c r="AZ2795">
        <v>7700</v>
      </c>
      <c r="BA2795">
        <v>1</v>
      </c>
      <c r="BB2795" t="str">
        <f t="shared" si="830"/>
        <v xml:space="preserve">N733KP  </v>
      </c>
      <c r="BC2795">
        <v>1</v>
      </c>
      <c r="BE2795">
        <v>0</v>
      </c>
      <c r="BF2795">
        <v>0</v>
      </c>
      <c r="BG2795">
        <v>1</v>
      </c>
      <c r="BH2795">
        <v>1500</v>
      </c>
      <c r="BI2795">
        <v>1</v>
      </c>
      <c r="BJ2795">
        <v>1</v>
      </c>
      <c r="BK2795">
        <v>0</v>
      </c>
      <c r="BL2795">
        <v>0</v>
      </c>
      <c r="BO2795">
        <v>0</v>
      </c>
      <c r="BP2795">
        <v>0</v>
      </c>
      <c r="BW2795" t="str">
        <f>"22:21:52.833"</f>
        <v>22:21:52.833</v>
      </c>
      <c r="CJ2795">
        <v>0</v>
      </c>
      <c r="CK2795">
        <v>2</v>
      </c>
      <c r="CL2795">
        <v>0</v>
      </c>
      <c r="CM2795">
        <v>2</v>
      </c>
      <c r="CN2795">
        <v>0</v>
      </c>
      <c r="CO2795">
        <v>4</v>
      </c>
      <c r="CP2795" t="s">
        <v>119</v>
      </c>
      <c r="CQ2795">
        <v>365</v>
      </c>
      <c r="CR2795">
        <v>0</v>
      </c>
      <c r="CW2795">
        <v>11571451</v>
      </c>
      <c r="CY2795">
        <v>1</v>
      </c>
      <c r="CZ2795">
        <v>0</v>
      </c>
      <c r="DA2795">
        <v>0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3">
      <c r="A2796" t="str">
        <f>"03/24/2022 22:21:53.050"</f>
        <v>03/24/2022 22:21:53.050</v>
      </c>
      <c r="C2796" t="str">
        <f t="shared" si="829"/>
        <v>FFDFD3C0</v>
      </c>
      <c r="D2796" t="s">
        <v>123</v>
      </c>
      <c r="E2796">
        <v>8</v>
      </c>
      <c r="H2796">
        <v>31</v>
      </c>
      <c r="I2796" t="s">
        <v>124</v>
      </c>
      <c r="J2796" t="s">
        <v>125</v>
      </c>
      <c r="K2796">
        <v>0</v>
      </c>
      <c r="L2796">
        <v>3</v>
      </c>
      <c r="M2796">
        <v>0</v>
      </c>
      <c r="N2796">
        <v>2</v>
      </c>
      <c r="O2796">
        <v>0</v>
      </c>
      <c r="P2796">
        <v>1</v>
      </c>
      <c r="Q2796">
        <v>0</v>
      </c>
      <c r="S2796" t="str">
        <f t="shared" si="836"/>
        <v>22:21:52.000</v>
      </c>
      <c r="T2796" t="str">
        <f t="shared" si="836"/>
        <v>22:21:52.000</v>
      </c>
      <c r="U2796" t="str">
        <f t="shared" si="823"/>
        <v>A9D71F</v>
      </c>
      <c r="V2796">
        <v>0</v>
      </c>
      <c r="W2796">
        <v>0</v>
      </c>
      <c r="X2796">
        <v>2</v>
      </c>
      <c r="Z2796">
        <v>1</v>
      </c>
      <c r="AA2796">
        <v>8</v>
      </c>
      <c r="AB2796">
        <v>3</v>
      </c>
      <c r="AC2796">
        <v>0</v>
      </c>
      <c r="AD2796">
        <v>9</v>
      </c>
      <c r="AE2796">
        <v>0</v>
      </c>
      <c r="AF2796">
        <v>3</v>
      </c>
      <c r="AG2796">
        <v>1</v>
      </c>
      <c r="AH2796">
        <v>0</v>
      </c>
      <c r="AI2796" t="s">
        <v>1406</v>
      </c>
      <c r="AJ2796">
        <v>33.000397999999997</v>
      </c>
      <c r="AK2796" t="s">
        <v>1407</v>
      </c>
      <c r="AL2796">
        <v>-97.665153000000004</v>
      </c>
      <c r="AM2796">
        <v>25</v>
      </c>
      <c r="AN2796">
        <v>1400</v>
      </c>
      <c r="AO2796" t="s">
        <v>118</v>
      </c>
      <c r="AP2796">
        <v>-31</v>
      </c>
      <c r="AQ2796">
        <v>-82</v>
      </c>
      <c r="AR2796">
        <v>-704</v>
      </c>
      <c r="AZ2796">
        <v>7700</v>
      </c>
      <c r="BA2796">
        <v>1</v>
      </c>
      <c r="BB2796" t="str">
        <f t="shared" si="830"/>
        <v xml:space="preserve">N733KP  </v>
      </c>
      <c r="BC2796">
        <v>1</v>
      </c>
      <c r="BE2796">
        <v>0</v>
      </c>
      <c r="BF2796">
        <v>0</v>
      </c>
      <c r="BG2796">
        <v>1</v>
      </c>
      <c r="BH2796">
        <v>1500</v>
      </c>
      <c r="BI2796">
        <v>1</v>
      </c>
      <c r="BJ2796">
        <v>1</v>
      </c>
      <c r="BK2796">
        <v>0</v>
      </c>
      <c r="BL2796">
        <v>0</v>
      </c>
      <c r="BO2796">
        <v>0</v>
      </c>
      <c r="BP2796">
        <v>0</v>
      </c>
      <c r="BW2796" t="str">
        <f>"22:21:52.833"</f>
        <v>22:21:52.833</v>
      </c>
      <c r="CJ2796">
        <v>0</v>
      </c>
      <c r="CK2796">
        <v>2</v>
      </c>
      <c r="CL2796">
        <v>0</v>
      </c>
      <c r="CM2796">
        <v>2</v>
      </c>
      <c r="CN2796">
        <v>0</v>
      </c>
      <c r="CO2796">
        <v>4</v>
      </c>
      <c r="CP2796" t="s">
        <v>119</v>
      </c>
      <c r="CQ2796">
        <v>365</v>
      </c>
      <c r="CR2796">
        <v>0</v>
      </c>
      <c r="CW2796">
        <v>11571451</v>
      </c>
      <c r="CY2796">
        <v>1</v>
      </c>
      <c r="CZ2796">
        <v>0</v>
      </c>
      <c r="DA2796">
        <v>1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3">
      <c r="A2797" t="str">
        <f>"03/24/2022 22:21:53.050"</f>
        <v>03/24/2022 22:21:53.050</v>
      </c>
      <c r="C2797" t="str">
        <f t="shared" si="829"/>
        <v>FFDFD3C0</v>
      </c>
      <c r="D2797" t="s">
        <v>113</v>
      </c>
      <c r="E2797">
        <v>24</v>
      </c>
      <c r="F2797">
        <v>2024</v>
      </c>
      <c r="G2797" t="s">
        <v>114</v>
      </c>
      <c r="J2797" t="s">
        <v>115</v>
      </c>
      <c r="K2797">
        <v>0</v>
      </c>
      <c r="L2797">
        <v>3</v>
      </c>
      <c r="M2797">
        <v>0</v>
      </c>
      <c r="N2797">
        <v>2</v>
      </c>
      <c r="O2797">
        <v>0</v>
      </c>
      <c r="P2797">
        <v>1</v>
      </c>
      <c r="Q2797">
        <v>0</v>
      </c>
      <c r="S2797" t="str">
        <f t="shared" si="836"/>
        <v>22:21:52.000</v>
      </c>
      <c r="T2797" t="str">
        <f t="shared" si="836"/>
        <v>22:21:52.000</v>
      </c>
      <c r="U2797" t="str">
        <f t="shared" si="823"/>
        <v>A9D71F</v>
      </c>
      <c r="V2797">
        <v>0</v>
      </c>
      <c r="W2797">
        <v>0</v>
      </c>
      <c r="X2797">
        <v>2</v>
      </c>
      <c r="Z2797">
        <v>1</v>
      </c>
      <c r="AA2797">
        <v>8</v>
      </c>
      <c r="AB2797">
        <v>3</v>
      </c>
      <c r="AC2797">
        <v>0</v>
      </c>
      <c r="AD2797">
        <v>9</v>
      </c>
      <c r="AE2797">
        <v>0</v>
      </c>
      <c r="AF2797">
        <v>3</v>
      </c>
      <c r="AG2797">
        <v>1</v>
      </c>
      <c r="AH2797">
        <v>0</v>
      </c>
      <c r="AI2797" t="s">
        <v>1406</v>
      </c>
      <c r="AJ2797">
        <v>33.000397999999997</v>
      </c>
      <c r="AK2797" t="s">
        <v>1407</v>
      </c>
      <c r="AL2797">
        <v>-97.665153000000004</v>
      </c>
      <c r="AM2797">
        <v>25</v>
      </c>
      <c r="AN2797">
        <v>1400</v>
      </c>
      <c r="AO2797" t="s">
        <v>118</v>
      </c>
      <c r="AP2797">
        <v>-31</v>
      </c>
      <c r="AQ2797">
        <v>-82</v>
      </c>
      <c r="AR2797">
        <v>-704</v>
      </c>
      <c r="AZ2797">
        <v>7700</v>
      </c>
      <c r="BA2797">
        <v>1</v>
      </c>
      <c r="BB2797" t="str">
        <f t="shared" si="830"/>
        <v xml:space="preserve">N733KP  </v>
      </c>
      <c r="BC2797">
        <v>1</v>
      </c>
      <c r="BE2797">
        <v>0</v>
      </c>
      <c r="BF2797">
        <v>0</v>
      </c>
      <c r="BG2797">
        <v>1</v>
      </c>
      <c r="BH2797">
        <v>1500</v>
      </c>
      <c r="BI2797">
        <v>1</v>
      </c>
      <c r="BJ2797">
        <v>1</v>
      </c>
      <c r="BK2797">
        <v>0</v>
      </c>
      <c r="BL2797">
        <v>0</v>
      </c>
      <c r="BO2797">
        <v>0</v>
      </c>
      <c r="BP2797">
        <v>0</v>
      </c>
      <c r="BW2797" t="str">
        <f>"22:21:52.833"</f>
        <v>22:21:52.833</v>
      </c>
      <c r="CJ2797">
        <v>0</v>
      </c>
      <c r="CK2797">
        <v>2</v>
      </c>
      <c r="CL2797">
        <v>0</v>
      </c>
      <c r="CM2797">
        <v>2</v>
      </c>
      <c r="CN2797">
        <v>0</v>
      </c>
      <c r="CO2797">
        <v>4</v>
      </c>
      <c r="CP2797" t="s">
        <v>119</v>
      </c>
      <c r="CQ2797">
        <v>365</v>
      </c>
      <c r="CR2797">
        <v>0</v>
      </c>
      <c r="CW2797">
        <v>11571451</v>
      </c>
      <c r="CY2797">
        <v>1</v>
      </c>
      <c r="CZ2797">
        <v>0</v>
      </c>
      <c r="DA2797">
        <v>1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3">
      <c r="A2798" t="str">
        <f>"03/24/2022 22:21:53.050"</f>
        <v>03/24/2022 22:21:53.050</v>
      </c>
      <c r="C2798" t="str">
        <f t="shared" si="829"/>
        <v>FFDFD3C0</v>
      </c>
      <c r="D2798" t="s">
        <v>126</v>
      </c>
      <c r="E2798">
        <v>3</v>
      </c>
      <c r="H2798">
        <v>160</v>
      </c>
      <c r="I2798" t="s">
        <v>121</v>
      </c>
      <c r="J2798" t="s">
        <v>127</v>
      </c>
      <c r="K2798">
        <v>0</v>
      </c>
      <c r="L2798">
        <v>3</v>
      </c>
      <c r="M2798">
        <v>0</v>
      </c>
      <c r="N2798">
        <v>2</v>
      </c>
      <c r="O2798">
        <v>0</v>
      </c>
      <c r="P2798">
        <v>1</v>
      </c>
      <c r="Q2798">
        <v>0</v>
      </c>
      <c r="S2798" t="str">
        <f t="shared" si="836"/>
        <v>22:21:52.000</v>
      </c>
      <c r="T2798" t="str">
        <f t="shared" si="836"/>
        <v>22:21:52.000</v>
      </c>
      <c r="U2798" t="str">
        <f t="shared" si="823"/>
        <v>A9D71F</v>
      </c>
      <c r="V2798">
        <v>0</v>
      </c>
      <c r="W2798">
        <v>0</v>
      </c>
      <c r="X2798">
        <v>2</v>
      </c>
      <c r="Z2798">
        <v>1</v>
      </c>
      <c r="AA2798">
        <v>8</v>
      </c>
      <c r="AB2798">
        <v>3</v>
      </c>
      <c r="AC2798">
        <v>0</v>
      </c>
      <c r="AD2798">
        <v>9</v>
      </c>
      <c r="AE2798">
        <v>0</v>
      </c>
      <c r="AF2798">
        <v>3</v>
      </c>
      <c r="AG2798">
        <v>1</v>
      </c>
      <c r="AH2798">
        <v>0</v>
      </c>
      <c r="AI2798" t="s">
        <v>1406</v>
      </c>
      <c r="AJ2798">
        <v>33.000397999999997</v>
      </c>
      <c r="AK2798" t="s">
        <v>1407</v>
      </c>
      <c r="AL2798">
        <v>-97.665153000000004</v>
      </c>
      <c r="AM2798">
        <v>25</v>
      </c>
      <c r="AN2798">
        <v>1400</v>
      </c>
      <c r="AO2798" t="s">
        <v>118</v>
      </c>
      <c r="AP2798">
        <v>-31</v>
      </c>
      <c r="AQ2798">
        <v>-82</v>
      </c>
      <c r="AR2798">
        <v>-704</v>
      </c>
      <c r="AZ2798">
        <v>7700</v>
      </c>
      <c r="BA2798">
        <v>1</v>
      </c>
      <c r="BB2798" t="str">
        <f t="shared" si="830"/>
        <v xml:space="preserve">N733KP  </v>
      </c>
      <c r="BC2798">
        <v>1</v>
      </c>
      <c r="BE2798">
        <v>0</v>
      </c>
      <c r="BF2798">
        <v>0</v>
      </c>
      <c r="BG2798">
        <v>1</v>
      </c>
      <c r="BH2798">
        <v>1500</v>
      </c>
      <c r="BI2798">
        <v>1</v>
      </c>
      <c r="BJ2798">
        <v>1</v>
      </c>
      <c r="BK2798">
        <v>0</v>
      </c>
      <c r="BL2798">
        <v>0</v>
      </c>
      <c r="BO2798">
        <v>0</v>
      </c>
      <c r="BP2798">
        <v>0</v>
      </c>
      <c r="BW2798" t="str">
        <f>"22:21:52.833"</f>
        <v>22:21:52.833</v>
      </c>
      <c r="CJ2798">
        <v>0</v>
      </c>
      <c r="CK2798">
        <v>2</v>
      </c>
      <c r="CL2798">
        <v>0</v>
      </c>
      <c r="CM2798">
        <v>2</v>
      </c>
      <c r="CN2798">
        <v>0</v>
      </c>
      <c r="CO2798">
        <v>4</v>
      </c>
      <c r="CP2798" t="s">
        <v>119</v>
      </c>
      <c r="CQ2798">
        <v>365</v>
      </c>
      <c r="CR2798">
        <v>0</v>
      </c>
      <c r="CW2798">
        <v>11571451</v>
      </c>
      <c r="CY2798">
        <v>1</v>
      </c>
      <c r="CZ2798">
        <v>0</v>
      </c>
      <c r="DA2798">
        <v>1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3">
      <c r="A2799" t="str">
        <f>"03/24/2022 22:21:53.619"</f>
        <v>03/24/2022 22:21:53.619</v>
      </c>
      <c r="C2799" t="str">
        <f t="shared" si="829"/>
        <v>FFDFD3C0</v>
      </c>
      <c r="D2799" t="s">
        <v>120</v>
      </c>
      <c r="E2799">
        <v>14</v>
      </c>
      <c r="F2799">
        <v>1014</v>
      </c>
      <c r="G2799" t="s">
        <v>121</v>
      </c>
      <c r="J2799" t="s">
        <v>122</v>
      </c>
      <c r="K2799">
        <v>0</v>
      </c>
      <c r="L2799">
        <v>3</v>
      </c>
      <c r="M2799">
        <v>0</v>
      </c>
      <c r="N2799">
        <v>2</v>
      </c>
      <c r="O2799">
        <v>0</v>
      </c>
      <c r="P2799">
        <v>1</v>
      </c>
      <c r="Q2799">
        <v>0</v>
      </c>
      <c r="S2799" t="str">
        <f t="shared" ref="S2799:T2802" si="837">"22:21:53.000"</f>
        <v>22:21:53.000</v>
      </c>
      <c r="T2799" t="str">
        <f t="shared" si="837"/>
        <v>22:21:53.000</v>
      </c>
      <c r="U2799" t="str">
        <f t="shared" si="823"/>
        <v>A9D71F</v>
      </c>
      <c r="V2799">
        <v>0</v>
      </c>
      <c r="W2799">
        <v>0</v>
      </c>
      <c r="X2799">
        <v>2</v>
      </c>
      <c r="Z2799">
        <v>1</v>
      </c>
      <c r="AA2799">
        <v>8</v>
      </c>
      <c r="AB2799">
        <v>3</v>
      </c>
      <c r="AC2799">
        <v>0</v>
      </c>
      <c r="AD2799">
        <v>9</v>
      </c>
      <c r="AE2799">
        <v>0</v>
      </c>
      <c r="AF2799">
        <v>3</v>
      </c>
      <c r="AG2799">
        <v>1</v>
      </c>
      <c r="AH2799">
        <v>0</v>
      </c>
      <c r="AI2799" t="s">
        <v>1408</v>
      </c>
      <c r="AJ2799">
        <v>33.000033000000002</v>
      </c>
      <c r="AK2799" t="s">
        <v>1409</v>
      </c>
      <c r="AL2799">
        <v>-97.665323999999998</v>
      </c>
      <c r="AM2799">
        <v>25</v>
      </c>
      <c r="AN2799">
        <v>1400</v>
      </c>
      <c r="AO2799" t="s">
        <v>118</v>
      </c>
      <c r="AP2799">
        <v>-30</v>
      </c>
      <c r="AQ2799">
        <v>-83</v>
      </c>
      <c r="AR2799">
        <v>-704</v>
      </c>
      <c r="AZ2799">
        <v>7700</v>
      </c>
      <c r="BA2799">
        <v>1</v>
      </c>
      <c r="BB2799" t="str">
        <f t="shared" si="830"/>
        <v xml:space="preserve">N733KP  </v>
      </c>
      <c r="BC2799">
        <v>1</v>
      </c>
      <c r="BE2799">
        <v>0</v>
      </c>
      <c r="BF2799">
        <v>0</v>
      </c>
      <c r="BG2799">
        <v>1</v>
      </c>
      <c r="BH2799">
        <v>1500</v>
      </c>
      <c r="BI2799">
        <v>1</v>
      </c>
      <c r="BJ2799">
        <v>1</v>
      </c>
      <c r="BK2799">
        <v>0</v>
      </c>
      <c r="BL2799">
        <v>0</v>
      </c>
      <c r="BO2799">
        <v>0</v>
      </c>
      <c r="BP2799">
        <v>0</v>
      </c>
      <c r="BW2799" t="str">
        <f>"22:21:53.437"</f>
        <v>22:21:53.437</v>
      </c>
      <c r="CJ2799">
        <v>0</v>
      </c>
      <c r="CK2799">
        <v>2</v>
      </c>
      <c r="CL2799">
        <v>0</v>
      </c>
      <c r="CM2799">
        <v>2</v>
      </c>
      <c r="CN2799">
        <v>0</v>
      </c>
      <c r="CO2799">
        <v>6</v>
      </c>
      <c r="CP2799" t="s">
        <v>119</v>
      </c>
      <c r="CQ2799">
        <v>364</v>
      </c>
      <c r="CR2799">
        <v>0</v>
      </c>
      <c r="CW2799">
        <v>1474898</v>
      </c>
      <c r="CY2799">
        <v>1</v>
      </c>
      <c r="CZ2799">
        <v>0</v>
      </c>
      <c r="DA2799">
        <v>0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3">
      <c r="A2800" t="str">
        <f>"03/24/2022 22:21:53.619"</f>
        <v>03/24/2022 22:21:53.619</v>
      </c>
      <c r="C2800" t="str">
        <f t="shared" si="829"/>
        <v>FFDFD3C0</v>
      </c>
      <c r="D2800" t="s">
        <v>123</v>
      </c>
      <c r="E2800">
        <v>8</v>
      </c>
      <c r="H2800">
        <v>31</v>
      </c>
      <c r="I2800" t="s">
        <v>124</v>
      </c>
      <c r="J2800" t="s">
        <v>125</v>
      </c>
      <c r="K2800">
        <v>0</v>
      </c>
      <c r="L2800">
        <v>3</v>
      </c>
      <c r="M2800">
        <v>0</v>
      </c>
      <c r="N2800">
        <v>2</v>
      </c>
      <c r="O2800">
        <v>0</v>
      </c>
      <c r="P2800">
        <v>1</v>
      </c>
      <c r="Q2800">
        <v>0</v>
      </c>
      <c r="S2800" t="str">
        <f t="shared" si="837"/>
        <v>22:21:53.000</v>
      </c>
      <c r="T2800" t="str">
        <f t="shared" si="837"/>
        <v>22:21:53.000</v>
      </c>
      <c r="U2800" t="str">
        <f t="shared" si="823"/>
        <v>A9D71F</v>
      </c>
      <c r="V2800">
        <v>0</v>
      </c>
      <c r="W2800">
        <v>0</v>
      </c>
      <c r="X2800">
        <v>2</v>
      </c>
      <c r="Z2800">
        <v>1</v>
      </c>
      <c r="AA2800">
        <v>8</v>
      </c>
      <c r="AB2800">
        <v>3</v>
      </c>
      <c r="AC2800">
        <v>0</v>
      </c>
      <c r="AD2800">
        <v>9</v>
      </c>
      <c r="AE2800">
        <v>0</v>
      </c>
      <c r="AF2800">
        <v>3</v>
      </c>
      <c r="AG2800">
        <v>1</v>
      </c>
      <c r="AH2800">
        <v>0</v>
      </c>
      <c r="AI2800" t="s">
        <v>1408</v>
      </c>
      <c r="AJ2800">
        <v>33.000033000000002</v>
      </c>
      <c r="AK2800" t="s">
        <v>1409</v>
      </c>
      <c r="AL2800">
        <v>-97.665323999999998</v>
      </c>
      <c r="AM2800">
        <v>25</v>
      </c>
      <c r="AN2800">
        <v>1400</v>
      </c>
      <c r="AO2800" t="s">
        <v>118</v>
      </c>
      <c r="AP2800">
        <v>-30</v>
      </c>
      <c r="AQ2800">
        <v>-83</v>
      </c>
      <c r="AR2800">
        <v>-704</v>
      </c>
      <c r="AZ2800">
        <v>7700</v>
      </c>
      <c r="BA2800">
        <v>1</v>
      </c>
      <c r="BB2800" t="str">
        <f t="shared" si="830"/>
        <v xml:space="preserve">N733KP  </v>
      </c>
      <c r="BC2800">
        <v>1</v>
      </c>
      <c r="BE2800">
        <v>0</v>
      </c>
      <c r="BF2800">
        <v>0</v>
      </c>
      <c r="BG2800">
        <v>1</v>
      </c>
      <c r="BH2800">
        <v>1500</v>
      </c>
      <c r="BI2800">
        <v>1</v>
      </c>
      <c r="BJ2800">
        <v>1</v>
      </c>
      <c r="BK2800">
        <v>0</v>
      </c>
      <c r="BL2800">
        <v>0</v>
      </c>
      <c r="BO2800">
        <v>0</v>
      </c>
      <c r="BP2800">
        <v>0</v>
      </c>
      <c r="BW2800" t="str">
        <f>"22:21:53.437"</f>
        <v>22:21:53.437</v>
      </c>
      <c r="CJ2800">
        <v>0</v>
      </c>
      <c r="CK2800">
        <v>2</v>
      </c>
      <c r="CL2800">
        <v>0</v>
      </c>
      <c r="CM2800">
        <v>2</v>
      </c>
      <c r="CN2800">
        <v>0</v>
      </c>
      <c r="CO2800">
        <v>6</v>
      </c>
      <c r="CP2800" t="s">
        <v>119</v>
      </c>
      <c r="CQ2800">
        <v>364</v>
      </c>
      <c r="CR2800">
        <v>0</v>
      </c>
      <c r="CW2800">
        <v>1474898</v>
      </c>
      <c r="CY2800">
        <v>1</v>
      </c>
      <c r="CZ2800">
        <v>0</v>
      </c>
      <c r="DA2800">
        <v>1</v>
      </c>
      <c r="DB2800">
        <v>0</v>
      </c>
      <c r="DC2800">
        <v>0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3">
      <c r="A2801" t="str">
        <f>"03/24/2022 22:21:53.666"</f>
        <v>03/24/2022 22:21:53.666</v>
      </c>
      <c r="C2801" t="str">
        <f t="shared" si="829"/>
        <v>FFDFD3C0</v>
      </c>
      <c r="D2801" t="s">
        <v>113</v>
      </c>
      <c r="E2801">
        <v>24</v>
      </c>
      <c r="F2801">
        <v>2024</v>
      </c>
      <c r="G2801" t="s">
        <v>114</v>
      </c>
      <c r="J2801" t="s">
        <v>115</v>
      </c>
      <c r="K2801">
        <v>0</v>
      </c>
      <c r="L2801">
        <v>3</v>
      </c>
      <c r="M2801">
        <v>0</v>
      </c>
      <c r="N2801">
        <v>2</v>
      </c>
      <c r="O2801">
        <v>0</v>
      </c>
      <c r="P2801">
        <v>1</v>
      </c>
      <c r="Q2801">
        <v>0</v>
      </c>
      <c r="S2801" t="str">
        <f t="shared" si="837"/>
        <v>22:21:53.000</v>
      </c>
      <c r="T2801" t="str">
        <f t="shared" si="837"/>
        <v>22:21:53.000</v>
      </c>
      <c r="U2801" t="str">
        <f t="shared" si="823"/>
        <v>A9D71F</v>
      </c>
      <c r="V2801">
        <v>0</v>
      </c>
      <c r="W2801">
        <v>0</v>
      </c>
      <c r="X2801">
        <v>2</v>
      </c>
      <c r="Z2801">
        <v>1</v>
      </c>
      <c r="AA2801">
        <v>8</v>
      </c>
      <c r="AB2801">
        <v>3</v>
      </c>
      <c r="AC2801">
        <v>0</v>
      </c>
      <c r="AD2801">
        <v>9</v>
      </c>
      <c r="AE2801">
        <v>0</v>
      </c>
      <c r="AF2801">
        <v>3</v>
      </c>
      <c r="AG2801">
        <v>1</v>
      </c>
      <c r="AH2801">
        <v>0</v>
      </c>
      <c r="AI2801" t="s">
        <v>1408</v>
      </c>
      <c r="AJ2801">
        <v>33.000033000000002</v>
      </c>
      <c r="AK2801" t="s">
        <v>1409</v>
      </c>
      <c r="AL2801">
        <v>-97.665323999999998</v>
      </c>
      <c r="AM2801">
        <v>25</v>
      </c>
      <c r="AN2801">
        <v>1400</v>
      </c>
      <c r="AO2801" t="s">
        <v>118</v>
      </c>
      <c r="AP2801">
        <v>-30</v>
      </c>
      <c r="AQ2801">
        <v>-83</v>
      </c>
      <c r="AR2801">
        <v>-704</v>
      </c>
      <c r="AZ2801">
        <v>7700</v>
      </c>
      <c r="BA2801">
        <v>1</v>
      </c>
      <c r="BB2801" t="str">
        <f t="shared" si="830"/>
        <v xml:space="preserve">N733KP  </v>
      </c>
      <c r="BC2801">
        <v>1</v>
      </c>
      <c r="BE2801">
        <v>0</v>
      </c>
      <c r="BF2801">
        <v>0</v>
      </c>
      <c r="BG2801">
        <v>1</v>
      </c>
      <c r="BH2801">
        <v>1500</v>
      </c>
      <c r="BI2801">
        <v>1</v>
      </c>
      <c r="BJ2801">
        <v>1</v>
      </c>
      <c r="BK2801">
        <v>0</v>
      </c>
      <c r="BL2801">
        <v>0</v>
      </c>
      <c r="BO2801">
        <v>0</v>
      </c>
      <c r="BP2801">
        <v>0</v>
      </c>
      <c r="BW2801" t="str">
        <f>"22:21:53.437"</f>
        <v>22:21:53.437</v>
      </c>
      <c r="CJ2801">
        <v>0</v>
      </c>
      <c r="CK2801">
        <v>2</v>
      </c>
      <c r="CL2801">
        <v>0</v>
      </c>
      <c r="CM2801">
        <v>2</v>
      </c>
      <c r="CN2801">
        <v>0</v>
      </c>
      <c r="CO2801">
        <v>6</v>
      </c>
      <c r="CP2801" t="s">
        <v>119</v>
      </c>
      <c r="CQ2801">
        <v>364</v>
      </c>
      <c r="CR2801">
        <v>0</v>
      </c>
      <c r="CW2801">
        <v>1474898</v>
      </c>
      <c r="CY2801">
        <v>1</v>
      </c>
      <c r="CZ2801">
        <v>0</v>
      </c>
      <c r="DA2801">
        <v>1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3">
      <c r="A2802" t="str">
        <f>"03/24/2022 22:21:53.666"</f>
        <v>03/24/2022 22:21:53.666</v>
      </c>
      <c r="C2802" t="str">
        <f t="shared" si="829"/>
        <v>FFDFD3C0</v>
      </c>
      <c r="D2802" t="s">
        <v>126</v>
      </c>
      <c r="E2802">
        <v>3</v>
      </c>
      <c r="H2802">
        <v>160</v>
      </c>
      <c r="I2802" t="s">
        <v>121</v>
      </c>
      <c r="J2802" t="s">
        <v>127</v>
      </c>
      <c r="K2802">
        <v>0</v>
      </c>
      <c r="L2802">
        <v>3</v>
      </c>
      <c r="M2802">
        <v>0</v>
      </c>
      <c r="N2802">
        <v>2</v>
      </c>
      <c r="O2802">
        <v>0</v>
      </c>
      <c r="P2802">
        <v>1</v>
      </c>
      <c r="Q2802">
        <v>0</v>
      </c>
      <c r="S2802" t="str">
        <f t="shared" si="837"/>
        <v>22:21:53.000</v>
      </c>
      <c r="T2802" t="str">
        <f t="shared" si="837"/>
        <v>22:21:53.000</v>
      </c>
      <c r="U2802" t="str">
        <f t="shared" si="823"/>
        <v>A9D71F</v>
      </c>
      <c r="V2802">
        <v>0</v>
      </c>
      <c r="W2802">
        <v>0</v>
      </c>
      <c r="X2802">
        <v>2</v>
      </c>
      <c r="Z2802">
        <v>1</v>
      </c>
      <c r="AA2802">
        <v>8</v>
      </c>
      <c r="AB2802">
        <v>3</v>
      </c>
      <c r="AC2802">
        <v>0</v>
      </c>
      <c r="AD2802">
        <v>9</v>
      </c>
      <c r="AE2802">
        <v>0</v>
      </c>
      <c r="AF2802">
        <v>3</v>
      </c>
      <c r="AG2802">
        <v>1</v>
      </c>
      <c r="AH2802">
        <v>0</v>
      </c>
      <c r="AI2802" t="s">
        <v>1408</v>
      </c>
      <c r="AJ2802">
        <v>33.000033000000002</v>
      </c>
      <c r="AK2802" t="s">
        <v>1409</v>
      </c>
      <c r="AL2802">
        <v>-97.665323999999998</v>
      </c>
      <c r="AM2802">
        <v>25</v>
      </c>
      <c r="AN2802">
        <v>1400</v>
      </c>
      <c r="AO2802" t="s">
        <v>118</v>
      </c>
      <c r="AP2802">
        <v>-30</v>
      </c>
      <c r="AQ2802">
        <v>-83</v>
      </c>
      <c r="AR2802">
        <v>-704</v>
      </c>
      <c r="AZ2802">
        <v>7700</v>
      </c>
      <c r="BA2802">
        <v>1</v>
      </c>
      <c r="BB2802" t="str">
        <f t="shared" si="830"/>
        <v xml:space="preserve">N733KP  </v>
      </c>
      <c r="BC2802">
        <v>1</v>
      </c>
      <c r="BE2802">
        <v>0</v>
      </c>
      <c r="BF2802">
        <v>0</v>
      </c>
      <c r="BG2802">
        <v>1</v>
      </c>
      <c r="BH2802">
        <v>1500</v>
      </c>
      <c r="BI2802">
        <v>1</v>
      </c>
      <c r="BJ2802">
        <v>1</v>
      </c>
      <c r="BK2802">
        <v>0</v>
      </c>
      <c r="BL2802">
        <v>0</v>
      </c>
      <c r="BO2802">
        <v>0</v>
      </c>
      <c r="BP2802">
        <v>0</v>
      </c>
      <c r="BW2802" t="str">
        <f>"22:21:53.437"</f>
        <v>22:21:53.437</v>
      </c>
      <c r="CJ2802">
        <v>0</v>
      </c>
      <c r="CK2802">
        <v>2</v>
      </c>
      <c r="CL2802">
        <v>0</v>
      </c>
      <c r="CM2802">
        <v>2</v>
      </c>
      <c r="CN2802">
        <v>0</v>
      </c>
      <c r="CO2802">
        <v>6</v>
      </c>
      <c r="CP2802" t="s">
        <v>119</v>
      </c>
      <c r="CQ2802">
        <v>364</v>
      </c>
      <c r="CR2802">
        <v>0</v>
      </c>
      <c r="CW2802">
        <v>1474898</v>
      </c>
      <c r="CY2802">
        <v>1</v>
      </c>
      <c r="CZ2802">
        <v>0</v>
      </c>
      <c r="DA2802">
        <v>1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3">
      <c r="A2803" t="str">
        <f>"03/24/2022 22:21:55.119"</f>
        <v>03/24/2022 22:21:55.119</v>
      </c>
      <c r="C2803" t="str">
        <f t="shared" si="829"/>
        <v>FFDFD3C0</v>
      </c>
      <c r="D2803" t="s">
        <v>120</v>
      </c>
      <c r="E2803">
        <v>14</v>
      </c>
      <c r="F2803">
        <v>1014</v>
      </c>
      <c r="G2803" t="s">
        <v>121</v>
      </c>
      <c r="J2803" t="s">
        <v>122</v>
      </c>
      <c r="K2803">
        <v>0</v>
      </c>
      <c r="L2803">
        <v>3</v>
      </c>
      <c r="M2803">
        <v>0</v>
      </c>
      <c r="N2803">
        <v>2</v>
      </c>
      <c r="O2803">
        <v>0</v>
      </c>
      <c r="P2803">
        <v>1</v>
      </c>
      <c r="Q2803">
        <v>0</v>
      </c>
      <c r="S2803" t="str">
        <f t="shared" ref="S2803:T2806" si="838">"22:21:54.000"</f>
        <v>22:21:54.000</v>
      </c>
      <c r="T2803" t="str">
        <f t="shared" si="838"/>
        <v>22:21:54.000</v>
      </c>
      <c r="U2803" t="str">
        <f t="shared" si="823"/>
        <v>A9D71F</v>
      </c>
      <c r="V2803">
        <v>0</v>
      </c>
      <c r="W2803">
        <v>0</v>
      </c>
      <c r="X2803">
        <v>2</v>
      </c>
      <c r="Z2803">
        <v>1</v>
      </c>
      <c r="AA2803">
        <v>8</v>
      </c>
      <c r="AB2803">
        <v>3</v>
      </c>
      <c r="AC2803">
        <v>0</v>
      </c>
      <c r="AD2803">
        <v>9</v>
      </c>
      <c r="AE2803">
        <v>0</v>
      </c>
      <c r="AF2803">
        <v>3</v>
      </c>
      <c r="AG2803">
        <v>1</v>
      </c>
      <c r="AH2803">
        <v>0</v>
      </c>
      <c r="AI2803" t="s">
        <v>1410</v>
      </c>
      <c r="AJ2803">
        <v>32.999625000000002</v>
      </c>
      <c r="AK2803" t="s">
        <v>1411</v>
      </c>
      <c r="AL2803">
        <v>-97.665474000000003</v>
      </c>
      <c r="AM2803">
        <v>25</v>
      </c>
      <c r="AN2803">
        <v>1400</v>
      </c>
      <c r="AO2803" t="s">
        <v>118</v>
      </c>
      <c r="AP2803">
        <v>-27</v>
      </c>
      <c r="AQ2803">
        <v>-82</v>
      </c>
      <c r="AR2803">
        <v>-640</v>
      </c>
      <c r="AZ2803">
        <v>7700</v>
      </c>
      <c r="BA2803">
        <v>1</v>
      </c>
      <c r="BB2803" t="str">
        <f t="shared" si="830"/>
        <v xml:space="preserve">N733KP  </v>
      </c>
      <c r="BC2803">
        <v>1</v>
      </c>
      <c r="BE2803">
        <v>0</v>
      </c>
      <c r="BF2803">
        <v>0</v>
      </c>
      <c r="BG2803">
        <v>1</v>
      </c>
      <c r="BH2803">
        <v>1450</v>
      </c>
      <c r="BI2803">
        <v>1</v>
      </c>
      <c r="BJ2803">
        <v>1</v>
      </c>
      <c r="BK2803">
        <v>0</v>
      </c>
      <c r="BL2803">
        <v>0</v>
      </c>
      <c r="BO2803">
        <v>0</v>
      </c>
      <c r="BP2803">
        <v>0</v>
      </c>
      <c r="BW2803" t="str">
        <f>"22:21:54.911"</f>
        <v>22:21:54.911</v>
      </c>
      <c r="CJ2803">
        <v>0</v>
      </c>
      <c r="CK2803">
        <v>2</v>
      </c>
      <c r="CL2803">
        <v>0</v>
      </c>
      <c r="CM2803">
        <v>2</v>
      </c>
      <c r="CN2803">
        <v>0</v>
      </c>
      <c r="CO2803">
        <v>6</v>
      </c>
      <c r="CP2803" t="s">
        <v>119</v>
      </c>
      <c r="CQ2803">
        <v>364</v>
      </c>
      <c r="CR2803">
        <v>0</v>
      </c>
      <c r="CW2803">
        <v>1475138</v>
      </c>
      <c r="CY2803">
        <v>1</v>
      </c>
      <c r="CZ2803">
        <v>0</v>
      </c>
      <c r="DA2803">
        <v>0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3">
      <c r="A2804" t="str">
        <f>"03/24/2022 22:21:55.135"</f>
        <v>03/24/2022 22:21:55.135</v>
      </c>
      <c r="C2804" t="str">
        <f t="shared" si="829"/>
        <v>FFDFD3C0</v>
      </c>
      <c r="D2804" t="s">
        <v>123</v>
      </c>
      <c r="E2804">
        <v>8</v>
      </c>
      <c r="H2804">
        <v>31</v>
      </c>
      <c r="I2804" t="s">
        <v>124</v>
      </c>
      <c r="J2804" t="s">
        <v>125</v>
      </c>
      <c r="K2804">
        <v>0</v>
      </c>
      <c r="L2804">
        <v>3</v>
      </c>
      <c r="M2804">
        <v>0</v>
      </c>
      <c r="N2804">
        <v>2</v>
      </c>
      <c r="O2804">
        <v>0</v>
      </c>
      <c r="P2804">
        <v>1</v>
      </c>
      <c r="Q2804">
        <v>0</v>
      </c>
      <c r="S2804" t="str">
        <f t="shared" si="838"/>
        <v>22:21:54.000</v>
      </c>
      <c r="T2804" t="str">
        <f t="shared" si="838"/>
        <v>22:21:54.000</v>
      </c>
      <c r="U2804" t="str">
        <f t="shared" si="823"/>
        <v>A9D71F</v>
      </c>
      <c r="V2804">
        <v>0</v>
      </c>
      <c r="W2804">
        <v>0</v>
      </c>
      <c r="X2804">
        <v>2</v>
      </c>
      <c r="Z2804">
        <v>1</v>
      </c>
      <c r="AA2804">
        <v>8</v>
      </c>
      <c r="AB2804">
        <v>3</v>
      </c>
      <c r="AC2804">
        <v>0</v>
      </c>
      <c r="AD2804">
        <v>9</v>
      </c>
      <c r="AE2804">
        <v>0</v>
      </c>
      <c r="AF2804">
        <v>3</v>
      </c>
      <c r="AG2804">
        <v>1</v>
      </c>
      <c r="AH2804">
        <v>0</v>
      </c>
      <c r="AI2804" t="s">
        <v>1410</v>
      </c>
      <c r="AJ2804">
        <v>32.999625000000002</v>
      </c>
      <c r="AK2804" t="s">
        <v>1411</v>
      </c>
      <c r="AL2804">
        <v>-97.665474000000003</v>
      </c>
      <c r="AM2804">
        <v>25</v>
      </c>
      <c r="AN2804">
        <v>1400</v>
      </c>
      <c r="AO2804" t="s">
        <v>118</v>
      </c>
      <c r="AP2804">
        <v>-27</v>
      </c>
      <c r="AQ2804">
        <v>-82</v>
      </c>
      <c r="AR2804">
        <v>-640</v>
      </c>
      <c r="AZ2804">
        <v>7700</v>
      </c>
      <c r="BA2804">
        <v>1</v>
      </c>
      <c r="BB2804" t="str">
        <f t="shared" si="830"/>
        <v xml:space="preserve">N733KP  </v>
      </c>
      <c r="BC2804">
        <v>1</v>
      </c>
      <c r="BE2804">
        <v>0</v>
      </c>
      <c r="BF2804">
        <v>0</v>
      </c>
      <c r="BG2804">
        <v>1</v>
      </c>
      <c r="BH2804">
        <v>1450</v>
      </c>
      <c r="BI2804">
        <v>1</v>
      </c>
      <c r="BJ2804">
        <v>1</v>
      </c>
      <c r="BK2804">
        <v>0</v>
      </c>
      <c r="BL2804">
        <v>0</v>
      </c>
      <c r="BO2804">
        <v>0</v>
      </c>
      <c r="BP2804">
        <v>0</v>
      </c>
      <c r="BW2804" t="str">
        <f>"22:21:54.911"</f>
        <v>22:21:54.911</v>
      </c>
      <c r="CJ2804">
        <v>0</v>
      </c>
      <c r="CK2804">
        <v>2</v>
      </c>
      <c r="CL2804">
        <v>0</v>
      </c>
      <c r="CM2804">
        <v>2</v>
      </c>
      <c r="CN2804">
        <v>0</v>
      </c>
      <c r="CO2804">
        <v>6</v>
      </c>
      <c r="CP2804" t="s">
        <v>119</v>
      </c>
      <c r="CQ2804">
        <v>364</v>
      </c>
      <c r="CR2804">
        <v>0</v>
      </c>
      <c r="CW2804">
        <v>1475138</v>
      </c>
      <c r="CY2804">
        <v>1</v>
      </c>
      <c r="CZ2804">
        <v>0</v>
      </c>
      <c r="DA2804">
        <v>1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3">
      <c r="A2805" t="str">
        <f>"03/24/2022 22:21:55.135"</f>
        <v>03/24/2022 22:21:55.135</v>
      </c>
      <c r="C2805" t="str">
        <f t="shared" si="829"/>
        <v>FFDFD3C0</v>
      </c>
      <c r="D2805" t="s">
        <v>113</v>
      </c>
      <c r="E2805">
        <v>24</v>
      </c>
      <c r="F2805">
        <v>2024</v>
      </c>
      <c r="G2805" t="s">
        <v>114</v>
      </c>
      <c r="J2805" t="s">
        <v>115</v>
      </c>
      <c r="K2805">
        <v>0</v>
      </c>
      <c r="L2805">
        <v>3</v>
      </c>
      <c r="M2805">
        <v>0</v>
      </c>
      <c r="N2805">
        <v>2</v>
      </c>
      <c r="O2805">
        <v>0</v>
      </c>
      <c r="P2805">
        <v>1</v>
      </c>
      <c r="Q2805">
        <v>0</v>
      </c>
      <c r="S2805" t="str">
        <f t="shared" si="838"/>
        <v>22:21:54.000</v>
      </c>
      <c r="T2805" t="str">
        <f t="shared" si="838"/>
        <v>22:21:54.000</v>
      </c>
      <c r="U2805" t="str">
        <f t="shared" si="823"/>
        <v>A9D71F</v>
      </c>
      <c r="V2805">
        <v>0</v>
      </c>
      <c r="W2805">
        <v>0</v>
      </c>
      <c r="X2805">
        <v>2</v>
      </c>
      <c r="Z2805">
        <v>1</v>
      </c>
      <c r="AA2805">
        <v>8</v>
      </c>
      <c r="AB2805">
        <v>3</v>
      </c>
      <c r="AC2805">
        <v>0</v>
      </c>
      <c r="AD2805">
        <v>9</v>
      </c>
      <c r="AE2805">
        <v>0</v>
      </c>
      <c r="AF2805">
        <v>3</v>
      </c>
      <c r="AG2805">
        <v>1</v>
      </c>
      <c r="AH2805">
        <v>0</v>
      </c>
      <c r="AI2805" t="s">
        <v>1410</v>
      </c>
      <c r="AJ2805">
        <v>32.999625000000002</v>
      </c>
      <c r="AK2805" t="s">
        <v>1411</v>
      </c>
      <c r="AL2805">
        <v>-97.665474000000003</v>
      </c>
      <c r="AM2805">
        <v>25</v>
      </c>
      <c r="AN2805">
        <v>1400</v>
      </c>
      <c r="AO2805" t="s">
        <v>118</v>
      </c>
      <c r="AP2805">
        <v>-27</v>
      </c>
      <c r="AQ2805">
        <v>-82</v>
      </c>
      <c r="AR2805">
        <v>-640</v>
      </c>
      <c r="AZ2805">
        <v>7700</v>
      </c>
      <c r="BA2805">
        <v>1</v>
      </c>
      <c r="BB2805" t="str">
        <f t="shared" si="830"/>
        <v xml:space="preserve">N733KP  </v>
      </c>
      <c r="BC2805">
        <v>1</v>
      </c>
      <c r="BE2805">
        <v>0</v>
      </c>
      <c r="BF2805">
        <v>0</v>
      </c>
      <c r="BG2805">
        <v>1</v>
      </c>
      <c r="BH2805">
        <v>1450</v>
      </c>
      <c r="BI2805">
        <v>1</v>
      </c>
      <c r="BJ2805">
        <v>1</v>
      </c>
      <c r="BK2805">
        <v>0</v>
      </c>
      <c r="BL2805">
        <v>0</v>
      </c>
      <c r="BO2805">
        <v>0</v>
      </c>
      <c r="BP2805">
        <v>0</v>
      </c>
      <c r="BW2805" t="str">
        <f>"22:21:54.911"</f>
        <v>22:21:54.911</v>
      </c>
      <c r="CJ2805">
        <v>0</v>
      </c>
      <c r="CK2805">
        <v>2</v>
      </c>
      <c r="CL2805">
        <v>0</v>
      </c>
      <c r="CM2805">
        <v>2</v>
      </c>
      <c r="CN2805">
        <v>0</v>
      </c>
      <c r="CO2805">
        <v>6</v>
      </c>
      <c r="CP2805" t="s">
        <v>119</v>
      </c>
      <c r="CQ2805">
        <v>364</v>
      </c>
      <c r="CR2805">
        <v>0</v>
      </c>
      <c r="CW2805">
        <v>1475138</v>
      </c>
      <c r="CY2805">
        <v>1</v>
      </c>
      <c r="CZ2805">
        <v>0</v>
      </c>
      <c r="DA2805">
        <v>1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3">
      <c r="A2806" t="str">
        <f>"03/24/2022 22:21:55.135"</f>
        <v>03/24/2022 22:21:55.135</v>
      </c>
      <c r="C2806" t="str">
        <f t="shared" si="829"/>
        <v>FFDFD3C0</v>
      </c>
      <c r="D2806" t="s">
        <v>126</v>
      </c>
      <c r="E2806">
        <v>3</v>
      </c>
      <c r="H2806">
        <v>160</v>
      </c>
      <c r="I2806" t="s">
        <v>121</v>
      </c>
      <c r="J2806" t="s">
        <v>127</v>
      </c>
      <c r="K2806">
        <v>0</v>
      </c>
      <c r="L2806">
        <v>3</v>
      </c>
      <c r="M2806">
        <v>0</v>
      </c>
      <c r="N2806">
        <v>2</v>
      </c>
      <c r="O2806">
        <v>0</v>
      </c>
      <c r="P2806">
        <v>1</v>
      </c>
      <c r="Q2806">
        <v>0</v>
      </c>
      <c r="S2806" t="str">
        <f t="shared" si="838"/>
        <v>22:21:54.000</v>
      </c>
      <c r="T2806" t="str">
        <f t="shared" si="838"/>
        <v>22:21:54.000</v>
      </c>
      <c r="U2806" t="str">
        <f t="shared" si="823"/>
        <v>A9D71F</v>
      </c>
      <c r="V2806">
        <v>0</v>
      </c>
      <c r="W2806">
        <v>0</v>
      </c>
      <c r="X2806">
        <v>2</v>
      </c>
      <c r="Z2806">
        <v>1</v>
      </c>
      <c r="AA2806">
        <v>8</v>
      </c>
      <c r="AB2806">
        <v>3</v>
      </c>
      <c r="AC2806">
        <v>0</v>
      </c>
      <c r="AD2806">
        <v>9</v>
      </c>
      <c r="AE2806">
        <v>0</v>
      </c>
      <c r="AF2806">
        <v>3</v>
      </c>
      <c r="AG2806">
        <v>1</v>
      </c>
      <c r="AH2806">
        <v>0</v>
      </c>
      <c r="AI2806" t="s">
        <v>1410</v>
      </c>
      <c r="AJ2806">
        <v>32.999625000000002</v>
      </c>
      <c r="AK2806" t="s">
        <v>1411</v>
      </c>
      <c r="AL2806">
        <v>-97.665474000000003</v>
      </c>
      <c r="AM2806">
        <v>25</v>
      </c>
      <c r="AN2806">
        <v>1400</v>
      </c>
      <c r="AO2806" t="s">
        <v>118</v>
      </c>
      <c r="AP2806">
        <v>-27</v>
      </c>
      <c r="AQ2806">
        <v>-82</v>
      </c>
      <c r="AR2806">
        <v>-640</v>
      </c>
      <c r="AZ2806">
        <v>7700</v>
      </c>
      <c r="BA2806">
        <v>1</v>
      </c>
      <c r="BB2806" t="str">
        <f t="shared" si="830"/>
        <v xml:space="preserve">N733KP  </v>
      </c>
      <c r="BC2806">
        <v>1</v>
      </c>
      <c r="BE2806">
        <v>0</v>
      </c>
      <c r="BF2806">
        <v>0</v>
      </c>
      <c r="BG2806">
        <v>1</v>
      </c>
      <c r="BH2806">
        <v>1450</v>
      </c>
      <c r="BI2806">
        <v>1</v>
      </c>
      <c r="BJ2806">
        <v>1</v>
      </c>
      <c r="BK2806">
        <v>0</v>
      </c>
      <c r="BL2806">
        <v>0</v>
      </c>
      <c r="BO2806">
        <v>0</v>
      </c>
      <c r="BP2806">
        <v>0</v>
      </c>
      <c r="BW2806" t="str">
        <f>"22:21:54.911"</f>
        <v>22:21:54.911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6</v>
      </c>
      <c r="CP2806" t="s">
        <v>119</v>
      </c>
      <c r="CQ2806">
        <v>364</v>
      </c>
      <c r="CR2806">
        <v>0</v>
      </c>
      <c r="CW2806">
        <v>1475138</v>
      </c>
      <c r="CY2806">
        <v>1</v>
      </c>
      <c r="CZ2806">
        <v>0</v>
      </c>
      <c r="DA2806">
        <v>1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3">
      <c r="A2807" t="str">
        <f>"03/24/2022 22:21:55.729"</f>
        <v>03/24/2022 22:21:55.729</v>
      </c>
      <c r="C2807" t="str">
        <f t="shared" si="829"/>
        <v>FFDFD3C0</v>
      </c>
      <c r="D2807" t="s">
        <v>123</v>
      </c>
      <c r="E2807">
        <v>8</v>
      </c>
      <c r="H2807">
        <v>31</v>
      </c>
      <c r="I2807" t="s">
        <v>124</v>
      </c>
      <c r="J2807" t="s">
        <v>125</v>
      </c>
      <c r="K2807">
        <v>0</v>
      </c>
      <c r="L2807">
        <v>3</v>
      </c>
      <c r="M2807">
        <v>0</v>
      </c>
      <c r="N2807">
        <v>2</v>
      </c>
      <c r="O2807">
        <v>0</v>
      </c>
      <c r="P2807">
        <v>1</v>
      </c>
      <c r="Q2807">
        <v>0</v>
      </c>
      <c r="S2807" t="str">
        <f t="shared" ref="S2807:T2810" si="839">"22:21:55.000"</f>
        <v>22:21:55.000</v>
      </c>
      <c r="T2807" t="str">
        <f t="shared" si="839"/>
        <v>22:21:55.000</v>
      </c>
      <c r="U2807" t="str">
        <f t="shared" si="823"/>
        <v>A9D71F</v>
      </c>
      <c r="V2807">
        <v>0</v>
      </c>
      <c r="W2807">
        <v>0</v>
      </c>
      <c r="X2807">
        <v>2</v>
      </c>
      <c r="Z2807">
        <v>1</v>
      </c>
      <c r="AA2807">
        <v>8</v>
      </c>
      <c r="AB2807">
        <v>3</v>
      </c>
      <c r="AC2807">
        <v>0</v>
      </c>
      <c r="AD2807">
        <v>9</v>
      </c>
      <c r="AE2807">
        <v>0</v>
      </c>
      <c r="AF2807">
        <v>3</v>
      </c>
      <c r="AG2807">
        <v>1</v>
      </c>
      <c r="AH2807">
        <v>0</v>
      </c>
      <c r="AI2807" t="s">
        <v>1412</v>
      </c>
      <c r="AJ2807">
        <v>32.99926</v>
      </c>
      <c r="AK2807" t="s">
        <v>1413</v>
      </c>
      <c r="AL2807">
        <v>-97.665645999999995</v>
      </c>
      <c r="AM2807">
        <v>25</v>
      </c>
      <c r="AN2807">
        <v>1400</v>
      </c>
      <c r="AO2807" t="s">
        <v>118</v>
      </c>
      <c r="AP2807">
        <v>-26</v>
      </c>
      <c r="AQ2807">
        <v>-83</v>
      </c>
      <c r="AR2807">
        <v>-640</v>
      </c>
      <c r="AZ2807">
        <v>7700</v>
      </c>
      <c r="BA2807">
        <v>1</v>
      </c>
      <c r="BB2807" t="str">
        <f t="shared" si="830"/>
        <v xml:space="preserve">N733KP  </v>
      </c>
      <c r="BC2807">
        <v>1</v>
      </c>
      <c r="BE2807">
        <v>0</v>
      </c>
      <c r="BF2807">
        <v>0</v>
      </c>
      <c r="BG2807">
        <v>1</v>
      </c>
      <c r="BH2807">
        <v>1450</v>
      </c>
      <c r="BI2807">
        <v>1</v>
      </c>
      <c r="BJ2807">
        <v>1</v>
      </c>
      <c r="BK2807">
        <v>0</v>
      </c>
      <c r="BL2807">
        <v>0</v>
      </c>
      <c r="BO2807">
        <v>0</v>
      </c>
      <c r="BP2807">
        <v>0</v>
      </c>
      <c r="BW2807" t="str">
        <f>"22:21:55.511"</f>
        <v>22:21:55.511</v>
      </c>
      <c r="CJ2807">
        <v>0</v>
      </c>
      <c r="CK2807">
        <v>2</v>
      </c>
      <c r="CL2807">
        <v>0</v>
      </c>
      <c r="CM2807">
        <v>2</v>
      </c>
      <c r="CN2807">
        <v>0</v>
      </c>
      <c r="CO2807">
        <v>6</v>
      </c>
      <c r="CP2807" t="s">
        <v>119</v>
      </c>
      <c r="CQ2807">
        <v>364</v>
      </c>
      <c r="CR2807">
        <v>0</v>
      </c>
      <c r="CW2807">
        <v>1475228</v>
      </c>
      <c r="CY2807">
        <v>1</v>
      </c>
      <c r="CZ2807">
        <v>0</v>
      </c>
      <c r="DA2807">
        <v>0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3">
      <c r="A2808" t="str">
        <f>"03/24/2022 22:21:55.729"</f>
        <v>03/24/2022 22:21:55.729</v>
      </c>
      <c r="C2808" t="str">
        <f t="shared" si="829"/>
        <v>FFDFD3C0</v>
      </c>
      <c r="D2808" t="s">
        <v>113</v>
      </c>
      <c r="E2808">
        <v>24</v>
      </c>
      <c r="F2808">
        <v>2024</v>
      </c>
      <c r="G2808" t="s">
        <v>114</v>
      </c>
      <c r="J2808" t="s">
        <v>115</v>
      </c>
      <c r="K2808">
        <v>0</v>
      </c>
      <c r="L2808">
        <v>3</v>
      </c>
      <c r="M2808">
        <v>0</v>
      </c>
      <c r="N2808">
        <v>2</v>
      </c>
      <c r="O2808">
        <v>0</v>
      </c>
      <c r="P2808">
        <v>1</v>
      </c>
      <c r="Q2808">
        <v>0</v>
      </c>
      <c r="S2808" t="str">
        <f t="shared" si="839"/>
        <v>22:21:55.000</v>
      </c>
      <c r="T2808" t="str">
        <f t="shared" si="839"/>
        <v>22:21:55.000</v>
      </c>
      <c r="U2808" t="str">
        <f t="shared" si="823"/>
        <v>A9D71F</v>
      </c>
      <c r="V2808">
        <v>0</v>
      </c>
      <c r="W2808">
        <v>0</v>
      </c>
      <c r="X2808">
        <v>2</v>
      </c>
      <c r="Z2808">
        <v>1</v>
      </c>
      <c r="AA2808">
        <v>8</v>
      </c>
      <c r="AB2808">
        <v>3</v>
      </c>
      <c r="AC2808">
        <v>0</v>
      </c>
      <c r="AD2808">
        <v>9</v>
      </c>
      <c r="AE2808">
        <v>0</v>
      </c>
      <c r="AF2808">
        <v>3</v>
      </c>
      <c r="AG2808">
        <v>1</v>
      </c>
      <c r="AH2808">
        <v>0</v>
      </c>
      <c r="AI2808" t="s">
        <v>1412</v>
      </c>
      <c r="AJ2808">
        <v>32.99926</v>
      </c>
      <c r="AK2808" t="s">
        <v>1413</v>
      </c>
      <c r="AL2808">
        <v>-97.665645999999995</v>
      </c>
      <c r="AM2808">
        <v>25</v>
      </c>
      <c r="AN2808">
        <v>1400</v>
      </c>
      <c r="AO2808" t="s">
        <v>118</v>
      </c>
      <c r="AP2808">
        <v>-26</v>
      </c>
      <c r="AQ2808">
        <v>-83</v>
      </c>
      <c r="AR2808">
        <v>-640</v>
      </c>
      <c r="AZ2808">
        <v>7700</v>
      </c>
      <c r="BA2808">
        <v>1</v>
      </c>
      <c r="BB2808" t="str">
        <f t="shared" si="830"/>
        <v xml:space="preserve">N733KP  </v>
      </c>
      <c r="BC2808">
        <v>1</v>
      </c>
      <c r="BE2808">
        <v>0</v>
      </c>
      <c r="BF2808">
        <v>0</v>
      </c>
      <c r="BG2808">
        <v>1</v>
      </c>
      <c r="BH2808">
        <v>1450</v>
      </c>
      <c r="BI2808">
        <v>1</v>
      </c>
      <c r="BJ2808">
        <v>1</v>
      </c>
      <c r="BK2808">
        <v>0</v>
      </c>
      <c r="BL2808">
        <v>0</v>
      </c>
      <c r="BO2808">
        <v>0</v>
      </c>
      <c r="BP2808">
        <v>0</v>
      </c>
      <c r="BW2808" t="str">
        <f>"22:21:55.511"</f>
        <v>22:21:55.511</v>
      </c>
      <c r="CJ2808">
        <v>0</v>
      </c>
      <c r="CK2808">
        <v>2</v>
      </c>
      <c r="CL2808">
        <v>0</v>
      </c>
      <c r="CM2808">
        <v>2</v>
      </c>
      <c r="CN2808">
        <v>0</v>
      </c>
      <c r="CO2808">
        <v>6</v>
      </c>
      <c r="CP2808" t="s">
        <v>119</v>
      </c>
      <c r="CQ2808">
        <v>364</v>
      </c>
      <c r="CR2808">
        <v>0</v>
      </c>
      <c r="CW2808">
        <v>1475228</v>
      </c>
      <c r="CY2808">
        <v>1</v>
      </c>
      <c r="CZ2808">
        <v>0</v>
      </c>
      <c r="DA2808">
        <v>1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3">
      <c r="A2809" t="str">
        <f>"03/24/2022 22:21:55.729"</f>
        <v>03/24/2022 22:21:55.729</v>
      </c>
      <c r="C2809" t="str">
        <f t="shared" si="829"/>
        <v>FFDFD3C0</v>
      </c>
      <c r="D2809" t="s">
        <v>126</v>
      </c>
      <c r="E2809">
        <v>3</v>
      </c>
      <c r="H2809">
        <v>160</v>
      </c>
      <c r="I2809" t="s">
        <v>121</v>
      </c>
      <c r="J2809" t="s">
        <v>127</v>
      </c>
      <c r="K2809">
        <v>0</v>
      </c>
      <c r="L2809">
        <v>3</v>
      </c>
      <c r="M2809">
        <v>0</v>
      </c>
      <c r="N2809">
        <v>2</v>
      </c>
      <c r="O2809">
        <v>0</v>
      </c>
      <c r="P2809">
        <v>1</v>
      </c>
      <c r="Q2809">
        <v>0</v>
      </c>
      <c r="S2809" t="str">
        <f t="shared" si="839"/>
        <v>22:21:55.000</v>
      </c>
      <c r="T2809" t="str">
        <f t="shared" si="839"/>
        <v>22:21:55.000</v>
      </c>
      <c r="U2809" t="str">
        <f t="shared" si="823"/>
        <v>A9D71F</v>
      </c>
      <c r="V2809">
        <v>0</v>
      </c>
      <c r="W2809">
        <v>0</v>
      </c>
      <c r="X2809">
        <v>2</v>
      </c>
      <c r="Z2809">
        <v>1</v>
      </c>
      <c r="AA2809">
        <v>8</v>
      </c>
      <c r="AB2809">
        <v>3</v>
      </c>
      <c r="AC2809">
        <v>0</v>
      </c>
      <c r="AD2809">
        <v>9</v>
      </c>
      <c r="AE2809">
        <v>0</v>
      </c>
      <c r="AF2809">
        <v>3</v>
      </c>
      <c r="AG2809">
        <v>1</v>
      </c>
      <c r="AH2809">
        <v>0</v>
      </c>
      <c r="AI2809" t="s">
        <v>1412</v>
      </c>
      <c r="AJ2809">
        <v>32.99926</v>
      </c>
      <c r="AK2809" t="s">
        <v>1413</v>
      </c>
      <c r="AL2809">
        <v>-97.665645999999995</v>
      </c>
      <c r="AM2809">
        <v>25</v>
      </c>
      <c r="AN2809">
        <v>1400</v>
      </c>
      <c r="AO2809" t="s">
        <v>118</v>
      </c>
      <c r="AP2809">
        <v>-26</v>
      </c>
      <c r="AQ2809">
        <v>-83</v>
      </c>
      <c r="AR2809">
        <v>-640</v>
      </c>
      <c r="AZ2809">
        <v>7700</v>
      </c>
      <c r="BA2809">
        <v>1</v>
      </c>
      <c r="BB2809" t="str">
        <f t="shared" si="830"/>
        <v xml:space="preserve">N733KP  </v>
      </c>
      <c r="BC2809">
        <v>1</v>
      </c>
      <c r="BE2809">
        <v>0</v>
      </c>
      <c r="BF2809">
        <v>0</v>
      </c>
      <c r="BG2809">
        <v>1</v>
      </c>
      <c r="BH2809">
        <v>1450</v>
      </c>
      <c r="BI2809">
        <v>1</v>
      </c>
      <c r="BJ2809">
        <v>1</v>
      </c>
      <c r="BK2809">
        <v>0</v>
      </c>
      <c r="BL2809">
        <v>0</v>
      </c>
      <c r="BO2809">
        <v>0</v>
      </c>
      <c r="BP2809">
        <v>0</v>
      </c>
      <c r="BW2809" t="str">
        <f>"22:21:55.511"</f>
        <v>22:21:55.511</v>
      </c>
      <c r="CJ2809">
        <v>0</v>
      </c>
      <c r="CK2809">
        <v>2</v>
      </c>
      <c r="CL2809">
        <v>0</v>
      </c>
      <c r="CM2809">
        <v>2</v>
      </c>
      <c r="CN2809">
        <v>0</v>
      </c>
      <c r="CO2809">
        <v>6</v>
      </c>
      <c r="CP2809" t="s">
        <v>119</v>
      </c>
      <c r="CQ2809">
        <v>364</v>
      </c>
      <c r="CR2809">
        <v>0</v>
      </c>
      <c r="CW2809">
        <v>1475228</v>
      </c>
      <c r="CY2809">
        <v>1</v>
      </c>
      <c r="CZ2809">
        <v>0</v>
      </c>
      <c r="DA2809">
        <v>1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3">
      <c r="A2810" t="str">
        <f>"03/24/2022 22:21:55.729"</f>
        <v>03/24/2022 22:21:55.729</v>
      </c>
      <c r="C2810" t="str">
        <f t="shared" si="829"/>
        <v>FFDFD3C0</v>
      </c>
      <c r="D2810" t="s">
        <v>120</v>
      </c>
      <c r="E2810">
        <v>14</v>
      </c>
      <c r="F2810">
        <v>1014</v>
      </c>
      <c r="G2810" t="s">
        <v>121</v>
      </c>
      <c r="J2810" t="s">
        <v>122</v>
      </c>
      <c r="K2810">
        <v>0</v>
      </c>
      <c r="L2810">
        <v>3</v>
      </c>
      <c r="M2810">
        <v>0</v>
      </c>
      <c r="N2810">
        <v>2</v>
      </c>
      <c r="O2810">
        <v>0</v>
      </c>
      <c r="P2810">
        <v>1</v>
      </c>
      <c r="Q2810">
        <v>0</v>
      </c>
      <c r="S2810" t="str">
        <f t="shared" si="839"/>
        <v>22:21:55.000</v>
      </c>
      <c r="T2810" t="str">
        <f t="shared" si="839"/>
        <v>22:21:55.000</v>
      </c>
      <c r="U2810" t="str">
        <f t="shared" si="823"/>
        <v>A9D71F</v>
      </c>
      <c r="V2810">
        <v>0</v>
      </c>
      <c r="W2810">
        <v>0</v>
      </c>
      <c r="X2810">
        <v>2</v>
      </c>
      <c r="Z2810">
        <v>1</v>
      </c>
      <c r="AA2810">
        <v>8</v>
      </c>
      <c r="AB2810">
        <v>3</v>
      </c>
      <c r="AC2810">
        <v>0</v>
      </c>
      <c r="AD2810">
        <v>9</v>
      </c>
      <c r="AE2810">
        <v>0</v>
      </c>
      <c r="AF2810">
        <v>3</v>
      </c>
      <c r="AG2810">
        <v>1</v>
      </c>
      <c r="AH2810">
        <v>0</v>
      </c>
      <c r="AI2810" t="s">
        <v>1412</v>
      </c>
      <c r="AJ2810">
        <v>32.99926</v>
      </c>
      <c r="AK2810" t="s">
        <v>1413</v>
      </c>
      <c r="AL2810">
        <v>-97.665645999999995</v>
      </c>
      <c r="AM2810">
        <v>25</v>
      </c>
      <c r="AN2810">
        <v>1400</v>
      </c>
      <c r="AO2810" t="s">
        <v>118</v>
      </c>
      <c r="AP2810">
        <v>-26</v>
      </c>
      <c r="AQ2810">
        <v>-83</v>
      </c>
      <c r="AR2810">
        <v>-640</v>
      </c>
      <c r="AZ2810">
        <v>7700</v>
      </c>
      <c r="BA2810">
        <v>1</v>
      </c>
      <c r="BB2810" t="str">
        <f t="shared" si="830"/>
        <v xml:space="preserve">N733KP  </v>
      </c>
      <c r="BC2810">
        <v>1</v>
      </c>
      <c r="BE2810">
        <v>0</v>
      </c>
      <c r="BF2810">
        <v>0</v>
      </c>
      <c r="BG2810">
        <v>1</v>
      </c>
      <c r="BH2810">
        <v>1450</v>
      </c>
      <c r="BI2810">
        <v>1</v>
      </c>
      <c r="BJ2810">
        <v>1</v>
      </c>
      <c r="BK2810">
        <v>0</v>
      </c>
      <c r="BL2810">
        <v>0</v>
      </c>
      <c r="BO2810">
        <v>0</v>
      </c>
      <c r="BP2810">
        <v>0</v>
      </c>
      <c r="BW2810" t="str">
        <f>"22:21:55.511"</f>
        <v>22:21:55.511</v>
      </c>
      <c r="CJ2810">
        <v>0</v>
      </c>
      <c r="CK2810">
        <v>2</v>
      </c>
      <c r="CL2810">
        <v>0</v>
      </c>
      <c r="CM2810">
        <v>2</v>
      </c>
      <c r="CN2810">
        <v>0</v>
      </c>
      <c r="CO2810">
        <v>6</v>
      </c>
      <c r="CP2810" t="s">
        <v>119</v>
      </c>
      <c r="CQ2810">
        <v>364</v>
      </c>
      <c r="CR2810">
        <v>0</v>
      </c>
      <c r="CW2810">
        <v>1475228</v>
      </c>
      <c r="CY2810">
        <v>1</v>
      </c>
      <c r="CZ2810">
        <v>0</v>
      </c>
      <c r="DA2810">
        <v>1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3">
      <c r="A2811" t="str">
        <f>"03/24/2022 22:21:56.588"</f>
        <v>03/24/2022 22:21:56.588</v>
      </c>
      <c r="C2811" t="str">
        <f t="shared" si="829"/>
        <v>FFDFD3C0</v>
      </c>
      <c r="D2811" t="s">
        <v>113</v>
      </c>
      <c r="E2811">
        <v>24</v>
      </c>
      <c r="F2811">
        <v>2024</v>
      </c>
      <c r="G2811" t="s">
        <v>114</v>
      </c>
      <c r="J2811" t="s">
        <v>115</v>
      </c>
      <c r="K2811">
        <v>0</v>
      </c>
      <c r="L2811">
        <v>3</v>
      </c>
      <c r="M2811">
        <v>0</v>
      </c>
      <c r="N2811">
        <v>2</v>
      </c>
      <c r="O2811">
        <v>0</v>
      </c>
      <c r="P2811">
        <v>1</v>
      </c>
      <c r="Q2811">
        <v>0</v>
      </c>
      <c r="S2811" t="str">
        <f t="shared" ref="S2811:T2814" si="840">"22:21:56.000"</f>
        <v>22:21:56.000</v>
      </c>
      <c r="T2811" t="str">
        <f t="shared" si="840"/>
        <v>22:21:56.000</v>
      </c>
      <c r="U2811" t="str">
        <f t="shared" si="823"/>
        <v>A9D71F</v>
      </c>
      <c r="V2811">
        <v>0</v>
      </c>
      <c r="W2811">
        <v>0</v>
      </c>
      <c r="X2811">
        <v>2</v>
      </c>
      <c r="Z2811">
        <v>1</v>
      </c>
      <c r="AA2811">
        <v>8</v>
      </c>
      <c r="AB2811">
        <v>3</v>
      </c>
      <c r="AC2811">
        <v>0</v>
      </c>
      <c r="AD2811">
        <v>9</v>
      </c>
      <c r="AE2811">
        <v>0</v>
      </c>
      <c r="AF2811">
        <v>3</v>
      </c>
      <c r="AG2811">
        <v>1</v>
      </c>
      <c r="AH2811">
        <v>0</v>
      </c>
      <c r="AI2811" t="s">
        <v>1414</v>
      </c>
      <c r="AJ2811">
        <v>32.998896000000002</v>
      </c>
      <c r="AK2811" t="s">
        <v>1415</v>
      </c>
      <c r="AL2811">
        <v>-97.665774999999996</v>
      </c>
      <c r="AM2811">
        <v>25</v>
      </c>
      <c r="AN2811">
        <v>1400</v>
      </c>
      <c r="AO2811" t="s">
        <v>118</v>
      </c>
      <c r="AP2811">
        <v>-25</v>
      </c>
      <c r="AQ2811">
        <v>-83</v>
      </c>
      <c r="AR2811">
        <v>-576</v>
      </c>
      <c r="AZ2811">
        <v>7700</v>
      </c>
      <c r="BA2811">
        <v>1</v>
      </c>
      <c r="BB2811" t="str">
        <f t="shared" si="830"/>
        <v xml:space="preserve">N733KP  </v>
      </c>
      <c r="BC2811">
        <v>1</v>
      </c>
      <c r="BE2811">
        <v>0</v>
      </c>
      <c r="BF2811">
        <v>0</v>
      </c>
      <c r="BG2811">
        <v>1</v>
      </c>
      <c r="BH2811">
        <v>1450</v>
      </c>
      <c r="BI2811">
        <v>1</v>
      </c>
      <c r="BJ2811">
        <v>1</v>
      </c>
      <c r="BK2811">
        <v>0</v>
      </c>
      <c r="BL2811">
        <v>0</v>
      </c>
      <c r="BO2811">
        <v>0</v>
      </c>
      <c r="BP2811">
        <v>0</v>
      </c>
      <c r="BW2811" t="str">
        <f>"22:21:56.376"</f>
        <v>22:21:56.376</v>
      </c>
      <c r="CJ2811">
        <v>0</v>
      </c>
      <c r="CK2811">
        <v>2</v>
      </c>
      <c r="CL2811">
        <v>0</v>
      </c>
      <c r="CM2811">
        <v>2</v>
      </c>
      <c r="CN2811">
        <v>0</v>
      </c>
      <c r="CO2811">
        <v>6</v>
      </c>
      <c r="CP2811" t="s">
        <v>119</v>
      </c>
      <c r="CQ2811">
        <v>364</v>
      </c>
      <c r="CR2811">
        <v>0</v>
      </c>
      <c r="CW2811">
        <v>1475390</v>
      </c>
      <c r="CY2811">
        <v>1</v>
      </c>
      <c r="CZ2811">
        <v>0</v>
      </c>
      <c r="DA2811">
        <v>0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3">
      <c r="A2812" t="str">
        <f>"03/24/2022 22:21:56.604"</f>
        <v>03/24/2022 22:21:56.604</v>
      </c>
      <c r="C2812" t="str">
        <f t="shared" si="829"/>
        <v>FFDFD3C0</v>
      </c>
      <c r="D2812" t="s">
        <v>126</v>
      </c>
      <c r="E2812">
        <v>3</v>
      </c>
      <c r="H2812">
        <v>160</v>
      </c>
      <c r="I2812" t="s">
        <v>121</v>
      </c>
      <c r="J2812" t="s">
        <v>127</v>
      </c>
      <c r="K2812">
        <v>0</v>
      </c>
      <c r="L2812">
        <v>3</v>
      </c>
      <c r="M2812">
        <v>0</v>
      </c>
      <c r="N2812">
        <v>2</v>
      </c>
      <c r="O2812">
        <v>0</v>
      </c>
      <c r="P2812">
        <v>1</v>
      </c>
      <c r="Q2812">
        <v>0</v>
      </c>
      <c r="S2812" t="str">
        <f t="shared" si="840"/>
        <v>22:21:56.000</v>
      </c>
      <c r="T2812" t="str">
        <f t="shared" si="840"/>
        <v>22:21:56.000</v>
      </c>
      <c r="U2812" t="str">
        <f t="shared" si="823"/>
        <v>A9D71F</v>
      </c>
      <c r="V2812">
        <v>0</v>
      </c>
      <c r="W2812">
        <v>0</v>
      </c>
      <c r="X2812">
        <v>2</v>
      </c>
      <c r="Z2812">
        <v>1</v>
      </c>
      <c r="AA2812">
        <v>8</v>
      </c>
      <c r="AB2812">
        <v>3</v>
      </c>
      <c r="AC2812">
        <v>0</v>
      </c>
      <c r="AD2812">
        <v>9</v>
      </c>
      <c r="AE2812">
        <v>0</v>
      </c>
      <c r="AF2812">
        <v>3</v>
      </c>
      <c r="AG2812">
        <v>1</v>
      </c>
      <c r="AH2812">
        <v>0</v>
      </c>
      <c r="AI2812" t="s">
        <v>1414</v>
      </c>
      <c r="AJ2812">
        <v>32.998896000000002</v>
      </c>
      <c r="AK2812" t="s">
        <v>1415</v>
      </c>
      <c r="AL2812">
        <v>-97.665774999999996</v>
      </c>
      <c r="AM2812">
        <v>25</v>
      </c>
      <c r="AN2812">
        <v>1400</v>
      </c>
      <c r="AO2812" t="s">
        <v>118</v>
      </c>
      <c r="AP2812">
        <v>-25</v>
      </c>
      <c r="AQ2812">
        <v>-83</v>
      </c>
      <c r="AR2812">
        <v>-576</v>
      </c>
      <c r="AZ2812">
        <v>7700</v>
      </c>
      <c r="BA2812">
        <v>1</v>
      </c>
      <c r="BB2812" t="str">
        <f t="shared" si="830"/>
        <v xml:space="preserve">N733KP  </v>
      </c>
      <c r="BC2812">
        <v>1</v>
      </c>
      <c r="BE2812">
        <v>0</v>
      </c>
      <c r="BF2812">
        <v>0</v>
      </c>
      <c r="BG2812">
        <v>1</v>
      </c>
      <c r="BH2812">
        <v>1450</v>
      </c>
      <c r="BI2812">
        <v>1</v>
      </c>
      <c r="BJ2812">
        <v>1</v>
      </c>
      <c r="BK2812">
        <v>0</v>
      </c>
      <c r="BL2812">
        <v>0</v>
      </c>
      <c r="BO2812">
        <v>0</v>
      </c>
      <c r="BP2812">
        <v>0</v>
      </c>
      <c r="BW2812" t="str">
        <f>"22:21:56.376"</f>
        <v>22:21:56.376</v>
      </c>
      <c r="CJ2812">
        <v>0</v>
      </c>
      <c r="CK2812">
        <v>2</v>
      </c>
      <c r="CL2812">
        <v>0</v>
      </c>
      <c r="CM2812">
        <v>2</v>
      </c>
      <c r="CN2812">
        <v>0</v>
      </c>
      <c r="CO2812">
        <v>6</v>
      </c>
      <c r="CP2812" t="s">
        <v>119</v>
      </c>
      <c r="CQ2812">
        <v>364</v>
      </c>
      <c r="CR2812">
        <v>0</v>
      </c>
      <c r="CW2812">
        <v>1475390</v>
      </c>
      <c r="CY2812">
        <v>1</v>
      </c>
      <c r="CZ2812">
        <v>0</v>
      </c>
      <c r="DA2812">
        <v>1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3">
      <c r="A2813" t="str">
        <f>"03/24/2022 22:21:56.666"</f>
        <v>03/24/2022 22:21:56.666</v>
      </c>
      <c r="C2813" t="str">
        <f t="shared" si="829"/>
        <v>FFDFD3C0</v>
      </c>
      <c r="D2813" t="s">
        <v>120</v>
      </c>
      <c r="E2813">
        <v>14</v>
      </c>
      <c r="F2813">
        <v>1014</v>
      </c>
      <c r="G2813" t="s">
        <v>121</v>
      </c>
      <c r="J2813" t="s">
        <v>122</v>
      </c>
      <c r="K2813">
        <v>0</v>
      </c>
      <c r="L2813">
        <v>3</v>
      </c>
      <c r="M2813">
        <v>0</v>
      </c>
      <c r="N2813">
        <v>2</v>
      </c>
      <c r="O2813">
        <v>0</v>
      </c>
      <c r="P2813">
        <v>1</v>
      </c>
      <c r="Q2813">
        <v>0</v>
      </c>
      <c r="S2813" t="str">
        <f t="shared" si="840"/>
        <v>22:21:56.000</v>
      </c>
      <c r="T2813" t="str">
        <f t="shared" si="840"/>
        <v>22:21:56.000</v>
      </c>
      <c r="U2813" t="str">
        <f t="shared" si="823"/>
        <v>A9D71F</v>
      </c>
      <c r="V2813">
        <v>0</v>
      </c>
      <c r="W2813">
        <v>0</v>
      </c>
      <c r="X2813">
        <v>2</v>
      </c>
      <c r="Z2813">
        <v>1</v>
      </c>
      <c r="AA2813">
        <v>8</v>
      </c>
      <c r="AB2813">
        <v>3</v>
      </c>
      <c r="AC2813">
        <v>0</v>
      </c>
      <c r="AD2813">
        <v>9</v>
      </c>
      <c r="AE2813">
        <v>0</v>
      </c>
      <c r="AF2813">
        <v>3</v>
      </c>
      <c r="AG2813">
        <v>1</v>
      </c>
      <c r="AH2813">
        <v>0</v>
      </c>
      <c r="AI2813" t="s">
        <v>1414</v>
      </c>
      <c r="AJ2813">
        <v>32.998896000000002</v>
      </c>
      <c r="AK2813" t="s">
        <v>1415</v>
      </c>
      <c r="AL2813">
        <v>-97.665774999999996</v>
      </c>
      <c r="AM2813">
        <v>25</v>
      </c>
      <c r="AN2813">
        <v>1400</v>
      </c>
      <c r="AO2813" t="s">
        <v>118</v>
      </c>
      <c r="AP2813">
        <v>-25</v>
      </c>
      <c r="AQ2813">
        <v>-83</v>
      </c>
      <c r="AR2813">
        <v>-576</v>
      </c>
      <c r="AZ2813">
        <v>7700</v>
      </c>
      <c r="BA2813">
        <v>1</v>
      </c>
      <c r="BB2813" t="str">
        <f t="shared" si="830"/>
        <v xml:space="preserve">N733KP  </v>
      </c>
      <c r="BC2813">
        <v>1</v>
      </c>
      <c r="BE2813">
        <v>0</v>
      </c>
      <c r="BF2813">
        <v>0</v>
      </c>
      <c r="BG2813">
        <v>1</v>
      </c>
      <c r="BH2813">
        <v>1450</v>
      </c>
      <c r="BI2813">
        <v>1</v>
      </c>
      <c r="BJ2813">
        <v>1</v>
      </c>
      <c r="BK2813">
        <v>0</v>
      </c>
      <c r="BL2813">
        <v>0</v>
      </c>
      <c r="BO2813">
        <v>0</v>
      </c>
      <c r="BP2813">
        <v>0</v>
      </c>
      <c r="BW2813" t="str">
        <f>"22:21:56.376"</f>
        <v>22:21:56.376</v>
      </c>
      <c r="CJ2813">
        <v>0</v>
      </c>
      <c r="CK2813">
        <v>2</v>
      </c>
      <c r="CL2813">
        <v>0</v>
      </c>
      <c r="CM2813">
        <v>2</v>
      </c>
      <c r="CN2813">
        <v>0</v>
      </c>
      <c r="CO2813">
        <v>6</v>
      </c>
      <c r="CP2813" t="s">
        <v>119</v>
      </c>
      <c r="CQ2813">
        <v>364</v>
      </c>
      <c r="CR2813">
        <v>0</v>
      </c>
      <c r="CW2813">
        <v>1475390</v>
      </c>
      <c r="CY2813">
        <v>1</v>
      </c>
      <c r="CZ2813">
        <v>0</v>
      </c>
      <c r="DA2813">
        <v>1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3">
      <c r="A2814" t="str">
        <f>"03/24/2022 22:21:56.666"</f>
        <v>03/24/2022 22:21:56.666</v>
      </c>
      <c r="C2814" t="str">
        <f t="shared" si="829"/>
        <v>FFDFD3C0</v>
      </c>
      <c r="D2814" t="s">
        <v>123</v>
      </c>
      <c r="E2814">
        <v>8</v>
      </c>
      <c r="H2814">
        <v>31</v>
      </c>
      <c r="I2814" t="s">
        <v>124</v>
      </c>
      <c r="J2814" t="s">
        <v>125</v>
      </c>
      <c r="K2814">
        <v>0</v>
      </c>
      <c r="L2814">
        <v>3</v>
      </c>
      <c r="M2814">
        <v>0</v>
      </c>
      <c r="N2814">
        <v>2</v>
      </c>
      <c r="O2814">
        <v>0</v>
      </c>
      <c r="P2814">
        <v>1</v>
      </c>
      <c r="Q2814">
        <v>0</v>
      </c>
      <c r="S2814" t="str">
        <f t="shared" si="840"/>
        <v>22:21:56.000</v>
      </c>
      <c r="T2814" t="str">
        <f t="shared" si="840"/>
        <v>22:21:56.000</v>
      </c>
      <c r="U2814" t="str">
        <f t="shared" si="823"/>
        <v>A9D71F</v>
      </c>
      <c r="V2814">
        <v>0</v>
      </c>
      <c r="W2814">
        <v>0</v>
      </c>
      <c r="X2814">
        <v>2</v>
      </c>
      <c r="Z2814">
        <v>1</v>
      </c>
      <c r="AA2814">
        <v>8</v>
      </c>
      <c r="AB2814">
        <v>3</v>
      </c>
      <c r="AC2814">
        <v>0</v>
      </c>
      <c r="AD2814">
        <v>9</v>
      </c>
      <c r="AE2814">
        <v>0</v>
      </c>
      <c r="AF2814">
        <v>3</v>
      </c>
      <c r="AG2814">
        <v>1</v>
      </c>
      <c r="AH2814">
        <v>0</v>
      </c>
      <c r="AI2814" t="s">
        <v>1414</v>
      </c>
      <c r="AJ2814">
        <v>32.998896000000002</v>
      </c>
      <c r="AK2814" t="s">
        <v>1415</v>
      </c>
      <c r="AL2814">
        <v>-97.665774999999996</v>
      </c>
      <c r="AM2814">
        <v>25</v>
      </c>
      <c r="AN2814">
        <v>1400</v>
      </c>
      <c r="AO2814" t="s">
        <v>118</v>
      </c>
      <c r="AP2814">
        <v>-25</v>
      </c>
      <c r="AQ2814">
        <v>-83</v>
      </c>
      <c r="AR2814">
        <v>-576</v>
      </c>
      <c r="AZ2814">
        <v>7700</v>
      </c>
      <c r="BA2814">
        <v>1</v>
      </c>
      <c r="BB2814" t="str">
        <f t="shared" si="830"/>
        <v xml:space="preserve">N733KP  </v>
      </c>
      <c r="BC2814">
        <v>1</v>
      </c>
      <c r="BE2814">
        <v>0</v>
      </c>
      <c r="BF2814">
        <v>0</v>
      </c>
      <c r="BG2814">
        <v>1</v>
      </c>
      <c r="BH2814">
        <v>1450</v>
      </c>
      <c r="BI2814">
        <v>1</v>
      </c>
      <c r="BJ2814">
        <v>1</v>
      </c>
      <c r="BK2814">
        <v>0</v>
      </c>
      <c r="BL2814">
        <v>0</v>
      </c>
      <c r="BO2814">
        <v>0</v>
      </c>
      <c r="BP2814">
        <v>0</v>
      </c>
      <c r="BW2814" t="str">
        <f>"22:21:56.376"</f>
        <v>22:21:56.376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6</v>
      </c>
      <c r="CP2814" t="s">
        <v>119</v>
      </c>
      <c r="CQ2814">
        <v>364</v>
      </c>
      <c r="CR2814">
        <v>0</v>
      </c>
      <c r="CW2814">
        <v>1475390</v>
      </c>
      <c r="CY2814">
        <v>1</v>
      </c>
      <c r="CZ2814">
        <v>0</v>
      </c>
      <c r="DA2814">
        <v>1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3">
      <c r="A2815" t="str">
        <f>"03/24/2022 22:21:57.792"</f>
        <v>03/24/2022 22:21:57.792</v>
      </c>
      <c r="C2815" t="str">
        <f t="shared" si="829"/>
        <v>FFDFD3C0</v>
      </c>
      <c r="D2815" t="s">
        <v>120</v>
      </c>
      <c r="E2815">
        <v>14</v>
      </c>
      <c r="F2815">
        <v>1014</v>
      </c>
      <c r="G2815" t="s">
        <v>121</v>
      </c>
      <c r="J2815" t="s">
        <v>122</v>
      </c>
      <c r="K2815">
        <v>0</v>
      </c>
      <c r="L2815">
        <v>3</v>
      </c>
      <c r="M2815">
        <v>0</v>
      </c>
      <c r="N2815">
        <v>2</v>
      </c>
      <c r="O2815">
        <v>0</v>
      </c>
      <c r="P2815">
        <v>1</v>
      </c>
      <c r="Q2815">
        <v>0</v>
      </c>
      <c r="S2815" t="str">
        <f t="shared" ref="S2815:T2818" si="841">"22:21:57.000"</f>
        <v>22:21:57.000</v>
      </c>
      <c r="T2815" t="str">
        <f t="shared" si="841"/>
        <v>22:21:57.000</v>
      </c>
      <c r="U2815" t="str">
        <f t="shared" si="823"/>
        <v>A9D71F</v>
      </c>
      <c r="V2815">
        <v>0</v>
      </c>
      <c r="W2815">
        <v>0</v>
      </c>
      <c r="X2815">
        <v>2</v>
      </c>
      <c r="Z2815">
        <v>1</v>
      </c>
      <c r="AA2815">
        <v>8</v>
      </c>
      <c r="AB2815">
        <v>3</v>
      </c>
      <c r="AC2815">
        <v>0</v>
      </c>
      <c r="AD2815">
        <v>9</v>
      </c>
      <c r="AE2815">
        <v>0</v>
      </c>
      <c r="AF2815">
        <v>3</v>
      </c>
      <c r="AG2815">
        <v>1</v>
      </c>
      <c r="AH2815">
        <v>0</v>
      </c>
      <c r="AI2815" t="s">
        <v>1416</v>
      </c>
      <c r="AJ2815">
        <v>32.998488000000002</v>
      </c>
      <c r="AK2815" t="s">
        <v>957</v>
      </c>
      <c r="AL2815">
        <v>-97.665925000000001</v>
      </c>
      <c r="AM2815">
        <v>25</v>
      </c>
      <c r="AN2815">
        <v>1300</v>
      </c>
      <c r="AO2815" t="s">
        <v>118</v>
      </c>
      <c r="AP2815">
        <v>-23</v>
      </c>
      <c r="AQ2815">
        <v>-83</v>
      </c>
      <c r="AR2815">
        <v>-512</v>
      </c>
      <c r="AZ2815">
        <v>7700</v>
      </c>
      <c r="BA2815">
        <v>1</v>
      </c>
      <c r="BB2815" t="str">
        <f t="shared" si="830"/>
        <v xml:space="preserve">N733KP  </v>
      </c>
      <c r="BC2815">
        <v>1</v>
      </c>
      <c r="BE2815">
        <v>0</v>
      </c>
      <c r="BF2815">
        <v>0</v>
      </c>
      <c r="BG2815">
        <v>1</v>
      </c>
      <c r="BH2815">
        <v>1400</v>
      </c>
      <c r="BI2815">
        <v>1</v>
      </c>
      <c r="BJ2815">
        <v>1</v>
      </c>
      <c r="BK2815">
        <v>0</v>
      </c>
      <c r="BL2815">
        <v>0</v>
      </c>
      <c r="BO2815">
        <v>0</v>
      </c>
      <c r="BP2815">
        <v>0</v>
      </c>
      <c r="BW2815" t="str">
        <f>"22:21:57.574"</f>
        <v>22:21:57.574</v>
      </c>
      <c r="CJ2815">
        <v>0</v>
      </c>
      <c r="CK2815">
        <v>2</v>
      </c>
      <c r="CL2815">
        <v>0</v>
      </c>
      <c r="CM2815">
        <v>2</v>
      </c>
      <c r="CN2815">
        <v>0</v>
      </c>
      <c r="CO2815">
        <v>6</v>
      </c>
      <c r="CP2815" t="s">
        <v>119</v>
      </c>
      <c r="CQ2815">
        <v>364</v>
      </c>
      <c r="CR2815">
        <v>0</v>
      </c>
      <c r="CW2815">
        <v>1475580</v>
      </c>
      <c r="CY2815">
        <v>1</v>
      </c>
      <c r="CZ2815">
        <v>0</v>
      </c>
      <c r="DA2815">
        <v>0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3">
      <c r="A2816" t="str">
        <f>"03/24/2022 22:21:57.792"</f>
        <v>03/24/2022 22:21:57.792</v>
      </c>
      <c r="C2816" t="str">
        <f t="shared" si="829"/>
        <v>FFDFD3C0</v>
      </c>
      <c r="D2816" t="s">
        <v>123</v>
      </c>
      <c r="E2816">
        <v>8</v>
      </c>
      <c r="H2816">
        <v>31</v>
      </c>
      <c r="I2816" t="s">
        <v>124</v>
      </c>
      <c r="J2816" t="s">
        <v>125</v>
      </c>
      <c r="K2816">
        <v>0</v>
      </c>
      <c r="L2816">
        <v>3</v>
      </c>
      <c r="M2816">
        <v>0</v>
      </c>
      <c r="N2816">
        <v>2</v>
      </c>
      <c r="O2816">
        <v>0</v>
      </c>
      <c r="P2816">
        <v>1</v>
      </c>
      <c r="Q2816">
        <v>0</v>
      </c>
      <c r="S2816" t="str">
        <f t="shared" si="841"/>
        <v>22:21:57.000</v>
      </c>
      <c r="T2816" t="str">
        <f t="shared" si="841"/>
        <v>22:21:57.000</v>
      </c>
      <c r="U2816" t="str">
        <f t="shared" si="823"/>
        <v>A9D71F</v>
      </c>
      <c r="V2816">
        <v>0</v>
      </c>
      <c r="W2816">
        <v>0</v>
      </c>
      <c r="X2816">
        <v>2</v>
      </c>
      <c r="Z2816">
        <v>1</v>
      </c>
      <c r="AA2816">
        <v>8</v>
      </c>
      <c r="AB2816">
        <v>3</v>
      </c>
      <c r="AC2816">
        <v>0</v>
      </c>
      <c r="AD2816">
        <v>9</v>
      </c>
      <c r="AE2816">
        <v>0</v>
      </c>
      <c r="AF2816">
        <v>3</v>
      </c>
      <c r="AG2816">
        <v>1</v>
      </c>
      <c r="AH2816">
        <v>0</v>
      </c>
      <c r="AI2816" t="s">
        <v>1416</v>
      </c>
      <c r="AJ2816">
        <v>32.998488000000002</v>
      </c>
      <c r="AK2816" t="s">
        <v>957</v>
      </c>
      <c r="AL2816">
        <v>-97.665925000000001</v>
      </c>
      <c r="AM2816">
        <v>25</v>
      </c>
      <c r="AN2816">
        <v>1300</v>
      </c>
      <c r="AO2816" t="s">
        <v>118</v>
      </c>
      <c r="AP2816">
        <v>-23</v>
      </c>
      <c r="AQ2816">
        <v>-83</v>
      </c>
      <c r="AR2816">
        <v>-512</v>
      </c>
      <c r="AZ2816">
        <v>7700</v>
      </c>
      <c r="BA2816">
        <v>1</v>
      </c>
      <c r="BB2816" t="str">
        <f t="shared" si="830"/>
        <v xml:space="preserve">N733KP  </v>
      </c>
      <c r="BC2816">
        <v>1</v>
      </c>
      <c r="BE2816">
        <v>0</v>
      </c>
      <c r="BF2816">
        <v>0</v>
      </c>
      <c r="BG2816">
        <v>1</v>
      </c>
      <c r="BH2816">
        <v>1400</v>
      </c>
      <c r="BI2816">
        <v>1</v>
      </c>
      <c r="BJ2816">
        <v>1</v>
      </c>
      <c r="BK2816">
        <v>0</v>
      </c>
      <c r="BL2816">
        <v>0</v>
      </c>
      <c r="BO2816">
        <v>0</v>
      </c>
      <c r="BP2816">
        <v>0</v>
      </c>
      <c r="BW2816" t="str">
        <f>"22:21:57.574"</f>
        <v>22:21:57.574</v>
      </c>
      <c r="CJ2816">
        <v>0</v>
      </c>
      <c r="CK2816">
        <v>2</v>
      </c>
      <c r="CL2816">
        <v>0</v>
      </c>
      <c r="CM2816">
        <v>2</v>
      </c>
      <c r="CN2816">
        <v>0</v>
      </c>
      <c r="CO2816">
        <v>6</v>
      </c>
      <c r="CP2816" t="s">
        <v>119</v>
      </c>
      <c r="CQ2816">
        <v>364</v>
      </c>
      <c r="CR2816">
        <v>0</v>
      </c>
      <c r="CW2816">
        <v>1475580</v>
      </c>
      <c r="CY2816">
        <v>1</v>
      </c>
      <c r="CZ2816">
        <v>0</v>
      </c>
      <c r="DA2816">
        <v>1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3">
      <c r="A2817" t="str">
        <f>"03/24/2022 22:21:57.808"</f>
        <v>03/24/2022 22:21:57.808</v>
      </c>
      <c r="C2817" t="str">
        <f t="shared" si="829"/>
        <v>FFDFD3C0</v>
      </c>
      <c r="D2817" t="s">
        <v>126</v>
      </c>
      <c r="E2817">
        <v>3</v>
      </c>
      <c r="H2817">
        <v>160</v>
      </c>
      <c r="I2817" t="s">
        <v>121</v>
      </c>
      <c r="J2817" t="s">
        <v>127</v>
      </c>
      <c r="K2817">
        <v>0</v>
      </c>
      <c r="L2817">
        <v>3</v>
      </c>
      <c r="M2817">
        <v>0</v>
      </c>
      <c r="N2817">
        <v>2</v>
      </c>
      <c r="O2817">
        <v>0</v>
      </c>
      <c r="P2817">
        <v>1</v>
      </c>
      <c r="Q2817">
        <v>0</v>
      </c>
      <c r="S2817" t="str">
        <f t="shared" si="841"/>
        <v>22:21:57.000</v>
      </c>
      <c r="T2817" t="str">
        <f t="shared" si="841"/>
        <v>22:21:57.000</v>
      </c>
      <c r="U2817" t="str">
        <f t="shared" si="823"/>
        <v>A9D71F</v>
      </c>
      <c r="V2817">
        <v>0</v>
      </c>
      <c r="W2817">
        <v>0</v>
      </c>
      <c r="X2817">
        <v>2</v>
      </c>
      <c r="Z2817">
        <v>1</v>
      </c>
      <c r="AA2817">
        <v>8</v>
      </c>
      <c r="AB2817">
        <v>3</v>
      </c>
      <c r="AC2817">
        <v>0</v>
      </c>
      <c r="AD2817">
        <v>9</v>
      </c>
      <c r="AE2817">
        <v>0</v>
      </c>
      <c r="AF2817">
        <v>3</v>
      </c>
      <c r="AG2817">
        <v>1</v>
      </c>
      <c r="AH2817">
        <v>0</v>
      </c>
      <c r="AI2817" t="s">
        <v>1416</v>
      </c>
      <c r="AJ2817">
        <v>32.998488000000002</v>
      </c>
      <c r="AK2817" t="s">
        <v>957</v>
      </c>
      <c r="AL2817">
        <v>-97.665925000000001</v>
      </c>
      <c r="AM2817">
        <v>25</v>
      </c>
      <c r="AN2817">
        <v>1300</v>
      </c>
      <c r="AO2817" t="s">
        <v>118</v>
      </c>
      <c r="AP2817">
        <v>-23</v>
      </c>
      <c r="AQ2817">
        <v>-83</v>
      </c>
      <c r="AR2817">
        <v>-512</v>
      </c>
      <c r="AZ2817">
        <v>7700</v>
      </c>
      <c r="BA2817">
        <v>1</v>
      </c>
      <c r="BB2817" t="str">
        <f t="shared" si="830"/>
        <v xml:space="preserve">N733KP  </v>
      </c>
      <c r="BC2817">
        <v>1</v>
      </c>
      <c r="BE2817">
        <v>0</v>
      </c>
      <c r="BF2817">
        <v>0</v>
      </c>
      <c r="BG2817">
        <v>1</v>
      </c>
      <c r="BH2817">
        <v>1400</v>
      </c>
      <c r="BI2817">
        <v>1</v>
      </c>
      <c r="BJ2817">
        <v>1</v>
      </c>
      <c r="BK2817">
        <v>0</v>
      </c>
      <c r="BL2817">
        <v>0</v>
      </c>
      <c r="BO2817">
        <v>0</v>
      </c>
      <c r="BP2817">
        <v>0</v>
      </c>
      <c r="BW2817" t="str">
        <f>"22:21:57.574"</f>
        <v>22:21:57.574</v>
      </c>
      <c r="CJ2817">
        <v>0</v>
      </c>
      <c r="CK2817">
        <v>2</v>
      </c>
      <c r="CL2817">
        <v>0</v>
      </c>
      <c r="CM2817">
        <v>2</v>
      </c>
      <c r="CN2817">
        <v>0</v>
      </c>
      <c r="CO2817">
        <v>6</v>
      </c>
      <c r="CP2817" t="s">
        <v>119</v>
      </c>
      <c r="CQ2817">
        <v>364</v>
      </c>
      <c r="CR2817">
        <v>0</v>
      </c>
      <c r="CW2817">
        <v>1475580</v>
      </c>
      <c r="CY2817">
        <v>1</v>
      </c>
      <c r="CZ2817">
        <v>0</v>
      </c>
      <c r="DA2817">
        <v>1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3">
      <c r="A2818" t="str">
        <f>"03/24/2022 22:21:57.808"</f>
        <v>03/24/2022 22:21:57.808</v>
      </c>
      <c r="C2818" t="str">
        <f t="shared" si="829"/>
        <v>FFDFD3C0</v>
      </c>
      <c r="D2818" t="s">
        <v>113</v>
      </c>
      <c r="E2818">
        <v>24</v>
      </c>
      <c r="F2818">
        <v>2024</v>
      </c>
      <c r="G2818" t="s">
        <v>114</v>
      </c>
      <c r="J2818" t="s">
        <v>115</v>
      </c>
      <c r="K2818">
        <v>0</v>
      </c>
      <c r="L2818">
        <v>3</v>
      </c>
      <c r="M2818">
        <v>0</v>
      </c>
      <c r="N2818">
        <v>2</v>
      </c>
      <c r="O2818">
        <v>0</v>
      </c>
      <c r="P2818">
        <v>1</v>
      </c>
      <c r="Q2818">
        <v>0</v>
      </c>
      <c r="S2818" t="str">
        <f t="shared" si="841"/>
        <v>22:21:57.000</v>
      </c>
      <c r="T2818" t="str">
        <f t="shared" si="841"/>
        <v>22:21:57.000</v>
      </c>
      <c r="U2818" t="str">
        <f t="shared" ref="U2818:U2881" si="842">"A9D71F"</f>
        <v>A9D71F</v>
      </c>
      <c r="V2818">
        <v>0</v>
      </c>
      <c r="W2818">
        <v>0</v>
      </c>
      <c r="X2818">
        <v>2</v>
      </c>
      <c r="Z2818">
        <v>1</v>
      </c>
      <c r="AA2818">
        <v>8</v>
      </c>
      <c r="AB2818">
        <v>3</v>
      </c>
      <c r="AC2818">
        <v>0</v>
      </c>
      <c r="AD2818">
        <v>9</v>
      </c>
      <c r="AE2818">
        <v>0</v>
      </c>
      <c r="AF2818">
        <v>3</v>
      </c>
      <c r="AG2818">
        <v>1</v>
      </c>
      <c r="AH2818">
        <v>0</v>
      </c>
      <c r="AI2818" t="s">
        <v>1416</v>
      </c>
      <c r="AJ2818">
        <v>32.998488000000002</v>
      </c>
      <c r="AK2818" t="s">
        <v>957</v>
      </c>
      <c r="AL2818">
        <v>-97.665925000000001</v>
      </c>
      <c r="AM2818">
        <v>25</v>
      </c>
      <c r="AN2818">
        <v>1300</v>
      </c>
      <c r="AO2818" t="s">
        <v>118</v>
      </c>
      <c r="AP2818">
        <v>-23</v>
      </c>
      <c r="AQ2818">
        <v>-83</v>
      </c>
      <c r="AR2818">
        <v>-512</v>
      </c>
      <c r="AZ2818">
        <v>7700</v>
      </c>
      <c r="BA2818">
        <v>1</v>
      </c>
      <c r="BB2818" t="str">
        <f t="shared" si="830"/>
        <v xml:space="preserve">N733KP  </v>
      </c>
      <c r="BC2818">
        <v>1</v>
      </c>
      <c r="BE2818">
        <v>0</v>
      </c>
      <c r="BF2818">
        <v>0</v>
      </c>
      <c r="BG2818">
        <v>1</v>
      </c>
      <c r="BH2818">
        <v>1400</v>
      </c>
      <c r="BI2818">
        <v>1</v>
      </c>
      <c r="BJ2818">
        <v>1</v>
      </c>
      <c r="BK2818">
        <v>0</v>
      </c>
      <c r="BL2818">
        <v>0</v>
      </c>
      <c r="BO2818">
        <v>0</v>
      </c>
      <c r="BP2818">
        <v>0</v>
      </c>
      <c r="BW2818" t="str">
        <f>"22:21:57.574"</f>
        <v>22:21:57.574</v>
      </c>
      <c r="CJ2818">
        <v>0</v>
      </c>
      <c r="CK2818">
        <v>2</v>
      </c>
      <c r="CL2818">
        <v>0</v>
      </c>
      <c r="CM2818">
        <v>2</v>
      </c>
      <c r="CN2818">
        <v>0</v>
      </c>
      <c r="CO2818">
        <v>6</v>
      </c>
      <c r="CP2818" t="s">
        <v>119</v>
      </c>
      <c r="CQ2818">
        <v>364</v>
      </c>
      <c r="CR2818">
        <v>0</v>
      </c>
      <c r="CW2818">
        <v>1475580</v>
      </c>
      <c r="CY2818">
        <v>1</v>
      </c>
      <c r="CZ2818">
        <v>0</v>
      </c>
      <c r="DA2818">
        <v>1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3">
      <c r="A2819" t="str">
        <f>"03/24/2022 22:21:59.013"</f>
        <v>03/24/2022 22:21:59.013</v>
      </c>
      <c r="C2819" t="str">
        <f t="shared" si="829"/>
        <v>FFDFD3C0</v>
      </c>
      <c r="D2819" t="s">
        <v>120</v>
      </c>
      <c r="E2819">
        <v>14</v>
      </c>
      <c r="F2819">
        <v>1014</v>
      </c>
      <c r="G2819" t="s">
        <v>121</v>
      </c>
      <c r="J2819" t="s">
        <v>122</v>
      </c>
      <c r="K2819">
        <v>0</v>
      </c>
      <c r="L2819">
        <v>3</v>
      </c>
      <c r="M2819">
        <v>0</v>
      </c>
      <c r="N2819">
        <v>2</v>
      </c>
      <c r="O2819">
        <v>0</v>
      </c>
      <c r="P2819">
        <v>1</v>
      </c>
      <c r="Q2819">
        <v>0</v>
      </c>
      <c r="S2819" t="str">
        <f t="shared" ref="S2819:T2822" si="843">"22:21:58.000"</f>
        <v>22:21:58.000</v>
      </c>
      <c r="T2819" t="str">
        <f t="shared" si="843"/>
        <v>22:21:58.000</v>
      </c>
      <c r="U2819" t="str">
        <f t="shared" si="842"/>
        <v>A9D71F</v>
      </c>
      <c r="V2819">
        <v>0</v>
      </c>
      <c r="W2819">
        <v>0</v>
      </c>
      <c r="X2819">
        <v>2</v>
      </c>
      <c r="Z2819">
        <v>1</v>
      </c>
      <c r="AA2819">
        <v>8</v>
      </c>
      <c r="AB2819">
        <v>3</v>
      </c>
      <c r="AC2819">
        <v>0</v>
      </c>
      <c r="AD2819">
        <v>9</v>
      </c>
      <c r="AE2819">
        <v>0</v>
      </c>
      <c r="AF2819">
        <v>3</v>
      </c>
      <c r="AG2819">
        <v>1</v>
      </c>
      <c r="AH2819">
        <v>0</v>
      </c>
      <c r="AI2819" t="s">
        <v>1417</v>
      </c>
      <c r="AJ2819">
        <v>32.998102000000003</v>
      </c>
      <c r="AK2819" t="s">
        <v>1418</v>
      </c>
      <c r="AL2819">
        <v>-97.666054000000003</v>
      </c>
      <c r="AM2819">
        <v>25</v>
      </c>
      <c r="AN2819">
        <v>1300</v>
      </c>
      <c r="AO2819" t="s">
        <v>118</v>
      </c>
      <c r="AP2819">
        <v>-20</v>
      </c>
      <c r="AQ2819">
        <v>-84</v>
      </c>
      <c r="AR2819">
        <v>-576</v>
      </c>
      <c r="AZ2819">
        <v>7700</v>
      </c>
      <c r="BA2819">
        <v>1</v>
      </c>
      <c r="BB2819" t="str">
        <f t="shared" si="830"/>
        <v xml:space="preserve">N733KP  </v>
      </c>
      <c r="BC2819">
        <v>1</v>
      </c>
      <c r="BE2819">
        <v>0</v>
      </c>
      <c r="BF2819">
        <v>0</v>
      </c>
      <c r="BG2819">
        <v>1</v>
      </c>
      <c r="BH2819">
        <v>1400</v>
      </c>
      <c r="BI2819">
        <v>1</v>
      </c>
      <c r="BJ2819">
        <v>1</v>
      </c>
      <c r="BK2819">
        <v>0</v>
      </c>
      <c r="BL2819">
        <v>0</v>
      </c>
      <c r="BO2819">
        <v>0</v>
      </c>
      <c r="BP2819">
        <v>0</v>
      </c>
      <c r="BW2819" t="str">
        <f>"22:21:58.830"</f>
        <v>22:21:58.830</v>
      </c>
      <c r="CJ2819">
        <v>0</v>
      </c>
      <c r="CK2819">
        <v>2</v>
      </c>
      <c r="CL2819">
        <v>0</v>
      </c>
      <c r="CM2819">
        <v>2</v>
      </c>
      <c r="CN2819">
        <v>0</v>
      </c>
      <c r="CO2819">
        <v>6</v>
      </c>
      <c r="CP2819" t="s">
        <v>119</v>
      </c>
      <c r="CQ2819">
        <v>364</v>
      </c>
      <c r="CR2819">
        <v>0</v>
      </c>
      <c r="CW2819">
        <v>1475811</v>
      </c>
      <c r="CY2819">
        <v>1</v>
      </c>
      <c r="CZ2819">
        <v>0</v>
      </c>
      <c r="DA2819">
        <v>0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3">
      <c r="A2820" t="str">
        <f>"03/24/2022 22:21:59.013"</f>
        <v>03/24/2022 22:21:59.013</v>
      </c>
      <c r="C2820" t="str">
        <f t="shared" si="829"/>
        <v>FFDFD3C0</v>
      </c>
      <c r="D2820" t="s">
        <v>123</v>
      </c>
      <c r="E2820">
        <v>8</v>
      </c>
      <c r="H2820">
        <v>31</v>
      </c>
      <c r="I2820" t="s">
        <v>124</v>
      </c>
      <c r="J2820" t="s">
        <v>125</v>
      </c>
      <c r="K2820">
        <v>0</v>
      </c>
      <c r="L2820">
        <v>3</v>
      </c>
      <c r="M2820">
        <v>0</v>
      </c>
      <c r="N2820">
        <v>2</v>
      </c>
      <c r="O2820">
        <v>0</v>
      </c>
      <c r="P2820">
        <v>1</v>
      </c>
      <c r="Q2820">
        <v>0</v>
      </c>
      <c r="S2820" t="str">
        <f t="shared" si="843"/>
        <v>22:21:58.000</v>
      </c>
      <c r="T2820" t="str">
        <f t="shared" si="843"/>
        <v>22:21:58.000</v>
      </c>
      <c r="U2820" t="str">
        <f t="shared" si="842"/>
        <v>A9D71F</v>
      </c>
      <c r="V2820">
        <v>0</v>
      </c>
      <c r="W2820">
        <v>0</v>
      </c>
      <c r="X2820">
        <v>2</v>
      </c>
      <c r="Z2820">
        <v>1</v>
      </c>
      <c r="AA2820">
        <v>8</v>
      </c>
      <c r="AB2820">
        <v>3</v>
      </c>
      <c r="AC2820">
        <v>0</v>
      </c>
      <c r="AD2820">
        <v>9</v>
      </c>
      <c r="AE2820">
        <v>0</v>
      </c>
      <c r="AF2820">
        <v>3</v>
      </c>
      <c r="AG2820">
        <v>1</v>
      </c>
      <c r="AH2820">
        <v>0</v>
      </c>
      <c r="AI2820" t="s">
        <v>1417</v>
      </c>
      <c r="AJ2820">
        <v>32.998102000000003</v>
      </c>
      <c r="AK2820" t="s">
        <v>1418</v>
      </c>
      <c r="AL2820">
        <v>-97.666054000000003</v>
      </c>
      <c r="AM2820">
        <v>25</v>
      </c>
      <c r="AN2820">
        <v>1300</v>
      </c>
      <c r="AO2820" t="s">
        <v>118</v>
      </c>
      <c r="AP2820">
        <v>-20</v>
      </c>
      <c r="AQ2820">
        <v>-84</v>
      </c>
      <c r="AR2820">
        <v>-576</v>
      </c>
      <c r="AZ2820">
        <v>7700</v>
      </c>
      <c r="BA2820">
        <v>1</v>
      </c>
      <c r="BB2820" t="str">
        <f t="shared" si="830"/>
        <v xml:space="preserve">N733KP  </v>
      </c>
      <c r="BC2820">
        <v>1</v>
      </c>
      <c r="BE2820">
        <v>0</v>
      </c>
      <c r="BF2820">
        <v>0</v>
      </c>
      <c r="BG2820">
        <v>1</v>
      </c>
      <c r="BH2820">
        <v>1400</v>
      </c>
      <c r="BI2820">
        <v>1</v>
      </c>
      <c r="BJ2820">
        <v>1</v>
      </c>
      <c r="BK2820">
        <v>0</v>
      </c>
      <c r="BL2820">
        <v>0</v>
      </c>
      <c r="BO2820">
        <v>0</v>
      </c>
      <c r="BP2820">
        <v>0</v>
      </c>
      <c r="BW2820" t="str">
        <f>"22:21:58.830"</f>
        <v>22:21:58.830</v>
      </c>
      <c r="CJ2820">
        <v>0</v>
      </c>
      <c r="CK2820">
        <v>2</v>
      </c>
      <c r="CL2820">
        <v>0</v>
      </c>
      <c r="CM2820">
        <v>2</v>
      </c>
      <c r="CN2820">
        <v>0</v>
      </c>
      <c r="CO2820">
        <v>6</v>
      </c>
      <c r="CP2820" t="s">
        <v>119</v>
      </c>
      <c r="CQ2820">
        <v>364</v>
      </c>
      <c r="CR2820">
        <v>0</v>
      </c>
      <c r="CW2820">
        <v>1475811</v>
      </c>
      <c r="CY2820">
        <v>1</v>
      </c>
      <c r="CZ2820">
        <v>0</v>
      </c>
      <c r="DA2820">
        <v>1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3">
      <c r="A2821" t="str">
        <f>"03/24/2022 22:21:59.013"</f>
        <v>03/24/2022 22:21:59.013</v>
      </c>
      <c r="C2821" t="str">
        <f t="shared" si="829"/>
        <v>FFDFD3C0</v>
      </c>
      <c r="D2821" t="s">
        <v>126</v>
      </c>
      <c r="E2821">
        <v>3</v>
      </c>
      <c r="H2821">
        <v>160</v>
      </c>
      <c r="I2821" t="s">
        <v>121</v>
      </c>
      <c r="J2821" t="s">
        <v>127</v>
      </c>
      <c r="K2821">
        <v>0</v>
      </c>
      <c r="L2821">
        <v>3</v>
      </c>
      <c r="M2821">
        <v>0</v>
      </c>
      <c r="N2821">
        <v>2</v>
      </c>
      <c r="O2821">
        <v>0</v>
      </c>
      <c r="P2821">
        <v>1</v>
      </c>
      <c r="Q2821">
        <v>0</v>
      </c>
      <c r="S2821" t="str">
        <f t="shared" si="843"/>
        <v>22:21:58.000</v>
      </c>
      <c r="T2821" t="str">
        <f t="shared" si="843"/>
        <v>22:21:58.000</v>
      </c>
      <c r="U2821" t="str">
        <f t="shared" si="842"/>
        <v>A9D71F</v>
      </c>
      <c r="V2821">
        <v>0</v>
      </c>
      <c r="W2821">
        <v>0</v>
      </c>
      <c r="X2821">
        <v>2</v>
      </c>
      <c r="Z2821">
        <v>1</v>
      </c>
      <c r="AA2821">
        <v>8</v>
      </c>
      <c r="AB2821">
        <v>3</v>
      </c>
      <c r="AC2821">
        <v>0</v>
      </c>
      <c r="AD2821">
        <v>9</v>
      </c>
      <c r="AE2821">
        <v>0</v>
      </c>
      <c r="AF2821">
        <v>3</v>
      </c>
      <c r="AG2821">
        <v>1</v>
      </c>
      <c r="AH2821">
        <v>0</v>
      </c>
      <c r="AI2821" t="s">
        <v>1417</v>
      </c>
      <c r="AJ2821">
        <v>32.998102000000003</v>
      </c>
      <c r="AK2821" t="s">
        <v>1418</v>
      </c>
      <c r="AL2821">
        <v>-97.666054000000003</v>
      </c>
      <c r="AM2821">
        <v>25</v>
      </c>
      <c r="AN2821">
        <v>1300</v>
      </c>
      <c r="AO2821" t="s">
        <v>118</v>
      </c>
      <c r="AP2821">
        <v>-20</v>
      </c>
      <c r="AQ2821">
        <v>-84</v>
      </c>
      <c r="AR2821">
        <v>-576</v>
      </c>
      <c r="AZ2821">
        <v>7700</v>
      </c>
      <c r="BA2821">
        <v>1</v>
      </c>
      <c r="BB2821" t="str">
        <f t="shared" si="830"/>
        <v xml:space="preserve">N733KP  </v>
      </c>
      <c r="BC2821">
        <v>1</v>
      </c>
      <c r="BE2821">
        <v>0</v>
      </c>
      <c r="BF2821">
        <v>0</v>
      </c>
      <c r="BG2821">
        <v>1</v>
      </c>
      <c r="BH2821">
        <v>1400</v>
      </c>
      <c r="BI2821">
        <v>1</v>
      </c>
      <c r="BJ2821">
        <v>1</v>
      </c>
      <c r="BK2821">
        <v>0</v>
      </c>
      <c r="BL2821">
        <v>0</v>
      </c>
      <c r="BO2821">
        <v>0</v>
      </c>
      <c r="BP2821">
        <v>0</v>
      </c>
      <c r="BW2821" t="str">
        <f>"22:21:58.830"</f>
        <v>22:21:58.830</v>
      </c>
      <c r="CJ2821">
        <v>0</v>
      </c>
      <c r="CK2821">
        <v>2</v>
      </c>
      <c r="CL2821">
        <v>0</v>
      </c>
      <c r="CM2821">
        <v>2</v>
      </c>
      <c r="CN2821">
        <v>0</v>
      </c>
      <c r="CO2821">
        <v>6</v>
      </c>
      <c r="CP2821" t="s">
        <v>119</v>
      </c>
      <c r="CQ2821">
        <v>364</v>
      </c>
      <c r="CR2821">
        <v>0</v>
      </c>
      <c r="CW2821">
        <v>1475811</v>
      </c>
      <c r="CY2821">
        <v>1</v>
      </c>
      <c r="CZ2821">
        <v>0</v>
      </c>
      <c r="DA2821">
        <v>1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3">
      <c r="A2822" t="str">
        <f>"03/24/2022 22:21:59.013"</f>
        <v>03/24/2022 22:21:59.013</v>
      </c>
      <c r="C2822" t="str">
        <f t="shared" si="829"/>
        <v>FFDFD3C0</v>
      </c>
      <c r="D2822" t="s">
        <v>113</v>
      </c>
      <c r="E2822">
        <v>24</v>
      </c>
      <c r="F2822">
        <v>2024</v>
      </c>
      <c r="G2822" t="s">
        <v>114</v>
      </c>
      <c r="J2822" t="s">
        <v>115</v>
      </c>
      <c r="K2822">
        <v>0</v>
      </c>
      <c r="L2822">
        <v>3</v>
      </c>
      <c r="M2822">
        <v>0</v>
      </c>
      <c r="N2822">
        <v>2</v>
      </c>
      <c r="O2822">
        <v>0</v>
      </c>
      <c r="P2822">
        <v>1</v>
      </c>
      <c r="Q2822">
        <v>0</v>
      </c>
      <c r="S2822" t="str">
        <f t="shared" si="843"/>
        <v>22:21:58.000</v>
      </c>
      <c r="T2822" t="str">
        <f t="shared" si="843"/>
        <v>22:21:58.000</v>
      </c>
      <c r="U2822" t="str">
        <f t="shared" si="842"/>
        <v>A9D71F</v>
      </c>
      <c r="V2822">
        <v>0</v>
      </c>
      <c r="W2822">
        <v>0</v>
      </c>
      <c r="X2822">
        <v>2</v>
      </c>
      <c r="Z2822">
        <v>1</v>
      </c>
      <c r="AA2822">
        <v>8</v>
      </c>
      <c r="AB2822">
        <v>3</v>
      </c>
      <c r="AC2822">
        <v>0</v>
      </c>
      <c r="AD2822">
        <v>9</v>
      </c>
      <c r="AE2822">
        <v>0</v>
      </c>
      <c r="AF2822">
        <v>3</v>
      </c>
      <c r="AG2822">
        <v>1</v>
      </c>
      <c r="AH2822">
        <v>0</v>
      </c>
      <c r="AI2822" t="s">
        <v>1417</v>
      </c>
      <c r="AJ2822">
        <v>32.998102000000003</v>
      </c>
      <c r="AK2822" t="s">
        <v>1418</v>
      </c>
      <c r="AL2822">
        <v>-97.666054000000003</v>
      </c>
      <c r="AM2822">
        <v>25</v>
      </c>
      <c r="AN2822">
        <v>1300</v>
      </c>
      <c r="AO2822" t="s">
        <v>118</v>
      </c>
      <c r="AP2822">
        <v>-20</v>
      </c>
      <c r="AQ2822">
        <v>-84</v>
      </c>
      <c r="AR2822">
        <v>-576</v>
      </c>
      <c r="AZ2822">
        <v>7700</v>
      </c>
      <c r="BA2822">
        <v>1</v>
      </c>
      <c r="BB2822" t="str">
        <f t="shared" si="830"/>
        <v xml:space="preserve">N733KP  </v>
      </c>
      <c r="BC2822">
        <v>1</v>
      </c>
      <c r="BE2822">
        <v>0</v>
      </c>
      <c r="BF2822">
        <v>0</v>
      </c>
      <c r="BG2822">
        <v>1</v>
      </c>
      <c r="BH2822">
        <v>1400</v>
      </c>
      <c r="BI2822">
        <v>1</v>
      </c>
      <c r="BJ2822">
        <v>1</v>
      </c>
      <c r="BK2822">
        <v>0</v>
      </c>
      <c r="BL2822">
        <v>0</v>
      </c>
      <c r="BO2822">
        <v>0</v>
      </c>
      <c r="BP2822">
        <v>0</v>
      </c>
      <c r="BW2822" t="str">
        <f>"22:21:58.830"</f>
        <v>22:21:58.830</v>
      </c>
      <c r="CJ2822">
        <v>0</v>
      </c>
      <c r="CK2822">
        <v>2</v>
      </c>
      <c r="CL2822">
        <v>0</v>
      </c>
      <c r="CM2822">
        <v>2</v>
      </c>
      <c r="CN2822">
        <v>0</v>
      </c>
      <c r="CO2822">
        <v>6</v>
      </c>
      <c r="CP2822" t="s">
        <v>119</v>
      </c>
      <c r="CQ2822">
        <v>364</v>
      </c>
      <c r="CR2822">
        <v>0</v>
      </c>
      <c r="CW2822">
        <v>1475811</v>
      </c>
      <c r="CY2822">
        <v>1</v>
      </c>
      <c r="CZ2822">
        <v>0</v>
      </c>
      <c r="DA2822">
        <v>1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3">
      <c r="A2823" t="str">
        <f>"03/24/2022 22:21:59.607"</f>
        <v>03/24/2022 22:21:59.607</v>
      </c>
      <c r="C2823" t="str">
        <f t="shared" si="829"/>
        <v>FFDFD3C0</v>
      </c>
      <c r="D2823" t="s">
        <v>126</v>
      </c>
      <c r="E2823">
        <v>3</v>
      </c>
      <c r="H2823">
        <v>160</v>
      </c>
      <c r="I2823" t="s">
        <v>121</v>
      </c>
      <c r="J2823" t="s">
        <v>127</v>
      </c>
      <c r="K2823">
        <v>0</v>
      </c>
      <c r="L2823">
        <v>3</v>
      </c>
      <c r="M2823">
        <v>0</v>
      </c>
      <c r="N2823">
        <v>2</v>
      </c>
      <c r="O2823">
        <v>0</v>
      </c>
      <c r="P2823">
        <v>1</v>
      </c>
      <c r="Q2823">
        <v>0</v>
      </c>
      <c r="S2823" t="str">
        <f t="shared" ref="S2823:T2826" si="844">"22:21:59.000"</f>
        <v>22:21:59.000</v>
      </c>
      <c r="T2823" t="str">
        <f t="shared" si="844"/>
        <v>22:21:59.000</v>
      </c>
      <c r="U2823" t="str">
        <f t="shared" si="842"/>
        <v>A9D71F</v>
      </c>
      <c r="V2823">
        <v>0</v>
      </c>
      <c r="W2823">
        <v>0</v>
      </c>
      <c r="X2823">
        <v>2</v>
      </c>
      <c r="Z2823">
        <v>1</v>
      </c>
      <c r="AA2823">
        <v>8</v>
      </c>
      <c r="AB2823">
        <v>3</v>
      </c>
      <c r="AC2823">
        <v>0</v>
      </c>
      <c r="AD2823">
        <v>9</v>
      </c>
      <c r="AE2823">
        <v>0</v>
      </c>
      <c r="AF2823">
        <v>3</v>
      </c>
      <c r="AG2823">
        <v>1</v>
      </c>
      <c r="AH2823">
        <v>0</v>
      </c>
      <c r="AI2823" t="s">
        <v>1419</v>
      </c>
      <c r="AJ2823">
        <v>32.997714999999999</v>
      </c>
      <c r="AK2823" t="s">
        <v>1420</v>
      </c>
      <c r="AL2823">
        <v>-97.666183000000004</v>
      </c>
      <c r="AM2823">
        <v>25</v>
      </c>
      <c r="AN2823">
        <v>1300</v>
      </c>
      <c r="AO2823" t="s">
        <v>118</v>
      </c>
      <c r="AP2823">
        <v>-19</v>
      </c>
      <c r="AQ2823">
        <v>-84</v>
      </c>
      <c r="AR2823">
        <v>-640</v>
      </c>
      <c r="AZ2823">
        <v>7700</v>
      </c>
      <c r="BA2823">
        <v>1</v>
      </c>
      <c r="BB2823" t="str">
        <f t="shared" si="830"/>
        <v xml:space="preserve">N733KP  </v>
      </c>
      <c r="BC2823">
        <v>1</v>
      </c>
      <c r="BE2823">
        <v>0</v>
      </c>
      <c r="BF2823">
        <v>0</v>
      </c>
      <c r="BG2823">
        <v>1</v>
      </c>
      <c r="BH2823">
        <v>1375</v>
      </c>
      <c r="BI2823">
        <v>1</v>
      </c>
      <c r="BJ2823">
        <v>1</v>
      </c>
      <c r="BK2823">
        <v>0</v>
      </c>
      <c r="BL2823">
        <v>0</v>
      </c>
      <c r="BO2823">
        <v>0</v>
      </c>
      <c r="BP2823">
        <v>0</v>
      </c>
      <c r="BW2823" t="str">
        <f>"22:21:59.424"</f>
        <v>22:21:59.424</v>
      </c>
      <c r="CJ2823">
        <v>0</v>
      </c>
      <c r="CK2823">
        <v>2</v>
      </c>
      <c r="CL2823">
        <v>0</v>
      </c>
      <c r="CM2823">
        <v>2</v>
      </c>
      <c r="CN2823">
        <v>0</v>
      </c>
      <c r="CO2823">
        <v>6</v>
      </c>
      <c r="CP2823" t="s">
        <v>119</v>
      </c>
      <c r="CQ2823">
        <v>364</v>
      </c>
      <c r="CR2823">
        <v>0</v>
      </c>
      <c r="CW2823">
        <v>1475907</v>
      </c>
      <c r="CY2823">
        <v>1</v>
      </c>
      <c r="CZ2823">
        <v>0</v>
      </c>
      <c r="DA2823">
        <v>0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3">
      <c r="A2824" t="str">
        <f>"03/24/2022 22:21:59.607"</f>
        <v>03/24/2022 22:21:59.607</v>
      </c>
      <c r="C2824" t="str">
        <f t="shared" si="829"/>
        <v>FFDFD3C0</v>
      </c>
      <c r="D2824" t="s">
        <v>113</v>
      </c>
      <c r="E2824">
        <v>24</v>
      </c>
      <c r="F2824">
        <v>2024</v>
      </c>
      <c r="G2824" t="s">
        <v>114</v>
      </c>
      <c r="J2824" t="s">
        <v>115</v>
      </c>
      <c r="K2824">
        <v>0</v>
      </c>
      <c r="L2824">
        <v>3</v>
      </c>
      <c r="M2824">
        <v>0</v>
      </c>
      <c r="N2824">
        <v>2</v>
      </c>
      <c r="O2824">
        <v>0</v>
      </c>
      <c r="P2824">
        <v>1</v>
      </c>
      <c r="Q2824">
        <v>0</v>
      </c>
      <c r="S2824" t="str">
        <f t="shared" si="844"/>
        <v>22:21:59.000</v>
      </c>
      <c r="T2824" t="str">
        <f t="shared" si="844"/>
        <v>22:21:59.000</v>
      </c>
      <c r="U2824" t="str">
        <f t="shared" si="842"/>
        <v>A9D71F</v>
      </c>
      <c r="V2824">
        <v>0</v>
      </c>
      <c r="W2824">
        <v>0</v>
      </c>
      <c r="X2824">
        <v>2</v>
      </c>
      <c r="Z2824">
        <v>1</v>
      </c>
      <c r="AA2824">
        <v>8</v>
      </c>
      <c r="AB2824">
        <v>3</v>
      </c>
      <c r="AC2824">
        <v>0</v>
      </c>
      <c r="AD2824">
        <v>9</v>
      </c>
      <c r="AE2824">
        <v>0</v>
      </c>
      <c r="AF2824">
        <v>3</v>
      </c>
      <c r="AG2824">
        <v>1</v>
      </c>
      <c r="AH2824">
        <v>0</v>
      </c>
      <c r="AI2824" t="s">
        <v>1419</v>
      </c>
      <c r="AJ2824">
        <v>32.997714999999999</v>
      </c>
      <c r="AK2824" t="s">
        <v>1420</v>
      </c>
      <c r="AL2824">
        <v>-97.666183000000004</v>
      </c>
      <c r="AM2824">
        <v>25</v>
      </c>
      <c r="AN2824">
        <v>1300</v>
      </c>
      <c r="AO2824" t="s">
        <v>118</v>
      </c>
      <c r="AP2824">
        <v>-19</v>
      </c>
      <c r="AQ2824">
        <v>-84</v>
      </c>
      <c r="AR2824">
        <v>-640</v>
      </c>
      <c r="AZ2824">
        <v>7700</v>
      </c>
      <c r="BA2824">
        <v>1</v>
      </c>
      <c r="BB2824" t="str">
        <f t="shared" si="830"/>
        <v xml:space="preserve">N733KP  </v>
      </c>
      <c r="BC2824">
        <v>1</v>
      </c>
      <c r="BE2824">
        <v>0</v>
      </c>
      <c r="BF2824">
        <v>0</v>
      </c>
      <c r="BG2824">
        <v>1</v>
      </c>
      <c r="BH2824">
        <v>1375</v>
      </c>
      <c r="BI2824">
        <v>1</v>
      </c>
      <c r="BJ2824">
        <v>1</v>
      </c>
      <c r="BK2824">
        <v>0</v>
      </c>
      <c r="BL2824">
        <v>0</v>
      </c>
      <c r="BO2824">
        <v>0</v>
      </c>
      <c r="BP2824">
        <v>0</v>
      </c>
      <c r="BW2824" t="str">
        <f>"22:21:59.424"</f>
        <v>22:21:59.424</v>
      </c>
      <c r="CJ2824">
        <v>0</v>
      </c>
      <c r="CK2824">
        <v>2</v>
      </c>
      <c r="CL2824">
        <v>0</v>
      </c>
      <c r="CM2824">
        <v>2</v>
      </c>
      <c r="CN2824">
        <v>0</v>
      </c>
      <c r="CO2824">
        <v>6</v>
      </c>
      <c r="CP2824" t="s">
        <v>119</v>
      </c>
      <c r="CQ2824">
        <v>364</v>
      </c>
      <c r="CR2824">
        <v>0</v>
      </c>
      <c r="CW2824">
        <v>1475907</v>
      </c>
      <c r="CY2824">
        <v>1</v>
      </c>
      <c r="CZ2824">
        <v>0</v>
      </c>
      <c r="DA2824">
        <v>1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3">
      <c r="A2825" t="str">
        <f>"03/24/2022 22:21:59.638"</f>
        <v>03/24/2022 22:21:59.638</v>
      </c>
      <c r="C2825" t="str">
        <f t="shared" si="829"/>
        <v>FFDFD3C0</v>
      </c>
      <c r="D2825" t="s">
        <v>123</v>
      </c>
      <c r="E2825">
        <v>8</v>
      </c>
      <c r="H2825">
        <v>31</v>
      </c>
      <c r="I2825" t="s">
        <v>124</v>
      </c>
      <c r="J2825" t="s">
        <v>125</v>
      </c>
      <c r="K2825">
        <v>0</v>
      </c>
      <c r="L2825">
        <v>3</v>
      </c>
      <c r="M2825">
        <v>0</v>
      </c>
      <c r="N2825">
        <v>2</v>
      </c>
      <c r="O2825">
        <v>0</v>
      </c>
      <c r="P2825">
        <v>1</v>
      </c>
      <c r="Q2825">
        <v>0</v>
      </c>
      <c r="S2825" t="str">
        <f t="shared" si="844"/>
        <v>22:21:59.000</v>
      </c>
      <c r="T2825" t="str">
        <f t="shared" si="844"/>
        <v>22:21:59.000</v>
      </c>
      <c r="U2825" t="str">
        <f t="shared" si="842"/>
        <v>A9D71F</v>
      </c>
      <c r="V2825">
        <v>0</v>
      </c>
      <c r="W2825">
        <v>0</v>
      </c>
      <c r="X2825">
        <v>2</v>
      </c>
      <c r="Z2825">
        <v>1</v>
      </c>
      <c r="AA2825">
        <v>8</v>
      </c>
      <c r="AB2825">
        <v>3</v>
      </c>
      <c r="AC2825">
        <v>0</v>
      </c>
      <c r="AD2825">
        <v>9</v>
      </c>
      <c r="AE2825">
        <v>0</v>
      </c>
      <c r="AF2825">
        <v>3</v>
      </c>
      <c r="AG2825">
        <v>1</v>
      </c>
      <c r="AH2825">
        <v>0</v>
      </c>
      <c r="AI2825" t="s">
        <v>1419</v>
      </c>
      <c r="AJ2825">
        <v>32.997714999999999</v>
      </c>
      <c r="AK2825" t="s">
        <v>1420</v>
      </c>
      <c r="AL2825">
        <v>-97.666183000000004</v>
      </c>
      <c r="AM2825">
        <v>25</v>
      </c>
      <c r="AN2825">
        <v>1300</v>
      </c>
      <c r="AO2825" t="s">
        <v>118</v>
      </c>
      <c r="AP2825">
        <v>-19</v>
      </c>
      <c r="AQ2825">
        <v>-84</v>
      </c>
      <c r="AR2825">
        <v>-640</v>
      </c>
      <c r="AZ2825">
        <v>7700</v>
      </c>
      <c r="BA2825">
        <v>1</v>
      </c>
      <c r="BB2825" t="str">
        <f t="shared" si="830"/>
        <v xml:space="preserve">N733KP  </v>
      </c>
      <c r="BC2825">
        <v>1</v>
      </c>
      <c r="BE2825">
        <v>0</v>
      </c>
      <c r="BF2825">
        <v>0</v>
      </c>
      <c r="BG2825">
        <v>1</v>
      </c>
      <c r="BH2825">
        <v>1375</v>
      </c>
      <c r="BI2825">
        <v>1</v>
      </c>
      <c r="BJ2825">
        <v>1</v>
      </c>
      <c r="BK2825">
        <v>0</v>
      </c>
      <c r="BL2825">
        <v>0</v>
      </c>
      <c r="BO2825">
        <v>0</v>
      </c>
      <c r="BP2825">
        <v>0</v>
      </c>
      <c r="BW2825" t="str">
        <f>"22:21:59.424"</f>
        <v>22:21:59.424</v>
      </c>
      <c r="CJ2825">
        <v>0</v>
      </c>
      <c r="CK2825">
        <v>2</v>
      </c>
      <c r="CL2825">
        <v>0</v>
      </c>
      <c r="CM2825">
        <v>2</v>
      </c>
      <c r="CN2825">
        <v>0</v>
      </c>
      <c r="CO2825">
        <v>6</v>
      </c>
      <c r="CP2825" t="s">
        <v>119</v>
      </c>
      <c r="CQ2825">
        <v>364</v>
      </c>
      <c r="CR2825">
        <v>0</v>
      </c>
      <c r="CW2825">
        <v>1475907</v>
      </c>
      <c r="CY2825">
        <v>1</v>
      </c>
      <c r="CZ2825">
        <v>0</v>
      </c>
      <c r="DA2825">
        <v>1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3">
      <c r="A2826" t="str">
        <f>"03/24/2022 22:21:59.638"</f>
        <v>03/24/2022 22:21:59.638</v>
      </c>
      <c r="C2826" t="str">
        <f t="shared" si="829"/>
        <v>FFDFD3C0</v>
      </c>
      <c r="D2826" t="s">
        <v>120</v>
      </c>
      <c r="E2826">
        <v>14</v>
      </c>
      <c r="F2826">
        <v>1014</v>
      </c>
      <c r="G2826" t="s">
        <v>121</v>
      </c>
      <c r="J2826" t="s">
        <v>122</v>
      </c>
      <c r="K2826">
        <v>0</v>
      </c>
      <c r="L2826">
        <v>3</v>
      </c>
      <c r="M2826">
        <v>0</v>
      </c>
      <c r="N2826">
        <v>2</v>
      </c>
      <c r="O2826">
        <v>0</v>
      </c>
      <c r="P2826">
        <v>1</v>
      </c>
      <c r="Q2826">
        <v>0</v>
      </c>
      <c r="S2826" t="str">
        <f t="shared" si="844"/>
        <v>22:21:59.000</v>
      </c>
      <c r="T2826" t="str">
        <f t="shared" si="844"/>
        <v>22:21:59.000</v>
      </c>
      <c r="U2826" t="str">
        <f t="shared" si="842"/>
        <v>A9D71F</v>
      </c>
      <c r="V2826">
        <v>0</v>
      </c>
      <c r="W2826">
        <v>0</v>
      </c>
      <c r="X2826">
        <v>2</v>
      </c>
      <c r="Z2826">
        <v>1</v>
      </c>
      <c r="AA2826">
        <v>8</v>
      </c>
      <c r="AB2826">
        <v>3</v>
      </c>
      <c r="AC2826">
        <v>0</v>
      </c>
      <c r="AD2826">
        <v>9</v>
      </c>
      <c r="AE2826">
        <v>0</v>
      </c>
      <c r="AF2826">
        <v>3</v>
      </c>
      <c r="AG2826">
        <v>1</v>
      </c>
      <c r="AH2826">
        <v>0</v>
      </c>
      <c r="AI2826" t="s">
        <v>1419</v>
      </c>
      <c r="AJ2826">
        <v>32.997714999999999</v>
      </c>
      <c r="AK2826" t="s">
        <v>1420</v>
      </c>
      <c r="AL2826">
        <v>-97.666183000000004</v>
      </c>
      <c r="AM2826">
        <v>25</v>
      </c>
      <c r="AN2826">
        <v>1300</v>
      </c>
      <c r="AO2826" t="s">
        <v>118</v>
      </c>
      <c r="AP2826">
        <v>-19</v>
      </c>
      <c r="AQ2826">
        <v>-84</v>
      </c>
      <c r="AR2826">
        <v>-640</v>
      </c>
      <c r="AZ2826">
        <v>7700</v>
      </c>
      <c r="BA2826">
        <v>1</v>
      </c>
      <c r="BB2826" t="str">
        <f t="shared" si="830"/>
        <v xml:space="preserve">N733KP  </v>
      </c>
      <c r="BC2826">
        <v>1</v>
      </c>
      <c r="BE2826">
        <v>0</v>
      </c>
      <c r="BF2826">
        <v>0</v>
      </c>
      <c r="BG2826">
        <v>1</v>
      </c>
      <c r="BH2826">
        <v>1375</v>
      </c>
      <c r="BI2826">
        <v>1</v>
      </c>
      <c r="BJ2826">
        <v>1</v>
      </c>
      <c r="BK2826">
        <v>0</v>
      </c>
      <c r="BL2826">
        <v>0</v>
      </c>
      <c r="BO2826">
        <v>0</v>
      </c>
      <c r="BP2826">
        <v>0</v>
      </c>
      <c r="BW2826" t="str">
        <f>"22:21:59.424"</f>
        <v>22:21:59.424</v>
      </c>
      <c r="CJ2826">
        <v>0</v>
      </c>
      <c r="CK2826">
        <v>2</v>
      </c>
      <c r="CL2826">
        <v>0</v>
      </c>
      <c r="CM2826">
        <v>2</v>
      </c>
      <c r="CN2826">
        <v>0</v>
      </c>
      <c r="CO2826">
        <v>6</v>
      </c>
      <c r="CP2826" t="s">
        <v>119</v>
      </c>
      <c r="CQ2826">
        <v>364</v>
      </c>
      <c r="CR2826">
        <v>0</v>
      </c>
      <c r="CW2826">
        <v>1475907</v>
      </c>
      <c r="CY2826">
        <v>1</v>
      </c>
      <c r="CZ2826">
        <v>0</v>
      </c>
      <c r="DA2826">
        <v>1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3">
      <c r="A2827" t="str">
        <f>"03/24/2022 22:22:01.045"</f>
        <v>03/24/2022 22:22:01.045</v>
      </c>
      <c r="C2827" t="str">
        <f t="shared" si="829"/>
        <v>FFDFD3C0</v>
      </c>
      <c r="D2827" t="s">
        <v>113</v>
      </c>
      <c r="E2827">
        <v>24</v>
      </c>
      <c r="F2827">
        <v>2024</v>
      </c>
      <c r="G2827" t="s">
        <v>114</v>
      </c>
      <c r="J2827" t="s">
        <v>115</v>
      </c>
      <c r="K2827">
        <v>0</v>
      </c>
      <c r="L2827">
        <v>3</v>
      </c>
      <c r="M2827">
        <v>0</v>
      </c>
      <c r="N2827">
        <v>2</v>
      </c>
      <c r="O2827">
        <v>0</v>
      </c>
      <c r="P2827">
        <v>1</v>
      </c>
      <c r="Q2827">
        <v>0</v>
      </c>
      <c r="S2827" t="str">
        <f t="shared" ref="S2827:T2830" si="845">"22:22:00.000"</f>
        <v>22:22:00.000</v>
      </c>
      <c r="T2827" t="str">
        <f t="shared" si="845"/>
        <v>22:22:00.000</v>
      </c>
      <c r="U2827" t="str">
        <f t="shared" si="842"/>
        <v>A9D71F</v>
      </c>
      <c r="V2827">
        <v>0</v>
      </c>
      <c r="W2827">
        <v>0</v>
      </c>
      <c r="X2827">
        <v>2</v>
      </c>
      <c r="Z2827">
        <v>1</v>
      </c>
      <c r="AA2827">
        <v>8</v>
      </c>
      <c r="AB2827">
        <v>3</v>
      </c>
      <c r="AC2827">
        <v>0</v>
      </c>
      <c r="AD2827">
        <v>9</v>
      </c>
      <c r="AE2827">
        <v>0</v>
      </c>
      <c r="AF2827">
        <v>3</v>
      </c>
      <c r="AG2827">
        <v>1</v>
      </c>
      <c r="AH2827">
        <v>0</v>
      </c>
      <c r="AI2827" t="s">
        <v>1421</v>
      </c>
      <c r="AJ2827">
        <v>32.997307999999997</v>
      </c>
      <c r="AK2827" t="s">
        <v>953</v>
      </c>
      <c r="AL2827">
        <v>-97.666310999999993</v>
      </c>
      <c r="AM2827">
        <v>25</v>
      </c>
      <c r="AN2827">
        <v>1300</v>
      </c>
      <c r="AO2827" t="s">
        <v>118</v>
      </c>
      <c r="AP2827">
        <v>-16</v>
      </c>
      <c r="AQ2827">
        <v>-84</v>
      </c>
      <c r="AR2827">
        <v>-640</v>
      </c>
      <c r="AZ2827">
        <v>7700</v>
      </c>
      <c r="BA2827">
        <v>1</v>
      </c>
      <c r="BB2827" t="str">
        <f t="shared" si="830"/>
        <v xml:space="preserve">N733KP  </v>
      </c>
      <c r="BC2827">
        <v>1</v>
      </c>
      <c r="BE2827">
        <v>0</v>
      </c>
      <c r="BF2827">
        <v>0</v>
      </c>
      <c r="BG2827">
        <v>1</v>
      </c>
      <c r="BH2827">
        <v>1375</v>
      </c>
      <c r="BI2827">
        <v>1</v>
      </c>
      <c r="BJ2827">
        <v>1</v>
      </c>
      <c r="BK2827">
        <v>0</v>
      </c>
      <c r="BL2827">
        <v>0</v>
      </c>
      <c r="BO2827">
        <v>0</v>
      </c>
      <c r="BP2827">
        <v>0</v>
      </c>
      <c r="BW2827" t="str">
        <f>"22:22:00.871"</f>
        <v>22:22:00.871</v>
      </c>
      <c r="CJ2827">
        <v>0</v>
      </c>
      <c r="CK2827">
        <v>2</v>
      </c>
      <c r="CL2827">
        <v>0</v>
      </c>
      <c r="CM2827">
        <v>2</v>
      </c>
      <c r="CN2827">
        <v>0</v>
      </c>
      <c r="CO2827">
        <v>5</v>
      </c>
      <c r="CP2827" t="s">
        <v>119</v>
      </c>
      <c r="CQ2827">
        <v>364</v>
      </c>
      <c r="CR2827">
        <v>0</v>
      </c>
      <c r="CW2827">
        <v>1476148</v>
      </c>
      <c r="CY2827">
        <v>1</v>
      </c>
      <c r="CZ2827">
        <v>0</v>
      </c>
      <c r="DA2827">
        <v>0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3">
      <c r="A2828" t="str">
        <f>"03/24/2022 22:22:01.045"</f>
        <v>03/24/2022 22:22:01.045</v>
      </c>
      <c r="C2828" t="str">
        <f t="shared" si="829"/>
        <v>FFDFD3C0</v>
      </c>
      <c r="D2828" t="s">
        <v>123</v>
      </c>
      <c r="E2828">
        <v>8</v>
      </c>
      <c r="H2828">
        <v>31</v>
      </c>
      <c r="I2828" t="s">
        <v>124</v>
      </c>
      <c r="J2828" t="s">
        <v>125</v>
      </c>
      <c r="K2828">
        <v>0</v>
      </c>
      <c r="L2828">
        <v>3</v>
      </c>
      <c r="M2828">
        <v>0</v>
      </c>
      <c r="N2828">
        <v>2</v>
      </c>
      <c r="O2828">
        <v>0</v>
      </c>
      <c r="P2828">
        <v>1</v>
      </c>
      <c r="Q2828">
        <v>0</v>
      </c>
      <c r="S2828" t="str">
        <f t="shared" si="845"/>
        <v>22:22:00.000</v>
      </c>
      <c r="T2828" t="str">
        <f t="shared" si="845"/>
        <v>22:22:00.000</v>
      </c>
      <c r="U2828" t="str">
        <f t="shared" si="842"/>
        <v>A9D71F</v>
      </c>
      <c r="V2828">
        <v>0</v>
      </c>
      <c r="W2828">
        <v>0</v>
      </c>
      <c r="X2828">
        <v>2</v>
      </c>
      <c r="Z2828">
        <v>1</v>
      </c>
      <c r="AA2828">
        <v>8</v>
      </c>
      <c r="AB2828">
        <v>3</v>
      </c>
      <c r="AC2828">
        <v>0</v>
      </c>
      <c r="AD2828">
        <v>9</v>
      </c>
      <c r="AE2828">
        <v>0</v>
      </c>
      <c r="AF2828">
        <v>3</v>
      </c>
      <c r="AG2828">
        <v>1</v>
      </c>
      <c r="AH2828">
        <v>0</v>
      </c>
      <c r="AI2828" t="s">
        <v>1421</v>
      </c>
      <c r="AJ2828">
        <v>32.997307999999997</v>
      </c>
      <c r="AK2828" t="s">
        <v>953</v>
      </c>
      <c r="AL2828">
        <v>-97.666310999999993</v>
      </c>
      <c r="AM2828">
        <v>25</v>
      </c>
      <c r="AN2828">
        <v>1300</v>
      </c>
      <c r="AO2828" t="s">
        <v>118</v>
      </c>
      <c r="AP2828">
        <v>-16</v>
      </c>
      <c r="AQ2828">
        <v>-84</v>
      </c>
      <c r="AR2828">
        <v>-640</v>
      </c>
      <c r="AZ2828">
        <v>7700</v>
      </c>
      <c r="BA2828">
        <v>1</v>
      </c>
      <c r="BB2828" t="str">
        <f t="shared" si="830"/>
        <v xml:space="preserve">N733KP  </v>
      </c>
      <c r="BC2828">
        <v>1</v>
      </c>
      <c r="BE2828">
        <v>0</v>
      </c>
      <c r="BF2828">
        <v>0</v>
      </c>
      <c r="BG2828">
        <v>1</v>
      </c>
      <c r="BH2828">
        <v>1375</v>
      </c>
      <c r="BI2828">
        <v>1</v>
      </c>
      <c r="BJ2828">
        <v>1</v>
      </c>
      <c r="BK2828">
        <v>0</v>
      </c>
      <c r="BL2828">
        <v>0</v>
      </c>
      <c r="BO2828">
        <v>0</v>
      </c>
      <c r="BP2828">
        <v>0</v>
      </c>
      <c r="BW2828" t="str">
        <f>"22:22:00.871"</f>
        <v>22:22:00.871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5</v>
      </c>
      <c r="CP2828" t="s">
        <v>119</v>
      </c>
      <c r="CQ2828">
        <v>364</v>
      </c>
      <c r="CR2828">
        <v>0</v>
      </c>
      <c r="CW2828">
        <v>1476148</v>
      </c>
      <c r="CY2828">
        <v>1</v>
      </c>
      <c r="CZ2828">
        <v>0</v>
      </c>
      <c r="DA2828">
        <v>1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3">
      <c r="A2829" t="str">
        <f>"03/24/2022 22:22:01.045"</f>
        <v>03/24/2022 22:22:01.045</v>
      </c>
      <c r="C2829" t="str">
        <f t="shared" si="829"/>
        <v>FFDFD3C0</v>
      </c>
      <c r="D2829" t="s">
        <v>120</v>
      </c>
      <c r="E2829">
        <v>14</v>
      </c>
      <c r="F2829">
        <v>1014</v>
      </c>
      <c r="G2829" t="s">
        <v>121</v>
      </c>
      <c r="J2829" t="s">
        <v>122</v>
      </c>
      <c r="K2829">
        <v>0</v>
      </c>
      <c r="L2829">
        <v>3</v>
      </c>
      <c r="M2829">
        <v>0</v>
      </c>
      <c r="N2829">
        <v>2</v>
      </c>
      <c r="O2829">
        <v>0</v>
      </c>
      <c r="P2829">
        <v>1</v>
      </c>
      <c r="Q2829">
        <v>0</v>
      </c>
      <c r="S2829" t="str">
        <f t="shared" si="845"/>
        <v>22:22:00.000</v>
      </c>
      <c r="T2829" t="str">
        <f t="shared" si="845"/>
        <v>22:22:00.000</v>
      </c>
      <c r="U2829" t="str">
        <f t="shared" si="842"/>
        <v>A9D71F</v>
      </c>
      <c r="V2829">
        <v>0</v>
      </c>
      <c r="W2829">
        <v>0</v>
      </c>
      <c r="X2829">
        <v>2</v>
      </c>
      <c r="Z2829">
        <v>1</v>
      </c>
      <c r="AA2829">
        <v>8</v>
      </c>
      <c r="AB2829">
        <v>3</v>
      </c>
      <c r="AC2829">
        <v>0</v>
      </c>
      <c r="AD2829">
        <v>9</v>
      </c>
      <c r="AE2829">
        <v>0</v>
      </c>
      <c r="AF2829">
        <v>3</v>
      </c>
      <c r="AG2829">
        <v>1</v>
      </c>
      <c r="AH2829">
        <v>0</v>
      </c>
      <c r="AI2829" t="s">
        <v>1421</v>
      </c>
      <c r="AJ2829">
        <v>32.997307999999997</v>
      </c>
      <c r="AK2829" t="s">
        <v>953</v>
      </c>
      <c r="AL2829">
        <v>-97.666310999999993</v>
      </c>
      <c r="AM2829">
        <v>25</v>
      </c>
      <c r="AN2829">
        <v>1300</v>
      </c>
      <c r="AO2829" t="s">
        <v>118</v>
      </c>
      <c r="AP2829">
        <v>-16</v>
      </c>
      <c r="AQ2829">
        <v>-84</v>
      </c>
      <c r="AR2829">
        <v>-640</v>
      </c>
      <c r="AZ2829">
        <v>7700</v>
      </c>
      <c r="BA2829">
        <v>1</v>
      </c>
      <c r="BB2829" t="str">
        <f t="shared" si="830"/>
        <v xml:space="preserve">N733KP  </v>
      </c>
      <c r="BC2829">
        <v>1</v>
      </c>
      <c r="BE2829">
        <v>0</v>
      </c>
      <c r="BF2829">
        <v>0</v>
      </c>
      <c r="BG2829">
        <v>1</v>
      </c>
      <c r="BH2829">
        <v>1375</v>
      </c>
      <c r="BI2829">
        <v>1</v>
      </c>
      <c r="BJ2829">
        <v>1</v>
      </c>
      <c r="BK2829">
        <v>0</v>
      </c>
      <c r="BL2829">
        <v>0</v>
      </c>
      <c r="BO2829">
        <v>0</v>
      </c>
      <c r="BP2829">
        <v>0</v>
      </c>
      <c r="BW2829" t="str">
        <f>"22:22:00.871"</f>
        <v>22:22:00.871</v>
      </c>
      <c r="CJ2829">
        <v>0</v>
      </c>
      <c r="CK2829">
        <v>2</v>
      </c>
      <c r="CL2829">
        <v>0</v>
      </c>
      <c r="CM2829">
        <v>2</v>
      </c>
      <c r="CN2829">
        <v>0</v>
      </c>
      <c r="CO2829">
        <v>5</v>
      </c>
      <c r="CP2829" t="s">
        <v>119</v>
      </c>
      <c r="CQ2829">
        <v>364</v>
      </c>
      <c r="CR2829">
        <v>0</v>
      </c>
      <c r="CW2829">
        <v>1476148</v>
      </c>
      <c r="CY2829">
        <v>1</v>
      </c>
      <c r="CZ2829">
        <v>0</v>
      </c>
      <c r="DA2829">
        <v>1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3">
      <c r="A2830" t="str">
        <f>"03/24/2022 22:22:01.076"</f>
        <v>03/24/2022 22:22:01.076</v>
      </c>
      <c r="C2830" t="str">
        <f t="shared" si="829"/>
        <v>FFDFD3C0</v>
      </c>
      <c r="D2830" t="s">
        <v>126</v>
      </c>
      <c r="E2830">
        <v>3</v>
      </c>
      <c r="H2830">
        <v>160</v>
      </c>
      <c r="I2830" t="s">
        <v>121</v>
      </c>
      <c r="J2830" t="s">
        <v>127</v>
      </c>
      <c r="K2830">
        <v>0</v>
      </c>
      <c r="L2830">
        <v>3</v>
      </c>
      <c r="M2830">
        <v>0</v>
      </c>
      <c r="N2830">
        <v>2</v>
      </c>
      <c r="O2830">
        <v>0</v>
      </c>
      <c r="P2830">
        <v>1</v>
      </c>
      <c r="Q2830">
        <v>0</v>
      </c>
      <c r="S2830" t="str">
        <f t="shared" si="845"/>
        <v>22:22:00.000</v>
      </c>
      <c r="T2830" t="str">
        <f t="shared" si="845"/>
        <v>22:22:00.000</v>
      </c>
      <c r="U2830" t="str">
        <f t="shared" si="842"/>
        <v>A9D71F</v>
      </c>
      <c r="V2830">
        <v>0</v>
      </c>
      <c r="W2830">
        <v>0</v>
      </c>
      <c r="X2830">
        <v>2</v>
      </c>
      <c r="Z2830">
        <v>1</v>
      </c>
      <c r="AA2830">
        <v>8</v>
      </c>
      <c r="AB2830">
        <v>3</v>
      </c>
      <c r="AC2830">
        <v>0</v>
      </c>
      <c r="AD2830">
        <v>9</v>
      </c>
      <c r="AE2830">
        <v>0</v>
      </c>
      <c r="AF2830">
        <v>3</v>
      </c>
      <c r="AG2830">
        <v>1</v>
      </c>
      <c r="AH2830">
        <v>0</v>
      </c>
      <c r="AI2830" t="s">
        <v>1421</v>
      </c>
      <c r="AJ2830">
        <v>32.997307999999997</v>
      </c>
      <c r="AK2830" t="s">
        <v>953</v>
      </c>
      <c r="AL2830">
        <v>-97.666310999999993</v>
      </c>
      <c r="AM2830">
        <v>25</v>
      </c>
      <c r="AN2830">
        <v>1300</v>
      </c>
      <c r="AO2830" t="s">
        <v>118</v>
      </c>
      <c r="AP2830">
        <v>-16</v>
      </c>
      <c r="AQ2830">
        <v>-84</v>
      </c>
      <c r="AR2830">
        <v>-640</v>
      </c>
      <c r="AZ2830">
        <v>7700</v>
      </c>
      <c r="BA2830">
        <v>1</v>
      </c>
      <c r="BB2830" t="str">
        <f t="shared" si="830"/>
        <v xml:space="preserve">N733KP  </v>
      </c>
      <c r="BC2830">
        <v>1</v>
      </c>
      <c r="BE2830">
        <v>0</v>
      </c>
      <c r="BF2830">
        <v>0</v>
      </c>
      <c r="BG2830">
        <v>1</v>
      </c>
      <c r="BH2830">
        <v>1375</v>
      </c>
      <c r="BI2830">
        <v>1</v>
      </c>
      <c r="BJ2830">
        <v>1</v>
      </c>
      <c r="BK2830">
        <v>0</v>
      </c>
      <c r="BL2830">
        <v>0</v>
      </c>
      <c r="BO2830">
        <v>0</v>
      </c>
      <c r="BP2830">
        <v>0</v>
      </c>
      <c r="BW2830" t="str">
        <f>"22:22:00.871"</f>
        <v>22:22:00.871</v>
      </c>
      <c r="CJ2830">
        <v>0</v>
      </c>
      <c r="CK2830">
        <v>2</v>
      </c>
      <c r="CL2830">
        <v>0</v>
      </c>
      <c r="CM2830">
        <v>2</v>
      </c>
      <c r="CN2830">
        <v>0</v>
      </c>
      <c r="CO2830">
        <v>5</v>
      </c>
      <c r="CP2830" t="s">
        <v>119</v>
      </c>
      <c r="CQ2830">
        <v>364</v>
      </c>
      <c r="CR2830">
        <v>0</v>
      </c>
      <c r="CW2830">
        <v>1476148</v>
      </c>
      <c r="CY2830">
        <v>1</v>
      </c>
      <c r="CZ2830">
        <v>0</v>
      </c>
      <c r="DA2830">
        <v>1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3">
      <c r="A2831" t="str">
        <f>"03/24/2022 22:22:02.905"</f>
        <v>03/24/2022 22:22:02.905</v>
      </c>
      <c r="C2831" t="str">
        <f t="shared" si="829"/>
        <v>FFDFD3C0</v>
      </c>
      <c r="D2831" t="s">
        <v>123</v>
      </c>
      <c r="E2831">
        <v>8</v>
      </c>
      <c r="H2831">
        <v>31</v>
      </c>
      <c r="I2831" t="s">
        <v>124</v>
      </c>
      <c r="J2831" t="s">
        <v>125</v>
      </c>
      <c r="K2831">
        <v>0</v>
      </c>
      <c r="L2831">
        <v>3</v>
      </c>
      <c r="M2831">
        <v>0</v>
      </c>
      <c r="N2831">
        <v>2</v>
      </c>
      <c r="O2831">
        <v>0</v>
      </c>
      <c r="P2831">
        <v>1</v>
      </c>
      <c r="Q2831">
        <v>0</v>
      </c>
      <c r="S2831" t="str">
        <f t="shared" ref="S2831:T2834" si="846">"22:22:02.000"</f>
        <v>22:22:02.000</v>
      </c>
      <c r="T2831" t="str">
        <f t="shared" si="846"/>
        <v>22:22:02.000</v>
      </c>
      <c r="U2831" t="str">
        <f t="shared" si="842"/>
        <v>A9D71F</v>
      </c>
      <c r="V2831">
        <v>0</v>
      </c>
      <c r="W2831">
        <v>0</v>
      </c>
      <c r="X2831">
        <v>2</v>
      </c>
      <c r="Z2831">
        <v>1</v>
      </c>
      <c r="AA2831">
        <v>8</v>
      </c>
      <c r="AB2831">
        <v>3</v>
      </c>
      <c r="AC2831">
        <v>0</v>
      </c>
      <c r="AD2831">
        <v>9</v>
      </c>
      <c r="AE2831">
        <v>0</v>
      </c>
      <c r="AF2831">
        <v>3</v>
      </c>
      <c r="AG2831">
        <v>1</v>
      </c>
      <c r="AH2831">
        <v>0</v>
      </c>
      <c r="AI2831" t="s">
        <v>1422</v>
      </c>
      <c r="AJ2831">
        <v>32.996492000000003</v>
      </c>
      <c r="AK2831" t="s">
        <v>1423</v>
      </c>
      <c r="AL2831">
        <v>-97.666460999999998</v>
      </c>
      <c r="AM2831">
        <v>25</v>
      </c>
      <c r="AN2831">
        <v>1300</v>
      </c>
      <c r="AO2831" t="s">
        <v>118</v>
      </c>
      <c r="AP2831">
        <v>-14</v>
      </c>
      <c r="AQ2831">
        <v>-84</v>
      </c>
      <c r="AR2831">
        <v>-704</v>
      </c>
      <c r="AZ2831">
        <v>7700</v>
      </c>
      <c r="BA2831">
        <v>1</v>
      </c>
      <c r="BB2831" t="str">
        <f t="shared" si="830"/>
        <v xml:space="preserve">N733KP  </v>
      </c>
      <c r="BC2831">
        <v>1</v>
      </c>
      <c r="BE2831">
        <v>0</v>
      </c>
      <c r="BF2831">
        <v>0</v>
      </c>
      <c r="BG2831">
        <v>1</v>
      </c>
      <c r="BH2831">
        <v>1325</v>
      </c>
      <c r="BI2831">
        <v>1</v>
      </c>
      <c r="BJ2831">
        <v>1</v>
      </c>
      <c r="BK2831">
        <v>0</v>
      </c>
      <c r="BL2831">
        <v>0</v>
      </c>
      <c r="BO2831">
        <v>0</v>
      </c>
      <c r="BP2831">
        <v>0</v>
      </c>
      <c r="BW2831" t="str">
        <f>"22:22:02.700"</f>
        <v>22:22:02.700</v>
      </c>
      <c r="CJ2831">
        <v>0</v>
      </c>
      <c r="CK2831">
        <v>2</v>
      </c>
      <c r="CL2831">
        <v>0</v>
      </c>
      <c r="CM2831">
        <v>2</v>
      </c>
      <c r="CN2831">
        <v>0</v>
      </c>
      <c r="CO2831">
        <v>5</v>
      </c>
      <c r="CP2831" t="s">
        <v>119</v>
      </c>
      <c r="CQ2831">
        <v>364</v>
      </c>
      <c r="CR2831">
        <v>0</v>
      </c>
      <c r="CW2831">
        <v>1476455</v>
      </c>
      <c r="CY2831">
        <v>1</v>
      </c>
      <c r="CZ2831">
        <v>0</v>
      </c>
      <c r="DA2831">
        <v>0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3">
      <c r="A2832" t="str">
        <f>"03/24/2022 22:22:02.921"</f>
        <v>03/24/2022 22:22:02.921</v>
      </c>
      <c r="C2832" t="str">
        <f t="shared" si="829"/>
        <v>FFDFD3C0</v>
      </c>
      <c r="D2832" t="s">
        <v>120</v>
      </c>
      <c r="E2832">
        <v>14</v>
      </c>
      <c r="F2832">
        <v>1014</v>
      </c>
      <c r="G2832" t="s">
        <v>121</v>
      </c>
      <c r="J2832" t="s">
        <v>122</v>
      </c>
      <c r="K2832">
        <v>0</v>
      </c>
      <c r="L2832">
        <v>3</v>
      </c>
      <c r="M2832">
        <v>0</v>
      </c>
      <c r="N2832">
        <v>2</v>
      </c>
      <c r="O2832">
        <v>0</v>
      </c>
      <c r="P2832">
        <v>1</v>
      </c>
      <c r="Q2832">
        <v>0</v>
      </c>
      <c r="S2832" t="str">
        <f t="shared" si="846"/>
        <v>22:22:02.000</v>
      </c>
      <c r="T2832" t="str">
        <f t="shared" si="846"/>
        <v>22:22:02.000</v>
      </c>
      <c r="U2832" t="str">
        <f t="shared" si="842"/>
        <v>A9D71F</v>
      </c>
      <c r="V2832">
        <v>0</v>
      </c>
      <c r="W2832">
        <v>0</v>
      </c>
      <c r="X2832">
        <v>2</v>
      </c>
      <c r="Z2832">
        <v>1</v>
      </c>
      <c r="AA2832">
        <v>8</v>
      </c>
      <c r="AB2832">
        <v>3</v>
      </c>
      <c r="AC2832">
        <v>0</v>
      </c>
      <c r="AD2832">
        <v>9</v>
      </c>
      <c r="AE2832">
        <v>0</v>
      </c>
      <c r="AF2832">
        <v>3</v>
      </c>
      <c r="AG2832">
        <v>1</v>
      </c>
      <c r="AH2832">
        <v>0</v>
      </c>
      <c r="AI2832" t="s">
        <v>1422</v>
      </c>
      <c r="AJ2832">
        <v>32.996492000000003</v>
      </c>
      <c r="AK2832" t="s">
        <v>1423</v>
      </c>
      <c r="AL2832">
        <v>-97.666460999999998</v>
      </c>
      <c r="AM2832">
        <v>25</v>
      </c>
      <c r="AN2832">
        <v>1300</v>
      </c>
      <c r="AO2832" t="s">
        <v>118</v>
      </c>
      <c r="AP2832">
        <v>-14</v>
      </c>
      <c r="AQ2832">
        <v>-84</v>
      </c>
      <c r="AR2832">
        <v>-704</v>
      </c>
      <c r="AZ2832">
        <v>7700</v>
      </c>
      <c r="BA2832">
        <v>1</v>
      </c>
      <c r="BB2832" t="str">
        <f t="shared" si="830"/>
        <v xml:space="preserve">N733KP  </v>
      </c>
      <c r="BC2832">
        <v>1</v>
      </c>
      <c r="BE2832">
        <v>0</v>
      </c>
      <c r="BF2832">
        <v>0</v>
      </c>
      <c r="BG2832">
        <v>1</v>
      </c>
      <c r="BH2832">
        <v>1325</v>
      </c>
      <c r="BI2832">
        <v>1</v>
      </c>
      <c r="BJ2832">
        <v>1</v>
      </c>
      <c r="BK2832">
        <v>0</v>
      </c>
      <c r="BL2832">
        <v>0</v>
      </c>
      <c r="BO2832">
        <v>0</v>
      </c>
      <c r="BP2832">
        <v>0</v>
      </c>
      <c r="BW2832" t="str">
        <f>"22:22:02.700"</f>
        <v>22:22:02.700</v>
      </c>
      <c r="CJ2832">
        <v>0</v>
      </c>
      <c r="CK2832">
        <v>2</v>
      </c>
      <c r="CL2832">
        <v>0</v>
      </c>
      <c r="CM2832">
        <v>2</v>
      </c>
      <c r="CN2832">
        <v>0</v>
      </c>
      <c r="CO2832">
        <v>5</v>
      </c>
      <c r="CP2832" t="s">
        <v>119</v>
      </c>
      <c r="CQ2832">
        <v>364</v>
      </c>
      <c r="CR2832">
        <v>0</v>
      </c>
      <c r="CW2832">
        <v>1476455</v>
      </c>
      <c r="CY2832">
        <v>1</v>
      </c>
      <c r="CZ2832">
        <v>0</v>
      </c>
      <c r="DA2832">
        <v>1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3">
      <c r="A2833" t="str">
        <f>"03/24/2022 22:22:02.921"</f>
        <v>03/24/2022 22:22:02.921</v>
      </c>
      <c r="C2833" t="str">
        <f t="shared" si="829"/>
        <v>FFDFD3C0</v>
      </c>
      <c r="D2833" t="s">
        <v>126</v>
      </c>
      <c r="E2833">
        <v>3</v>
      </c>
      <c r="H2833">
        <v>160</v>
      </c>
      <c r="I2833" t="s">
        <v>121</v>
      </c>
      <c r="J2833" t="s">
        <v>127</v>
      </c>
      <c r="K2833">
        <v>0</v>
      </c>
      <c r="L2833">
        <v>3</v>
      </c>
      <c r="M2833">
        <v>0</v>
      </c>
      <c r="N2833">
        <v>2</v>
      </c>
      <c r="O2833">
        <v>0</v>
      </c>
      <c r="P2833">
        <v>1</v>
      </c>
      <c r="Q2833">
        <v>0</v>
      </c>
      <c r="S2833" t="str">
        <f t="shared" si="846"/>
        <v>22:22:02.000</v>
      </c>
      <c r="T2833" t="str">
        <f t="shared" si="846"/>
        <v>22:22:02.000</v>
      </c>
      <c r="U2833" t="str">
        <f t="shared" si="842"/>
        <v>A9D71F</v>
      </c>
      <c r="V2833">
        <v>0</v>
      </c>
      <c r="W2833">
        <v>0</v>
      </c>
      <c r="X2833">
        <v>2</v>
      </c>
      <c r="Z2833">
        <v>1</v>
      </c>
      <c r="AA2833">
        <v>8</v>
      </c>
      <c r="AB2833">
        <v>3</v>
      </c>
      <c r="AC2833">
        <v>0</v>
      </c>
      <c r="AD2833">
        <v>9</v>
      </c>
      <c r="AE2833">
        <v>0</v>
      </c>
      <c r="AF2833">
        <v>3</v>
      </c>
      <c r="AG2833">
        <v>1</v>
      </c>
      <c r="AH2833">
        <v>0</v>
      </c>
      <c r="AI2833" t="s">
        <v>1422</v>
      </c>
      <c r="AJ2833">
        <v>32.996492000000003</v>
      </c>
      <c r="AK2833" t="s">
        <v>1423</v>
      </c>
      <c r="AL2833">
        <v>-97.666460999999998</v>
      </c>
      <c r="AM2833">
        <v>25</v>
      </c>
      <c r="AN2833">
        <v>1300</v>
      </c>
      <c r="AO2833" t="s">
        <v>118</v>
      </c>
      <c r="AP2833">
        <v>-14</v>
      </c>
      <c r="AQ2833">
        <v>-84</v>
      </c>
      <c r="AR2833">
        <v>-704</v>
      </c>
      <c r="AZ2833">
        <v>7700</v>
      </c>
      <c r="BA2833">
        <v>1</v>
      </c>
      <c r="BB2833" t="str">
        <f t="shared" si="830"/>
        <v xml:space="preserve">N733KP  </v>
      </c>
      <c r="BC2833">
        <v>1</v>
      </c>
      <c r="BE2833">
        <v>0</v>
      </c>
      <c r="BF2833">
        <v>0</v>
      </c>
      <c r="BG2833">
        <v>1</v>
      </c>
      <c r="BH2833">
        <v>1325</v>
      </c>
      <c r="BI2833">
        <v>1</v>
      </c>
      <c r="BJ2833">
        <v>1</v>
      </c>
      <c r="BK2833">
        <v>0</v>
      </c>
      <c r="BL2833">
        <v>0</v>
      </c>
      <c r="BO2833">
        <v>0</v>
      </c>
      <c r="BP2833">
        <v>0</v>
      </c>
      <c r="BW2833" t="str">
        <f>"22:22:02.700"</f>
        <v>22:22:02.700</v>
      </c>
      <c r="CJ2833">
        <v>0</v>
      </c>
      <c r="CK2833">
        <v>2</v>
      </c>
      <c r="CL2833">
        <v>0</v>
      </c>
      <c r="CM2833">
        <v>2</v>
      </c>
      <c r="CN2833">
        <v>0</v>
      </c>
      <c r="CO2833">
        <v>5</v>
      </c>
      <c r="CP2833" t="s">
        <v>119</v>
      </c>
      <c r="CQ2833">
        <v>364</v>
      </c>
      <c r="CR2833">
        <v>0</v>
      </c>
      <c r="CW2833">
        <v>1476455</v>
      </c>
      <c r="CY2833">
        <v>1</v>
      </c>
      <c r="CZ2833">
        <v>0</v>
      </c>
      <c r="DA2833">
        <v>1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3">
      <c r="A2834" t="str">
        <f>"03/24/2022 22:22:02.921"</f>
        <v>03/24/2022 22:22:02.921</v>
      </c>
      <c r="C2834" t="str">
        <f t="shared" si="829"/>
        <v>FFDFD3C0</v>
      </c>
      <c r="D2834" t="s">
        <v>113</v>
      </c>
      <c r="E2834">
        <v>24</v>
      </c>
      <c r="F2834">
        <v>2024</v>
      </c>
      <c r="G2834" t="s">
        <v>114</v>
      </c>
      <c r="J2834" t="s">
        <v>115</v>
      </c>
      <c r="K2834">
        <v>0</v>
      </c>
      <c r="L2834">
        <v>3</v>
      </c>
      <c r="M2834">
        <v>0</v>
      </c>
      <c r="N2834">
        <v>2</v>
      </c>
      <c r="O2834">
        <v>0</v>
      </c>
      <c r="P2834">
        <v>1</v>
      </c>
      <c r="Q2834">
        <v>0</v>
      </c>
      <c r="S2834" t="str">
        <f t="shared" si="846"/>
        <v>22:22:02.000</v>
      </c>
      <c r="T2834" t="str">
        <f t="shared" si="846"/>
        <v>22:22:02.000</v>
      </c>
      <c r="U2834" t="str">
        <f t="shared" si="842"/>
        <v>A9D71F</v>
      </c>
      <c r="V2834">
        <v>0</v>
      </c>
      <c r="W2834">
        <v>0</v>
      </c>
      <c r="X2834">
        <v>2</v>
      </c>
      <c r="Z2834">
        <v>1</v>
      </c>
      <c r="AA2834">
        <v>8</v>
      </c>
      <c r="AB2834">
        <v>3</v>
      </c>
      <c r="AC2834">
        <v>0</v>
      </c>
      <c r="AD2834">
        <v>9</v>
      </c>
      <c r="AE2834">
        <v>0</v>
      </c>
      <c r="AF2834">
        <v>3</v>
      </c>
      <c r="AG2834">
        <v>1</v>
      </c>
      <c r="AH2834">
        <v>0</v>
      </c>
      <c r="AI2834" t="s">
        <v>1422</v>
      </c>
      <c r="AJ2834">
        <v>32.996492000000003</v>
      </c>
      <c r="AK2834" t="s">
        <v>1423</v>
      </c>
      <c r="AL2834">
        <v>-97.666460999999998</v>
      </c>
      <c r="AM2834">
        <v>25</v>
      </c>
      <c r="AN2834">
        <v>1300</v>
      </c>
      <c r="AO2834" t="s">
        <v>118</v>
      </c>
      <c r="AP2834">
        <v>-14</v>
      </c>
      <c r="AQ2834">
        <v>-84</v>
      </c>
      <c r="AR2834">
        <v>-704</v>
      </c>
      <c r="AZ2834">
        <v>7700</v>
      </c>
      <c r="BA2834">
        <v>1</v>
      </c>
      <c r="BB2834" t="str">
        <f t="shared" si="830"/>
        <v xml:space="preserve">N733KP  </v>
      </c>
      <c r="BC2834">
        <v>1</v>
      </c>
      <c r="BE2834">
        <v>0</v>
      </c>
      <c r="BF2834">
        <v>0</v>
      </c>
      <c r="BG2834">
        <v>1</v>
      </c>
      <c r="BH2834">
        <v>1325</v>
      </c>
      <c r="BI2834">
        <v>1</v>
      </c>
      <c r="BJ2834">
        <v>1</v>
      </c>
      <c r="BK2834">
        <v>0</v>
      </c>
      <c r="BL2834">
        <v>0</v>
      </c>
      <c r="BO2834">
        <v>0</v>
      </c>
      <c r="BP2834">
        <v>0</v>
      </c>
      <c r="BW2834" t="str">
        <f>"22:22:02.700"</f>
        <v>22:22:02.700</v>
      </c>
      <c r="CJ2834">
        <v>0</v>
      </c>
      <c r="CK2834">
        <v>2</v>
      </c>
      <c r="CL2834">
        <v>0</v>
      </c>
      <c r="CM2834">
        <v>2</v>
      </c>
      <c r="CN2834">
        <v>0</v>
      </c>
      <c r="CO2834">
        <v>5</v>
      </c>
      <c r="CP2834" t="s">
        <v>119</v>
      </c>
      <c r="CQ2834">
        <v>364</v>
      </c>
      <c r="CR2834">
        <v>0</v>
      </c>
      <c r="CW2834">
        <v>1476455</v>
      </c>
      <c r="CY2834">
        <v>1</v>
      </c>
      <c r="CZ2834">
        <v>0</v>
      </c>
      <c r="DA2834">
        <v>1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3">
      <c r="A2835" t="str">
        <f>"03/24/2022 22:22:03.517"</f>
        <v>03/24/2022 22:22:03.517</v>
      </c>
      <c r="C2835" t="str">
        <f t="shared" si="829"/>
        <v>FFDFD3C0</v>
      </c>
      <c r="D2835" t="s">
        <v>123</v>
      </c>
      <c r="E2835">
        <v>8</v>
      </c>
      <c r="H2835">
        <v>31</v>
      </c>
      <c r="I2835" t="s">
        <v>124</v>
      </c>
      <c r="J2835" t="s">
        <v>125</v>
      </c>
      <c r="K2835">
        <v>0</v>
      </c>
      <c r="L2835">
        <v>3</v>
      </c>
      <c r="M2835">
        <v>0</v>
      </c>
      <c r="N2835">
        <v>2</v>
      </c>
      <c r="O2835">
        <v>0</v>
      </c>
      <c r="P2835">
        <v>1</v>
      </c>
      <c r="Q2835">
        <v>0</v>
      </c>
      <c r="S2835" t="str">
        <f t="shared" ref="S2835:T2838" si="847">"22:22:03.000"</f>
        <v>22:22:03.000</v>
      </c>
      <c r="T2835" t="str">
        <f t="shared" si="847"/>
        <v>22:22:03.000</v>
      </c>
      <c r="U2835" t="str">
        <f t="shared" si="842"/>
        <v>A9D71F</v>
      </c>
      <c r="V2835">
        <v>0</v>
      </c>
      <c r="W2835">
        <v>0</v>
      </c>
      <c r="X2835">
        <v>2</v>
      </c>
      <c r="Z2835">
        <v>1</v>
      </c>
      <c r="AA2835">
        <v>8</v>
      </c>
      <c r="AB2835">
        <v>3</v>
      </c>
      <c r="AC2835">
        <v>0</v>
      </c>
      <c r="AD2835">
        <v>9</v>
      </c>
      <c r="AE2835">
        <v>0</v>
      </c>
      <c r="AF2835">
        <v>3</v>
      </c>
      <c r="AG2835">
        <v>1</v>
      </c>
      <c r="AH2835">
        <v>0</v>
      </c>
      <c r="AI2835" t="s">
        <v>1424</v>
      </c>
      <c r="AJ2835">
        <v>32.996127999999999</v>
      </c>
      <c r="AK2835" t="s">
        <v>1425</v>
      </c>
      <c r="AL2835">
        <v>-97.666526000000005</v>
      </c>
      <c r="AM2835">
        <v>25</v>
      </c>
      <c r="AN2835">
        <v>1300</v>
      </c>
      <c r="AO2835" t="s">
        <v>118</v>
      </c>
      <c r="AP2835">
        <v>-13</v>
      </c>
      <c r="AQ2835">
        <v>-85</v>
      </c>
      <c r="AR2835">
        <v>-704</v>
      </c>
      <c r="AZ2835">
        <v>7700</v>
      </c>
      <c r="BA2835">
        <v>1</v>
      </c>
      <c r="BB2835" t="str">
        <f t="shared" si="830"/>
        <v xml:space="preserve">N733KP  </v>
      </c>
      <c r="BC2835">
        <v>1</v>
      </c>
      <c r="BE2835">
        <v>0</v>
      </c>
      <c r="BF2835">
        <v>0</v>
      </c>
      <c r="BG2835">
        <v>1</v>
      </c>
      <c r="BH2835">
        <v>1325</v>
      </c>
      <c r="BI2835">
        <v>1</v>
      </c>
      <c r="BJ2835">
        <v>1</v>
      </c>
      <c r="BK2835">
        <v>0</v>
      </c>
      <c r="BL2835">
        <v>0</v>
      </c>
      <c r="BO2835">
        <v>0</v>
      </c>
      <c r="BP2835">
        <v>0</v>
      </c>
      <c r="BW2835" t="str">
        <f>"22:22:03.290"</f>
        <v>22:22:03.290</v>
      </c>
      <c r="CJ2835">
        <v>0</v>
      </c>
      <c r="CK2835">
        <v>2</v>
      </c>
      <c r="CL2835">
        <v>0</v>
      </c>
      <c r="CM2835">
        <v>2</v>
      </c>
      <c r="CN2835">
        <v>0</v>
      </c>
      <c r="CO2835">
        <v>5</v>
      </c>
      <c r="CP2835" t="s">
        <v>119</v>
      </c>
      <c r="CQ2835">
        <v>364</v>
      </c>
      <c r="CR2835">
        <v>0</v>
      </c>
      <c r="CW2835">
        <v>1476574</v>
      </c>
      <c r="CY2835">
        <v>1</v>
      </c>
      <c r="CZ2835">
        <v>0</v>
      </c>
      <c r="DA2835">
        <v>0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3">
      <c r="A2836" t="str">
        <f>"03/24/2022 22:22:03.517"</f>
        <v>03/24/2022 22:22:03.517</v>
      </c>
      <c r="C2836" t="str">
        <f t="shared" si="829"/>
        <v>FFDFD3C0</v>
      </c>
      <c r="D2836" t="s">
        <v>120</v>
      </c>
      <c r="E2836">
        <v>14</v>
      </c>
      <c r="F2836">
        <v>1014</v>
      </c>
      <c r="G2836" t="s">
        <v>121</v>
      </c>
      <c r="J2836" t="s">
        <v>122</v>
      </c>
      <c r="K2836">
        <v>0</v>
      </c>
      <c r="L2836">
        <v>3</v>
      </c>
      <c r="M2836">
        <v>0</v>
      </c>
      <c r="N2836">
        <v>2</v>
      </c>
      <c r="O2836">
        <v>0</v>
      </c>
      <c r="P2836">
        <v>1</v>
      </c>
      <c r="Q2836">
        <v>0</v>
      </c>
      <c r="S2836" t="str">
        <f t="shared" si="847"/>
        <v>22:22:03.000</v>
      </c>
      <c r="T2836" t="str">
        <f t="shared" si="847"/>
        <v>22:22:03.000</v>
      </c>
      <c r="U2836" t="str">
        <f t="shared" si="842"/>
        <v>A9D71F</v>
      </c>
      <c r="V2836">
        <v>0</v>
      </c>
      <c r="W2836">
        <v>0</v>
      </c>
      <c r="X2836">
        <v>2</v>
      </c>
      <c r="Z2836">
        <v>1</v>
      </c>
      <c r="AA2836">
        <v>8</v>
      </c>
      <c r="AB2836">
        <v>3</v>
      </c>
      <c r="AC2836">
        <v>0</v>
      </c>
      <c r="AD2836">
        <v>9</v>
      </c>
      <c r="AE2836">
        <v>0</v>
      </c>
      <c r="AF2836">
        <v>3</v>
      </c>
      <c r="AG2836">
        <v>1</v>
      </c>
      <c r="AH2836">
        <v>0</v>
      </c>
      <c r="AI2836" t="s">
        <v>1424</v>
      </c>
      <c r="AJ2836">
        <v>32.996127999999999</v>
      </c>
      <c r="AK2836" t="s">
        <v>1425</v>
      </c>
      <c r="AL2836">
        <v>-97.666526000000005</v>
      </c>
      <c r="AM2836">
        <v>25</v>
      </c>
      <c r="AN2836">
        <v>1300</v>
      </c>
      <c r="AO2836" t="s">
        <v>118</v>
      </c>
      <c r="AP2836">
        <v>-13</v>
      </c>
      <c r="AQ2836">
        <v>-85</v>
      </c>
      <c r="AR2836">
        <v>-704</v>
      </c>
      <c r="AZ2836">
        <v>7700</v>
      </c>
      <c r="BA2836">
        <v>1</v>
      </c>
      <c r="BB2836" t="str">
        <f t="shared" si="830"/>
        <v xml:space="preserve">N733KP  </v>
      </c>
      <c r="BC2836">
        <v>1</v>
      </c>
      <c r="BE2836">
        <v>0</v>
      </c>
      <c r="BF2836">
        <v>0</v>
      </c>
      <c r="BG2836">
        <v>1</v>
      </c>
      <c r="BH2836">
        <v>1325</v>
      </c>
      <c r="BI2836">
        <v>1</v>
      </c>
      <c r="BJ2836">
        <v>1</v>
      </c>
      <c r="BK2836">
        <v>0</v>
      </c>
      <c r="BL2836">
        <v>0</v>
      </c>
      <c r="BO2836">
        <v>0</v>
      </c>
      <c r="BP2836">
        <v>0</v>
      </c>
      <c r="BW2836" t="str">
        <f>"22:22:03.290"</f>
        <v>22:22:03.290</v>
      </c>
      <c r="CJ2836">
        <v>0</v>
      </c>
      <c r="CK2836">
        <v>2</v>
      </c>
      <c r="CL2836">
        <v>0</v>
      </c>
      <c r="CM2836">
        <v>2</v>
      </c>
      <c r="CN2836">
        <v>0</v>
      </c>
      <c r="CO2836">
        <v>5</v>
      </c>
      <c r="CP2836" t="s">
        <v>119</v>
      </c>
      <c r="CQ2836">
        <v>364</v>
      </c>
      <c r="CR2836">
        <v>0</v>
      </c>
      <c r="CW2836">
        <v>1476574</v>
      </c>
      <c r="CY2836">
        <v>1</v>
      </c>
      <c r="CZ2836">
        <v>0</v>
      </c>
      <c r="DA2836">
        <v>1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3">
      <c r="A2837" t="str">
        <f>"03/24/2022 22:22:03.517"</f>
        <v>03/24/2022 22:22:03.517</v>
      </c>
      <c r="C2837" t="str">
        <f t="shared" si="829"/>
        <v>FFDFD3C0</v>
      </c>
      <c r="D2837" t="s">
        <v>126</v>
      </c>
      <c r="E2837">
        <v>3</v>
      </c>
      <c r="H2837">
        <v>160</v>
      </c>
      <c r="I2837" t="s">
        <v>121</v>
      </c>
      <c r="J2837" t="s">
        <v>127</v>
      </c>
      <c r="K2837">
        <v>0</v>
      </c>
      <c r="L2837">
        <v>3</v>
      </c>
      <c r="M2837">
        <v>0</v>
      </c>
      <c r="N2837">
        <v>2</v>
      </c>
      <c r="O2837">
        <v>0</v>
      </c>
      <c r="P2837">
        <v>1</v>
      </c>
      <c r="Q2837">
        <v>0</v>
      </c>
      <c r="S2837" t="str">
        <f t="shared" si="847"/>
        <v>22:22:03.000</v>
      </c>
      <c r="T2837" t="str">
        <f t="shared" si="847"/>
        <v>22:22:03.000</v>
      </c>
      <c r="U2837" t="str">
        <f t="shared" si="842"/>
        <v>A9D71F</v>
      </c>
      <c r="V2837">
        <v>0</v>
      </c>
      <c r="W2837">
        <v>0</v>
      </c>
      <c r="X2837">
        <v>2</v>
      </c>
      <c r="Z2837">
        <v>1</v>
      </c>
      <c r="AA2837">
        <v>8</v>
      </c>
      <c r="AB2837">
        <v>3</v>
      </c>
      <c r="AC2837">
        <v>0</v>
      </c>
      <c r="AD2837">
        <v>9</v>
      </c>
      <c r="AE2837">
        <v>0</v>
      </c>
      <c r="AF2837">
        <v>3</v>
      </c>
      <c r="AG2837">
        <v>1</v>
      </c>
      <c r="AH2837">
        <v>0</v>
      </c>
      <c r="AI2837" t="s">
        <v>1424</v>
      </c>
      <c r="AJ2837">
        <v>32.996127999999999</v>
      </c>
      <c r="AK2837" t="s">
        <v>1425</v>
      </c>
      <c r="AL2837">
        <v>-97.666526000000005</v>
      </c>
      <c r="AM2837">
        <v>25</v>
      </c>
      <c r="AN2837">
        <v>1300</v>
      </c>
      <c r="AO2837" t="s">
        <v>118</v>
      </c>
      <c r="AP2837">
        <v>-13</v>
      </c>
      <c r="AQ2837">
        <v>-85</v>
      </c>
      <c r="AR2837">
        <v>-704</v>
      </c>
      <c r="AZ2837">
        <v>7700</v>
      </c>
      <c r="BA2837">
        <v>1</v>
      </c>
      <c r="BB2837" t="str">
        <f t="shared" si="830"/>
        <v xml:space="preserve">N733KP  </v>
      </c>
      <c r="BC2837">
        <v>1</v>
      </c>
      <c r="BE2837">
        <v>0</v>
      </c>
      <c r="BF2837">
        <v>0</v>
      </c>
      <c r="BG2837">
        <v>1</v>
      </c>
      <c r="BH2837">
        <v>1325</v>
      </c>
      <c r="BI2837">
        <v>1</v>
      </c>
      <c r="BJ2837">
        <v>1</v>
      </c>
      <c r="BK2837">
        <v>0</v>
      </c>
      <c r="BL2837">
        <v>0</v>
      </c>
      <c r="BO2837">
        <v>0</v>
      </c>
      <c r="BP2837">
        <v>0</v>
      </c>
      <c r="BW2837" t="str">
        <f>"22:22:03.290"</f>
        <v>22:22:03.290</v>
      </c>
      <c r="CJ2837">
        <v>0</v>
      </c>
      <c r="CK2837">
        <v>2</v>
      </c>
      <c r="CL2837">
        <v>0</v>
      </c>
      <c r="CM2837">
        <v>2</v>
      </c>
      <c r="CN2837">
        <v>0</v>
      </c>
      <c r="CO2837">
        <v>5</v>
      </c>
      <c r="CP2837" t="s">
        <v>119</v>
      </c>
      <c r="CQ2837">
        <v>364</v>
      </c>
      <c r="CR2837">
        <v>0</v>
      </c>
      <c r="CW2837">
        <v>1476574</v>
      </c>
      <c r="CY2837">
        <v>1</v>
      </c>
      <c r="CZ2837">
        <v>0</v>
      </c>
      <c r="DA2837">
        <v>1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3">
      <c r="A2838" t="str">
        <f>"03/24/2022 22:22:03.517"</f>
        <v>03/24/2022 22:22:03.517</v>
      </c>
      <c r="C2838" t="str">
        <f t="shared" ref="C2838:C2901" si="848">"FFDFD3C0"</f>
        <v>FFDFD3C0</v>
      </c>
      <c r="D2838" t="s">
        <v>113</v>
      </c>
      <c r="E2838">
        <v>24</v>
      </c>
      <c r="F2838">
        <v>2024</v>
      </c>
      <c r="G2838" t="s">
        <v>114</v>
      </c>
      <c r="J2838" t="s">
        <v>115</v>
      </c>
      <c r="K2838">
        <v>0</v>
      </c>
      <c r="L2838">
        <v>3</v>
      </c>
      <c r="M2838">
        <v>0</v>
      </c>
      <c r="N2838">
        <v>2</v>
      </c>
      <c r="O2838">
        <v>0</v>
      </c>
      <c r="P2838">
        <v>1</v>
      </c>
      <c r="Q2838">
        <v>0</v>
      </c>
      <c r="S2838" t="str">
        <f t="shared" si="847"/>
        <v>22:22:03.000</v>
      </c>
      <c r="T2838" t="str">
        <f t="shared" si="847"/>
        <v>22:22:03.000</v>
      </c>
      <c r="U2838" t="str">
        <f t="shared" si="842"/>
        <v>A9D71F</v>
      </c>
      <c r="V2838">
        <v>0</v>
      </c>
      <c r="W2838">
        <v>0</v>
      </c>
      <c r="X2838">
        <v>2</v>
      </c>
      <c r="Z2838">
        <v>1</v>
      </c>
      <c r="AA2838">
        <v>8</v>
      </c>
      <c r="AB2838">
        <v>3</v>
      </c>
      <c r="AC2838">
        <v>0</v>
      </c>
      <c r="AD2838">
        <v>9</v>
      </c>
      <c r="AE2838">
        <v>0</v>
      </c>
      <c r="AF2838">
        <v>3</v>
      </c>
      <c r="AG2838">
        <v>1</v>
      </c>
      <c r="AH2838">
        <v>0</v>
      </c>
      <c r="AI2838" t="s">
        <v>1424</v>
      </c>
      <c r="AJ2838">
        <v>32.996127999999999</v>
      </c>
      <c r="AK2838" t="s">
        <v>1425</v>
      </c>
      <c r="AL2838">
        <v>-97.666526000000005</v>
      </c>
      <c r="AM2838">
        <v>25</v>
      </c>
      <c r="AN2838">
        <v>1300</v>
      </c>
      <c r="AO2838" t="s">
        <v>118</v>
      </c>
      <c r="AP2838">
        <v>-13</v>
      </c>
      <c r="AQ2838">
        <v>-85</v>
      </c>
      <c r="AR2838">
        <v>-704</v>
      </c>
      <c r="AZ2838">
        <v>7700</v>
      </c>
      <c r="BA2838">
        <v>1</v>
      </c>
      <c r="BB2838" t="str">
        <f t="shared" ref="BB2838:BB2901" si="849">"N733KP  "</f>
        <v xml:space="preserve">N733KP  </v>
      </c>
      <c r="BC2838">
        <v>1</v>
      </c>
      <c r="BE2838">
        <v>0</v>
      </c>
      <c r="BF2838">
        <v>0</v>
      </c>
      <c r="BG2838">
        <v>1</v>
      </c>
      <c r="BH2838">
        <v>1325</v>
      </c>
      <c r="BI2838">
        <v>1</v>
      </c>
      <c r="BJ2838">
        <v>1</v>
      </c>
      <c r="BK2838">
        <v>0</v>
      </c>
      <c r="BL2838">
        <v>0</v>
      </c>
      <c r="BO2838">
        <v>0</v>
      </c>
      <c r="BP2838">
        <v>0</v>
      </c>
      <c r="BW2838" t="str">
        <f>"22:22:03.290"</f>
        <v>22:22:03.290</v>
      </c>
      <c r="CJ2838">
        <v>0</v>
      </c>
      <c r="CK2838">
        <v>2</v>
      </c>
      <c r="CL2838">
        <v>0</v>
      </c>
      <c r="CM2838">
        <v>2</v>
      </c>
      <c r="CN2838">
        <v>0</v>
      </c>
      <c r="CO2838">
        <v>5</v>
      </c>
      <c r="CP2838" t="s">
        <v>119</v>
      </c>
      <c r="CQ2838">
        <v>364</v>
      </c>
      <c r="CR2838">
        <v>0</v>
      </c>
      <c r="CW2838">
        <v>1476574</v>
      </c>
      <c r="CY2838">
        <v>1</v>
      </c>
      <c r="CZ2838">
        <v>0</v>
      </c>
      <c r="DA2838">
        <v>1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3">
      <c r="A2839" t="str">
        <f>"03/24/2022 22:22:04.925"</f>
        <v>03/24/2022 22:22:04.925</v>
      </c>
      <c r="C2839" t="str">
        <f t="shared" si="848"/>
        <v>FFDFD3C0</v>
      </c>
      <c r="D2839" t="s">
        <v>113</v>
      </c>
      <c r="E2839">
        <v>24</v>
      </c>
      <c r="F2839">
        <v>2024</v>
      </c>
      <c r="G2839" t="s">
        <v>114</v>
      </c>
      <c r="J2839" t="s">
        <v>115</v>
      </c>
      <c r="K2839">
        <v>0</v>
      </c>
      <c r="L2839">
        <v>3</v>
      </c>
      <c r="M2839">
        <v>0</v>
      </c>
      <c r="N2839">
        <v>2</v>
      </c>
      <c r="O2839">
        <v>0</v>
      </c>
      <c r="P2839">
        <v>1</v>
      </c>
      <c r="Q2839">
        <v>0</v>
      </c>
      <c r="S2839" t="str">
        <f t="shared" ref="S2839:T2842" si="850">"22:22:04.000"</f>
        <v>22:22:04.000</v>
      </c>
      <c r="T2839" t="str">
        <f t="shared" si="850"/>
        <v>22:22:04.000</v>
      </c>
      <c r="U2839" t="str">
        <f t="shared" si="842"/>
        <v>A9D71F</v>
      </c>
      <c r="V2839">
        <v>0</v>
      </c>
      <c r="W2839">
        <v>0</v>
      </c>
      <c r="X2839">
        <v>2</v>
      </c>
      <c r="Z2839">
        <v>1</v>
      </c>
      <c r="AA2839">
        <v>8</v>
      </c>
      <c r="AB2839">
        <v>3</v>
      </c>
      <c r="AC2839">
        <v>0</v>
      </c>
      <c r="AD2839">
        <v>9</v>
      </c>
      <c r="AE2839">
        <v>0</v>
      </c>
      <c r="AF2839">
        <v>3</v>
      </c>
      <c r="AG2839">
        <v>1</v>
      </c>
      <c r="AH2839">
        <v>0</v>
      </c>
      <c r="AI2839" t="s">
        <v>1426</v>
      </c>
      <c r="AJ2839">
        <v>32.995741000000002</v>
      </c>
      <c r="AK2839" t="s">
        <v>1427</v>
      </c>
      <c r="AL2839">
        <v>-97.666612000000001</v>
      </c>
      <c r="AM2839">
        <v>25</v>
      </c>
      <c r="AN2839">
        <v>1300</v>
      </c>
      <c r="AO2839" t="s">
        <v>118</v>
      </c>
      <c r="AP2839">
        <v>-13</v>
      </c>
      <c r="AQ2839">
        <v>-86</v>
      </c>
      <c r="AR2839">
        <v>-704</v>
      </c>
      <c r="AZ2839">
        <v>7700</v>
      </c>
      <c r="BA2839">
        <v>1</v>
      </c>
      <c r="BB2839" t="str">
        <f t="shared" si="849"/>
        <v xml:space="preserve">N733KP  </v>
      </c>
      <c r="BC2839">
        <v>1</v>
      </c>
      <c r="BE2839">
        <v>0</v>
      </c>
      <c r="BF2839">
        <v>0</v>
      </c>
      <c r="BG2839">
        <v>1</v>
      </c>
      <c r="BH2839">
        <v>1325</v>
      </c>
      <c r="BI2839">
        <v>1</v>
      </c>
      <c r="BJ2839">
        <v>1</v>
      </c>
      <c r="BK2839">
        <v>0</v>
      </c>
      <c r="BL2839">
        <v>0</v>
      </c>
      <c r="BO2839">
        <v>0</v>
      </c>
      <c r="BP2839">
        <v>0</v>
      </c>
      <c r="BW2839" t="str">
        <f>"22:22:04.718"</f>
        <v>22:22:04.718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5</v>
      </c>
      <c r="CP2839" t="s">
        <v>119</v>
      </c>
      <c r="CQ2839">
        <v>364</v>
      </c>
      <c r="CR2839">
        <v>0</v>
      </c>
      <c r="CW2839">
        <v>1476794</v>
      </c>
      <c r="CY2839">
        <v>1</v>
      </c>
      <c r="CZ2839">
        <v>0</v>
      </c>
      <c r="DA2839">
        <v>0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3">
      <c r="A2840" t="str">
        <f>"03/24/2022 22:22:04.925"</f>
        <v>03/24/2022 22:22:04.925</v>
      </c>
      <c r="C2840" t="str">
        <f t="shared" si="848"/>
        <v>FFDFD3C0</v>
      </c>
      <c r="D2840" t="s">
        <v>123</v>
      </c>
      <c r="E2840">
        <v>8</v>
      </c>
      <c r="H2840">
        <v>31</v>
      </c>
      <c r="I2840" t="s">
        <v>124</v>
      </c>
      <c r="J2840" t="s">
        <v>125</v>
      </c>
      <c r="K2840">
        <v>0</v>
      </c>
      <c r="L2840">
        <v>3</v>
      </c>
      <c r="M2840">
        <v>0</v>
      </c>
      <c r="N2840">
        <v>2</v>
      </c>
      <c r="O2840">
        <v>0</v>
      </c>
      <c r="P2840">
        <v>1</v>
      </c>
      <c r="Q2840">
        <v>0</v>
      </c>
      <c r="S2840" t="str">
        <f t="shared" si="850"/>
        <v>22:22:04.000</v>
      </c>
      <c r="T2840" t="str">
        <f t="shared" si="850"/>
        <v>22:22:04.000</v>
      </c>
      <c r="U2840" t="str">
        <f t="shared" si="842"/>
        <v>A9D71F</v>
      </c>
      <c r="V2840">
        <v>0</v>
      </c>
      <c r="W2840">
        <v>0</v>
      </c>
      <c r="X2840">
        <v>2</v>
      </c>
      <c r="Z2840">
        <v>1</v>
      </c>
      <c r="AA2840">
        <v>8</v>
      </c>
      <c r="AB2840">
        <v>3</v>
      </c>
      <c r="AC2840">
        <v>0</v>
      </c>
      <c r="AD2840">
        <v>9</v>
      </c>
      <c r="AE2840">
        <v>0</v>
      </c>
      <c r="AF2840">
        <v>3</v>
      </c>
      <c r="AG2840">
        <v>1</v>
      </c>
      <c r="AH2840">
        <v>0</v>
      </c>
      <c r="AI2840" t="s">
        <v>1426</v>
      </c>
      <c r="AJ2840">
        <v>32.995741000000002</v>
      </c>
      <c r="AK2840" t="s">
        <v>1427</v>
      </c>
      <c r="AL2840">
        <v>-97.666612000000001</v>
      </c>
      <c r="AM2840">
        <v>25</v>
      </c>
      <c r="AN2840">
        <v>1300</v>
      </c>
      <c r="AO2840" t="s">
        <v>118</v>
      </c>
      <c r="AP2840">
        <v>-13</v>
      </c>
      <c r="AQ2840">
        <v>-86</v>
      </c>
      <c r="AR2840">
        <v>-704</v>
      </c>
      <c r="AZ2840">
        <v>7700</v>
      </c>
      <c r="BA2840">
        <v>1</v>
      </c>
      <c r="BB2840" t="str">
        <f t="shared" si="849"/>
        <v xml:space="preserve">N733KP  </v>
      </c>
      <c r="BC2840">
        <v>1</v>
      </c>
      <c r="BE2840">
        <v>0</v>
      </c>
      <c r="BF2840">
        <v>0</v>
      </c>
      <c r="BG2840">
        <v>1</v>
      </c>
      <c r="BH2840">
        <v>1325</v>
      </c>
      <c r="BI2840">
        <v>1</v>
      </c>
      <c r="BJ2840">
        <v>1</v>
      </c>
      <c r="BK2840">
        <v>0</v>
      </c>
      <c r="BL2840">
        <v>0</v>
      </c>
      <c r="BO2840">
        <v>0</v>
      </c>
      <c r="BP2840">
        <v>0</v>
      </c>
      <c r="BW2840" t="str">
        <f>"22:22:04.718"</f>
        <v>22:22:04.718</v>
      </c>
      <c r="CJ2840">
        <v>0</v>
      </c>
      <c r="CK2840">
        <v>2</v>
      </c>
      <c r="CL2840">
        <v>0</v>
      </c>
      <c r="CM2840">
        <v>2</v>
      </c>
      <c r="CN2840">
        <v>0</v>
      </c>
      <c r="CO2840">
        <v>5</v>
      </c>
      <c r="CP2840" t="s">
        <v>119</v>
      </c>
      <c r="CQ2840">
        <v>364</v>
      </c>
      <c r="CR2840">
        <v>0</v>
      </c>
      <c r="CW2840">
        <v>1476794</v>
      </c>
      <c r="CY2840">
        <v>1</v>
      </c>
      <c r="CZ2840">
        <v>0</v>
      </c>
      <c r="DA2840">
        <v>1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3">
      <c r="A2841" t="str">
        <f>"03/24/2022 22:22:04.925"</f>
        <v>03/24/2022 22:22:04.925</v>
      </c>
      <c r="C2841" t="str">
        <f t="shared" si="848"/>
        <v>FFDFD3C0</v>
      </c>
      <c r="D2841" t="s">
        <v>120</v>
      </c>
      <c r="E2841">
        <v>14</v>
      </c>
      <c r="F2841">
        <v>1014</v>
      </c>
      <c r="G2841" t="s">
        <v>121</v>
      </c>
      <c r="J2841" t="s">
        <v>122</v>
      </c>
      <c r="K2841">
        <v>0</v>
      </c>
      <c r="L2841">
        <v>3</v>
      </c>
      <c r="M2841">
        <v>0</v>
      </c>
      <c r="N2841">
        <v>2</v>
      </c>
      <c r="O2841">
        <v>0</v>
      </c>
      <c r="P2841">
        <v>1</v>
      </c>
      <c r="Q2841">
        <v>0</v>
      </c>
      <c r="S2841" t="str">
        <f t="shared" si="850"/>
        <v>22:22:04.000</v>
      </c>
      <c r="T2841" t="str">
        <f t="shared" si="850"/>
        <v>22:22:04.000</v>
      </c>
      <c r="U2841" t="str">
        <f t="shared" si="842"/>
        <v>A9D71F</v>
      </c>
      <c r="V2841">
        <v>0</v>
      </c>
      <c r="W2841">
        <v>0</v>
      </c>
      <c r="X2841">
        <v>2</v>
      </c>
      <c r="Z2841">
        <v>1</v>
      </c>
      <c r="AA2841">
        <v>8</v>
      </c>
      <c r="AB2841">
        <v>3</v>
      </c>
      <c r="AC2841">
        <v>0</v>
      </c>
      <c r="AD2841">
        <v>9</v>
      </c>
      <c r="AE2841">
        <v>0</v>
      </c>
      <c r="AF2841">
        <v>3</v>
      </c>
      <c r="AG2841">
        <v>1</v>
      </c>
      <c r="AH2841">
        <v>0</v>
      </c>
      <c r="AI2841" t="s">
        <v>1426</v>
      </c>
      <c r="AJ2841">
        <v>32.995741000000002</v>
      </c>
      <c r="AK2841" t="s">
        <v>1427</v>
      </c>
      <c r="AL2841">
        <v>-97.666612000000001</v>
      </c>
      <c r="AM2841">
        <v>25</v>
      </c>
      <c r="AN2841">
        <v>1300</v>
      </c>
      <c r="AO2841" t="s">
        <v>118</v>
      </c>
      <c r="AP2841">
        <v>-13</v>
      </c>
      <c r="AQ2841">
        <v>-86</v>
      </c>
      <c r="AR2841">
        <v>-704</v>
      </c>
      <c r="AZ2841">
        <v>7700</v>
      </c>
      <c r="BA2841">
        <v>1</v>
      </c>
      <c r="BB2841" t="str">
        <f t="shared" si="849"/>
        <v xml:space="preserve">N733KP  </v>
      </c>
      <c r="BC2841">
        <v>1</v>
      </c>
      <c r="BE2841">
        <v>0</v>
      </c>
      <c r="BF2841">
        <v>0</v>
      </c>
      <c r="BG2841">
        <v>1</v>
      </c>
      <c r="BH2841">
        <v>1325</v>
      </c>
      <c r="BI2841">
        <v>1</v>
      </c>
      <c r="BJ2841">
        <v>1</v>
      </c>
      <c r="BK2841">
        <v>0</v>
      </c>
      <c r="BL2841">
        <v>0</v>
      </c>
      <c r="BO2841">
        <v>0</v>
      </c>
      <c r="BP2841">
        <v>0</v>
      </c>
      <c r="BW2841" t="str">
        <f>"22:22:04.718"</f>
        <v>22:22:04.718</v>
      </c>
      <c r="CJ2841">
        <v>0</v>
      </c>
      <c r="CK2841">
        <v>2</v>
      </c>
      <c r="CL2841">
        <v>0</v>
      </c>
      <c r="CM2841">
        <v>2</v>
      </c>
      <c r="CN2841">
        <v>0</v>
      </c>
      <c r="CO2841">
        <v>5</v>
      </c>
      <c r="CP2841" t="s">
        <v>119</v>
      </c>
      <c r="CQ2841">
        <v>364</v>
      </c>
      <c r="CR2841">
        <v>0</v>
      </c>
      <c r="CW2841">
        <v>1476794</v>
      </c>
      <c r="CY2841">
        <v>1</v>
      </c>
      <c r="CZ2841">
        <v>0</v>
      </c>
      <c r="DA2841">
        <v>1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3">
      <c r="A2842" t="str">
        <f>"03/24/2022 22:22:04.925"</f>
        <v>03/24/2022 22:22:04.925</v>
      </c>
      <c r="C2842" t="str">
        <f t="shared" si="848"/>
        <v>FFDFD3C0</v>
      </c>
      <c r="D2842" t="s">
        <v>126</v>
      </c>
      <c r="E2842">
        <v>3</v>
      </c>
      <c r="H2842">
        <v>160</v>
      </c>
      <c r="I2842" t="s">
        <v>121</v>
      </c>
      <c r="J2842" t="s">
        <v>127</v>
      </c>
      <c r="K2842">
        <v>0</v>
      </c>
      <c r="L2842">
        <v>3</v>
      </c>
      <c r="M2842">
        <v>0</v>
      </c>
      <c r="N2842">
        <v>2</v>
      </c>
      <c r="O2842">
        <v>0</v>
      </c>
      <c r="P2842">
        <v>1</v>
      </c>
      <c r="Q2842">
        <v>0</v>
      </c>
      <c r="S2842" t="str">
        <f t="shared" si="850"/>
        <v>22:22:04.000</v>
      </c>
      <c r="T2842" t="str">
        <f t="shared" si="850"/>
        <v>22:22:04.000</v>
      </c>
      <c r="U2842" t="str">
        <f t="shared" si="842"/>
        <v>A9D71F</v>
      </c>
      <c r="V2842">
        <v>0</v>
      </c>
      <c r="W2842">
        <v>0</v>
      </c>
      <c r="X2842">
        <v>2</v>
      </c>
      <c r="Z2842">
        <v>1</v>
      </c>
      <c r="AA2842">
        <v>8</v>
      </c>
      <c r="AB2842">
        <v>3</v>
      </c>
      <c r="AC2842">
        <v>0</v>
      </c>
      <c r="AD2842">
        <v>9</v>
      </c>
      <c r="AE2842">
        <v>0</v>
      </c>
      <c r="AF2842">
        <v>3</v>
      </c>
      <c r="AG2842">
        <v>1</v>
      </c>
      <c r="AH2842">
        <v>0</v>
      </c>
      <c r="AI2842" t="s">
        <v>1426</v>
      </c>
      <c r="AJ2842">
        <v>32.995741000000002</v>
      </c>
      <c r="AK2842" t="s">
        <v>1427</v>
      </c>
      <c r="AL2842">
        <v>-97.666612000000001</v>
      </c>
      <c r="AM2842">
        <v>25</v>
      </c>
      <c r="AN2842">
        <v>1300</v>
      </c>
      <c r="AO2842" t="s">
        <v>118</v>
      </c>
      <c r="AP2842">
        <v>-13</v>
      </c>
      <c r="AQ2842">
        <v>-86</v>
      </c>
      <c r="AR2842">
        <v>-704</v>
      </c>
      <c r="AZ2842">
        <v>7700</v>
      </c>
      <c r="BA2842">
        <v>1</v>
      </c>
      <c r="BB2842" t="str">
        <f t="shared" si="849"/>
        <v xml:space="preserve">N733KP  </v>
      </c>
      <c r="BC2842">
        <v>1</v>
      </c>
      <c r="BE2842">
        <v>0</v>
      </c>
      <c r="BF2842">
        <v>0</v>
      </c>
      <c r="BG2842">
        <v>1</v>
      </c>
      <c r="BH2842">
        <v>1325</v>
      </c>
      <c r="BI2842">
        <v>1</v>
      </c>
      <c r="BJ2842">
        <v>1</v>
      </c>
      <c r="BK2842">
        <v>0</v>
      </c>
      <c r="BL2842">
        <v>0</v>
      </c>
      <c r="BO2842">
        <v>0</v>
      </c>
      <c r="BP2842">
        <v>0</v>
      </c>
      <c r="BW2842" t="str">
        <f>"22:22:04.718"</f>
        <v>22:22:04.718</v>
      </c>
      <c r="CJ2842">
        <v>0</v>
      </c>
      <c r="CK2842">
        <v>2</v>
      </c>
      <c r="CL2842">
        <v>0</v>
      </c>
      <c r="CM2842">
        <v>2</v>
      </c>
      <c r="CN2842">
        <v>0</v>
      </c>
      <c r="CO2842">
        <v>5</v>
      </c>
      <c r="CP2842" t="s">
        <v>119</v>
      </c>
      <c r="CQ2842">
        <v>364</v>
      </c>
      <c r="CR2842">
        <v>0</v>
      </c>
      <c r="CW2842">
        <v>1476794</v>
      </c>
      <c r="CY2842">
        <v>1</v>
      </c>
      <c r="CZ2842">
        <v>0</v>
      </c>
      <c r="DA2842">
        <v>1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3">
      <c r="A2843" t="str">
        <f>"03/24/2022 22:22:06.050"</f>
        <v>03/24/2022 22:22:06.050</v>
      </c>
      <c r="C2843" t="str">
        <f t="shared" si="848"/>
        <v>FFDFD3C0</v>
      </c>
      <c r="D2843" t="s">
        <v>123</v>
      </c>
      <c r="E2843">
        <v>8</v>
      </c>
      <c r="H2843">
        <v>31</v>
      </c>
      <c r="I2843" t="s">
        <v>124</v>
      </c>
      <c r="J2843" t="s">
        <v>125</v>
      </c>
      <c r="K2843">
        <v>0</v>
      </c>
      <c r="L2843">
        <v>3</v>
      </c>
      <c r="M2843">
        <v>0</v>
      </c>
      <c r="N2843">
        <v>2</v>
      </c>
      <c r="O2843">
        <v>0</v>
      </c>
      <c r="P2843">
        <v>1</v>
      </c>
      <c r="Q2843">
        <v>0</v>
      </c>
      <c r="S2843" t="str">
        <f t="shared" ref="S2843:T2846" si="851">"22:22:05.000"</f>
        <v>22:22:05.000</v>
      </c>
      <c r="T2843" t="str">
        <f t="shared" si="851"/>
        <v>22:22:05.000</v>
      </c>
      <c r="U2843" t="str">
        <f t="shared" si="842"/>
        <v>A9D71F</v>
      </c>
      <c r="V2843">
        <v>0</v>
      </c>
      <c r="W2843">
        <v>0</v>
      </c>
      <c r="X2843">
        <v>2</v>
      </c>
      <c r="Z2843">
        <v>1</v>
      </c>
      <c r="AA2843">
        <v>8</v>
      </c>
      <c r="AB2843">
        <v>3</v>
      </c>
      <c r="AC2843">
        <v>0</v>
      </c>
      <c r="AD2843">
        <v>9</v>
      </c>
      <c r="AE2843">
        <v>0</v>
      </c>
      <c r="AF2843">
        <v>3</v>
      </c>
      <c r="AG2843">
        <v>1</v>
      </c>
      <c r="AH2843">
        <v>0</v>
      </c>
      <c r="AI2843" t="s">
        <v>1428</v>
      </c>
      <c r="AJ2843">
        <v>32.995311999999998</v>
      </c>
      <c r="AK2843" t="s">
        <v>949</v>
      </c>
      <c r="AL2843">
        <v>-97.666675999999995</v>
      </c>
      <c r="AM2843">
        <v>25</v>
      </c>
      <c r="AN2843">
        <v>1300</v>
      </c>
      <c r="AO2843" t="s">
        <v>118</v>
      </c>
      <c r="AP2843">
        <v>-10</v>
      </c>
      <c r="AQ2843">
        <v>-84</v>
      </c>
      <c r="AR2843">
        <v>-640</v>
      </c>
      <c r="AZ2843">
        <v>7700</v>
      </c>
      <c r="BA2843">
        <v>1</v>
      </c>
      <c r="BB2843" t="str">
        <f t="shared" si="849"/>
        <v xml:space="preserve">N733KP  </v>
      </c>
      <c r="BC2843">
        <v>1</v>
      </c>
      <c r="BE2843">
        <v>0</v>
      </c>
      <c r="BF2843">
        <v>0</v>
      </c>
      <c r="BG2843">
        <v>1</v>
      </c>
      <c r="BH2843">
        <v>1275</v>
      </c>
      <c r="BI2843">
        <v>1</v>
      </c>
      <c r="BJ2843">
        <v>1</v>
      </c>
      <c r="BK2843">
        <v>0</v>
      </c>
      <c r="BL2843">
        <v>0</v>
      </c>
      <c r="BO2843">
        <v>0</v>
      </c>
      <c r="BP2843">
        <v>0</v>
      </c>
      <c r="BW2843" t="str">
        <f>"22:22:05.907"</f>
        <v>22:22:05.907</v>
      </c>
      <c r="CJ2843">
        <v>0</v>
      </c>
      <c r="CK2843">
        <v>2</v>
      </c>
      <c r="CL2843">
        <v>0</v>
      </c>
      <c r="CM2843">
        <v>2</v>
      </c>
      <c r="CN2843">
        <v>0</v>
      </c>
      <c r="CO2843">
        <v>5</v>
      </c>
      <c r="CP2843" t="s">
        <v>119</v>
      </c>
      <c r="CQ2843">
        <v>364</v>
      </c>
      <c r="CR2843">
        <v>0</v>
      </c>
      <c r="CW2843">
        <v>1477008</v>
      </c>
      <c r="CY2843">
        <v>1</v>
      </c>
      <c r="CZ2843">
        <v>0</v>
      </c>
      <c r="DA2843">
        <v>0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3">
      <c r="A2844" t="str">
        <f>"03/24/2022 22:22:06.081"</f>
        <v>03/24/2022 22:22:06.081</v>
      </c>
      <c r="C2844" t="str">
        <f t="shared" si="848"/>
        <v>FFDFD3C0</v>
      </c>
      <c r="D2844" t="s">
        <v>126</v>
      </c>
      <c r="E2844">
        <v>3</v>
      </c>
      <c r="H2844">
        <v>160</v>
      </c>
      <c r="I2844" t="s">
        <v>121</v>
      </c>
      <c r="J2844" t="s">
        <v>127</v>
      </c>
      <c r="K2844">
        <v>0</v>
      </c>
      <c r="L2844">
        <v>3</v>
      </c>
      <c r="M2844">
        <v>0</v>
      </c>
      <c r="N2844">
        <v>2</v>
      </c>
      <c r="O2844">
        <v>0</v>
      </c>
      <c r="P2844">
        <v>1</v>
      </c>
      <c r="Q2844">
        <v>0</v>
      </c>
      <c r="S2844" t="str">
        <f t="shared" si="851"/>
        <v>22:22:05.000</v>
      </c>
      <c r="T2844" t="str">
        <f t="shared" si="851"/>
        <v>22:22:05.000</v>
      </c>
      <c r="U2844" t="str">
        <f t="shared" si="842"/>
        <v>A9D71F</v>
      </c>
      <c r="V2844">
        <v>0</v>
      </c>
      <c r="W2844">
        <v>0</v>
      </c>
      <c r="X2844">
        <v>2</v>
      </c>
      <c r="Z2844">
        <v>1</v>
      </c>
      <c r="AA2844">
        <v>8</v>
      </c>
      <c r="AB2844">
        <v>3</v>
      </c>
      <c r="AC2844">
        <v>0</v>
      </c>
      <c r="AD2844">
        <v>9</v>
      </c>
      <c r="AE2844">
        <v>0</v>
      </c>
      <c r="AF2844">
        <v>3</v>
      </c>
      <c r="AG2844">
        <v>1</v>
      </c>
      <c r="AH2844">
        <v>0</v>
      </c>
      <c r="AI2844" t="s">
        <v>1428</v>
      </c>
      <c r="AJ2844">
        <v>32.995311999999998</v>
      </c>
      <c r="AK2844" t="s">
        <v>949</v>
      </c>
      <c r="AL2844">
        <v>-97.666675999999995</v>
      </c>
      <c r="AM2844">
        <v>25</v>
      </c>
      <c r="AN2844">
        <v>1300</v>
      </c>
      <c r="AO2844" t="s">
        <v>118</v>
      </c>
      <c r="AP2844">
        <v>-10</v>
      </c>
      <c r="AQ2844">
        <v>-84</v>
      </c>
      <c r="AR2844">
        <v>-640</v>
      </c>
      <c r="AZ2844">
        <v>7700</v>
      </c>
      <c r="BA2844">
        <v>1</v>
      </c>
      <c r="BB2844" t="str">
        <f t="shared" si="849"/>
        <v xml:space="preserve">N733KP  </v>
      </c>
      <c r="BC2844">
        <v>1</v>
      </c>
      <c r="BE2844">
        <v>0</v>
      </c>
      <c r="BF2844">
        <v>0</v>
      </c>
      <c r="BG2844">
        <v>1</v>
      </c>
      <c r="BH2844">
        <v>1275</v>
      </c>
      <c r="BI2844">
        <v>1</v>
      </c>
      <c r="BJ2844">
        <v>1</v>
      </c>
      <c r="BK2844">
        <v>0</v>
      </c>
      <c r="BL2844">
        <v>0</v>
      </c>
      <c r="BO2844">
        <v>0</v>
      </c>
      <c r="BP2844">
        <v>0</v>
      </c>
      <c r="BW2844" t="str">
        <f>"22:22:05.907"</f>
        <v>22:22:05.907</v>
      </c>
      <c r="CJ2844">
        <v>0</v>
      </c>
      <c r="CK2844">
        <v>2</v>
      </c>
      <c r="CL2844">
        <v>0</v>
      </c>
      <c r="CM2844">
        <v>2</v>
      </c>
      <c r="CN2844">
        <v>0</v>
      </c>
      <c r="CO2844">
        <v>5</v>
      </c>
      <c r="CP2844" t="s">
        <v>119</v>
      </c>
      <c r="CQ2844">
        <v>364</v>
      </c>
      <c r="CR2844">
        <v>0</v>
      </c>
      <c r="CW2844">
        <v>1477008</v>
      </c>
      <c r="CY2844">
        <v>1</v>
      </c>
      <c r="CZ2844">
        <v>0</v>
      </c>
      <c r="DA2844">
        <v>1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3">
      <c r="A2845" t="str">
        <f>"03/24/2022 22:22:06.066"</f>
        <v>03/24/2022 22:22:06.066</v>
      </c>
      <c r="C2845" t="str">
        <f t="shared" si="848"/>
        <v>FFDFD3C0</v>
      </c>
      <c r="D2845" t="s">
        <v>120</v>
      </c>
      <c r="E2845">
        <v>14</v>
      </c>
      <c r="F2845">
        <v>1014</v>
      </c>
      <c r="G2845" t="s">
        <v>121</v>
      </c>
      <c r="J2845" t="s">
        <v>122</v>
      </c>
      <c r="K2845">
        <v>0</v>
      </c>
      <c r="L2845">
        <v>3</v>
      </c>
      <c r="M2845">
        <v>0</v>
      </c>
      <c r="N2845">
        <v>2</v>
      </c>
      <c r="O2845">
        <v>0</v>
      </c>
      <c r="P2845">
        <v>1</v>
      </c>
      <c r="Q2845">
        <v>0</v>
      </c>
      <c r="S2845" t="str">
        <f t="shared" si="851"/>
        <v>22:22:05.000</v>
      </c>
      <c r="T2845" t="str">
        <f t="shared" si="851"/>
        <v>22:22:05.000</v>
      </c>
      <c r="U2845" t="str">
        <f t="shared" si="842"/>
        <v>A9D71F</v>
      </c>
      <c r="V2845">
        <v>0</v>
      </c>
      <c r="W2845">
        <v>0</v>
      </c>
      <c r="X2845">
        <v>2</v>
      </c>
      <c r="Z2845">
        <v>1</v>
      </c>
      <c r="AA2845">
        <v>8</v>
      </c>
      <c r="AB2845">
        <v>3</v>
      </c>
      <c r="AC2845">
        <v>0</v>
      </c>
      <c r="AD2845">
        <v>9</v>
      </c>
      <c r="AE2845">
        <v>0</v>
      </c>
      <c r="AF2845">
        <v>3</v>
      </c>
      <c r="AG2845">
        <v>1</v>
      </c>
      <c r="AH2845">
        <v>0</v>
      </c>
      <c r="AI2845" t="s">
        <v>1428</v>
      </c>
      <c r="AJ2845">
        <v>32.995311999999998</v>
      </c>
      <c r="AK2845" t="s">
        <v>949</v>
      </c>
      <c r="AL2845">
        <v>-97.666675999999995</v>
      </c>
      <c r="AM2845">
        <v>25</v>
      </c>
      <c r="AN2845">
        <v>1300</v>
      </c>
      <c r="AO2845" t="s">
        <v>118</v>
      </c>
      <c r="AP2845">
        <v>-10</v>
      </c>
      <c r="AQ2845">
        <v>-84</v>
      </c>
      <c r="AR2845">
        <v>-640</v>
      </c>
      <c r="AZ2845">
        <v>7700</v>
      </c>
      <c r="BA2845">
        <v>1</v>
      </c>
      <c r="BB2845" t="str">
        <f t="shared" si="849"/>
        <v xml:space="preserve">N733KP  </v>
      </c>
      <c r="BC2845">
        <v>1</v>
      </c>
      <c r="BE2845">
        <v>0</v>
      </c>
      <c r="BF2845">
        <v>0</v>
      </c>
      <c r="BG2845">
        <v>1</v>
      </c>
      <c r="BH2845">
        <v>1275</v>
      </c>
      <c r="BI2845">
        <v>1</v>
      </c>
      <c r="BJ2845">
        <v>1</v>
      </c>
      <c r="BK2845">
        <v>0</v>
      </c>
      <c r="BL2845">
        <v>0</v>
      </c>
      <c r="BO2845">
        <v>0</v>
      </c>
      <c r="BP2845">
        <v>0</v>
      </c>
      <c r="BW2845" t="str">
        <f>"22:22:05.907"</f>
        <v>22:22:05.907</v>
      </c>
      <c r="CJ2845">
        <v>0</v>
      </c>
      <c r="CK2845">
        <v>2</v>
      </c>
      <c r="CL2845">
        <v>0</v>
      </c>
      <c r="CM2845">
        <v>2</v>
      </c>
      <c r="CN2845">
        <v>0</v>
      </c>
      <c r="CO2845">
        <v>5</v>
      </c>
      <c r="CP2845" t="s">
        <v>119</v>
      </c>
      <c r="CQ2845">
        <v>364</v>
      </c>
      <c r="CR2845">
        <v>0</v>
      </c>
      <c r="CW2845">
        <v>1477008</v>
      </c>
      <c r="CY2845">
        <v>1</v>
      </c>
      <c r="CZ2845">
        <v>0</v>
      </c>
      <c r="DA2845">
        <v>1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3">
      <c r="A2846" t="str">
        <f>"03/24/2022 22:22:06.128"</f>
        <v>03/24/2022 22:22:06.128</v>
      </c>
      <c r="C2846" t="str">
        <f t="shared" si="848"/>
        <v>FFDFD3C0</v>
      </c>
      <c r="D2846" t="s">
        <v>113</v>
      </c>
      <c r="E2846">
        <v>24</v>
      </c>
      <c r="F2846">
        <v>2024</v>
      </c>
      <c r="G2846" t="s">
        <v>114</v>
      </c>
      <c r="J2846" t="s">
        <v>115</v>
      </c>
      <c r="K2846">
        <v>0</v>
      </c>
      <c r="L2846">
        <v>3</v>
      </c>
      <c r="M2846">
        <v>0</v>
      </c>
      <c r="N2846">
        <v>2</v>
      </c>
      <c r="O2846">
        <v>0</v>
      </c>
      <c r="P2846">
        <v>1</v>
      </c>
      <c r="Q2846">
        <v>0</v>
      </c>
      <c r="S2846" t="str">
        <f t="shared" si="851"/>
        <v>22:22:05.000</v>
      </c>
      <c r="T2846" t="str">
        <f t="shared" si="851"/>
        <v>22:22:05.000</v>
      </c>
      <c r="U2846" t="str">
        <f t="shared" si="842"/>
        <v>A9D71F</v>
      </c>
      <c r="V2846">
        <v>0</v>
      </c>
      <c r="W2846">
        <v>0</v>
      </c>
      <c r="X2846">
        <v>2</v>
      </c>
      <c r="Z2846">
        <v>1</v>
      </c>
      <c r="AA2846">
        <v>8</v>
      </c>
      <c r="AB2846">
        <v>3</v>
      </c>
      <c r="AC2846">
        <v>0</v>
      </c>
      <c r="AD2846">
        <v>9</v>
      </c>
      <c r="AE2846">
        <v>0</v>
      </c>
      <c r="AF2846">
        <v>3</v>
      </c>
      <c r="AG2846">
        <v>1</v>
      </c>
      <c r="AH2846">
        <v>0</v>
      </c>
      <c r="AI2846" t="s">
        <v>1428</v>
      </c>
      <c r="AJ2846">
        <v>32.995311999999998</v>
      </c>
      <c r="AK2846" t="s">
        <v>949</v>
      </c>
      <c r="AL2846">
        <v>-97.666675999999995</v>
      </c>
      <c r="AM2846">
        <v>25</v>
      </c>
      <c r="AN2846">
        <v>1300</v>
      </c>
      <c r="AO2846" t="s">
        <v>118</v>
      </c>
      <c r="AP2846">
        <v>-10</v>
      </c>
      <c r="AQ2846">
        <v>-84</v>
      </c>
      <c r="AR2846">
        <v>-640</v>
      </c>
      <c r="AZ2846">
        <v>7700</v>
      </c>
      <c r="BA2846">
        <v>1</v>
      </c>
      <c r="BB2846" t="str">
        <f t="shared" si="849"/>
        <v xml:space="preserve">N733KP  </v>
      </c>
      <c r="BC2846">
        <v>1</v>
      </c>
      <c r="BE2846">
        <v>0</v>
      </c>
      <c r="BF2846">
        <v>0</v>
      </c>
      <c r="BG2846">
        <v>1</v>
      </c>
      <c r="BH2846">
        <v>1275</v>
      </c>
      <c r="BI2846">
        <v>1</v>
      </c>
      <c r="BJ2846">
        <v>1</v>
      </c>
      <c r="BK2846">
        <v>0</v>
      </c>
      <c r="BL2846">
        <v>0</v>
      </c>
      <c r="BO2846">
        <v>0</v>
      </c>
      <c r="BP2846">
        <v>0</v>
      </c>
      <c r="BW2846" t="str">
        <f>"22:22:05.907"</f>
        <v>22:22:05.907</v>
      </c>
      <c r="CJ2846">
        <v>0</v>
      </c>
      <c r="CK2846">
        <v>2</v>
      </c>
      <c r="CL2846">
        <v>0</v>
      </c>
      <c r="CM2846">
        <v>2</v>
      </c>
      <c r="CN2846">
        <v>0</v>
      </c>
      <c r="CO2846">
        <v>5</v>
      </c>
      <c r="CP2846" t="s">
        <v>119</v>
      </c>
      <c r="CQ2846">
        <v>364</v>
      </c>
      <c r="CR2846">
        <v>0</v>
      </c>
      <c r="CW2846">
        <v>1477008</v>
      </c>
      <c r="CY2846">
        <v>1</v>
      </c>
      <c r="CZ2846">
        <v>0</v>
      </c>
      <c r="DA2846">
        <v>1</v>
      </c>
      <c r="DB2846">
        <v>0</v>
      </c>
      <c r="DC2846">
        <v>0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3">
      <c r="A2847" t="str">
        <f>"03/24/2022 22:22:06.769"</f>
        <v>03/24/2022 22:22:06.769</v>
      </c>
      <c r="C2847" t="str">
        <f t="shared" si="848"/>
        <v>FFDFD3C0</v>
      </c>
      <c r="D2847" t="s">
        <v>123</v>
      </c>
      <c r="E2847">
        <v>8</v>
      </c>
      <c r="H2847">
        <v>31</v>
      </c>
      <c r="I2847" t="s">
        <v>124</v>
      </c>
      <c r="J2847" t="s">
        <v>125</v>
      </c>
      <c r="K2847">
        <v>0</v>
      </c>
      <c r="L2847">
        <v>3</v>
      </c>
      <c r="M2847">
        <v>0</v>
      </c>
      <c r="N2847">
        <v>2</v>
      </c>
      <c r="O2847">
        <v>0</v>
      </c>
      <c r="P2847">
        <v>1</v>
      </c>
      <c r="Q2847">
        <v>0</v>
      </c>
      <c r="S2847" t="str">
        <f t="shared" ref="S2847:T2850" si="852">"22:22:06.000"</f>
        <v>22:22:06.000</v>
      </c>
      <c r="T2847" t="str">
        <f t="shared" si="852"/>
        <v>22:22:06.000</v>
      </c>
      <c r="U2847" t="str">
        <f t="shared" si="842"/>
        <v>A9D71F</v>
      </c>
      <c r="V2847">
        <v>0</v>
      </c>
      <c r="W2847">
        <v>0</v>
      </c>
      <c r="X2847">
        <v>2</v>
      </c>
      <c r="Z2847">
        <v>1</v>
      </c>
      <c r="AA2847">
        <v>8</v>
      </c>
      <c r="AB2847">
        <v>3</v>
      </c>
      <c r="AC2847">
        <v>0</v>
      </c>
      <c r="AD2847">
        <v>9</v>
      </c>
      <c r="AE2847">
        <v>0</v>
      </c>
      <c r="AF2847">
        <v>3</v>
      </c>
      <c r="AG2847">
        <v>1</v>
      </c>
      <c r="AH2847">
        <v>0</v>
      </c>
      <c r="AI2847" t="s">
        <v>1429</v>
      </c>
      <c r="AJ2847">
        <v>32.994861999999998</v>
      </c>
      <c r="AK2847" t="s">
        <v>1430</v>
      </c>
      <c r="AL2847">
        <v>-97.666719000000001</v>
      </c>
      <c r="AM2847">
        <v>25</v>
      </c>
      <c r="AN2847">
        <v>1200</v>
      </c>
      <c r="AO2847" t="s">
        <v>118</v>
      </c>
      <c r="AP2847">
        <v>-9</v>
      </c>
      <c r="AQ2847">
        <v>-85</v>
      </c>
      <c r="AR2847">
        <v>-576</v>
      </c>
      <c r="AZ2847">
        <v>7700</v>
      </c>
      <c r="BA2847">
        <v>1</v>
      </c>
      <c r="BB2847" t="str">
        <f t="shared" si="849"/>
        <v xml:space="preserve">N733KP  </v>
      </c>
      <c r="BC2847">
        <v>1</v>
      </c>
      <c r="BE2847">
        <v>0</v>
      </c>
      <c r="BF2847">
        <v>0</v>
      </c>
      <c r="BG2847">
        <v>1</v>
      </c>
      <c r="BH2847">
        <v>1275</v>
      </c>
      <c r="BI2847">
        <v>1</v>
      </c>
      <c r="BJ2847">
        <v>1</v>
      </c>
      <c r="BK2847">
        <v>0</v>
      </c>
      <c r="BL2847">
        <v>0</v>
      </c>
      <c r="BO2847">
        <v>0</v>
      </c>
      <c r="BP2847">
        <v>0</v>
      </c>
      <c r="BW2847" t="str">
        <f>"22:22:06.525"</f>
        <v>22:22:06.525</v>
      </c>
      <c r="CJ2847">
        <v>0</v>
      </c>
      <c r="CK2847">
        <v>2</v>
      </c>
      <c r="CL2847">
        <v>0</v>
      </c>
      <c r="CM2847">
        <v>2</v>
      </c>
      <c r="CN2847">
        <v>0</v>
      </c>
      <c r="CO2847">
        <v>5</v>
      </c>
      <c r="CP2847" t="s">
        <v>119</v>
      </c>
      <c r="CQ2847">
        <v>364</v>
      </c>
      <c r="CR2847">
        <v>0</v>
      </c>
      <c r="CW2847">
        <v>1477098</v>
      </c>
      <c r="CY2847">
        <v>1</v>
      </c>
      <c r="CZ2847">
        <v>0</v>
      </c>
      <c r="DA2847">
        <v>0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3">
      <c r="A2848" t="str">
        <f>"03/24/2022 22:22:06.816"</f>
        <v>03/24/2022 22:22:06.816</v>
      </c>
      <c r="C2848" t="str">
        <f t="shared" si="848"/>
        <v>FFDFD3C0</v>
      </c>
      <c r="D2848" t="s">
        <v>126</v>
      </c>
      <c r="E2848">
        <v>3</v>
      </c>
      <c r="H2848">
        <v>160</v>
      </c>
      <c r="I2848" t="s">
        <v>121</v>
      </c>
      <c r="J2848" t="s">
        <v>127</v>
      </c>
      <c r="K2848">
        <v>0</v>
      </c>
      <c r="L2848">
        <v>3</v>
      </c>
      <c r="M2848">
        <v>0</v>
      </c>
      <c r="N2848">
        <v>2</v>
      </c>
      <c r="O2848">
        <v>0</v>
      </c>
      <c r="P2848">
        <v>1</v>
      </c>
      <c r="Q2848">
        <v>0</v>
      </c>
      <c r="S2848" t="str">
        <f t="shared" si="852"/>
        <v>22:22:06.000</v>
      </c>
      <c r="T2848" t="str">
        <f t="shared" si="852"/>
        <v>22:22:06.000</v>
      </c>
      <c r="U2848" t="str">
        <f t="shared" si="842"/>
        <v>A9D71F</v>
      </c>
      <c r="V2848">
        <v>0</v>
      </c>
      <c r="W2848">
        <v>0</v>
      </c>
      <c r="X2848">
        <v>2</v>
      </c>
      <c r="Z2848">
        <v>1</v>
      </c>
      <c r="AA2848">
        <v>8</v>
      </c>
      <c r="AB2848">
        <v>3</v>
      </c>
      <c r="AC2848">
        <v>0</v>
      </c>
      <c r="AD2848">
        <v>9</v>
      </c>
      <c r="AE2848">
        <v>0</v>
      </c>
      <c r="AF2848">
        <v>3</v>
      </c>
      <c r="AG2848">
        <v>1</v>
      </c>
      <c r="AH2848">
        <v>0</v>
      </c>
      <c r="AI2848" t="s">
        <v>1429</v>
      </c>
      <c r="AJ2848">
        <v>32.994861999999998</v>
      </c>
      <c r="AK2848" t="s">
        <v>1430</v>
      </c>
      <c r="AL2848">
        <v>-97.666719000000001</v>
      </c>
      <c r="AM2848">
        <v>25</v>
      </c>
      <c r="AN2848">
        <v>1200</v>
      </c>
      <c r="AO2848" t="s">
        <v>118</v>
      </c>
      <c r="AP2848">
        <v>-9</v>
      </c>
      <c r="AQ2848">
        <v>-85</v>
      </c>
      <c r="AR2848">
        <v>-576</v>
      </c>
      <c r="AZ2848">
        <v>7700</v>
      </c>
      <c r="BA2848">
        <v>1</v>
      </c>
      <c r="BB2848" t="str">
        <f t="shared" si="849"/>
        <v xml:space="preserve">N733KP  </v>
      </c>
      <c r="BC2848">
        <v>1</v>
      </c>
      <c r="BE2848">
        <v>0</v>
      </c>
      <c r="BF2848">
        <v>0</v>
      </c>
      <c r="BG2848">
        <v>1</v>
      </c>
      <c r="BH2848">
        <v>1275</v>
      </c>
      <c r="BI2848">
        <v>1</v>
      </c>
      <c r="BJ2848">
        <v>1</v>
      </c>
      <c r="BK2848">
        <v>0</v>
      </c>
      <c r="BL2848">
        <v>0</v>
      </c>
      <c r="BO2848">
        <v>0</v>
      </c>
      <c r="BP2848">
        <v>0</v>
      </c>
      <c r="BW2848" t="str">
        <f>"22:22:06.525"</f>
        <v>22:22:06.525</v>
      </c>
      <c r="CJ2848">
        <v>0</v>
      </c>
      <c r="CK2848">
        <v>2</v>
      </c>
      <c r="CL2848">
        <v>0</v>
      </c>
      <c r="CM2848">
        <v>2</v>
      </c>
      <c r="CN2848">
        <v>0</v>
      </c>
      <c r="CO2848">
        <v>5</v>
      </c>
      <c r="CP2848" t="s">
        <v>119</v>
      </c>
      <c r="CQ2848">
        <v>364</v>
      </c>
      <c r="CR2848">
        <v>0</v>
      </c>
      <c r="CW2848">
        <v>1477098</v>
      </c>
      <c r="CY2848">
        <v>1</v>
      </c>
      <c r="CZ2848">
        <v>0</v>
      </c>
      <c r="DA2848">
        <v>1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3">
      <c r="A2849" t="str">
        <f>"03/24/2022 22:22:06.816"</f>
        <v>03/24/2022 22:22:06.816</v>
      </c>
      <c r="C2849" t="str">
        <f t="shared" si="848"/>
        <v>FFDFD3C0</v>
      </c>
      <c r="D2849" t="s">
        <v>120</v>
      </c>
      <c r="E2849">
        <v>14</v>
      </c>
      <c r="F2849">
        <v>1014</v>
      </c>
      <c r="G2849" t="s">
        <v>121</v>
      </c>
      <c r="J2849" t="s">
        <v>122</v>
      </c>
      <c r="K2849">
        <v>0</v>
      </c>
      <c r="L2849">
        <v>3</v>
      </c>
      <c r="M2849">
        <v>0</v>
      </c>
      <c r="N2849">
        <v>2</v>
      </c>
      <c r="O2849">
        <v>0</v>
      </c>
      <c r="P2849">
        <v>1</v>
      </c>
      <c r="Q2849">
        <v>0</v>
      </c>
      <c r="S2849" t="str">
        <f t="shared" si="852"/>
        <v>22:22:06.000</v>
      </c>
      <c r="T2849" t="str">
        <f t="shared" si="852"/>
        <v>22:22:06.000</v>
      </c>
      <c r="U2849" t="str">
        <f t="shared" si="842"/>
        <v>A9D71F</v>
      </c>
      <c r="V2849">
        <v>0</v>
      </c>
      <c r="W2849">
        <v>0</v>
      </c>
      <c r="X2849">
        <v>2</v>
      </c>
      <c r="Z2849">
        <v>1</v>
      </c>
      <c r="AA2849">
        <v>8</v>
      </c>
      <c r="AB2849">
        <v>3</v>
      </c>
      <c r="AC2849">
        <v>0</v>
      </c>
      <c r="AD2849">
        <v>9</v>
      </c>
      <c r="AE2849">
        <v>0</v>
      </c>
      <c r="AF2849">
        <v>3</v>
      </c>
      <c r="AG2849">
        <v>1</v>
      </c>
      <c r="AH2849">
        <v>0</v>
      </c>
      <c r="AI2849" t="s">
        <v>1429</v>
      </c>
      <c r="AJ2849">
        <v>32.994861999999998</v>
      </c>
      <c r="AK2849" t="s">
        <v>1430</v>
      </c>
      <c r="AL2849">
        <v>-97.666719000000001</v>
      </c>
      <c r="AM2849">
        <v>25</v>
      </c>
      <c r="AN2849">
        <v>1200</v>
      </c>
      <c r="AO2849" t="s">
        <v>118</v>
      </c>
      <c r="AP2849">
        <v>-9</v>
      </c>
      <c r="AQ2849">
        <v>-85</v>
      </c>
      <c r="AR2849">
        <v>-576</v>
      </c>
      <c r="AZ2849">
        <v>7700</v>
      </c>
      <c r="BA2849">
        <v>1</v>
      </c>
      <c r="BB2849" t="str">
        <f t="shared" si="849"/>
        <v xml:space="preserve">N733KP  </v>
      </c>
      <c r="BC2849">
        <v>1</v>
      </c>
      <c r="BE2849">
        <v>0</v>
      </c>
      <c r="BF2849">
        <v>0</v>
      </c>
      <c r="BG2849">
        <v>1</v>
      </c>
      <c r="BH2849">
        <v>1275</v>
      </c>
      <c r="BI2849">
        <v>1</v>
      </c>
      <c r="BJ2849">
        <v>1</v>
      </c>
      <c r="BK2849">
        <v>0</v>
      </c>
      <c r="BL2849">
        <v>0</v>
      </c>
      <c r="BO2849">
        <v>0</v>
      </c>
      <c r="BP2849">
        <v>0</v>
      </c>
      <c r="BW2849" t="str">
        <f>"22:22:06.525"</f>
        <v>22:22:06.525</v>
      </c>
      <c r="CJ2849">
        <v>0</v>
      </c>
      <c r="CK2849">
        <v>2</v>
      </c>
      <c r="CL2849">
        <v>0</v>
      </c>
      <c r="CM2849">
        <v>2</v>
      </c>
      <c r="CN2849">
        <v>0</v>
      </c>
      <c r="CO2849">
        <v>5</v>
      </c>
      <c r="CP2849" t="s">
        <v>119</v>
      </c>
      <c r="CQ2849">
        <v>364</v>
      </c>
      <c r="CR2849">
        <v>0</v>
      </c>
      <c r="CW2849">
        <v>1477098</v>
      </c>
      <c r="CY2849">
        <v>1</v>
      </c>
      <c r="CZ2849">
        <v>0</v>
      </c>
      <c r="DA2849">
        <v>1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3">
      <c r="A2850" t="str">
        <f>"03/24/2022 22:22:06.816"</f>
        <v>03/24/2022 22:22:06.816</v>
      </c>
      <c r="C2850" t="str">
        <f t="shared" si="848"/>
        <v>FFDFD3C0</v>
      </c>
      <c r="D2850" t="s">
        <v>113</v>
      </c>
      <c r="E2850">
        <v>24</v>
      </c>
      <c r="F2850">
        <v>2024</v>
      </c>
      <c r="G2850" t="s">
        <v>114</v>
      </c>
      <c r="J2850" t="s">
        <v>115</v>
      </c>
      <c r="K2850">
        <v>0</v>
      </c>
      <c r="L2850">
        <v>3</v>
      </c>
      <c r="M2850">
        <v>0</v>
      </c>
      <c r="N2850">
        <v>2</v>
      </c>
      <c r="O2850">
        <v>0</v>
      </c>
      <c r="P2850">
        <v>1</v>
      </c>
      <c r="Q2850">
        <v>0</v>
      </c>
      <c r="S2850" t="str">
        <f t="shared" si="852"/>
        <v>22:22:06.000</v>
      </c>
      <c r="T2850" t="str">
        <f t="shared" si="852"/>
        <v>22:22:06.000</v>
      </c>
      <c r="U2850" t="str">
        <f t="shared" si="842"/>
        <v>A9D71F</v>
      </c>
      <c r="V2850">
        <v>0</v>
      </c>
      <c r="W2850">
        <v>0</v>
      </c>
      <c r="X2850">
        <v>2</v>
      </c>
      <c r="Z2850">
        <v>1</v>
      </c>
      <c r="AA2850">
        <v>8</v>
      </c>
      <c r="AB2850">
        <v>3</v>
      </c>
      <c r="AC2850">
        <v>0</v>
      </c>
      <c r="AD2850">
        <v>9</v>
      </c>
      <c r="AE2850">
        <v>0</v>
      </c>
      <c r="AF2850">
        <v>3</v>
      </c>
      <c r="AG2850">
        <v>1</v>
      </c>
      <c r="AH2850">
        <v>0</v>
      </c>
      <c r="AI2850" t="s">
        <v>1429</v>
      </c>
      <c r="AJ2850">
        <v>32.994861999999998</v>
      </c>
      <c r="AK2850" t="s">
        <v>1430</v>
      </c>
      <c r="AL2850">
        <v>-97.666719000000001</v>
      </c>
      <c r="AM2850">
        <v>25</v>
      </c>
      <c r="AN2850">
        <v>1200</v>
      </c>
      <c r="AO2850" t="s">
        <v>118</v>
      </c>
      <c r="AP2850">
        <v>-9</v>
      </c>
      <c r="AQ2850">
        <v>-85</v>
      </c>
      <c r="AR2850">
        <v>-576</v>
      </c>
      <c r="AZ2850">
        <v>7700</v>
      </c>
      <c r="BA2850">
        <v>1</v>
      </c>
      <c r="BB2850" t="str">
        <f t="shared" si="849"/>
        <v xml:space="preserve">N733KP  </v>
      </c>
      <c r="BC2850">
        <v>1</v>
      </c>
      <c r="BE2850">
        <v>0</v>
      </c>
      <c r="BF2850">
        <v>0</v>
      </c>
      <c r="BG2850">
        <v>1</v>
      </c>
      <c r="BH2850">
        <v>1275</v>
      </c>
      <c r="BI2850">
        <v>1</v>
      </c>
      <c r="BJ2850">
        <v>1</v>
      </c>
      <c r="BK2850">
        <v>0</v>
      </c>
      <c r="BL2850">
        <v>0</v>
      </c>
      <c r="BO2850">
        <v>0</v>
      </c>
      <c r="BP2850">
        <v>0</v>
      </c>
      <c r="BW2850" t="str">
        <f>"22:22:06.525"</f>
        <v>22:22:06.525</v>
      </c>
      <c r="CJ2850">
        <v>0</v>
      </c>
      <c r="CK2850">
        <v>2</v>
      </c>
      <c r="CL2850">
        <v>0</v>
      </c>
      <c r="CM2850">
        <v>2</v>
      </c>
      <c r="CN2850">
        <v>0</v>
      </c>
      <c r="CO2850">
        <v>5</v>
      </c>
      <c r="CP2850" t="s">
        <v>119</v>
      </c>
      <c r="CQ2850">
        <v>364</v>
      </c>
      <c r="CR2850">
        <v>0</v>
      </c>
      <c r="CW2850">
        <v>1477098</v>
      </c>
      <c r="CY2850">
        <v>1</v>
      </c>
      <c r="CZ2850">
        <v>0</v>
      </c>
      <c r="DA2850">
        <v>1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3">
      <c r="A2851" t="str">
        <f>"03/24/2022 22:22:07.692"</f>
        <v>03/24/2022 22:22:07.692</v>
      </c>
      <c r="C2851" t="str">
        <f t="shared" si="848"/>
        <v>FFDFD3C0</v>
      </c>
      <c r="D2851" t="s">
        <v>123</v>
      </c>
      <c r="E2851">
        <v>8</v>
      </c>
      <c r="H2851">
        <v>31</v>
      </c>
      <c r="I2851" t="s">
        <v>124</v>
      </c>
      <c r="J2851" t="s">
        <v>125</v>
      </c>
      <c r="K2851">
        <v>0</v>
      </c>
      <c r="L2851">
        <v>3</v>
      </c>
      <c r="M2851">
        <v>0</v>
      </c>
      <c r="N2851">
        <v>2</v>
      </c>
      <c r="O2851">
        <v>0</v>
      </c>
      <c r="P2851">
        <v>1</v>
      </c>
      <c r="Q2851">
        <v>0</v>
      </c>
      <c r="S2851" t="str">
        <f t="shared" ref="S2851:T2854" si="853">"22:22:07.000"</f>
        <v>22:22:07.000</v>
      </c>
      <c r="T2851" t="str">
        <f t="shared" si="853"/>
        <v>22:22:07.000</v>
      </c>
      <c r="U2851" t="str">
        <f t="shared" si="842"/>
        <v>A9D71F</v>
      </c>
      <c r="V2851">
        <v>0</v>
      </c>
      <c r="W2851">
        <v>0</v>
      </c>
      <c r="X2851">
        <v>2</v>
      </c>
      <c r="Z2851">
        <v>1</v>
      </c>
      <c r="AA2851">
        <v>8</v>
      </c>
      <c r="AB2851">
        <v>3</v>
      </c>
      <c r="AC2851">
        <v>0</v>
      </c>
      <c r="AD2851">
        <v>9</v>
      </c>
      <c r="AE2851">
        <v>0</v>
      </c>
      <c r="AF2851">
        <v>3</v>
      </c>
      <c r="AG2851">
        <v>1</v>
      </c>
      <c r="AH2851">
        <v>0</v>
      </c>
      <c r="AI2851" t="s">
        <v>1431</v>
      </c>
      <c r="AJ2851">
        <v>32.994497000000003</v>
      </c>
      <c r="AK2851" t="s">
        <v>1432</v>
      </c>
      <c r="AL2851">
        <v>-97.666782999999995</v>
      </c>
      <c r="AM2851">
        <v>25</v>
      </c>
      <c r="AN2851">
        <v>1300</v>
      </c>
      <c r="AO2851" t="s">
        <v>118</v>
      </c>
      <c r="AP2851">
        <v>-7</v>
      </c>
      <c r="AQ2851">
        <v>-86</v>
      </c>
      <c r="AR2851">
        <v>-576</v>
      </c>
      <c r="AZ2851">
        <v>7700</v>
      </c>
      <c r="BA2851">
        <v>1</v>
      </c>
      <c r="BB2851" t="str">
        <f t="shared" si="849"/>
        <v xml:space="preserve">N733KP  </v>
      </c>
      <c r="BC2851">
        <v>1</v>
      </c>
      <c r="BE2851">
        <v>0</v>
      </c>
      <c r="BF2851">
        <v>0</v>
      </c>
      <c r="BG2851">
        <v>1</v>
      </c>
      <c r="BH2851">
        <v>1250</v>
      </c>
      <c r="BI2851">
        <v>1</v>
      </c>
      <c r="BJ2851">
        <v>1</v>
      </c>
      <c r="BK2851">
        <v>0</v>
      </c>
      <c r="BL2851">
        <v>0</v>
      </c>
      <c r="BO2851">
        <v>0</v>
      </c>
      <c r="BP2851">
        <v>0</v>
      </c>
      <c r="BW2851" t="str">
        <f>"22:22:07.513"</f>
        <v>22:22:07.513</v>
      </c>
      <c r="CJ2851">
        <v>0</v>
      </c>
      <c r="CK2851">
        <v>2</v>
      </c>
      <c r="CL2851">
        <v>0</v>
      </c>
      <c r="CM2851">
        <v>2</v>
      </c>
      <c r="CN2851">
        <v>0</v>
      </c>
      <c r="CO2851">
        <v>5</v>
      </c>
      <c r="CP2851" t="s">
        <v>119</v>
      </c>
      <c r="CQ2851">
        <v>364</v>
      </c>
      <c r="CR2851">
        <v>0</v>
      </c>
      <c r="CW2851">
        <v>1477253</v>
      </c>
      <c r="CY2851">
        <v>1</v>
      </c>
      <c r="CZ2851">
        <v>0</v>
      </c>
      <c r="DA2851">
        <v>0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3">
      <c r="A2852" t="str">
        <f>"03/24/2022 22:22:07.723"</f>
        <v>03/24/2022 22:22:07.723</v>
      </c>
      <c r="C2852" t="str">
        <f t="shared" si="848"/>
        <v>FFDFD3C0</v>
      </c>
      <c r="D2852" t="s">
        <v>126</v>
      </c>
      <c r="E2852">
        <v>3</v>
      </c>
      <c r="H2852">
        <v>160</v>
      </c>
      <c r="I2852" t="s">
        <v>121</v>
      </c>
      <c r="J2852" t="s">
        <v>127</v>
      </c>
      <c r="K2852">
        <v>0</v>
      </c>
      <c r="L2852">
        <v>3</v>
      </c>
      <c r="M2852">
        <v>0</v>
      </c>
      <c r="N2852">
        <v>2</v>
      </c>
      <c r="O2852">
        <v>0</v>
      </c>
      <c r="P2852">
        <v>1</v>
      </c>
      <c r="Q2852">
        <v>0</v>
      </c>
      <c r="S2852" t="str">
        <f t="shared" si="853"/>
        <v>22:22:07.000</v>
      </c>
      <c r="T2852" t="str">
        <f t="shared" si="853"/>
        <v>22:22:07.000</v>
      </c>
      <c r="U2852" t="str">
        <f t="shared" si="842"/>
        <v>A9D71F</v>
      </c>
      <c r="V2852">
        <v>0</v>
      </c>
      <c r="W2852">
        <v>0</v>
      </c>
      <c r="X2852">
        <v>2</v>
      </c>
      <c r="Z2852">
        <v>1</v>
      </c>
      <c r="AA2852">
        <v>8</v>
      </c>
      <c r="AB2852">
        <v>3</v>
      </c>
      <c r="AC2852">
        <v>0</v>
      </c>
      <c r="AD2852">
        <v>9</v>
      </c>
      <c r="AE2852">
        <v>0</v>
      </c>
      <c r="AF2852">
        <v>3</v>
      </c>
      <c r="AG2852">
        <v>1</v>
      </c>
      <c r="AH2852">
        <v>0</v>
      </c>
      <c r="AI2852" t="s">
        <v>1431</v>
      </c>
      <c r="AJ2852">
        <v>32.994497000000003</v>
      </c>
      <c r="AK2852" t="s">
        <v>1432</v>
      </c>
      <c r="AL2852">
        <v>-97.666782999999995</v>
      </c>
      <c r="AM2852">
        <v>25</v>
      </c>
      <c r="AN2852">
        <v>1300</v>
      </c>
      <c r="AO2852" t="s">
        <v>118</v>
      </c>
      <c r="AP2852">
        <v>-7</v>
      </c>
      <c r="AQ2852">
        <v>-86</v>
      </c>
      <c r="AR2852">
        <v>-576</v>
      </c>
      <c r="AZ2852">
        <v>7700</v>
      </c>
      <c r="BA2852">
        <v>1</v>
      </c>
      <c r="BB2852" t="str">
        <f t="shared" si="849"/>
        <v xml:space="preserve">N733KP  </v>
      </c>
      <c r="BC2852">
        <v>1</v>
      </c>
      <c r="BE2852">
        <v>0</v>
      </c>
      <c r="BF2852">
        <v>0</v>
      </c>
      <c r="BG2852">
        <v>1</v>
      </c>
      <c r="BH2852">
        <v>1250</v>
      </c>
      <c r="BI2852">
        <v>1</v>
      </c>
      <c r="BJ2852">
        <v>1</v>
      </c>
      <c r="BK2852">
        <v>0</v>
      </c>
      <c r="BL2852">
        <v>0</v>
      </c>
      <c r="BO2852">
        <v>0</v>
      </c>
      <c r="BP2852">
        <v>0</v>
      </c>
      <c r="BW2852" t="str">
        <f>"22:22:07.513"</f>
        <v>22:22:07.513</v>
      </c>
      <c r="CJ2852">
        <v>0</v>
      </c>
      <c r="CK2852">
        <v>2</v>
      </c>
      <c r="CL2852">
        <v>0</v>
      </c>
      <c r="CM2852">
        <v>2</v>
      </c>
      <c r="CN2852">
        <v>0</v>
      </c>
      <c r="CO2852">
        <v>5</v>
      </c>
      <c r="CP2852" t="s">
        <v>119</v>
      </c>
      <c r="CQ2852">
        <v>364</v>
      </c>
      <c r="CR2852">
        <v>0</v>
      </c>
      <c r="CW2852">
        <v>1477253</v>
      </c>
      <c r="CY2852">
        <v>1</v>
      </c>
      <c r="CZ2852">
        <v>0</v>
      </c>
      <c r="DA2852">
        <v>1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3">
      <c r="A2853" t="str">
        <f>"03/24/2022 22:22:07.723"</f>
        <v>03/24/2022 22:22:07.723</v>
      </c>
      <c r="C2853" t="str">
        <f t="shared" si="848"/>
        <v>FFDFD3C0</v>
      </c>
      <c r="D2853" t="s">
        <v>120</v>
      </c>
      <c r="E2853">
        <v>14</v>
      </c>
      <c r="F2853">
        <v>1014</v>
      </c>
      <c r="G2853" t="s">
        <v>121</v>
      </c>
      <c r="J2853" t="s">
        <v>122</v>
      </c>
      <c r="K2853">
        <v>0</v>
      </c>
      <c r="L2853">
        <v>3</v>
      </c>
      <c r="M2853">
        <v>0</v>
      </c>
      <c r="N2853">
        <v>2</v>
      </c>
      <c r="O2853">
        <v>0</v>
      </c>
      <c r="P2853">
        <v>1</v>
      </c>
      <c r="Q2853">
        <v>0</v>
      </c>
      <c r="S2853" t="str">
        <f t="shared" si="853"/>
        <v>22:22:07.000</v>
      </c>
      <c r="T2853" t="str">
        <f t="shared" si="853"/>
        <v>22:22:07.000</v>
      </c>
      <c r="U2853" t="str">
        <f t="shared" si="842"/>
        <v>A9D71F</v>
      </c>
      <c r="V2853">
        <v>0</v>
      </c>
      <c r="W2853">
        <v>0</v>
      </c>
      <c r="X2853">
        <v>2</v>
      </c>
      <c r="Z2853">
        <v>1</v>
      </c>
      <c r="AA2853">
        <v>8</v>
      </c>
      <c r="AB2853">
        <v>3</v>
      </c>
      <c r="AC2853">
        <v>0</v>
      </c>
      <c r="AD2853">
        <v>9</v>
      </c>
      <c r="AE2853">
        <v>0</v>
      </c>
      <c r="AF2853">
        <v>3</v>
      </c>
      <c r="AG2853">
        <v>1</v>
      </c>
      <c r="AH2853">
        <v>0</v>
      </c>
      <c r="AI2853" t="s">
        <v>1431</v>
      </c>
      <c r="AJ2853">
        <v>32.994497000000003</v>
      </c>
      <c r="AK2853" t="s">
        <v>1432</v>
      </c>
      <c r="AL2853">
        <v>-97.666782999999995</v>
      </c>
      <c r="AM2853">
        <v>25</v>
      </c>
      <c r="AN2853">
        <v>1300</v>
      </c>
      <c r="AO2853" t="s">
        <v>118</v>
      </c>
      <c r="AP2853">
        <v>-7</v>
      </c>
      <c r="AQ2853">
        <v>-86</v>
      </c>
      <c r="AR2853">
        <v>-576</v>
      </c>
      <c r="AZ2853">
        <v>7700</v>
      </c>
      <c r="BA2853">
        <v>1</v>
      </c>
      <c r="BB2853" t="str">
        <f t="shared" si="849"/>
        <v xml:space="preserve">N733KP  </v>
      </c>
      <c r="BC2853">
        <v>1</v>
      </c>
      <c r="BE2853">
        <v>0</v>
      </c>
      <c r="BF2853">
        <v>0</v>
      </c>
      <c r="BG2853">
        <v>1</v>
      </c>
      <c r="BH2853">
        <v>1250</v>
      </c>
      <c r="BI2853">
        <v>1</v>
      </c>
      <c r="BJ2853">
        <v>1</v>
      </c>
      <c r="BK2853">
        <v>0</v>
      </c>
      <c r="BL2853">
        <v>0</v>
      </c>
      <c r="BO2853">
        <v>0</v>
      </c>
      <c r="BP2853">
        <v>0</v>
      </c>
      <c r="BW2853" t="str">
        <f>"22:22:07.513"</f>
        <v>22:22:07.513</v>
      </c>
      <c r="CJ2853">
        <v>0</v>
      </c>
      <c r="CK2853">
        <v>2</v>
      </c>
      <c r="CL2853">
        <v>0</v>
      </c>
      <c r="CM2853">
        <v>2</v>
      </c>
      <c r="CN2853">
        <v>0</v>
      </c>
      <c r="CO2853">
        <v>5</v>
      </c>
      <c r="CP2853" t="s">
        <v>119</v>
      </c>
      <c r="CQ2853">
        <v>364</v>
      </c>
      <c r="CR2853">
        <v>0</v>
      </c>
      <c r="CW2853">
        <v>1477253</v>
      </c>
      <c r="CY2853">
        <v>1</v>
      </c>
      <c r="CZ2853">
        <v>0</v>
      </c>
      <c r="DA2853">
        <v>1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3">
      <c r="A2854" t="str">
        <f>"03/24/2022 22:22:07.770"</f>
        <v>03/24/2022 22:22:07.770</v>
      </c>
      <c r="C2854" t="str">
        <f t="shared" si="848"/>
        <v>FFDFD3C0</v>
      </c>
      <c r="D2854" t="s">
        <v>113</v>
      </c>
      <c r="E2854">
        <v>24</v>
      </c>
      <c r="F2854">
        <v>2024</v>
      </c>
      <c r="G2854" t="s">
        <v>114</v>
      </c>
      <c r="J2854" t="s">
        <v>115</v>
      </c>
      <c r="K2854">
        <v>0</v>
      </c>
      <c r="L2854">
        <v>3</v>
      </c>
      <c r="M2854">
        <v>0</v>
      </c>
      <c r="N2854">
        <v>2</v>
      </c>
      <c r="O2854">
        <v>0</v>
      </c>
      <c r="P2854">
        <v>1</v>
      </c>
      <c r="Q2854">
        <v>0</v>
      </c>
      <c r="S2854" t="str">
        <f t="shared" si="853"/>
        <v>22:22:07.000</v>
      </c>
      <c r="T2854" t="str">
        <f t="shared" si="853"/>
        <v>22:22:07.000</v>
      </c>
      <c r="U2854" t="str">
        <f t="shared" si="842"/>
        <v>A9D71F</v>
      </c>
      <c r="V2854">
        <v>0</v>
      </c>
      <c r="W2854">
        <v>0</v>
      </c>
      <c r="X2854">
        <v>2</v>
      </c>
      <c r="Z2854">
        <v>1</v>
      </c>
      <c r="AA2854">
        <v>8</v>
      </c>
      <c r="AB2854">
        <v>3</v>
      </c>
      <c r="AC2854">
        <v>0</v>
      </c>
      <c r="AD2854">
        <v>9</v>
      </c>
      <c r="AE2854">
        <v>0</v>
      </c>
      <c r="AF2854">
        <v>3</v>
      </c>
      <c r="AG2854">
        <v>1</v>
      </c>
      <c r="AH2854">
        <v>0</v>
      </c>
      <c r="AI2854" t="s">
        <v>1431</v>
      </c>
      <c r="AJ2854">
        <v>32.994497000000003</v>
      </c>
      <c r="AK2854" t="s">
        <v>1432</v>
      </c>
      <c r="AL2854">
        <v>-97.666782999999995</v>
      </c>
      <c r="AM2854">
        <v>25</v>
      </c>
      <c r="AN2854">
        <v>1300</v>
      </c>
      <c r="AO2854" t="s">
        <v>118</v>
      </c>
      <c r="AP2854">
        <v>-7</v>
      </c>
      <c r="AQ2854">
        <v>-86</v>
      </c>
      <c r="AR2854">
        <v>-576</v>
      </c>
      <c r="AZ2854">
        <v>7700</v>
      </c>
      <c r="BA2854">
        <v>1</v>
      </c>
      <c r="BB2854" t="str">
        <f t="shared" si="849"/>
        <v xml:space="preserve">N733KP  </v>
      </c>
      <c r="BC2854">
        <v>1</v>
      </c>
      <c r="BE2854">
        <v>0</v>
      </c>
      <c r="BF2854">
        <v>0</v>
      </c>
      <c r="BG2854">
        <v>1</v>
      </c>
      <c r="BH2854">
        <v>1250</v>
      </c>
      <c r="BI2854">
        <v>1</v>
      </c>
      <c r="BJ2854">
        <v>1</v>
      </c>
      <c r="BK2854">
        <v>0</v>
      </c>
      <c r="BL2854">
        <v>0</v>
      </c>
      <c r="BO2854">
        <v>0</v>
      </c>
      <c r="BP2854">
        <v>0</v>
      </c>
      <c r="BW2854" t="str">
        <f>"22:22:07.513"</f>
        <v>22:22:07.513</v>
      </c>
      <c r="CJ2854">
        <v>0</v>
      </c>
      <c r="CK2854">
        <v>2</v>
      </c>
      <c r="CL2854">
        <v>0</v>
      </c>
      <c r="CM2854">
        <v>2</v>
      </c>
      <c r="CN2854">
        <v>0</v>
      </c>
      <c r="CO2854">
        <v>5</v>
      </c>
      <c r="CP2854" t="s">
        <v>119</v>
      </c>
      <c r="CQ2854">
        <v>364</v>
      </c>
      <c r="CR2854">
        <v>0</v>
      </c>
      <c r="CW2854">
        <v>1477253</v>
      </c>
      <c r="CY2854">
        <v>1</v>
      </c>
      <c r="CZ2854">
        <v>0</v>
      </c>
      <c r="DA2854">
        <v>1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3">
      <c r="A2855" t="str">
        <f>"03/24/2022 22:22:09.507"</f>
        <v>03/24/2022 22:22:09.507</v>
      </c>
      <c r="C2855" t="str">
        <f t="shared" si="848"/>
        <v>FFDFD3C0</v>
      </c>
      <c r="D2855" t="s">
        <v>120</v>
      </c>
      <c r="E2855">
        <v>14</v>
      </c>
      <c r="F2855">
        <v>1014</v>
      </c>
      <c r="G2855" t="s">
        <v>121</v>
      </c>
      <c r="J2855" t="s">
        <v>122</v>
      </c>
      <c r="K2855">
        <v>0</v>
      </c>
      <c r="L2855">
        <v>3</v>
      </c>
      <c r="M2855">
        <v>0</v>
      </c>
      <c r="N2855">
        <v>2</v>
      </c>
      <c r="O2855">
        <v>0</v>
      </c>
      <c r="P2855">
        <v>1</v>
      </c>
      <c r="Q2855">
        <v>0</v>
      </c>
      <c r="S2855" t="str">
        <f t="shared" ref="S2855:T2858" si="854">"22:22:09.000"</f>
        <v>22:22:09.000</v>
      </c>
      <c r="T2855" t="str">
        <f t="shared" si="854"/>
        <v>22:22:09.000</v>
      </c>
      <c r="U2855" t="str">
        <f t="shared" si="842"/>
        <v>A9D71F</v>
      </c>
      <c r="V2855">
        <v>0</v>
      </c>
      <c r="W2855">
        <v>0</v>
      </c>
      <c r="X2855">
        <v>2</v>
      </c>
      <c r="Z2855">
        <v>1</v>
      </c>
      <c r="AA2855">
        <v>8</v>
      </c>
      <c r="AB2855">
        <v>3</v>
      </c>
      <c r="AC2855">
        <v>0</v>
      </c>
      <c r="AD2855">
        <v>9</v>
      </c>
      <c r="AE2855">
        <v>0</v>
      </c>
      <c r="AF2855">
        <v>3</v>
      </c>
      <c r="AG2855">
        <v>1</v>
      </c>
      <c r="AH2855">
        <v>0</v>
      </c>
      <c r="AI2855" t="s">
        <v>1433</v>
      </c>
      <c r="AJ2855">
        <v>32.993702999999996</v>
      </c>
      <c r="AK2855" t="s">
        <v>947</v>
      </c>
      <c r="AL2855">
        <v>-97.666869000000005</v>
      </c>
      <c r="AM2855">
        <v>25</v>
      </c>
      <c r="AN2855">
        <v>1200</v>
      </c>
      <c r="AO2855" t="s">
        <v>118</v>
      </c>
      <c r="AP2855">
        <v>-7</v>
      </c>
      <c r="AQ2855">
        <v>-86</v>
      </c>
      <c r="AR2855">
        <v>-512</v>
      </c>
      <c r="AZ2855">
        <v>7700</v>
      </c>
      <c r="BA2855">
        <v>1</v>
      </c>
      <c r="BB2855" t="str">
        <f t="shared" si="849"/>
        <v xml:space="preserve">N733KP  </v>
      </c>
      <c r="BC2855">
        <v>1</v>
      </c>
      <c r="BE2855">
        <v>0</v>
      </c>
      <c r="BF2855">
        <v>0</v>
      </c>
      <c r="BG2855">
        <v>1</v>
      </c>
      <c r="BH2855">
        <v>1250</v>
      </c>
      <c r="BI2855">
        <v>1</v>
      </c>
      <c r="BJ2855">
        <v>1</v>
      </c>
      <c r="BK2855">
        <v>0</v>
      </c>
      <c r="BL2855">
        <v>0</v>
      </c>
      <c r="BO2855">
        <v>0</v>
      </c>
      <c r="BP2855">
        <v>0</v>
      </c>
      <c r="BW2855" t="str">
        <f>"22:22:09.308"</f>
        <v>22:22:09.308</v>
      </c>
      <c r="CJ2855">
        <v>0</v>
      </c>
      <c r="CK2855">
        <v>2</v>
      </c>
      <c r="CL2855">
        <v>0</v>
      </c>
      <c r="CM2855">
        <v>2</v>
      </c>
      <c r="CN2855">
        <v>0</v>
      </c>
      <c r="CO2855">
        <v>5</v>
      </c>
      <c r="CP2855" t="s">
        <v>119</v>
      </c>
      <c r="CQ2855">
        <v>364</v>
      </c>
      <c r="CR2855">
        <v>0</v>
      </c>
      <c r="CW2855">
        <v>1477546</v>
      </c>
      <c r="CY2855">
        <v>1</v>
      </c>
      <c r="CZ2855">
        <v>0</v>
      </c>
      <c r="DA2855">
        <v>0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3">
      <c r="A2856" t="str">
        <f>"03/24/2022 22:22:09.507"</f>
        <v>03/24/2022 22:22:09.507</v>
      </c>
      <c r="C2856" t="str">
        <f t="shared" si="848"/>
        <v>FFDFD3C0</v>
      </c>
      <c r="D2856" t="s">
        <v>113</v>
      </c>
      <c r="E2856">
        <v>24</v>
      </c>
      <c r="F2856">
        <v>2024</v>
      </c>
      <c r="G2856" t="s">
        <v>114</v>
      </c>
      <c r="J2856" t="s">
        <v>115</v>
      </c>
      <c r="K2856">
        <v>0</v>
      </c>
      <c r="L2856">
        <v>3</v>
      </c>
      <c r="M2856">
        <v>0</v>
      </c>
      <c r="N2856">
        <v>2</v>
      </c>
      <c r="O2856">
        <v>0</v>
      </c>
      <c r="P2856">
        <v>1</v>
      </c>
      <c r="Q2856">
        <v>0</v>
      </c>
      <c r="S2856" t="str">
        <f t="shared" si="854"/>
        <v>22:22:09.000</v>
      </c>
      <c r="T2856" t="str">
        <f t="shared" si="854"/>
        <v>22:22:09.000</v>
      </c>
      <c r="U2856" t="str">
        <f t="shared" si="842"/>
        <v>A9D71F</v>
      </c>
      <c r="V2856">
        <v>0</v>
      </c>
      <c r="W2856">
        <v>0</v>
      </c>
      <c r="X2856">
        <v>2</v>
      </c>
      <c r="Z2856">
        <v>1</v>
      </c>
      <c r="AA2856">
        <v>8</v>
      </c>
      <c r="AB2856">
        <v>3</v>
      </c>
      <c r="AC2856">
        <v>0</v>
      </c>
      <c r="AD2856">
        <v>9</v>
      </c>
      <c r="AE2856">
        <v>0</v>
      </c>
      <c r="AF2856">
        <v>3</v>
      </c>
      <c r="AG2856">
        <v>1</v>
      </c>
      <c r="AH2856">
        <v>0</v>
      </c>
      <c r="AI2856" t="s">
        <v>1433</v>
      </c>
      <c r="AJ2856">
        <v>32.993702999999996</v>
      </c>
      <c r="AK2856" t="s">
        <v>947</v>
      </c>
      <c r="AL2856">
        <v>-97.666869000000005</v>
      </c>
      <c r="AM2856">
        <v>25</v>
      </c>
      <c r="AN2856">
        <v>1200</v>
      </c>
      <c r="AO2856" t="s">
        <v>118</v>
      </c>
      <c r="AP2856">
        <v>-7</v>
      </c>
      <c r="AQ2856">
        <v>-86</v>
      </c>
      <c r="AR2856">
        <v>-512</v>
      </c>
      <c r="AZ2856">
        <v>7700</v>
      </c>
      <c r="BA2856">
        <v>1</v>
      </c>
      <c r="BB2856" t="str">
        <f t="shared" si="849"/>
        <v xml:space="preserve">N733KP  </v>
      </c>
      <c r="BC2856">
        <v>1</v>
      </c>
      <c r="BE2856">
        <v>0</v>
      </c>
      <c r="BF2856">
        <v>0</v>
      </c>
      <c r="BG2856">
        <v>1</v>
      </c>
      <c r="BH2856">
        <v>1250</v>
      </c>
      <c r="BI2856">
        <v>1</v>
      </c>
      <c r="BJ2856">
        <v>1</v>
      </c>
      <c r="BK2856">
        <v>0</v>
      </c>
      <c r="BL2856">
        <v>0</v>
      </c>
      <c r="BO2856">
        <v>0</v>
      </c>
      <c r="BP2856">
        <v>0</v>
      </c>
      <c r="BW2856" t="str">
        <f>"22:22:09.308"</f>
        <v>22:22:09.308</v>
      </c>
      <c r="CJ2856">
        <v>0</v>
      </c>
      <c r="CK2856">
        <v>2</v>
      </c>
      <c r="CL2856">
        <v>0</v>
      </c>
      <c r="CM2856">
        <v>2</v>
      </c>
      <c r="CN2856">
        <v>0</v>
      </c>
      <c r="CO2856">
        <v>5</v>
      </c>
      <c r="CP2856" t="s">
        <v>119</v>
      </c>
      <c r="CQ2856">
        <v>364</v>
      </c>
      <c r="CR2856">
        <v>0</v>
      </c>
      <c r="CW2856">
        <v>1477546</v>
      </c>
      <c r="CY2856">
        <v>1</v>
      </c>
      <c r="CZ2856">
        <v>0</v>
      </c>
      <c r="DA2856">
        <v>1</v>
      </c>
      <c r="DB2856">
        <v>0</v>
      </c>
      <c r="DC2856">
        <v>0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3">
      <c r="A2857" t="str">
        <f>"03/24/2022 22:22:09.507"</f>
        <v>03/24/2022 22:22:09.507</v>
      </c>
      <c r="C2857" t="str">
        <f t="shared" si="848"/>
        <v>FFDFD3C0</v>
      </c>
      <c r="D2857" t="s">
        <v>123</v>
      </c>
      <c r="E2857">
        <v>8</v>
      </c>
      <c r="H2857">
        <v>31</v>
      </c>
      <c r="I2857" t="s">
        <v>124</v>
      </c>
      <c r="J2857" t="s">
        <v>125</v>
      </c>
      <c r="K2857">
        <v>0</v>
      </c>
      <c r="L2857">
        <v>3</v>
      </c>
      <c r="M2857">
        <v>0</v>
      </c>
      <c r="N2857">
        <v>2</v>
      </c>
      <c r="O2857">
        <v>0</v>
      </c>
      <c r="P2857">
        <v>1</v>
      </c>
      <c r="Q2857">
        <v>0</v>
      </c>
      <c r="S2857" t="str">
        <f t="shared" si="854"/>
        <v>22:22:09.000</v>
      </c>
      <c r="T2857" t="str">
        <f t="shared" si="854"/>
        <v>22:22:09.000</v>
      </c>
      <c r="U2857" t="str">
        <f t="shared" si="842"/>
        <v>A9D71F</v>
      </c>
      <c r="V2857">
        <v>0</v>
      </c>
      <c r="W2857">
        <v>0</v>
      </c>
      <c r="X2857">
        <v>2</v>
      </c>
      <c r="Z2857">
        <v>1</v>
      </c>
      <c r="AA2857">
        <v>8</v>
      </c>
      <c r="AB2857">
        <v>3</v>
      </c>
      <c r="AC2857">
        <v>0</v>
      </c>
      <c r="AD2857">
        <v>9</v>
      </c>
      <c r="AE2857">
        <v>0</v>
      </c>
      <c r="AF2857">
        <v>3</v>
      </c>
      <c r="AG2857">
        <v>1</v>
      </c>
      <c r="AH2857">
        <v>0</v>
      </c>
      <c r="AI2857" t="s">
        <v>1433</v>
      </c>
      <c r="AJ2857">
        <v>32.993702999999996</v>
      </c>
      <c r="AK2857" t="s">
        <v>947</v>
      </c>
      <c r="AL2857">
        <v>-97.666869000000005</v>
      </c>
      <c r="AM2857">
        <v>25</v>
      </c>
      <c r="AN2857">
        <v>1200</v>
      </c>
      <c r="AO2857" t="s">
        <v>118</v>
      </c>
      <c r="AP2857">
        <v>-7</v>
      </c>
      <c r="AQ2857">
        <v>-86</v>
      </c>
      <c r="AR2857">
        <v>-512</v>
      </c>
      <c r="AZ2857">
        <v>7700</v>
      </c>
      <c r="BA2857">
        <v>1</v>
      </c>
      <c r="BB2857" t="str">
        <f t="shared" si="849"/>
        <v xml:space="preserve">N733KP  </v>
      </c>
      <c r="BC2857">
        <v>1</v>
      </c>
      <c r="BE2857">
        <v>0</v>
      </c>
      <c r="BF2857">
        <v>0</v>
      </c>
      <c r="BG2857">
        <v>1</v>
      </c>
      <c r="BH2857">
        <v>1250</v>
      </c>
      <c r="BI2857">
        <v>1</v>
      </c>
      <c r="BJ2857">
        <v>1</v>
      </c>
      <c r="BK2857">
        <v>0</v>
      </c>
      <c r="BL2857">
        <v>0</v>
      </c>
      <c r="BO2857">
        <v>0</v>
      </c>
      <c r="BP2857">
        <v>0</v>
      </c>
      <c r="BW2857" t="str">
        <f>"22:22:09.308"</f>
        <v>22:22:09.308</v>
      </c>
      <c r="CJ2857">
        <v>0</v>
      </c>
      <c r="CK2857">
        <v>2</v>
      </c>
      <c r="CL2857">
        <v>0</v>
      </c>
      <c r="CM2857">
        <v>2</v>
      </c>
      <c r="CN2857">
        <v>0</v>
      </c>
      <c r="CO2857">
        <v>5</v>
      </c>
      <c r="CP2857" t="s">
        <v>119</v>
      </c>
      <c r="CQ2857">
        <v>364</v>
      </c>
      <c r="CR2857">
        <v>0</v>
      </c>
      <c r="CW2857">
        <v>1477546</v>
      </c>
      <c r="CY2857">
        <v>1</v>
      </c>
      <c r="CZ2857">
        <v>0</v>
      </c>
      <c r="DA2857">
        <v>1</v>
      </c>
      <c r="DB2857">
        <v>0</v>
      </c>
      <c r="DC2857">
        <v>0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3">
      <c r="A2858" t="str">
        <f>"03/24/2022 22:22:09.507"</f>
        <v>03/24/2022 22:22:09.507</v>
      </c>
      <c r="C2858" t="str">
        <f t="shared" si="848"/>
        <v>FFDFD3C0</v>
      </c>
      <c r="D2858" t="s">
        <v>126</v>
      </c>
      <c r="E2858">
        <v>3</v>
      </c>
      <c r="H2858">
        <v>160</v>
      </c>
      <c r="I2858" t="s">
        <v>121</v>
      </c>
      <c r="J2858" t="s">
        <v>127</v>
      </c>
      <c r="K2858">
        <v>0</v>
      </c>
      <c r="L2858">
        <v>3</v>
      </c>
      <c r="M2858">
        <v>0</v>
      </c>
      <c r="N2858">
        <v>2</v>
      </c>
      <c r="O2858">
        <v>0</v>
      </c>
      <c r="P2858">
        <v>1</v>
      </c>
      <c r="Q2858">
        <v>0</v>
      </c>
      <c r="S2858" t="str">
        <f t="shared" si="854"/>
        <v>22:22:09.000</v>
      </c>
      <c r="T2858" t="str">
        <f t="shared" si="854"/>
        <v>22:22:09.000</v>
      </c>
      <c r="U2858" t="str">
        <f t="shared" si="842"/>
        <v>A9D71F</v>
      </c>
      <c r="V2858">
        <v>0</v>
      </c>
      <c r="W2858">
        <v>0</v>
      </c>
      <c r="X2858">
        <v>2</v>
      </c>
      <c r="Z2858">
        <v>1</v>
      </c>
      <c r="AA2858">
        <v>8</v>
      </c>
      <c r="AB2858">
        <v>3</v>
      </c>
      <c r="AC2858">
        <v>0</v>
      </c>
      <c r="AD2858">
        <v>9</v>
      </c>
      <c r="AE2858">
        <v>0</v>
      </c>
      <c r="AF2858">
        <v>3</v>
      </c>
      <c r="AG2858">
        <v>1</v>
      </c>
      <c r="AH2858">
        <v>0</v>
      </c>
      <c r="AI2858" t="s">
        <v>1433</v>
      </c>
      <c r="AJ2858">
        <v>32.993702999999996</v>
      </c>
      <c r="AK2858" t="s">
        <v>947</v>
      </c>
      <c r="AL2858">
        <v>-97.666869000000005</v>
      </c>
      <c r="AM2858">
        <v>25</v>
      </c>
      <c r="AN2858">
        <v>1200</v>
      </c>
      <c r="AO2858" t="s">
        <v>118</v>
      </c>
      <c r="AP2858">
        <v>-7</v>
      </c>
      <c r="AQ2858">
        <v>-86</v>
      </c>
      <c r="AR2858">
        <v>-512</v>
      </c>
      <c r="AZ2858">
        <v>7700</v>
      </c>
      <c r="BA2858">
        <v>1</v>
      </c>
      <c r="BB2858" t="str">
        <f t="shared" si="849"/>
        <v xml:space="preserve">N733KP  </v>
      </c>
      <c r="BC2858">
        <v>1</v>
      </c>
      <c r="BE2858">
        <v>0</v>
      </c>
      <c r="BF2858">
        <v>0</v>
      </c>
      <c r="BG2858">
        <v>1</v>
      </c>
      <c r="BH2858">
        <v>1250</v>
      </c>
      <c r="BI2858">
        <v>1</v>
      </c>
      <c r="BJ2858">
        <v>1</v>
      </c>
      <c r="BK2858">
        <v>0</v>
      </c>
      <c r="BL2858">
        <v>0</v>
      </c>
      <c r="BO2858">
        <v>0</v>
      </c>
      <c r="BP2858">
        <v>0</v>
      </c>
      <c r="BW2858" t="str">
        <f>"22:22:09.308"</f>
        <v>22:22:09.308</v>
      </c>
      <c r="CJ2858">
        <v>0</v>
      </c>
      <c r="CK2858">
        <v>2</v>
      </c>
      <c r="CL2858">
        <v>0</v>
      </c>
      <c r="CM2858">
        <v>2</v>
      </c>
      <c r="CN2858">
        <v>0</v>
      </c>
      <c r="CO2858">
        <v>5</v>
      </c>
      <c r="CP2858" t="s">
        <v>119</v>
      </c>
      <c r="CQ2858">
        <v>364</v>
      </c>
      <c r="CR2858">
        <v>0</v>
      </c>
      <c r="CW2858">
        <v>1477546</v>
      </c>
      <c r="CY2858">
        <v>1</v>
      </c>
      <c r="CZ2858">
        <v>0</v>
      </c>
      <c r="DA2858">
        <v>1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3">
      <c r="A2859" t="str">
        <f>"03/24/2022 22:22:11.085"</f>
        <v>03/24/2022 22:22:11.085</v>
      </c>
      <c r="C2859" t="str">
        <f t="shared" si="848"/>
        <v>FFDFD3C0</v>
      </c>
      <c r="D2859" t="s">
        <v>120</v>
      </c>
      <c r="E2859">
        <v>14</v>
      </c>
      <c r="F2859">
        <v>1014</v>
      </c>
      <c r="G2859" t="s">
        <v>121</v>
      </c>
      <c r="J2859" t="s">
        <v>122</v>
      </c>
      <c r="K2859">
        <v>0</v>
      </c>
      <c r="L2859">
        <v>3</v>
      </c>
      <c r="M2859">
        <v>0</v>
      </c>
      <c r="N2859">
        <v>2</v>
      </c>
      <c r="O2859">
        <v>0</v>
      </c>
      <c r="P2859">
        <v>1</v>
      </c>
      <c r="Q2859">
        <v>0</v>
      </c>
      <c r="S2859" t="str">
        <f t="shared" ref="S2859:T2862" si="855">"22:22:10.000"</f>
        <v>22:22:10.000</v>
      </c>
      <c r="T2859" t="str">
        <f t="shared" si="855"/>
        <v>22:22:10.000</v>
      </c>
      <c r="U2859" t="str">
        <f t="shared" si="842"/>
        <v>A9D71F</v>
      </c>
      <c r="V2859">
        <v>0</v>
      </c>
      <c r="W2859">
        <v>0</v>
      </c>
      <c r="X2859">
        <v>2</v>
      </c>
      <c r="Z2859">
        <v>1</v>
      </c>
      <c r="AA2859">
        <v>8</v>
      </c>
      <c r="AB2859">
        <v>3</v>
      </c>
      <c r="AC2859">
        <v>0</v>
      </c>
      <c r="AD2859">
        <v>9</v>
      </c>
      <c r="AE2859">
        <v>0</v>
      </c>
      <c r="AF2859">
        <v>3</v>
      </c>
      <c r="AG2859">
        <v>1</v>
      </c>
      <c r="AH2859">
        <v>0</v>
      </c>
      <c r="AI2859" t="s">
        <v>1434</v>
      </c>
      <c r="AJ2859">
        <v>32.993295000000003</v>
      </c>
      <c r="AK2859" t="s">
        <v>1296</v>
      </c>
      <c r="AL2859">
        <v>-97.666911999999996</v>
      </c>
      <c r="AM2859">
        <v>25</v>
      </c>
      <c r="AN2859">
        <v>1200</v>
      </c>
      <c r="AO2859" t="s">
        <v>118</v>
      </c>
      <c r="AP2859">
        <v>-7</v>
      </c>
      <c r="AQ2859">
        <v>-84</v>
      </c>
      <c r="AR2859">
        <v>-512</v>
      </c>
      <c r="AZ2859">
        <v>7700</v>
      </c>
      <c r="BA2859">
        <v>1</v>
      </c>
      <c r="BB2859" t="str">
        <f t="shared" si="849"/>
        <v xml:space="preserve">N733KP  </v>
      </c>
      <c r="BC2859">
        <v>1</v>
      </c>
      <c r="BE2859">
        <v>0</v>
      </c>
      <c r="BF2859">
        <v>0</v>
      </c>
      <c r="BG2859">
        <v>1</v>
      </c>
      <c r="BH2859">
        <v>1200</v>
      </c>
      <c r="BI2859">
        <v>1</v>
      </c>
      <c r="BJ2859">
        <v>1</v>
      </c>
      <c r="BK2859">
        <v>0</v>
      </c>
      <c r="BL2859">
        <v>0</v>
      </c>
      <c r="BO2859">
        <v>0</v>
      </c>
      <c r="BP2859">
        <v>0</v>
      </c>
      <c r="BW2859" t="str">
        <f>"22:22:10.908"</f>
        <v>22:22:10.908</v>
      </c>
      <c r="CJ2859">
        <v>0</v>
      </c>
      <c r="CK2859">
        <v>2</v>
      </c>
      <c r="CL2859">
        <v>0</v>
      </c>
      <c r="CM2859">
        <v>2</v>
      </c>
      <c r="CN2859">
        <v>0</v>
      </c>
      <c r="CO2859">
        <v>5</v>
      </c>
      <c r="CP2859" t="s">
        <v>119</v>
      </c>
      <c r="CQ2859">
        <v>364</v>
      </c>
      <c r="CR2859">
        <v>0</v>
      </c>
      <c r="CW2859">
        <v>1477794</v>
      </c>
      <c r="CY2859">
        <v>1</v>
      </c>
      <c r="CZ2859">
        <v>0</v>
      </c>
      <c r="DA2859">
        <v>0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3">
      <c r="A2860" t="str">
        <f>"03/24/2022 22:22:11.085"</f>
        <v>03/24/2022 22:22:11.085</v>
      </c>
      <c r="C2860" t="str">
        <f t="shared" si="848"/>
        <v>FFDFD3C0</v>
      </c>
      <c r="D2860" t="s">
        <v>113</v>
      </c>
      <c r="E2860">
        <v>24</v>
      </c>
      <c r="F2860">
        <v>2024</v>
      </c>
      <c r="G2860" t="s">
        <v>114</v>
      </c>
      <c r="J2860" t="s">
        <v>115</v>
      </c>
      <c r="K2860">
        <v>0</v>
      </c>
      <c r="L2860">
        <v>3</v>
      </c>
      <c r="M2860">
        <v>0</v>
      </c>
      <c r="N2860">
        <v>2</v>
      </c>
      <c r="O2860">
        <v>0</v>
      </c>
      <c r="P2860">
        <v>1</v>
      </c>
      <c r="Q2860">
        <v>0</v>
      </c>
      <c r="S2860" t="str">
        <f t="shared" si="855"/>
        <v>22:22:10.000</v>
      </c>
      <c r="T2860" t="str">
        <f t="shared" si="855"/>
        <v>22:22:10.000</v>
      </c>
      <c r="U2860" t="str">
        <f t="shared" si="842"/>
        <v>A9D71F</v>
      </c>
      <c r="V2860">
        <v>0</v>
      </c>
      <c r="W2860">
        <v>0</v>
      </c>
      <c r="X2860">
        <v>2</v>
      </c>
      <c r="Z2860">
        <v>1</v>
      </c>
      <c r="AA2860">
        <v>8</v>
      </c>
      <c r="AB2860">
        <v>3</v>
      </c>
      <c r="AC2860">
        <v>0</v>
      </c>
      <c r="AD2860">
        <v>9</v>
      </c>
      <c r="AE2860">
        <v>0</v>
      </c>
      <c r="AF2860">
        <v>3</v>
      </c>
      <c r="AG2860">
        <v>1</v>
      </c>
      <c r="AH2860">
        <v>0</v>
      </c>
      <c r="AI2860" t="s">
        <v>1434</v>
      </c>
      <c r="AJ2860">
        <v>32.993295000000003</v>
      </c>
      <c r="AK2860" t="s">
        <v>1296</v>
      </c>
      <c r="AL2860">
        <v>-97.666911999999996</v>
      </c>
      <c r="AM2860">
        <v>25</v>
      </c>
      <c r="AN2860">
        <v>1200</v>
      </c>
      <c r="AO2860" t="s">
        <v>118</v>
      </c>
      <c r="AP2860">
        <v>-7</v>
      </c>
      <c r="AQ2860">
        <v>-84</v>
      </c>
      <c r="AR2860">
        <v>-512</v>
      </c>
      <c r="AZ2860">
        <v>7700</v>
      </c>
      <c r="BA2860">
        <v>1</v>
      </c>
      <c r="BB2860" t="str">
        <f t="shared" si="849"/>
        <v xml:space="preserve">N733KP  </v>
      </c>
      <c r="BC2860">
        <v>1</v>
      </c>
      <c r="BE2860">
        <v>0</v>
      </c>
      <c r="BF2860">
        <v>0</v>
      </c>
      <c r="BG2860">
        <v>1</v>
      </c>
      <c r="BH2860">
        <v>1200</v>
      </c>
      <c r="BI2860">
        <v>1</v>
      </c>
      <c r="BJ2860">
        <v>1</v>
      </c>
      <c r="BK2860">
        <v>0</v>
      </c>
      <c r="BL2860">
        <v>0</v>
      </c>
      <c r="BO2860">
        <v>0</v>
      </c>
      <c r="BP2860">
        <v>0</v>
      </c>
      <c r="BW2860" t="str">
        <f>"22:22:10.908"</f>
        <v>22:22:10.908</v>
      </c>
      <c r="CJ2860">
        <v>0</v>
      </c>
      <c r="CK2860">
        <v>2</v>
      </c>
      <c r="CL2860">
        <v>0</v>
      </c>
      <c r="CM2860">
        <v>2</v>
      </c>
      <c r="CN2860">
        <v>0</v>
      </c>
      <c r="CO2860">
        <v>5</v>
      </c>
      <c r="CP2860" t="s">
        <v>119</v>
      </c>
      <c r="CQ2860">
        <v>364</v>
      </c>
      <c r="CR2860">
        <v>0</v>
      </c>
      <c r="CW2860">
        <v>1477794</v>
      </c>
      <c r="CY2860">
        <v>1</v>
      </c>
      <c r="CZ2860">
        <v>0</v>
      </c>
      <c r="DA2860">
        <v>1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3">
      <c r="A2861" t="str">
        <f>"03/24/2022 22:22:11.132"</f>
        <v>03/24/2022 22:22:11.132</v>
      </c>
      <c r="C2861" t="str">
        <f t="shared" si="848"/>
        <v>FFDFD3C0</v>
      </c>
      <c r="D2861" t="s">
        <v>123</v>
      </c>
      <c r="E2861">
        <v>8</v>
      </c>
      <c r="H2861">
        <v>31</v>
      </c>
      <c r="I2861" t="s">
        <v>124</v>
      </c>
      <c r="J2861" t="s">
        <v>125</v>
      </c>
      <c r="K2861">
        <v>0</v>
      </c>
      <c r="L2861">
        <v>3</v>
      </c>
      <c r="M2861">
        <v>0</v>
      </c>
      <c r="N2861">
        <v>2</v>
      </c>
      <c r="O2861">
        <v>0</v>
      </c>
      <c r="P2861">
        <v>1</v>
      </c>
      <c r="Q2861">
        <v>0</v>
      </c>
      <c r="S2861" t="str">
        <f t="shared" si="855"/>
        <v>22:22:10.000</v>
      </c>
      <c r="T2861" t="str">
        <f t="shared" si="855"/>
        <v>22:22:10.000</v>
      </c>
      <c r="U2861" t="str">
        <f t="shared" si="842"/>
        <v>A9D71F</v>
      </c>
      <c r="V2861">
        <v>0</v>
      </c>
      <c r="W2861">
        <v>0</v>
      </c>
      <c r="X2861">
        <v>2</v>
      </c>
      <c r="Z2861">
        <v>1</v>
      </c>
      <c r="AA2861">
        <v>8</v>
      </c>
      <c r="AB2861">
        <v>3</v>
      </c>
      <c r="AC2861">
        <v>0</v>
      </c>
      <c r="AD2861">
        <v>9</v>
      </c>
      <c r="AE2861">
        <v>0</v>
      </c>
      <c r="AF2861">
        <v>3</v>
      </c>
      <c r="AG2861">
        <v>1</v>
      </c>
      <c r="AH2861">
        <v>0</v>
      </c>
      <c r="AI2861" t="s">
        <v>1434</v>
      </c>
      <c r="AJ2861">
        <v>32.993295000000003</v>
      </c>
      <c r="AK2861" t="s">
        <v>1296</v>
      </c>
      <c r="AL2861">
        <v>-97.666911999999996</v>
      </c>
      <c r="AM2861">
        <v>25</v>
      </c>
      <c r="AN2861">
        <v>1200</v>
      </c>
      <c r="AO2861" t="s">
        <v>118</v>
      </c>
      <c r="AP2861">
        <v>-7</v>
      </c>
      <c r="AQ2861">
        <v>-84</v>
      </c>
      <c r="AR2861">
        <v>-512</v>
      </c>
      <c r="AZ2861">
        <v>7700</v>
      </c>
      <c r="BA2861">
        <v>1</v>
      </c>
      <c r="BB2861" t="str">
        <f t="shared" si="849"/>
        <v xml:space="preserve">N733KP  </v>
      </c>
      <c r="BC2861">
        <v>1</v>
      </c>
      <c r="BE2861">
        <v>0</v>
      </c>
      <c r="BF2861">
        <v>0</v>
      </c>
      <c r="BG2861">
        <v>1</v>
      </c>
      <c r="BH2861">
        <v>1200</v>
      </c>
      <c r="BI2861">
        <v>1</v>
      </c>
      <c r="BJ2861">
        <v>1</v>
      </c>
      <c r="BK2861">
        <v>0</v>
      </c>
      <c r="BL2861">
        <v>0</v>
      </c>
      <c r="BO2861">
        <v>0</v>
      </c>
      <c r="BP2861">
        <v>0</v>
      </c>
      <c r="BW2861" t="str">
        <f>"22:22:10.908"</f>
        <v>22:22:10.908</v>
      </c>
      <c r="CJ2861">
        <v>0</v>
      </c>
      <c r="CK2861">
        <v>2</v>
      </c>
      <c r="CL2861">
        <v>0</v>
      </c>
      <c r="CM2861">
        <v>2</v>
      </c>
      <c r="CN2861">
        <v>0</v>
      </c>
      <c r="CO2861">
        <v>5</v>
      </c>
      <c r="CP2861" t="s">
        <v>119</v>
      </c>
      <c r="CQ2861">
        <v>364</v>
      </c>
      <c r="CR2861">
        <v>0</v>
      </c>
      <c r="CW2861">
        <v>1477794</v>
      </c>
      <c r="CY2861">
        <v>1</v>
      </c>
      <c r="CZ2861">
        <v>0</v>
      </c>
      <c r="DA2861">
        <v>1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3">
      <c r="A2862" t="str">
        <f>"03/24/2022 22:22:11.147"</f>
        <v>03/24/2022 22:22:11.147</v>
      </c>
      <c r="C2862" t="str">
        <f t="shared" si="848"/>
        <v>FFDFD3C0</v>
      </c>
      <c r="D2862" t="s">
        <v>126</v>
      </c>
      <c r="E2862">
        <v>3</v>
      </c>
      <c r="H2862">
        <v>160</v>
      </c>
      <c r="I2862" t="s">
        <v>121</v>
      </c>
      <c r="J2862" t="s">
        <v>127</v>
      </c>
      <c r="K2862">
        <v>0</v>
      </c>
      <c r="L2862">
        <v>3</v>
      </c>
      <c r="M2862">
        <v>0</v>
      </c>
      <c r="N2862">
        <v>2</v>
      </c>
      <c r="O2862">
        <v>0</v>
      </c>
      <c r="P2862">
        <v>1</v>
      </c>
      <c r="Q2862">
        <v>0</v>
      </c>
      <c r="S2862" t="str">
        <f t="shared" si="855"/>
        <v>22:22:10.000</v>
      </c>
      <c r="T2862" t="str">
        <f t="shared" si="855"/>
        <v>22:22:10.000</v>
      </c>
      <c r="U2862" t="str">
        <f t="shared" si="842"/>
        <v>A9D71F</v>
      </c>
      <c r="V2862">
        <v>0</v>
      </c>
      <c r="W2862">
        <v>0</v>
      </c>
      <c r="X2862">
        <v>2</v>
      </c>
      <c r="Z2862">
        <v>1</v>
      </c>
      <c r="AA2862">
        <v>8</v>
      </c>
      <c r="AB2862">
        <v>3</v>
      </c>
      <c r="AC2862">
        <v>0</v>
      </c>
      <c r="AD2862">
        <v>9</v>
      </c>
      <c r="AE2862">
        <v>0</v>
      </c>
      <c r="AF2862">
        <v>3</v>
      </c>
      <c r="AG2862">
        <v>1</v>
      </c>
      <c r="AH2862">
        <v>0</v>
      </c>
      <c r="AI2862" t="s">
        <v>1434</v>
      </c>
      <c r="AJ2862">
        <v>32.993295000000003</v>
      </c>
      <c r="AK2862" t="s">
        <v>1296</v>
      </c>
      <c r="AL2862">
        <v>-97.666911999999996</v>
      </c>
      <c r="AM2862">
        <v>25</v>
      </c>
      <c r="AN2862">
        <v>1200</v>
      </c>
      <c r="AO2862" t="s">
        <v>118</v>
      </c>
      <c r="AP2862">
        <v>-7</v>
      </c>
      <c r="AQ2862">
        <v>-84</v>
      </c>
      <c r="AR2862">
        <v>-512</v>
      </c>
      <c r="AZ2862">
        <v>7700</v>
      </c>
      <c r="BA2862">
        <v>1</v>
      </c>
      <c r="BB2862" t="str">
        <f t="shared" si="849"/>
        <v xml:space="preserve">N733KP  </v>
      </c>
      <c r="BC2862">
        <v>1</v>
      </c>
      <c r="BE2862">
        <v>0</v>
      </c>
      <c r="BF2862">
        <v>0</v>
      </c>
      <c r="BG2862">
        <v>1</v>
      </c>
      <c r="BH2862">
        <v>1200</v>
      </c>
      <c r="BI2862">
        <v>1</v>
      </c>
      <c r="BJ2862">
        <v>1</v>
      </c>
      <c r="BK2862">
        <v>0</v>
      </c>
      <c r="BL2862">
        <v>0</v>
      </c>
      <c r="BO2862">
        <v>0</v>
      </c>
      <c r="BP2862">
        <v>0</v>
      </c>
      <c r="BW2862" t="str">
        <f>"22:22:10.908"</f>
        <v>22:22:10.908</v>
      </c>
      <c r="CJ2862">
        <v>0</v>
      </c>
      <c r="CK2862">
        <v>2</v>
      </c>
      <c r="CL2862">
        <v>0</v>
      </c>
      <c r="CM2862">
        <v>2</v>
      </c>
      <c r="CN2862">
        <v>0</v>
      </c>
      <c r="CO2862">
        <v>5</v>
      </c>
      <c r="CP2862" t="s">
        <v>119</v>
      </c>
      <c r="CQ2862">
        <v>364</v>
      </c>
      <c r="CR2862">
        <v>0</v>
      </c>
      <c r="CW2862">
        <v>1477794</v>
      </c>
      <c r="CY2862">
        <v>1</v>
      </c>
      <c r="CZ2862">
        <v>0</v>
      </c>
      <c r="DA2862">
        <v>1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3">
      <c r="A2863" t="str">
        <f>"03/24/2022 22:22:12.147"</f>
        <v>03/24/2022 22:22:12.147</v>
      </c>
      <c r="C2863" t="str">
        <f t="shared" si="848"/>
        <v>FFDFD3C0</v>
      </c>
      <c r="D2863" t="s">
        <v>126</v>
      </c>
      <c r="E2863">
        <v>3</v>
      </c>
      <c r="H2863">
        <v>160</v>
      </c>
      <c r="I2863" t="s">
        <v>121</v>
      </c>
      <c r="J2863" t="s">
        <v>127</v>
      </c>
      <c r="K2863">
        <v>0</v>
      </c>
      <c r="L2863">
        <v>3</v>
      </c>
      <c r="M2863">
        <v>0</v>
      </c>
      <c r="N2863">
        <v>2</v>
      </c>
      <c r="O2863">
        <v>0</v>
      </c>
      <c r="P2863">
        <v>1</v>
      </c>
      <c r="Q2863">
        <v>0</v>
      </c>
      <c r="S2863" t="str">
        <f t="shared" ref="S2863:T2866" si="856">"22:22:11.000"</f>
        <v>22:22:11.000</v>
      </c>
      <c r="T2863" t="str">
        <f t="shared" si="856"/>
        <v>22:22:11.000</v>
      </c>
      <c r="U2863" t="str">
        <f t="shared" si="842"/>
        <v>A9D71F</v>
      </c>
      <c r="V2863">
        <v>0</v>
      </c>
      <c r="W2863">
        <v>0</v>
      </c>
      <c r="X2863">
        <v>2</v>
      </c>
      <c r="Z2863">
        <v>1</v>
      </c>
      <c r="AA2863">
        <v>8</v>
      </c>
      <c r="AB2863">
        <v>3</v>
      </c>
      <c r="AC2863">
        <v>0</v>
      </c>
      <c r="AD2863">
        <v>9</v>
      </c>
      <c r="AE2863">
        <v>0</v>
      </c>
      <c r="AF2863">
        <v>3</v>
      </c>
      <c r="AG2863">
        <v>1</v>
      </c>
      <c r="AH2863">
        <v>0</v>
      </c>
      <c r="AI2863" t="s">
        <v>1435</v>
      </c>
      <c r="AJ2863">
        <v>32.992908999999997</v>
      </c>
      <c r="AK2863" t="s">
        <v>1436</v>
      </c>
      <c r="AL2863">
        <v>-97.666955000000002</v>
      </c>
      <c r="AM2863">
        <v>25</v>
      </c>
      <c r="AN2863">
        <v>1200</v>
      </c>
      <c r="AO2863" t="s">
        <v>118</v>
      </c>
      <c r="AP2863">
        <v>-7</v>
      </c>
      <c r="AQ2863">
        <v>-85</v>
      </c>
      <c r="AR2863">
        <v>-576</v>
      </c>
      <c r="AZ2863">
        <v>7700</v>
      </c>
      <c r="BA2863">
        <v>1</v>
      </c>
      <c r="BB2863" t="str">
        <f t="shared" si="849"/>
        <v xml:space="preserve">N733KP  </v>
      </c>
      <c r="BC2863">
        <v>1</v>
      </c>
      <c r="BE2863">
        <v>0</v>
      </c>
      <c r="BF2863">
        <v>0</v>
      </c>
      <c r="BG2863">
        <v>1</v>
      </c>
      <c r="BH2863">
        <v>1200</v>
      </c>
      <c r="BI2863">
        <v>1</v>
      </c>
      <c r="BJ2863">
        <v>1</v>
      </c>
      <c r="BK2863">
        <v>0</v>
      </c>
      <c r="BL2863">
        <v>0</v>
      </c>
      <c r="BO2863">
        <v>0</v>
      </c>
      <c r="BP2863">
        <v>0</v>
      </c>
      <c r="BW2863" t="str">
        <f>"22:22:11.894"</f>
        <v>22:22:11.894</v>
      </c>
      <c r="CJ2863">
        <v>0</v>
      </c>
      <c r="CK2863">
        <v>2</v>
      </c>
      <c r="CL2863">
        <v>0</v>
      </c>
      <c r="CM2863">
        <v>2</v>
      </c>
      <c r="CN2863">
        <v>0</v>
      </c>
      <c r="CO2863">
        <v>5</v>
      </c>
      <c r="CP2863" t="s">
        <v>119</v>
      </c>
      <c r="CQ2863">
        <v>364</v>
      </c>
      <c r="CR2863">
        <v>0</v>
      </c>
      <c r="CW2863">
        <v>1477963</v>
      </c>
      <c r="CY2863">
        <v>1</v>
      </c>
      <c r="CZ2863">
        <v>0</v>
      </c>
      <c r="DA2863">
        <v>0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3">
      <c r="A2864" t="str">
        <f>"03/24/2022 22:22:12.147"</f>
        <v>03/24/2022 22:22:12.147</v>
      </c>
      <c r="C2864" t="str">
        <f t="shared" si="848"/>
        <v>FFDFD3C0</v>
      </c>
      <c r="D2864" t="s">
        <v>120</v>
      </c>
      <c r="E2864">
        <v>14</v>
      </c>
      <c r="F2864">
        <v>1014</v>
      </c>
      <c r="G2864" t="s">
        <v>121</v>
      </c>
      <c r="J2864" t="s">
        <v>122</v>
      </c>
      <c r="K2864">
        <v>0</v>
      </c>
      <c r="L2864">
        <v>3</v>
      </c>
      <c r="M2864">
        <v>0</v>
      </c>
      <c r="N2864">
        <v>2</v>
      </c>
      <c r="O2864">
        <v>0</v>
      </c>
      <c r="P2864">
        <v>1</v>
      </c>
      <c r="Q2864">
        <v>0</v>
      </c>
      <c r="S2864" t="str">
        <f t="shared" si="856"/>
        <v>22:22:11.000</v>
      </c>
      <c r="T2864" t="str">
        <f t="shared" si="856"/>
        <v>22:22:11.000</v>
      </c>
      <c r="U2864" t="str">
        <f t="shared" si="842"/>
        <v>A9D71F</v>
      </c>
      <c r="V2864">
        <v>0</v>
      </c>
      <c r="W2864">
        <v>0</v>
      </c>
      <c r="X2864">
        <v>2</v>
      </c>
      <c r="Z2864">
        <v>1</v>
      </c>
      <c r="AA2864">
        <v>8</v>
      </c>
      <c r="AB2864">
        <v>3</v>
      </c>
      <c r="AC2864">
        <v>0</v>
      </c>
      <c r="AD2864">
        <v>9</v>
      </c>
      <c r="AE2864">
        <v>0</v>
      </c>
      <c r="AF2864">
        <v>3</v>
      </c>
      <c r="AG2864">
        <v>1</v>
      </c>
      <c r="AH2864">
        <v>0</v>
      </c>
      <c r="AI2864" t="s">
        <v>1435</v>
      </c>
      <c r="AJ2864">
        <v>32.992908999999997</v>
      </c>
      <c r="AK2864" t="s">
        <v>1436</v>
      </c>
      <c r="AL2864">
        <v>-97.666955000000002</v>
      </c>
      <c r="AM2864">
        <v>25</v>
      </c>
      <c r="AN2864">
        <v>1200</v>
      </c>
      <c r="AO2864" t="s">
        <v>118</v>
      </c>
      <c r="AP2864">
        <v>-7</v>
      </c>
      <c r="AQ2864">
        <v>-85</v>
      </c>
      <c r="AR2864">
        <v>-576</v>
      </c>
      <c r="AZ2864">
        <v>7700</v>
      </c>
      <c r="BA2864">
        <v>1</v>
      </c>
      <c r="BB2864" t="str">
        <f t="shared" si="849"/>
        <v xml:space="preserve">N733KP  </v>
      </c>
      <c r="BC2864">
        <v>1</v>
      </c>
      <c r="BE2864">
        <v>0</v>
      </c>
      <c r="BF2864">
        <v>0</v>
      </c>
      <c r="BG2864">
        <v>1</v>
      </c>
      <c r="BH2864">
        <v>1200</v>
      </c>
      <c r="BI2864">
        <v>1</v>
      </c>
      <c r="BJ2864">
        <v>1</v>
      </c>
      <c r="BK2864">
        <v>0</v>
      </c>
      <c r="BL2864">
        <v>0</v>
      </c>
      <c r="BO2864">
        <v>0</v>
      </c>
      <c r="BP2864">
        <v>0</v>
      </c>
      <c r="BW2864" t="str">
        <f>"22:22:11.894"</f>
        <v>22:22:11.894</v>
      </c>
      <c r="CJ2864">
        <v>0</v>
      </c>
      <c r="CK2864">
        <v>2</v>
      </c>
      <c r="CL2864">
        <v>0</v>
      </c>
      <c r="CM2864">
        <v>2</v>
      </c>
      <c r="CN2864">
        <v>0</v>
      </c>
      <c r="CO2864">
        <v>5</v>
      </c>
      <c r="CP2864" t="s">
        <v>119</v>
      </c>
      <c r="CQ2864">
        <v>364</v>
      </c>
      <c r="CR2864">
        <v>0</v>
      </c>
      <c r="CW2864">
        <v>1477963</v>
      </c>
      <c r="CY2864">
        <v>1</v>
      </c>
      <c r="CZ2864">
        <v>0</v>
      </c>
      <c r="DA2864">
        <v>1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3">
      <c r="A2865" t="str">
        <f>"03/24/2022 22:22:12.147"</f>
        <v>03/24/2022 22:22:12.147</v>
      </c>
      <c r="C2865" t="str">
        <f t="shared" si="848"/>
        <v>FFDFD3C0</v>
      </c>
      <c r="D2865" t="s">
        <v>113</v>
      </c>
      <c r="E2865">
        <v>24</v>
      </c>
      <c r="F2865">
        <v>2024</v>
      </c>
      <c r="G2865" t="s">
        <v>114</v>
      </c>
      <c r="J2865" t="s">
        <v>115</v>
      </c>
      <c r="K2865">
        <v>0</v>
      </c>
      <c r="L2865">
        <v>3</v>
      </c>
      <c r="M2865">
        <v>0</v>
      </c>
      <c r="N2865">
        <v>2</v>
      </c>
      <c r="O2865">
        <v>0</v>
      </c>
      <c r="P2865">
        <v>1</v>
      </c>
      <c r="Q2865">
        <v>0</v>
      </c>
      <c r="S2865" t="str">
        <f t="shared" si="856"/>
        <v>22:22:11.000</v>
      </c>
      <c r="T2865" t="str">
        <f t="shared" si="856"/>
        <v>22:22:11.000</v>
      </c>
      <c r="U2865" t="str">
        <f t="shared" si="842"/>
        <v>A9D71F</v>
      </c>
      <c r="V2865">
        <v>0</v>
      </c>
      <c r="W2865">
        <v>0</v>
      </c>
      <c r="X2865">
        <v>2</v>
      </c>
      <c r="Z2865">
        <v>1</v>
      </c>
      <c r="AA2865">
        <v>8</v>
      </c>
      <c r="AB2865">
        <v>3</v>
      </c>
      <c r="AC2865">
        <v>0</v>
      </c>
      <c r="AD2865">
        <v>9</v>
      </c>
      <c r="AE2865">
        <v>0</v>
      </c>
      <c r="AF2865">
        <v>3</v>
      </c>
      <c r="AG2865">
        <v>1</v>
      </c>
      <c r="AH2865">
        <v>0</v>
      </c>
      <c r="AI2865" t="s">
        <v>1435</v>
      </c>
      <c r="AJ2865">
        <v>32.992908999999997</v>
      </c>
      <c r="AK2865" t="s">
        <v>1436</v>
      </c>
      <c r="AL2865">
        <v>-97.666955000000002</v>
      </c>
      <c r="AM2865">
        <v>25</v>
      </c>
      <c r="AN2865">
        <v>1200</v>
      </c>
      <c r="AO2865" t="s">
        <v>118</v>
      </c>
      <c r="AP2865">
        <v>-7</v>
      </c>
      <c r="AQ2865">
        <v>-85</v>
      </c>
      <c r="AR2865">
        <v>-576</v>
      </c>
      <c r="AZ2865">
        <v>7700</v>
      </c>
      <c r="BA2865">
        <v>1</v>
      </c>
      <c r="BB2865" t="str">
        <f t="shared" si="849"/>
        <v xml:space="preserve">N733KP  </v>
      </c>
      <c r="BC2865">
        <v>1</v>
      </c>
      <c r="BE2865">
        <v>0</v>
      </c>
      <c r="BF2865">
        <v>0</v>
      </c>
      <c r="BG2865">
        <v>1</v>
      </c>
      <c r="BH2865">
        <v>1200</v>
      </c>
      <c r="BI2865">
        <v>1</v>
      </c>
      <c r="BJ2865">
        <v>1</v>
      </c>
      <c r="BK2865">
        <v>0</v>
      </c>
      <c r="BL2865">
        <v>0</v>
      </c>
      <c r="BO2865">
        <v>0</v>
      </c>
      <c r="BP2865">
        <v>0</v>
      </c>
      <c r="BW2865" t="str">
        <f>"22:22:11.894"</f>
        <v>22:22:11.894</v>
      </c>
      <c r="CJ2865">
        <v>0</v>
      </c>
      <c r="CK2865">
        <v>2</v>
      </c>
      <c r="CL2865">
        <v>0</v>
      </c>
      <c r="CM2865">
        <v>2</v>
      </c>
      <c r="CN2865">
        <v>0</v>
      </c>
      <c r="CO2865">
        <v>5</v>
      </c>
      <c r="CP2865" t="s">
        <v>119</v>
      </c>
      <c r="CQ2865">
        <v>364</v>
      </c>
      <c r="CR2865">
        <v>0</v>
      </c>
      <c r="CW2865">
        <v>1477963</v>
      </c>
      <c r="CY2865">
        <v>1</v>
      </c>
      <c r="CZ2865">
        <v>0</v>
      </c>
      <c r="DA2865">
        <v>1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3">
      <c r="A2866" t="str">
        <f>"03/24/2022 22:22:12.147"</f>
        <v>03/24/2022 22:22:12.147</v>
      </c>
      <c r="C2866" t="str">
        <f t="shared" si="848"/>
        <v>FFDFD3C0</v>
      </c>
      <c r="D2866" t="s">
        <v>123</v>
      </c>
      <c r="E2866">
        <v>8</v>
      </c>
      <c r="H2866">
        <v>31</v>
      </c>
      <c r="I2866" t="s">
        <v>124</v>
      </c>
      <c r="J2866" t="s">
        <v>125</v>
      </c>
      <c r="K2866">
        <v>0</v>
      </c>
      <c r="L2866">
        <v>3</v>
      </c>
      <c r="M2866">
        <v>0</v>
      </c>
      <c r="N2866">
        <v>2</v>
      </c>
      <c r="O2866">
        <v>0</v>
      </c>
      <c r="P2866">
        <v>1</v>
      </c>
      <c r="Q2866">
        <v>0</v>
      </c>
      <c r="S2866" t="str">
        <f t="shared" si="856"/>
        <v>22:22:11.000</v>
      </c>
      <c r="T2866" t="str">
        <f t="shared" si="856"/>
        <v>22:22:11.000</v>
      </c>
      <c r="U2866" t="str">
        <f t="shared" si="842"/>
        <v>A9D71F</v>
      </c>
      <c r="V2866">
        <v>0</v>
      </c>
      <c r="W2866">
        <v>0</v>
      </c>
      <c r="X2866">
        <v>2</v>
      </c>
      <c r="Z2866">
        <v>1</v>
      </c>
      <c r="AA2866">
        <v>8</v>
      </c>
      <c r="AB2866">
        <v>3</v>
      </c>
      <c r="AC2866">
        <v>0</v>
      </c>
      <c r="AD2866">
        <v>9</v>
      </c>
      <c r="AE2866">
        <v>0</v>
      </c>
      <c r="AF2866">
        <v>3</v>
      </c>
      <c r="AG2866">
        <v>1</v>
      </c>
      <c r="AH2866">
        <v>0</v>
      </c>
      <c r="AI2866" t="s">
        <v>1435</v>
      </c>
      <c r="AJ2866">
        <v>32.992908999999997</v>
      </c>
      <c r="AK2866" t="s">
        <v>1436</v>
      </c>
      <c r="AL2866">
        <v>-97.666955000000002</v>
      </c>
      <c r="AM2866">
        <v>25</v>
      </c>
      <c r="AN2866">
        <v>1200</v>
      </c>
      <c r="AO2866" t="s">
        <v>118</v>
      </c>
      <c r="AP2866">
        <v>-7</v>
      </c>
      <c r="AQ2866">
        <v>-85</v>
      </c>
      <c r="AR2866">
        <v>-576</v>
      </c>
      <c r="AZ2866">
        <v>7700</v>
      </c>
      <c r="BA2866">
        <v>1</v>
      </c>
      <c r="BB2866" t="str">
        <f t="shared" si="849"/>
        <v xml:space="preserve">N733KP  </v>
      </c>
      <c r="BC2866">
        <v>1</v>
      </c>
      <c r="BE2866">
        <v>0</v>
      </c>
      <c r="BF2866">
        <v>0</v>
      </c>
      <c r="BG2866">
        <v>1</v>
      </c>
      <c r="BH2866">
        <v>1200</v>
      </c>
      <c r="BI2866">
        <v>1</v>
      </c>
      <c r="BJ2866">
        <v>1</v>
      </c>
      <c r="BK2866">
        <v>0</v>
      </c>
      <c r="BL2866">
        <v>0</v>
      </c>
      <c r="BO2866">
        <v>0</v>
      </c>
      <c r="BP2866">
        <v>0</v>
      </c>
      <c r="BW2866" t="str">
        <f>"22:22:11.894"</f>
        <v>22:22:11.894</v>
      </c>
      <c r="CJ2866">
        <v>0</v>
      </c>
      <c r="CK2866">
        <v>2</v>
      </c>
      <c r="CL2866">
        <v>0</v>
      </c>
      <c r="CM2866">
        <v>2</v>
      </c>
      <c r="CN2866">
        <v>0</v>
      </c>
      <c r="CO2866">
        <v>5</v>
      </c>
      <c r="CP2866" t="s">
        <v>119</v>
      </c>
      <c r="CQ2866">
        <v>364</v>
      </c>
      <c r="CR2866">
        <v>0</v>
      </c>
      <c r="CW2866">
        <v>1477963</v>
      </c>
      <c r="CY2866">
        <v>1</v>
      </c>
      <c r="CZ2866">
        <v>0</v>
      </c>
      <c r="DA2866">
        <v>1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3">
      <c r="A2867" t="str">
        <f>"03/24/2022 22:22:13.078"</f>
        <v>03/24/2022 22:22:13.078</v>
      </c>
      <c r="C2867" t="str">
        <f t="shared" si="848"/>
        <v>FFDFD3C0</v>
      </c>
      <c r="D2867" t="s">
        <v>120</v>
      </c>
      <c r="E2867">
        <v>14</v>
      </c>
      <c r="F2867">
        <v>1014</v>
      </c>
      <c r="G2867" t="s">
        <v>121</v>
      </c>
      <c r="J2867" t="s">
        <v>122</v>
      </c>
      <c r="K2867">
        <v>0</v>
      </c>
      <c r="L2867">
        <v>3</v>
      </c>
      <c r="M2867">
        <v>0</v>
      </c>
      <c r="N2867">
        <v>2</v>
      </c>
      <c r="O2867">
        <v>0</v>
      </c>
      <c r="P2867">
        <v>1</v>
      </c>
      <c r="Q2867">
        <v>0</v>
      </c>
      <c r="S2867" t="str">
        <f t="shared" ref="S2867:T2870" si="857">"22:22:12.000"</f>
        <v>22:22:12.000</v>
      </c>
      <c r="T2867" t="str">
        <f t="shared" si="857"/>
        <v>22:22:12.000</v>
      </c>
      <c r="U2867" t="str">
        <f t="shared" si="842"/>
        <v>A9D71F</v>
      </c>
      <c r="V2867">
        <v>0</v>
      </c>
      <c r="W2867">
        <v>0</v>
      </c>
      <c r="X2867">
        <v>2</v>
      </c>
      <c r="Z2867">
        <v>1</v>
      </c>
      <c r="AA2867">
        <v>8</v>
      </c>
      <c r="AB2867">
        <v>3</v>
      </c>
      <c r="AC2867">
        <v>0</v>
      </c>
      <c r="AD2867">
        <v>9</v>
      </c>
      <c r="AE2867">
        <v>0</v>
      </c>
      <c r="AF2867">
        <v>3</v>
      </c>
      <c r="AG2867">
        <v>1</v>
      </c>
      <c r="AH2867">
        <v>0</v>
      </c>
      <c r="AI2867" t="s">
        <v>1437</v>
      </c>
      <c r="AJ2867">
        <v>32.992500999999997</v>
      </c>
      <c r="AK2867" t="s">
        <v>1438</v>
      </c>
      <c r="AL2867">
        <v>-97.666998000000007</v>
      </c>
      <c r="AM2867">
        <v>25</v>
      </c>
      <c r="AN2867">
        <v>1200</v>
      </c>
      <c r="AO2867" t="s">
        <v>118</v>
      </c>
      <c r="AP2867">
        <v>-8</v>
      </c>
      <c r="AQ2867">
        <v>-85</v>
      </c>
      <c r="AR2867">
        <v>-640</v>
      </c>
      <c r="AZ2867">
        <v>7700</v>
      </c>
      <c r="BA2867">
        <v>1</v>
      </c>
      <c r="BB2867" t="str">
        <f t="shared" si="849"/>
        <v xml:space="preserve">N733KP  </v>
      </c>
      <c r="BC2867">
        <v>1</v>
      </c>
      <c r="BE2867">
        <v>0</v>
      </c>
      <c r="BF2867">
        <v>0</v>
      </c>
      <c r="BG2867">
        <v>1</v>
      </c>
      <c r="BH2867">
        <v>1200</v>
      </c>
      <c r="BI2867">
        <v>1</v>
      </c>
      <c r="BJ2867">
        <v>1</v>
      </c>
      <c r="BK2867">
        <v>0</v>
      </c>
      <c r="BL2867">
        <v>0</v>
      </c>
      <c r="BO2867">
        <v>0</v>
      </c>
      <c r="BP2867">
        <v>0</v>
      </c>
      <c r="BW2867" t="str">
        <f>"22:22:12.884"</f>
        <v>22:22:12.884</v>
      </c>
      <c r="CJ2867">
        <v>0</v>
      </c>
      <c r="CK2867">
        <v>2</v>
      </c>
      <c r="CL2867">
        <v>0</v>
      </c>
      <c r="CM2867">
        <v>2</v>
      </c>
      <c r="CN2867">
        <v>0</v>
      </c>
      <c r="CO2867">
        <v>5</v>
      </c>
      <c r="CP2867" t="s">
        <v>119</v>
      </c>
      <c r="CQ2867">
        <v>364</v>
      </c>
      <c r="CR2867">
        <v>0</v>
      </c>
      <c r="CW2867">
        <v>1478111</v>
      </c>
      <c r="CY2867">
        <v>1</v>
      </c>
      <c r="CZ2867">
        <v>0</v>
      </c>
      <c r="DA2867">
        <v>0</v>
      </c>
      <c r="DB2867">
        <v>0</v>
      </c>
      <c r="DC2867">
        <v>0</v>
      </c>
      <c r="DD2867">
        <v>0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3">
      <c r="A2868" t="str">
        <f>"03/24/2022 22:22:13.094"</f>
        <v>03/24/2022 22:22:13.094</v>
      </c>
      <c r="C2868" t="str">
        <f t="shared" si="848"/>
        <v>FFDFD3C0</v>
      </c>
      <c r="D2868" t="s">
        <v>123</v>
      </c>
      <c r="E2868">
        <v>8</v>
      </c>
      <c r="H2868">
        <v>31</v>
      </c>
      <c r="I2868" t="s">
        <v>124</v>
      </c>
      <c r="J2868" t="s">
        <v>125</v>
      </c>
      <c r="K2868">
        <v>0</v>
      </c>
      <c r="L2868">
        <v>3</v>
      </c>
      <c r="M2868">
        <v>0</v>
      </c>
      <c r="N2868">
        <v>2</v>
      </c>
      <c r="O2868">
        <v>0</v>
      </c>
      <c r="P2868">
        <v>1</v>
      </c>
      <c r="Q2868">
        <v>0</v>
      </c>
      <c r="S2868" t="str">
        <f t="shared" si="857"/>
        <v>22:22:12.000</v>
      </c>
      <c r="T2868" t="str">
        <f t="shared" si="857"/>
        <v>22:22:12.000</v>
      </c>
      <c r="U2868" t="str">
        <f t="shared" si="842"/>
        <v>A9D71F</v>
      </c>
      <c r="V2868">
        <v>0</v>
      </c>
      <c r="W2868">
        <v>0</v>
      </c>
      <c r="X2868">
        <v>2</v>
      </c>
      <c r="Z2868">
        <v>1</v>
      </c>
      <c r="AA2868">
        <v>8</v>
      </c>
      <c r="AB2868">
        <v>3</v>
      </c>
      <c r="AC2868">
        <v>0</v>
      </c>
      <c r="AD2868">
        <v>9</v>
      </c>
      <c r="AE2868">
        <v>0</v>
      </c>
      <c r="AF2868">
        <v>3</v>
      </c>
      <c r="AG2868">
        <v>1</v>
      </c>
      <c r="AH2868">
        <v>0</v>
      </c>
      <c r="AI2868" t="s">
        <v>1437</v>
      </c>
      <c r="AJ2868">
        <v>32.992500999999997</v>
      </c>
      <c r="AK2868" t="s">
        <v>1438</v>
      </c>
      <c r="AL2868">
        <v>-97.666998000000007</v>
      </c>
      <c r="AM2868">
        <v>25</v>
      </c>
      <c r="AN2868">
        <v>1200</v>
      </c>
      <c r="AO2868" t="s">
        <v>118</v>
      </c>
      <c r="AP2868">
        <v>-8</v>
      </c>
      <c r="AQ2868">
        <v>-85</v>
      </c>
      <c r="AR2868">
        <v>-640</v>
      </c>
      <c r="AZ2868">
        <v>7700</v>
      </c>
      <c r="BA2868">
        <v>1</v>
      </c>
      <c r="BB2868" t="str">
        <f t="shared" si="849"/>
        <v xml:space="preserve">N733KP  </v>
      </c>
      <c r="BC2868">
        <v>1</v>
      </c>
      <c r="BE2868">
        <v>0</v>
      </c>
      <c r="BF2868">
        <v>0</v>
      </c>
      <c r="BG2868">
        <v>1</v>
      </c>
      <c r="BH2868">
        <v>1200</v>
      </c>
      <c r="BI2868">
        <v>1</v>
      </c>
      <c r="BJ2868">
        <v>1</v>
      </c>
      <c r="BK2868">
        <v>0</v>
      </c>
      <c r="BL2868">
        <v>0</v>
      </c>
      <c r="BO2868">
        <v>0</v>
      </c>
      <c r="BP2868">
        <v>0</v>
      </c>
      <c r="BW2868" t="str">
        <f>"22:22:12.884"</f>
        <v>22:22:12.884</v>
      </c>
      <c r="CJ2868">
        <v>0</v>
      </c>
      <c r="CK2868">
        <v>2</v>
      </c>
      <c r="CL2868">
        <v>0</v>
      </c>
      <c r="CM2868">
        <v>2</v>
      </c>
      <c r="CN2868">
        <v>0</v>
      </c>
      <c r="CO2868">
        <v>5</v>
      </c>
      <c r="CP2868" t="s">
        <v>119</v>
      </c>
      <c r="CQ2868">
        <v>364</v>
      </c>
      <c r="CR2868">
        <v>0</v>
      </c>
      <c r="CW2868">
        <v>1478111</v>
      </c>
      <c r="CY2868">
        <v>1</v>
      </c>
      <c r="CZ2868">
        <v>0</v>
      </c>
      <c r="DA2868">
        <v>1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3">
      <c r="A2869" t="str">
        <f>"03/24/2022 22:22:13.110"</f>
        <v>03/24/2022 22:22:13.110</v>
      </c>
      <c r="C2869" t="str">
        <f t="shared" si="848"/>
        <v>FFDFD3C0</v>
      </c>
      <c r="D2869" t="s">
        <v>126</v>
      </c>
      <c r="E2869">
        <v>3</v>
      </c>
      <c r="H2869">
        <v>160</v>
      </c>
      <c r="I2869" t="s">
        <v>121</v>
      </c>
      <c r="J2869" t="s">
        <v>127</v>
      </c>
      <c r="K2869">
        <v>0</v>
      </c>
      <c r="L2869">
        <v>3</v>
      </c>
      <c r="M2869">
        <v>0</v>
      </c>
      <c r="N2869">
        <v>2</v>
      </c>
      <c r="O2869">
        <v>0</v>
      </c>
      <c r="P2869">
        <v>1</v>
      </c>
      <c r="Q2869">
        <v>0</v>
      </c>
      <c r="S2869" t="str">
        <f t="shared" si="857"/>
        <v>22:22:12.000</v>
      </c>
      <c r="T2869" t="str">
        <f t="shared" si="857"/>
        <v>22:22:12.000</v>
      </c>
      <c r="U2869" t="str">
        <f t="shared" si="842"/>
        <v>A9D71F</v>
      </c>
      <c r="V2869">
        <v>0</v>
      </c>
      <c r="W2869">
        <v>0</v>
      </c>
      <c r="X2869">
        <v>2</v>
      </c>
      <c r="Z2869">
        <v>1</v>
      </c>
      <c r="AA2869">
        <v>8</v>
      </c>
      <c r="AB2869">
        <v>3</v>
      </c>
      <c r="AC2869">
        <v>0</v>
      </c>
      <c r="AD2869">
        <v>9</v>
      </c>
      <c r="AE2869">
        <v>0</v>
      </c>
      <c r="AF2869">
        <v>3</v>
      </c>
      <c r="AG2869">
        <v>1</v>
      </c>
      <c r="AH2869">
        <v>0</v>
      </c>
      <c r="AI2869" t="s">
        <v>1437</v>
      </c>
      <c r="AJ2869">
        <v>32.992500999999997</v>
      </c>
      <c r="AK2869" t="s">
        <v>1438</v>
      </c>
      <c r="AL2869">
        <v>-97.666998000000007</v>
      </c>
      <c r="AM2869">
        <v>25</v>
      </c>
      <c r="AN2869">
        <v>1200</v>
      </c>
      <c r="AO2869" t="s">
        <v>118</v>
      </c>
      <c r="AP2869">
        <v>-8</v>
      </c>
      <c r="AQ2869">
        <v>-85</v>
      </c>
      <c r="AR2869">
        <v>-640</v>
      </c>
      <c r="AZ2869">
        <v>7700</v>
      </c>
      <c r="BA2869">
        <v>1</v>
      </c>
      <c r="BB2869" t="str">
        <f t="shared" si="849"/>
        <v xml:space="preserve">N733KP  </v>
      </c>
      <c r="BC2869">
        <v>1</v>
      </c>
      <c r="BE2869">
        <v>0</v>
      </c>
      <c r="BF2869">
        <v>0</v>
      </c>
      <c r="BG2869">
        <v>1</v>
      </c>
      <c r="BH2869">
        <v>1200</v>
      </c>
      <c r="BI2869">
        <v>1</v>
      </c>
      <c r="BJ2869">
        <v>1</v>
      </c>
      <c r="BK2869">
        <v>0</v>
      </c>
      <c r="BL2869">
        <v>0</v>
      </c>
      <c r="BO2869">
        <v>0</v>
      </c>
      <c r="BP2869">
        <v>0</v>
      </c>
      <c r="BW2869" t="str">
        <f>"22:22:12.884"</f>
        <v>22:22:12.884</v>
      </c>
      <c r="CJ2869">
        <v>0</v>
      </c>
      <c r="CK2869">
        <v>2</v>
      </c>
      <c r="CL2869">
        <v>0</v>
      </c>
      <c r="CM2869">
        <v>2</v>
      </c>
      <c r="CN2869">
        <v>0</v>
      </c>
      <c r="CO2869">
        <v>5</v>
      </c>
      <c r="CP2869" t="s">
        <v>119</v>
      </c>
      <c r="CQ2869">
        <v>364</v>
      </c>
      <c r="CR2869">
        <v>0</v>
      </c>
      <c r="CW2869">
        <v>1478111</v>
      </c>
      <c r="CY2869">
        <v>1</v>
      </c>
      <c r="CZ2869">
        <v>0</v>
      </c>
      <c r="DA2869">
        <v>1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3">
      <c r="A2870" t="str">
        <f>"03/24/2022 22:22:13.141"</f>
        <v>03/24/2022 22:22:13.141</v>
      </c>
      <c r="C2870" t="str">
        <f t="shared" si="848"/>
        <v>FFDFD3C0</v>
      </c>
      <c r="D2870" t="s">
        <v>113</v>
      </c>
      <c r="E2870">
        <v>24</v>
      </c>
      <c r="F2870">
        <v>2024</v>
      </c>
      <c r="G2870" t="s">
        <v>114</v>
      </c>
      <c r="J2870" t="s">
        <v>115</v>
      </c>
      <c r="K2870">
        <v>0</v>
      </c>
      <c r="L2870">
        <v>3</v>
      </c>
      <c r="M2870">
        <v>0</v>
      </c>
      <c r="N2870">
        <v>2</v>
      </c>
      <c r="O2870">
        <v>0</v>
      </c>
      <c r="P2870">
        <v>1</v>
      </c>
      <c r="Q2870">
        <v>0</v>
      </c>
      <c r="S2870" t="str">
        <f t="shared" si="857"/>
        <v>22:22:12.000</v>
      </c>
      <c r="T2870" t="str">
        <f t="shared" si="857"/>
        <v>22:22:12.000</v>
      </c>
      <c r="U2870" t="str">
        <f t="shared" si="842"/>
        <v>A9D71F</v>
      </c>
      <c r="V2870">
        <v>0</v>
      </c>
      <c r="W2870">
        <v>0</v>
      </c>
      <c r="X2870">
        <v>2</v>
      </c>
      <c r="Z2870">
        <v>1</v>
      </c>
      <c r="AA2870">
        <v>8</v>
      </c>
      <c r="AB2870">
        <v>3</v>
      </c>
      <c r="AC2870">
        <v>0</v>
      </c>
      <c r="AD2870">
        <v>9</v>
      </c>
      <c r="AE2870">
        <v>0</v>
      </c>
      <c r="AF2870">
        <v>3</v>
      </c>
      <c r="AG2870">
        <v>1</v>
      </c>
      <c r="AH2870">
        <v>0</v>
      </c>
      <c r="AI2870" t="s">
        <v>1437</v>
      </c>
      <c r="AJ2870">
        <v>32.992500999999997</v>
      </c>
      <c r="AK2870" t="s">
        <v>1438</v>
      </c>
      <c r="AL2870">
        <v>-97.666998000000007</v>
      </c>
      <c r="AM2870">
        <v>25</v>
      </c>
      <c r="AN2870">
        <v>1200</v>
      </c>
      <c r="AO2870" t="s">
        <v>118</v>
      </c>
      <c r="AP2870">
        <v>-8</v>
      </c>
      <c r="AQ2870">
        <v>-85</v>
      </c>
      <c r="AR2870">
        <v>-640</v>
      </c>
      <c r="AZ2870">
        <v>7700</v>
      </c>
      <c r="BA2870">
        <v>1</v>
      </c>
      <c r="BB2870" t="str">
        <f t="shared" si="849"/>
        <v xml:space="preserve">N733KP  </v>
      </c>
      <c r="BC2870">
        <v>1</v>
      </c>
      <c r="BE2870">
        <v>0</v>
      </c>
      <c r="BF2870">
        <v>0</v>
      </c>
      <c r="BG2870">
        <v>1</v>
      </c>
      <c r="BH2870">
        <v>1200</v>
      </c>
      <c r="BI2870">
        <v>1</v>
      </c>
      <c r="BJ2870">
        <v>1</v>
      </c>
      <c r="BK2870">
        <v>0</v>
      </c>
      <c r="BL2870">
        <v>0</v>
      </c>
      <c r="BO2870">
        <v>0</v>
      </c>
      <c r="BP2870">
        <v>0</v>
      </c>
      <c r="BW2870" t="str">
        <f>"22:22:12.884"</f>
        <v>22:22:12.884</v>
      </c>
      <c r="CJ2870">
        <v>0</v>
      </c>
      <c r="CK2870">
        <v>2</v>
      </c>
      <c r="CL2870">
        <v>0</v>
      </c>
      <c r="CM2870">
        <v>2</v>
      </c>
      <c r="CN2870">
        <v>0</v>
      </c>
      <c r="CO2870">
        <v>5</v>
      </c>
      <c r="CP2870" t="s">
        <v>119</v>
      </c>
      <c r="CQ2870">
        <v>364</v>
      </c>
      <c r="CR2870">
        <v>0</v>
      </c>
      <c r="CW2870">
        <v>1478111</v>
      </c>
      <c r="CY2870">
        <v>1</v>
      </c>
      <c r="CZ2870">
        <v>0</v>
      </c>
      <c r="DA2870">
        <v>1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3">
      <c r="A2871" t="str">
        <f>"03/24/2022 22:22:14.065"</f>
        <v>03/24/2022 22:22:14.065</v>
      </c>
      <c r="C2871" t="str">
        <f t="shared" si="848"/>
        <v>FFDFD3C0</v>
      </c>
      <c r="D2871" t="s">
        <v>123</v>
      </c>
      <c r="E2871">
        <v>8</v>
      </c>
      <c r="H2871">
        <v>31</v>
      </c>
      <c r="I2871" t="s">
        <v>124</v>
      </c>
      <c r="J2871" t="s">
        <v>125</v>
      </c>
      <c r="K2871">
        <v>0</v>
      </c>
      <c r="L2871">
        <v>3</v>
      </c>
      <c r="M2871">
        <v>0</v>
      </c>
      <c r="N2871">
        <v>2</v>
      </c>
      <c r="O2871">
        <v>0</v>
      </c>
      <c r="P2871">
        <v>1</v>
      </c>
      <c r="Q2871">
        <v>0</v>
      </c>
      <c r="S2871" t="str">
        <f t="shared" ref="S2871:T2874" si="858">"22:22:13.000"</f>
        <v>22:22:13.000</v>
      </c>
      <c r="T2871" t="str">
        <f t="shared" si="858"/>
        <v>22:22:13.000</v>
      </c>
      <c r="U2871" t="str">
        <f t="shared" si="842"/>
        <v>A9D71F</v>
      </c>
      <c r="V2871">
        <v>0</v>
      </c>
      <c r="W2871">
        <v>0</v>
      </c>
      <c r="X2871">
        <v>2</v>
      </c>
      <c r="Z2871">
        <v>1</v>
      </c>
      <c r="AA2871">
        <v>8</v>
      </c>
      <c r="AB2871">
        <v>3</v>
      </c>
      <c r="AC2871">
        <v>0</v>
      </c>
      <c r="AD2871">
        <v>9</v>
      </c>
      <c r="AE2871">
        <v>0</v>
      </c>
      <c r="AF2871">
        <v>3</v>
      </c>
      <c r="AG2871">
        <v>1</v>
      </c>
      <c r="AH2871">
        <v>0</v>
      </c>
      <c r="AI2871" t="s">
        <v>1439</v>
      </c>
      <c r="AJ2871">
        <v>32.992094000000002</v>
      </c>
      <c r="AK2871" t="s">
        <v>945</v>
      </c>
      <c r="AL2871">
        <v>-97.667040999999998</v>
      </c>
      <c r="AM2871">
        <v>25</v>
      </c>
      <c r="AN2871">
        <v>1200</v>
      </c>
      <c r="AO2871" t="s">
        <v>118</v>
      </c>
      <c r="AP2871">
        <v>-9</v>
      </c>
      <c r="AQ2871">
        <v>-85</v>
      </c>
      <c r="AR2871">
        <v>-640</v>
      </c>
      <c r="AZ2871">
        <v>7700</v>
      </c>
      <c r="BA2871">
        <v>1</v>
      </c>
      <c r="BB2871" t="str">
        <f t="shared" si="849"/>
        <v xml:space="preserve">N733KP  </v>
      </c>
      <c r="BC2871">
        <v>1</v>
      </c>
      <c r="BE2871">
        <v>0</v>
      </c>
      <c r="BF2871">
        <v>0</v>
      </c>
      <c r="BG2871">
        <v>1</v>
      </c>
      <c r="BH2871">
        <v>1175</v>
      </c>
      <c r="BI2871">
        <v>1</v>
      </c>
      <c r="BJ2871">
        <v>1</v>
      </c>
      <c r="BK2871">
        <v>0</v>
      </c>
      <c r="BL2871">
        <v>0</v>
      </c>
      <c r="BO2871">
        <v>0</v>
      </c>
      <c r="BP2871">
        <v>0</v>
      </c>
      <c r="BW2871" t="str">
        <f>"22:22:13.869"</f>
        <v>22:22:13.869</v>
      </c>
      <c r="CJ2871">
        <v>0</v>
      </c>
      <c r="CK2871">
        <v>2</v>
      </c>
      <c r="CL2871">
        <v>0</v>
      </c>
      <c r="CM2871">
        <v>2</v>
      </c>
      <c r="CN2871">
        <v>0</v>
      </c>
      <c r="CO2871">
        <v>5</v>
      </c>
      <c r="CP2871" t="s">
        <v>119</v>
      </c>
      <c r="CQ2871">
        <v>364</v>
      </c>
      <c r="CR2871">
        <v>0</v>
      </c>
      <c r="CW2871">
        <v>1478269</v>
      </c>
      <c r="CY2871">
        <v>1</v>
      </c>
      <c r="CZ2871">
        <v>0</v>
      </c>
      <c r="DA2871">
        <v>0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3">
      <c r="A2872" t="str">
        <f>"03/24/2022 22:22:14.065"</f>
        <v>03/24/2022 22:22:14.065</v>
      </c>
      <c r="C2872" t="str">
        <f t="shared" si="848"/>
        <v>FFDFD3C0</v>
      </c>
      <c r="D2872" t="s">
        <v>126</v>
      </c>
      <c r="E2872">
        <v>3</v>
      </c>
      <c r="H2872">
        <v>160</v>
      </c>
      <c r="I2872" t="s">
        <v>121</v>
      </c>
      <c r="J2872" t="s">
        <v>127</v>
      </c>
      <c r="K2872">
        <v>0</v>
      </c>
      <c r="L2872">
        <v>3</v>
      </c>
      <c r="M2872">
        <v>0</v>
      </c>
      <c r="N2872">
        <v>2</v>
      </c>
      <c r="O2872">
        <v>0</v>
      </c>
      <c r="P2872">
        <v>1</v>
      </c>
      <c r="Q2872">
        <v>0</v>
      </c>
      <c r="S2872" t="str">
        <f t="shared" si="858"/>
        <v>22:22:13.000</v>
      </c>
      <c r="T2872" t="str">
        <f t="shared" si="858"/>
        <v>22:22:13.000</v>
      </c>
      <c r="U2872" t="str">
        <f t="shared" si="842"/>
        <v>A9D71F</v>
      </c>
      <c r="V2872">
        <v>0</v>
      </c>
      <c r="W2872">
        <v>0</v>
      </c>
      <c r="X2872">
        <v>2</v>
      </c>
      <c r="Z2872">
        <v>1</v>
      </c>
      <c r="AA2872">
        <v>8</v>
      </c>
      <c r="AB2872">
        <v>3</v>
      </c>
      <c r="AC2872">
        <v>0</v>
      </c>
      <c r="AD2872">
        <v>9</v>
      </c>
      <c r="AE2872">
        <v>0</v>
      </c>
      <c r="AF2872">
        <v>3</v>
      </c>
      <c r="AG2872">
        <v>1</v>
      </c>
      <c r="AH2872">
        <v>0</v>
      </c>
      <c r="AI2872" t="s">
        <v>1439</v>
      </c>
      <c r="AJ2872">
        <v>32.992094000000002</v>
      </c>
      <c r="AK2872" t="s">
        <v>945</v>
      </c>
      <c r="AL2872">
        <v>-97.667040999999998</v>
      </c>
      <c r="AM2872">
        <v>25</v>
      </c>
      <c r="AN2872">
        <v>1200</v>
      </c>
      <c r="AO2872" t="s">
        <v>118</v>
      </c>
      <c r="AP2872">
        <v>-9</v>
      </c>
      <c r="AQ2872">
        <v>-85</v>
      </c>
      <c r="AR2872">
        <v>-640</v>
      </c>
      <c r="AZ2872">
        <v>7700</v>
      </c>
      <c r="BA2872">
        <v>1</v>
      </c>
      <c r="BB2872" t="str">
        <f t="shared" si="849"/>
        <v xml:space="preserve">N733KP  </v>
      </c>
      <c r="BC2872">
        <v>1</v>
      </c>
      <c r="BE2872">
        <v>0</v>
      </c>
      <c r="BF2872">
        <v>0</v>
      </c>
      <c r="BG2872">
        <v>1</v>
      </c>
      <c r="BH2872">
        <v>1175</v>
      </c>
      <c r="BI2872">
        <v>1</v>
      </c>
      <c r="BJ2872">
        <v>1</v>
      </c>
      <c r="BK2872">
        <v>0</v>
      </c>
      <c r="BL2872">
        <v>0</v>
      </c>
      <c r="BO2872">
        <v>0</v>
      </c>
      <c r="BP2872">
        <v>0</v>
      </c>
      <c r="BW2872" t="str">
        <f>"22:22:13.869"</f>
        <v>22:22:13.869</v>
      </c>
      <c r="CJ2872">
        <v>0</v>
      </c>
      <c r="CK2872">
        <v>2</v>
      </c>
      <c r="CL2872">
        <v>0</v>
      </c>
      <c r="CM2872">
        <v>2</v>
      </c>
      <c r="CN2872">
        <v>0</v>
      </c>
      <c r="CO2872">
        <v>5</v>
      </c>
      <c r="CP2872" t="s">
        <v>119</v>
      </c>
      <c r="CQ2872">
        <v>364</v>
      </c>
      <c r="CR2872">
        <v>0</v>
      </c>
      <c r="CW2872">
        <v>1478269</v>
      </c>
      <c r="CY2872">
        <v>1</v>
      </c>
      <c r="CZ2872">
        <v>0</v>
      </c>
      <c r="DA2872">
        <v>1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3">
      <c r="A2873" t="str">
        <f>"03/24/2022 22:22:14.080"</f>
        <v>03/24/2022 22:22:14.080</v>
      </c>
      <c r="C2873" t="str">
        <f t="shared" si="848"/>
        <v>FFDFD3C0</v>
      </c>
      <c r="D2873" t="s">
        <v>113</v>
      </c>
      <c r="E2873">
        <v>24</v>
      </c>
      <c r="F2873">
        <v>2024</v>
      </c>
      <c r="G2873" t="s">
        <v>114</v>
      </c>
      <c r="J2873" t="s">
        <v>115</v>
      </c>
      <c r="K2873">
        <v>0</v>
      </c>
      <c r="L2873">
        <v>3</v>
      </c>
      <c r="M2873">
        <v>0</v>
      </c>
      <c r="N2873">
        <v>2</v>
      </c>
      <c r="O2873">
        <v>0</v>
      </c>
      <c r="P2873">
        <v>1</v>
      </c>
      <c r="Q2873">
        <v>0</v>
      </c>
      <c r="S2873" t="str">
        <f t="shared" si="858"/>
        <v>22:22:13.000</v>
      </c>
      <c r="T2873" t="str">
        <f t="shared" si="858"/>
        <v>22:22:13.000</v>
      </c>
      <c r="U2873" t="str">
        <f t="shared" si="842"/>
        <v>A9D71F</v>
      </c>
      <c r="V2873">
        <v>0</v>
      </c>
      <c r="W2873">
        <v>0</v>
      </c>
      <c r="X2873">
        <v>2</v>
      </c>
      <c r="Z2873">
        <v>1</v>
      </c>
      <c r="AA2873">
        <v>8</v>
      </c>
      <c r="AB2873">
        <v>3</v>
      </c>
      <c r="AC2873">
        <v>0</v>
      </c>
      <c r="AD2873">
        <v>9</v>
      </c>
      <c r="AE2873">
        <v>0</v>
      </c>
      <c r="AF2873">
        <v>3</v>
      </c>
      <c r="AG2873">
        <v>1</v>
      </c>
      <c r="AH2873">
        <v>0</v>
      </c>
      <c r="AI2873" t="s">
        <v>1439</v>
      </c>
      <c r="AJ2873">
        <v>32.992094000000002</v>
      </c>
      <c r="AK2873" t="s">
        <v>945</v>
      </c>
      <c r="AL2873">
        <v>-97.667040999999998</v>
      </c>
      <c r="AM2873">
        <v>25</v>
      </c>
      <c r="AN2873">
        <v>1200</v>
      </c>
      <c r="AO2873" t="s">
        <v>118</v>
      </c>
      <c r="AP2873">
        <v>-9</v>
      </c>
      <c r="AQ2873">
        <v>-85</v>
      </c>
      <c r="AR2873">
        <v>-640</v>
      </c>
      <c r="AZ2873">
        <v>7700</v>
      </c>
      <c r="BA2873">
        <v>1</v>
      </c>
      <c r="BB2873" t="str">
        <f t="shared" si="849"/>
        <v xml:space="preserve">N733KP  </v>
      </c>
      <c r="BC2873">
        <v>1</v>
      </c>
      <c r="BE2873">
        <v>0</v>
      </c>
      <c r="BF2873">
        <v>0</v>
      </c>
      <c r="BG2873">
        <v>1</v>
      </c>
      <c r="BH2873">
        <v>1175</v>
      </c>
      <c r="BI2873">
        <v>1</v>
      </c>
      <c r="BJ2873">
        <v>1</v>
      </c>
      <c r="BK2873">
        <v>0</v>
      </c>
      <c r="BL2873">
        <v>0</v>
      </c>
      <c r="BO2873">
        <v>0</v>
      </c>
      <c r="BP2873">
        <v>0</v>
      </c>
      <c r="BW2873" t="str">
        <f>"22:22:13.869"</f>
        <v>22:22:13.869</v>
      </c>
      <c r="CJ2873">
        <v>0</v>
      </c>
      <c r="CK2873">
        <v>2</v>
      </c>
      <c r="CL2873">
        <v>0</v>
      </c>
      <c r="CM2873">
        <v>2</v>
      </c>
      <c r="CN2873">
        <v>0</v>
      </c>
      <c r="CO2873">
        <v>5</v>
      </c>
      <c r="CP2873" t="s">
        <v>119</v>
      </c>
      <c r="CQ2873">
        <v>364</v>
      </c>
      <c r="CR2873">
        <v>0</v>
      </c>
      <c r="CW2873">
        <v>1478269</v>
      </c>
      <c r="CY2873">
        <v>1</v>
      </c>
      <c r="CZ2873">
        <v>0</v>
      </c>
      <c r="DA2873">
        <v>1</v>
      </c>
      <c r="DB2873">
        <v>0</v>
      </c>
      <c r="DC2873">
        <v>0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3">
      <c r="A2874" t="str">
        <f>"03/24/2022 22:22:14.080"</f>
        <v>03/24/2022 22:22:14.080</v>
      </c>
      <c r="C2874" t="str">
        <f t="shared" si="848"/>
        <v>FFDFD3C0</v>
      </c>
      <c r="D2874" t="s">
        <v>120</v>
      </c>
      <c r="E2874">
        <v>14</v>
      </c>
      <c r="F2874">
        <v>1014</v>
      </c>
      <c r="G2874" t="s">
        <v>121</v>
      </c>
      <c r="J2874" t="s">
        <v>122</v>
      </c>
      <c r="K2874">
        <v>0</v>
      </c>
      <c r="L2874">
        <v>3</v>
      </c>
      <c r="M2874">
        <v>0</v>
      </c>
      <c r="N2874">
        <v>2</v>
      </c>
      <c r="O2874">
        <v>0</v>
      </c>
      <c r="P2874">
        <v>1</v>
      </c>
      <c r="Q2874">
        <v>0</v>
      </c>
      <c r="S2874" t="str">
        <f t="shared" si="858"/>
        <v>22:22:13.000</v>
      </c>
      <c r="T2874" t="str">
        <f t="shared" si="858"/>
        <v>22:22:13.000</v>
      </c>
      <c r="U2874" t="str">
        <f t="shared" si="842"/>
        <v>A9D71F</v>
      </c>
      <c r="V2874">
        <v>0</v>
      </c>
      <c r="W2874">
        <v>0</v>
      </c>
      <c r="X2874">
        <v>2</v>
      </c>
      <c r="Z2874">
        <v>1</v>
      </c>
      <c r="AA2874">
        <v>8</v>
      </c>
      <c r="AB2874">
        <v>3</v>
      </c>
      <c r="AC2874">
        <v>0</v>
      </c>
      <c r="AD2874">
        <v>9</v>
      </c>
      <c r="AE2874">
        <v>0</v>
      </c>
      <c r="AF2874">
        <v>3</v>
      </c>
      <c r="AG2874">
        <v>1</v>
      </c>
      <c r="AH2874">
        <v>0</v>
      </c>
      <c r="AI2874" t="s">
        <v>1439</v>
      </c>
      <c r="AJ2874">
        <v>32.992094000000002</v>
      </c>
      <c r="AK2874" t="s">
        <v>945</v>
      </c>
      <c r="AL2874">
        <v>-97.667040999999998</v>
      </c>
      <c r="AM2874">
        <v>25</v>
      </c>
      <c r="AN2874">
        <v>1200</v>
      </c>
      <c r="AO2874" t="s">
        <v>118</v>
      </c>
      <c r="AP2874">
        <v>-9</v>
      </c>
      <c r="AQ2874">
        <v>-85</v>
      </c>
      <c r="AR2874">
        <v>-640</v>
      </c>
      <c r="AZ2874">
        <v>7700</v>
      </c>
      <c r="BA2874">
        <v>1</v>
      </c>
      <c r="BB2874" t="str">
        <f t="shared" si="849"/>
        <v xml:space="preserve">N733KP  </v>
      </c>
      <c r="BC2874">
        <v>1</v>
      </c>
      <c r="BE2874">
        <v>0</v>
      </c>
      <c r="BF2874">
        <v>0</v>
      </c>
      <c r="BG2874">
        <v>1</v>
      </c>
      <c r="BH2874">
        <v>1175</v>
      </c>
      <c r="BI2874">
        <v>1</v>
      </c>
      <c r="BJ2874">
        <v>1</v>
      </c>
      <c r="BK2874">
        <v>0</v>
      </c>
      <c r="BL2874">
        <v>0</v>
      </c>
      <c r="BO2874">
        <v>0</v>
      </c>
      <c r="BP2874">
        <v>0</v>
      </c>
      <c r="BW2874" t="str">
        <f>"22:22:13.869"</f>
        <v>22:22:13.869</v>
      </c>
      <c r="CJ2874">
        <v>0</v>
      </c>
      <c r="CK2874">
        <v>2</v>
      </c>
      <c r="CL2874">
        <v>0</v>
      </c>
      <c r="CM2874">
        <v>2</v>
      </c>
      <c r="CN2874">
        <v>0</v>
      </c>
      <c r="CO2874">
        <v>5</v>
      </c>
      <c r="CP2874" t="s">
        <v>119</v>
      </c>
      <c r="CQ2874">
        <v>364</v>
      </c>
      <c r="CR2874">
        <v>0</v>
      </c>
      <c r="CW2874">
        <v>1478269</v>
      </c>
      <c r="CY2874">
        <v>1</v>
      </c>
      <c r="CZ2874">
        <v>0</v>
      </c>
      <c r="DA2874">
        <v>1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3">
      <c r="A2875" t="str">
        <f>"03/24/2022 22:22:15.039"</f>
        <v>03/24/2022 22:22:15.039</v>
      </c>
      <c r="C2875" t="str">
        <f t="shared" si="848"/>
        <v>FFDFD3C0</v>
      </c>
      <c r="D2875" t="s">
        <v>113</v>
      </c>
      <c r="E2875">
        <v>24</v>
      </c>
      <c r="F2875">
        <v>2024</v>
      </c>
      <c r="G2875" t="s">
        <v>114</v>
      </c>
      <c r="J2875" t="s">
        <v>115</v>
      </c>
      <c r="K2875">
        <v>0</v>
      </c>
      <c r="L2875">
        <v>3</v>
      </c>
      <c r="M2875">
        <v>0</v>
      </c>
      <c r="N2875">
        <v>2</v>
      </c>
      <c r="O2875">
        <v>0</v>
      </c>
      <c r="P2875">
        <v>1</v>
      </c>
      <c r="Q2875">
        <v>0</v>
      </c>
      <c r="S2875" t="str">
        <f t="shared" ref="S2875:T2878" si="859">"22:22:14.000"</f>
        <v>22:22:14.000</v>
      </c>
      <c r="T2875" t="str">
        <f t="shared" si="859"/>
        <v>22:22:14.000</v>
      </c>
      <c r="U2875" t="str">
        <f t="shared" si="842"/>
        <v>A9D71F</v>
      </c>
      <c r="V2875">
        <v>0</v>
      </c>
      <c r="W2875">
        <v>0</v>
      </c>
      <c r="X2875">
        <v>2</v>
      </c>
      <c r="Z2875">
        <v>1</v>
      </c>
      <c r="AA2875">
        <v>8</v>
      </c>
      <c r="AB2875">
        <v>3</v>
      </c>
      <c r="AC2875">
        <v>0</v>
      </c>
      <c r="AD2875">
        <v>9</v>
      </c>
      <c r="AE2875">
        <v>0</v>
      </c>
      <c r="AF2875">
        <v>3</v>
      </c>
      <c r="AG2875">
        <v>1</v>
      </c>
      <c r="AH2875">
        <v>0</v>
      </c>
      <c r="AI2875" t="s">
        <v>1440</v>
      </c>
      <c r="AJ2875">
        <v>32.991706999999998</v>
      </c>
      <c r="AK2875" t="s">
        <v>1441</v>
      </c>
      <c r="AL2875">
        <v>-97.667062000000001</v>
      </c>
      <c r="AM2875">
        <v>25</v>
      </c>
      <c r="AN2875">
        <v>1200</v>
      </c>
      <c r="AO2875" t="s">
        <v>118</v>
      </c>
      <c r="AP2875">
        <v>-12</v>
      </c>
      <c r="AQ2875">
        <v>-84</v>
      </c>
      <c r="AR2875">
        <v>-704</v>
      </c>
      <c r="AZ2875">
        <v>7700</v>
      </c>
      <c r="BA2875">
        <v>1</v>
      </c>
      <c r="BB2875" t="str">
        <f t="shared" si="849"/>
        <v xml:space="preserve">N733KP  </v>
      </c>
      <c r="BC2875">
        <v>1</v>
      </c>
      <c r="BE2875">
        <v>0</v>
      </c>
      <c r="BF2875">
        <v>0</v>
      </c>
      <c r="BG2875">
        <v>1</v>
      </c>
      <c r="BH2875">
        <v>1175</v>
      </c>
      <c r="BI2875">
        <v>1</v>
      </c>
      <c r="BJ2875">
        <v>1</v>
      </c>
      <c r="BK2875">
        <v>0</v>
      </c>
      <c r="BL2875">
        <v>0</v>
      </c>
      <c r="BO2875">
        <v>0</v>
      </c>
      <c r="BP2875">
        <v>0</v>
      </c>
      <c r="BW2875" t="str">
        <f>"22:22:14.850"</f>
        <v>22:22:14.850</v>
      </c>
      <c r="CJ2875">
        <v>0</v>
      </c>
      <c r="CK2875">
        <v>2</v>
      </c>
      <c r="CL2875">
        <v>0</v>
      </c>
      <c r="CM2875">
        <v>2</v>
      </c>
      <c r="CN2875">
        <v>0</v>
      </c>
      <c r="CO2875">
        <v>5</v>
      </c>
      <c r="CP2875" t="s">
        <v>119</v>
      </c>
      <c r="CQ2875">
        <v>364</v>
      </c>
      <c r="CR2875">
        <v>0</v>
      </c>
      <c r="CW2875">
        <v>1478420</v>
      </c>
      <c r="CY2875">
        <v>1</v>
      </c>
      <c r="CZ2875">
        <v>0</v>
      </c>
      <c r="DA2875">
        <v>0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3">
      <c r="A2876" t="str">
        <f>"03/24/2022 22:22:15.054"</f>
        <v>03/24/2022 22:22:15.054</v>
      </c>
      <c r="C2876" t="str">
        <f t="shared" si="848"/>
        <v>FFDFD3C0</v>
      </c>
      <c r="D2876" t="s">
        <v>120</v>
      </c>
      <c r="E2876">
        <v>14</v>
      </c>
      <c r="F2876">
        <v>1014</v>
      </c>
      <c r="G2876" t="s">
        <v>121</v>
      </c>
      <c r="J2876" t="s">
        <v>122</v>
      </c>
      <c r="K2876">
        <v>0</v>
      </c>
      <c r="L2876">
        <v>3</v>
      </c>
      <c r="M2876">
        <v>0</v>
      </c>
      <c r="N2876">
        <v>2</v>
      </c>
      <c r="O2876">
        <v>0</v>
      </c>
      <c r="P2876">
        <v>1</v>
      </c>
      <c r="Q2876">
        <v>0</v>
      </c>
      <c r="S2876" t="str">
        <f t="shared" si="859"/>
        <v>22:22:14.000</v>
      </c>
      <c r="T2876" t="str">
        <f t="shared" si="859"/>
        <v>22:22:14.000</v>
      </c>
      <c r="U2876" t="str">
        <f t="shared" si="842"/>
        <v>A9D71F</v>
      </c>
      <c r="V2876">
        <v>0</v>
      </c>
      <c r="W2876">
        <v>0</v>
      </c>
      <c r="X2876">
        <v>2</v>
      </c>
      <c r="Z2876">
        <v>1</v>
      </c>
      <c r="AA2876">
        <v>8</v>
      </c>
      <c r="AB2876">
        <v>3</v>
      </c>
      <c r="AC2876">
        <v>0</v>
      </c>
      <c r="AD2876">
        <v>9</v>
      </c>
      <c r="AE2876">
        <v>0</v>
      </c>
      <c r="AF2876">
        <v>3</v>
      </c>
      <c r="AG2876">
        <v>1</v>
      </c>
      <c r="AH2876">
        <v>0</v>
      </c>
      <c r="AI2876" t="s">
        <v>1440</v>
      </c>
      <c r="AJ2876">
        <v>32.991706999999998</v>
      </c>
      <c r="AK2876" t="s">
        <v>1441</v>
      </c>
      <c r="AL2876">
        <v>-97.667062000000001</v>
      </c>
      <c r="AM2876">
        <v>25</v>
      </c>
      <c r="AN2876">
        <v>1200</v>
      </c>
      <c r="AO2876" t="s">
        <v>118</v>
      </c>
      <c r="AP2876">
        <v>-12</v>
      </c>
      <c r="AQ2876">
        <v>-84</v>
      </c>
      <c r="AR2876">
        <v>-704</v>
      </c>
      <c r="AZ2876">
        <v>7700</v>
      </c>
      <c r="BA2876">
        <v>1</v>
      </c>
      <c r="BB2876" t="str">
        <f t="shared" si="849"/>
        <v xml:space="preserve">N733KP  </v>
      </c>
      <c r="BC2876">
        <v>1</v>
      </c>
      <c r="BE2876">
        <v>0</v>
      </c>
      <c r="BF2876">
        <v>0</v>
      </c>
      <c r="BG2876">
        <v>1</v>
      </c>
      <c r="BH2876">
        <v>1175</v>
      </c>
      <c r="BI2876">
        <v>1</v>
      </c>
      <c r="BJ2876">
        <v>1</v>
      </c>
      <c r="BK2876">
        <v>0</v>
      </c>
      <c r="BL2876">
        <v>0</v>
      </c>
      <c r="BO2876">
        <v>0</v>
      </c>
      <c r="BP2876">
        <v>0</v>
      </c>
      <c r="BW2876" t="str">
        <f>"22:22:14.850"</f>
        <v>22:22:14.850</v>
      </c>
      <c r="CJ2876">
        <v>0</v>
      </c>
      <c r="CK2876">
        <v>2</v>
      </c>
      <c r="CL2876">
        <v>0</v>
      </c>
      <c r="CM2876">
        <v>2</v>
      </c>
      <c r="CN2876">
        <v>0</v>
      </c>
      <c r="CO2876">
        <v>5</v>
      </c>
      <c r="CP2876" t="s">
        <v>119</v>
      </c>
      <c r="CQ2876">
        <v>364</v>
      </c>
      <c r="CR2876">
        <v>0</v>
      </c>
      <c r="CW2876">
        <v>1478420</v>
      </c>
      <c r="CY2876">
        <v>1</v>
      </c>
      <c r="CZ2876">
        <v>0</v>
      </c>
      <c r="DA2876">
        <v>1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3">
      <c r="A2877" t="str">
        <f>"03/24/2022 22:22:15.054"</f>
        <v>03/24/2022 22:22:15.054</v>
      </c>
      <c r="C2877" t="str">
        <f t="shared" si="848"/>
        <v>FFDFD3C0</v>
      </c>
      <c r="D2877" t="s">
        <v>123</v>
      </c>
      <c r="E2877">
        <v>8</v>
      </c>
      <c r="H2877">
        <v>31</v>
      </c>
      <c r="I2877" t="s">
        <v>124</v>
      </c>
      <c r="J2877" t="s">
        <v>125</v>
      </c>
      <c r="K2877">
        <v>0</v>
      </c>
      <c r="L2877">
        <v>3</v>
      </c>
      <c r="M2877">
        <v>0</v>
      </c>
      <c r="N2877">
        <v>2</v>
      </c>
      <c r="O2877">
        <v>0</v>
      </c>
      <c r="P2877">
        <v>1</v>
      </c>
      <c r="Q2877">
        <v>0</v>
      </c>
      <c r="S2877" t="str">
        <f t="shared" si="859"/>
        <v>22:22:14.000</v>
      </c>
      <c r="T2877" t="str">
        <f t="shared" si="859"/>
        <v>22:22:14.000</v>
      </c>
      <c r="U2877" t="str">
        <f t="shared" si="842"/>
        <v>A9D71F</v>
      </c>
      <c r="V2877">
        <v>0</v>
      </c>
      <c r="W2877">
        <v>0</v>
      </c>
      <c r="X2877">
        <v>2</v>
      </c>
      <c r="Z2877">
        <v>1</v>
      </c>
      <c r="AA2877">
        <v>8</v>
      </c>
      <c r="AB2877">
        <v>3</v>
      </c>
      <c r="AC2877">
        <v>0</v>
      </c>
      <c r="AD2877">
        <v>9</v>
      </c>
      <c r="AE2877">
        <v>0</v>
      </c>
      <c r="AF2877">
        <v>3</v>
      </c>
      <c r="AG2877">
        <v>1</v>
      </c>
      <c r="AH2877">
        <v>0</v>
      </c>
      <c r="AI2877" t="s">
        <v>1440</v>
      </c>
      <c r="AJ2877">
        <v>32.991706999999998</v>
      </c>
      <c r="AK2877" t="s">
        <v>1441</v>
      </c>
      <c r="AL2877">
        <v>-97.667062000000001</v>
      </c>
      <c r="AM2877">
        <v>25</v>
      </c>
      <c r="AN2877">
        <v>1200</v>
      </c>
      <c r="AO2877" t="s">
        <v>118</v>
      </c>
      <c r="AP2877">
        <v>-12</v>
      </c>
      <c r="AQ2877">
        <v>-84</v>
      </c>
      <c r="AR2877">
        <v>-704</v>
      </c>
      <c r="AZ2877">
        <v>7700</v>
      </c>
      <c r="BA2877">
        <v>1</v>
      </c>
      <c r="BB2877" t="str">
        <f t="shared" si="849"/>
        <v xml:space="preserve">N733KP  </v>
      </c>
      <c r="BC2877">
        <v>1</v>
      </c>
      <c r="BE2877">
        <v>0</v>
      </c>
      <c r="BF2877">
        <v>0</v>
      </c>
      <c r="BG2877">
        <v>1</v>
      </c>
      <c r="BH2877">
        <v>1175</v>
      </c>
      <c r="BI2877">
        <v>1</v>
      </c>
      <c r="BJ2877">
        <v>1</v>
      </c>
      <c r="BK2877">
        <v>0</v>
      </c>
      <c r="BL2877">
        <v>0</v>
      </c>
      <c r="BO2877">
        <v>0</v>
      </c>
      <c r="BP2877">
        <v>0</v>
      </c>
      <c r="BW2877" t="str">
        <f>"22:22:14.850"</f>
        <v>22:22:14.850</v>
      </c>
      <c r="CJ2877">
        <v>0</v>
      </c>
      <c r="CK2877">
        <v>2</v>
      </c>
      <c r="CL2877">
        <v>0</v>
      </c>
      <c r="CM2877">
        <v>2</v>
      </c>
      <c r="CN2877">
        <v>0</v>
      </c>
      <c r="CO2877">
        <v>5</v>
      </c>
      <c r="CP2877" t="s">
        <v>119</v>
      </c>
      <c r="CQ2877">
        <v>364</v>
      </c>
      <c r="CR2877">
        <v>0</v>
      </c>
      <c r="CW2877">
        <v>1478420</v>
      </c>
      <c r="CY2877">
        <v>1</v>
      </c>
      <c r="CZ2877">
        <v>0</v>
      </c>
      <c r="DA2877">
        <v>1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3">
      <c r="A2878" t="str">
        <f>"03/24/2022 22:22:15.117"</f>
        <v>03/24/2022 22:22:15.117</v>
      </c>
      <c r="C2878" t="str">
        <f t="shared" si="848"/>
        <v>FFDFD3C0</v>
      </c>
      <c r="D2878" t="s">
        <v>126</v>
      </c>
      <c r="E2878">
        <v>3</v>
      </c>
      <c r="H2878">
        <v>160</v>
      </c>
      <c r="I2878" t="s">
        <v>121</v>
      </c>
      <c r="J2878" t="s">
        <v>127</v>
      </c>
      <c r="K2878">
        <v>0</v>
      </c>
      <c r="L2878">
        <v>3</v>
      </c>
      <c r="M2878">
        <v>0</v>
      </c>
      <c r="N2878">
        <v>2</v>
      </c>
      <c r="O2878">
        <v>0</v>
      </c>
      <c r="P2878">
        <v>1</v>
      </c>
      <c r="Q2878">
        <v>0</v>
      </c>
      <c r="S2878" t="str">
        <f t="shared" si="859"/>
        <v>22:22:14.000</v>
      </c>
      <c r="T2878" t="str">
        <f t="shared" si="859"/>
        <v>22:22:14.000</v>
      </c>
      <c r="U2878" t="str">
        <f t="shared" si="842"/>
        <v>A9D71F</v>
      </c>
      <c r="V2878">
        <v>0</v>
      </c>
      <c r="W2878">
        <v>0</v>
      </c>
      <c r="X2878">
        <v>2</v>
      </c>
      <c r="Z2878">
        <v>1</v>
      </c>
      <c r="AA2878">
        <v>8</v>
      </c>
      <c r="AB2878">
        <v>3</v>
      </c>
      <c r="AC2878">
        <v>0</v>
      </c>
      <c r="AD2878">
        <v>9</v>
      </c>
      <c r="AE2878">
        <v>0</v>
      </c>
      <c r="AF2878">
        <v>3</v>
      </c>
      <c r="AG2878">
        <v>1</v>
      </c>
      <c r="AH2878">
        <v>0</v>
      </c>
      <c r="AI2878" t="s">
        <v>1440</v>
      </c>
      <c r="AJ2878">
        <v>32.991706999999998</v>
      </c>
      <c r="AK2878" t="s">
        <v>1441</v>
      </c>
      <c r="AL2878">
        <v>-97.667062000000001</v>
      </c>
      <c r="AM2878">
        <v>25</v>
      </c>
      <c r="AN2878">
        <v>1200</v>
      </c>
      <c r="AO2878" t="s">
        <v>118</v>
      </c>
      <c r="AP2878">
        <v>-12</v>
      </c>
      <c r="AQ2878">
        <v>-84</v>
      </c>
      <c r="AR2878">
        <v>-704</v>
      </c>
      <c r="AZ2878">
        <v>7700</v>
      </c>
      <c r="BA2878">
        <v>1</v>
      </c>
      <c r="BB2878" t="str">
        <f t="shared" si="849"/>
        <v xml:space="preserve">N733KP  </v>
      </c>
      <c r="BC2878">
        <v>1</v>
      </c>
      <c r="BE2878">
        <v>0</v>
      </c>
      <c r="BF2878">
        <v>0</v>
      </c>
      <c r="BG2878">
        <v>1</v>
      </c>
      <c r="BH2878">
        <v>1175</v>
      </c>
      <c r="BI2878">
        <v>1</v>
      </c>
      <c r="BJ2878">
        <v>1</v>
      </c>
      <c r="BK2878">
        <v>0</v>
      </c>
      <c r="BL2878">
        <v>0</v>
      </c>
      <c r="BO2878">
        <v>0</v>
      </c>
      <c r="BP2878">
        <v>0</v>
      </c>
      <c r="BW2878" t="str">
        <f>"22:22:14.850"</f>
        <v>22:22:14.850</v>
      </c>
      <c r="CJ2878">
        <v>0</v>
      </c>
      <c r="CK2878">
        <v>2</v>
      </c>
      <c r="CL2878">
        <v>0</v>
      </c>
      <c r="CM2878">
        <v>2</v>
      </c>
      <c r="CN2878">
        <v>0</v>
      </c>
      <c r="CO2878">
        <v>5</v>
      </c>
      <c r="CP2878" t="s">
        <v>119</v>
      </c>
      <c r="CQ2878">
        <v>364</v>
      </c>
      <c r="CR2878">
        <v>0</v>
      </c>
      <c r="CW2878">
        <v>1478420</v>
      </c>
      <c r="CY2878">
        <v>1</v>
      </c>
      <c r="CZ2878">
        <v>0</v>
      </c>
      <c r="DA2878">
        <v>1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3">
      <c r="A2879" t="str">
        <f>"03/24/2022 22:22:15.882"</f>
        <v>03/24/2022 22:22:15.882</v>
      </c>
      <c r="C2879" t="str">
        <f t="shared" si="848"/>
        <v>FFDFD3C0</v>
      </c>
      <c r="D2879" t="s">
        <v>113</v>
      </c>
      <c r="E2879">
        <v>24</v>
      </c>
      <c r="F2879">
        <v>2024</v>
      </c>
      <c r="G2879" t="s">
        <v>114</v>
      </c>
      <c r="J2879" t="s">
        <v>115</v>
      </c>
      <c r="K2879">
        <v>0</v>
      </c>
      <c r="L2879">
        <v>3</v>
      </c>
      <c r="M2879">
        <v>0</v>
      </c>
      <c r="N2879">
        <v>2</v>
      </c>
      <c r="O2879">
        <v>0</v>
      </c>
      <c r="P2879">
        <v>1</v>
      </c>
      <c r="Q2879">
        <v>0</v>
      </c>
      <c r="S2879" t="str">
        <f t="shared" ref="S2879:T2882" si="860">"22:22:15.000"</f>
        <v>22:22:15.000</v>
      </c>
      <c r="T2879" t="str">
        <f t="shared" si="860"/>
        <v>22:22:15.000</v>
      </c>
      <c r="U2879" t="str">
        <f t="shared" si="842"/>
        <v>A9D71F</v>
      </c>
      <c r="V2879">
        <v>0</v>
      </c>
      <c r="W2879">
        <v>0</v>
      </c>
      <c r="X2879">
        <v>2</v>
      </c>
      <c r="Z2879">
        <v>1</v>
      </c>
      <c r="AA2879">
        <v>8</v>
      </c>
      <c r="AB2879">
        <v>3</v>
      </c>
      <c r="AC2879">
        <v>0</v>
      </c>
      <c r="AD2879">
        <v>9</v>
      </c>
      <c r="AE2879">
        <v>0</v>
      </c>
      <c r="AF2879">
        <v>3</v>
      </c>
      <c r="AG2879">
        <v>1</v>
      </c>
      <c r="AH2879">
        <v>0</v>
      </c>
      <c r="AI2879" t="s">
        <v>1442</v>
      </c>
      <c r="AJ2879">
        <v>32.991320999999999</v>
      </c>
      <c r="AK2879" t="s">
        <v>1443</v>
      </c>
      <c r="AL2879">
        <v>-97.667147999999997</v>
      </c>
      <c r="AM2879">
        <v>25</v>
      </c>
      <c r="AN2879">
        <v>1100</v>
      </c>
      <c r="AO2879" t="s">
        <v>118</v>
      </c>
      <c r="AP2879">
        <v>-14</v>
      </c>
      <c r="AQ2879">
        <v>-84</v>
      </c>
      <c r="AR2879">
        <v>-768</v>
      </c>
      <c r="AZ2879">
        <v>7700</v>
      </c>
      <c r="BA2879">
        <v>1</v>
      </c>
      <c r="BB2879" t="str">
        <f t="shared" si="849"/>
        <v xml:space="preserve">N733KP  </v>
      </c>
      <c r="BC2879">
        <v>1</v>
      </c>
      <c r="BE2879">
        <v>0</v>
      </c>
      <c r="BF2879">
        <v>0</v>
      </c>
      <c r="BG2879">
        <v>1</v>
      </c>
      <c r="BH2879">
        <v>1150</v>
      </c>
      <c r="BI2879">
        <v>1</v>
      </c>
      <c r="BJ2879">
        <v>1</v>
      </c>
      <c r="BK2879">
        <v>0</v>
      </c>
      <c r="BL2879">
        <v>0</v>
      </c>
      <c r="BO2879">
        <v>0</v>
      </c>
      <c r="BP2879">
        <v>0</v>
      </c>
      <c r="BW2879" t="str">
        <f>"22:22:15.633"</f>
        <v>22:22:15.633</v>
      </c>
      <c r="CJ2879">
        <v>0</v>
      </c>
      <c r="CK2879">
        <v>2</v>
      </c>
      <c r="CL2879">
        <v>0</v>
      </c>
      <c r="CM2879">
        <v>2</v>
      </c>
      <c r="CN2879">
        <v>0</v>
      </c>
      <c r="CO2879">
        <v>5</v>
      </c>
      <c r="CP2879" t="s">
        <v>119</v>
      </c>
      <c r="CQ2879">
        <v>364</v>
      </c>
      <c r="CR2879">
        <v>0</v>
      </c>
      <c r="CW2879">
        <v>1478533</v>
      </c>
      <c r="CY2879">
        <v>1</v>
      </c>
      <c r="CZ2879">
        <v>0</v>
      </c>
      <c r="DA2879">
        <v>0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3">
      <c r="A2880" t="str">
        <f>"03/24/2022 22:22:15.882"</f>
        <v>03/24/2022 22:22:15.882</v>
      </c>
      <c r="C2880" t="str">
        <f t="shared" si="848"/>
        <v>FFDFD3C0</v>
      </c>
      <c r="D2880" t="s">
        <v>120</v>
      </c>
      <c r="E2880">
        <v>14</v>
      </c>
      <c r="F2880">
        <v>1014</v>
      </c>
      <c r="G2880" t="s">
        <v>121</v>
      </c>
      <c r="J2880" t="s">
        <v>122</v>
      </c>
      <c r="K2880">
        <v>0</v>
      </c>
      <c r="L2880">
        <v>3</v>
      </c>
      <c r="M2880">
        <v>0</v>
      </c>
      <c r="N2880">
        <v>2</v>
      </c>
      <c r="O2880">
        <v>0</v>
      </c>
      <c r="P2880">
        <v>1</v>
      </c>
      <c r="Q2880">
        <v>0</v>
      </c>
      <c r="S2880" t="str">
        <f t="shared" si="860"/>
        <v>22:22:15.000</v>
      </c>
      <c r="T2880" t="str">
        <f t="shared" si="860"/>
        <v>22:22:15.000</v>
      </c>
      <c r="U2880" t="str">
        <f t="shared" si="842"/>
        <v>A9D71F</v>
      </c>
      <c r="V2880">
        <v>0</v>
      </c>
      <c r="W2880">
        <v>0</v>
      </c>
      <c r="X2880">
        <v>2</v>
      </c>
      <c r="Z2880">
        <v>1</v>
      </c>
      <c r="AA2880">
        <v>8</v>
      </c>
      <c r="AB2880">
        <v>3</v>
      </c>
      <c r="AC2880">
        <v>0</v>
      </c>
      <c r="AD2880">
        <v>9</v>
      </c>
      <c r="AE2880">
        <v>0</v>
      </c>
      <c r="AF2880">
        <v>3</v>
      </c>
      <c r="AG2880">
        <v>1</v>
      </c>
      <c r="AH2880">
        <v>0</v>
      </c>
      <c r="AI2880" t="s">
        <v>1442</v>
      </c>
      <c r="AJ2880">
        <v>32.991320999999999</v>
      </c>
      <c r="AK2880" t="s">
        <v>1443</v>
      </c>
      <c r="AL2880">
        <v>-97.667147999999997</v>
      </c>
      <c r="AM2880">
        <v>25</v>
      </c>
      <c r="AN2880">
        <v>1100</v>
      </c>
      <c r="AO2880" t="s">
        <v>118</v>
      </c>
      <c r="AP2880">
        <v>-14</v>
      </c>
      <c r="AQ2880">
        <v>-84</v>
      </c>
      <c r="AR2880">
        <v>-768</v>
      </c>
      <c r="AZ2880">
        <v>7700</v>
      </c>
      <c r="BA2880">
        <v>1</v>
      </c>
      <c r="BB2880" t="str">
        <f t="shared" si="849"/>
        <v xml:space="preserve">N733KP  </v>
      </c>
      <c r="BC2880">
        <v>1</v>
      </c>
      <c r="BE2880">
        <v>0</v>
      </c>
      <c r="BF2880">
        <v>0</v>
      </c>
      <c r="BG2880">
        <v>1</v>
      </c>
      <c r="BH2880">
        <v>1150</v>
      </c>
      <c r="BI2880">
        <v>1</v>
      </c>
      <c r="BJ2880">
        <v>1</v>
      </c>
      <c r="BK2880">
        <v>0</v>
      </c>
      <c r="BL2880">
        <v>0</v>
      </c>
      <c r="BO2880">
        <v>0</v>
      </c>
      <c r="BP2880">
        <v>0</v>
      </c>
      <c r="BW2880" t="str">
        <f>"22:22:15.633"</f>
        <v>22:22:15.633</v>
      </c>
      <c r="CJ2880">
        <v>0</v>
      </c>
      <c r="CK2880">
        <v>2</v>
      </c>
      <c r="CL2880">
        <v>0</v>
      </c>
      <c r="CM2880">
        <v>2</v>
      </c>
      <c r="CN2880">
        <v>0</v>
      </c>
      <c r="CO2880">
        <v>5</v>
      </c>
      <c r="CP2880" t="s">
        <v>119</v>
      </c>
      <c r="CQ2880">
        <v>364</v>
      </c>
      <c r="CR2880">
        <v>0</v>
      </c>
      <c r="CW2880">
        <v>1478533</v>
      </c>
      <c r="CY2880">
        <v>1</v>
      </c>
      <c r="CZ2880">
        <v>0</v>
      </c>
      <c r="DA2880">
        <v>1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3">
      <c r="A2881" t="str">
        <f>"03/24/2022 22:22:15.914"</f>
        <v>03/24/2022 22:22:15.914</v>
      </c>
      <c r="C2881" t="str">
        <f t="shared" si="848"/>
        <v>FFDFD3C0</v>
      </c>
      <c r="D2881" t="s">
        <v>123</v>
      </c>
      <c r="E2881">
        <v>8</v>
      </c>
      <c r="H2881">
        <v>31</v>
      </c>
      <c r="I2881" t="s">
        <v>124</v>
      </c>
      <c r="J2881" t="s">
        <v>125</v>
      </c>
      <c r="K2881">
        <v>0</v>
      </c>
      <c r="L2881">
        <v>3</v>
      </c>
      <c r="M2881">
        <v>0</v>
      </c>
      <c r="N2881">
        <v>2</v>
      </c>
      <c r="O2881">
        <v>0</v>
      </c>
      <c r="P2881">
        <v>1</v>
      </c>
      <c r="Q2881">
        <v>0</v>
      </c>
      <c r="S2881" t="str">
        <f t="shared" si="860"/>
        <v>22:22:15.000</v>
      </c>
      <c r="T2881" t="str">
        <f t="shared" si="860"/>
        <v>22:22:15.000</v>
      </c>
      <c r="U2881" t="str">
        <f t="shared" si="842"/>
        <v>A9D71F</v>
      </c>
      <c r="V2881">
        <v>0</v>
      </c>
      <c r="W2881">
        <v>0</v>
      </c>
      <c r="X2881">
        <v>2</v>
      </c>
      <c r="Z2881">
        <v>1</v>
      </c>
      <c r="AA2881">
        <v>8</v>
      </c>
      <c r="AB2881">
        <v>3</v>
      </c>
      <c r="AC2881">
        <v>0</v>
      </c>
      <c r="AD2881">
        <v>9</v>
      </c>
      <c r="AE2881">
        <v>0</v>
      </c>
      <c r="AF2881">
        <v>3</v>
      </c>
      <c r="AG2881">
        <v>1</v>
      </c>
      <c r="AH2881">
        <v>0</v>
      </c>
      <c r="AI2881" t="s">
        <v>1442</v>
      </c>
      <c r="AJ2881">
        <v>32.991320999999999</v>
      </c>
      <c r="AK2881" t="s">
        <v>1443</v>
      </c>
      <c r="AL2881">
        <v>-97.667147999999997</v>
      </c>
      <c r="AM2881">
        <v>25</v>
      </c>
      <c r="AN2881">
        <v>1100</v>
      </c>
      <c r="AO2881" t="s">
        <v>118</v>
      </c>
      <c r="AP2881">
        <v>-14</v>
      </c>
      <c r="AQ2881">
        <v>-84</v>
      </c>
      <c r="AR2881">
        <v>-768</v>
      </c>
      <c r="AZ2881">
        <v>7700</v>
      </c>
      <c r="BA2881">
        <v>1</v>
      </c>
      <c r="BB2881" t="str">
        <f t="shared" si="849"/>
        <v xml:space="preserve">N733KP  </v>
      </c>
      <c r="BC2881">
        <v>1</v>
      </c>
      <c r="BE2881">
        <v>0</v>
      </c>
      <c r="BF2881">
        <v>0</v>
      </c>
      <c r="BG2881">
        <v>1</v>
      </c>
      <c r="BH2881">
        <v>1150</v>
      </c>
      <c r="BI2881">
        <v>1</v>
      </c>
      <c r="BJ2881">
        <v>1</v>
      </c>
      <c r="BK2881">
        <v>0</v>
      </c>
      <c r="BL2881">
        <v>0</v>
      </c>
      <c r="BO2881">
        <v>0</v>
      </c>
      <c r="BP2881">
        <v>0</v>
      </c>
      <c r="BW2881" t="str">
        <f>"22:22:15.633"</f>
        <v>22:22:15.633</v>
      </c>
      <c r="CJ2881">
        <v>0</v>
      </c>
      <c r="CK2881">
        <v>2</v>
      </c>
      <c r="CL2881">
        <v>0</v>
      </c>
      <c r="CM2881">
        <v>2</v>
      </c>
      <c r="CN2881">
        <v>0</v>
      </c>
      <c r="CO2881">
        <v>5</v>
      </c>
      <c r="CP2881" t="s">
        <v>119</v>
      </c>
      <c r="CQ2881">
        <v>364</v>
      </c>
      <c r="CR2881">
        <v>0</v>
      </c>
      <c r="CW2881">
        <v>1478533</v>
      </c>
      <c r="CY2881">
        <v>1</v>
      </c>
      <c r="CZ2881">
        <v>0</v>
      </c>
      <c r="DA2881">
        <v>1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3">
      <c r="A2882" t="str">
        <f>"03/24/2022 22:22:15.914"</f>
        <v>03/24/2022 22:22:15.914</v>
      </c>
      <c r="C2882" t="str">
        <f t="shared" si="848"/>
        <v>FFDFD3C0</v>
      </c>
      <c r="D2882" t="s">
        <v>126</v>
      </c>
      <c r="E2882">
        <v>3</v>
      </c>
      <c r="H2882">
        <v>160</v>
      </c>
      <c r="I2882" t="s">
        <v>121</v>
      </c>
      <c r="J2882" t="s">
        <v>127</v>
      </c>
      <c r="K2882">
        <v>0</v>
      </c>
      <c r="L2882">
        <v>3</v>
      </c>
      <c r="M2882">
        <v>0</v>
      </c>
      <c r="N2882">
        <v>2</v>
      </c>
      <c r="O2882">
        <v>0</v>
      </c>
      <c r="P2882">
        <v>1</v>
      </c>
      <c r="Q2882">
        <v>0</v>
      </c>
      <c r="S2882" t="str">
        <f t="shared" si="860"/>
        <v>22:22:15.000</v>
      </c>
      <c r="T2882" t="str">
        <f t="shared" si="860"/>
        <v>22:22:15.000</v>
      </c>
      <c r="U2882" t="str">
        <f t="shared" ref="U2882:U2945" si="861">"A9D71F"</f>
        <v>A9D71F</v>
      </c>
      <c r="V2882">
        <v>0</v>
      </c>
      <c r="W2882">
        <v>0</v>
      </c>
      <c r="X2882">
        <v>2</v>
      </c>
      <c r="Z2882">
        <v>1</v>
      </c>
      <c r="AA2882">
        <v>8</v>
      </c>
      <c r="AB2882">
        <v>3</v>
      </c>
      <c r="AC2882">
        <v>0</v>
      </c>
      <c r="AD2882">
        <v>9</v>
      </c>
      <c r="AE2882">
        <v>0</v>
      </c>
      <c r="AF2882">
        <v>3</v>
      </c>
      <c r="AG2882">
        <v>1</v>
      </c>
      <c r="AH2882">
        <v>0</v>
      </c>
      <c r="AI2882" t="s">
        <v>1442</v>
      </c>
      <c r="AJ2882">
        <v>32.991320999999999</v>
      </c>
      <c r="AK2882" t="s">
        <v>1443</v>
      </c>
      <c r="AL2882">
        <v>-97.667147999999997</v>
      </c>
      <c r="AM2882">
        <v>25</v>
      </c>
      <c r="AN2882">
        <v>1100</v>
      </c>
      <c r="AO2882" t="s">
        <v>118</v>
      </c>
      <c r="AP2882">
        <v>-14</v>
      </c>
      <c r="AQ2882">
        <v>-84</v>
      </c>
      <c r="AR2882">
        <v>-768</v>
      </c>
      <c r="AZ2882">
        <v>7700</v>
      </c>
      <c r="BA2882">
        <v>1</v>
      </c>
      <c r="BB2882" t="str">
        <f t="shared" si="849"/>
        <v xml:space="preserve">N733KP  </v>
      </c>
      <c r="BC2882">
        <v>1</v>
      </c>
      <c r="BE2882">
        <v>0</v>
      </c>
      <c r="BF2882">
        <v>0</v>
      </c>
      <c r="BG2882">
        <v>1</v>
      </c>
      <c r="BH2882">
        <v>1150</v>
      </c>
      <c r="BI2882">
        <v>1</v>
      </c>
      <c r="BJ2882">
        <v>1</v>
      </c>
      <c r="BK2882">
        <v>0</v>
      </c>
      <c r="BL2882">
        <v>0</v>
      </c>
      <c r="BO2882">
        <v>0</v>
      </c>
      <c r="BP2882">
        <v>0</v>
      </c>
      <c r="BW2882" t="str">
        <f>"22:22:15.633"</f>
        <v>22:22:15.633</v>
      </c>
      <c r="CJ2882">
        <v>0</v>
      </c>
      <c r="CK2882">
        <v>2</v>
      </c>
      <c r="CL2882">
        <v>0</v>
      </c>
      <c r="CM2882">
        <v>2</v>
      </c>
      <c r="CN2882">
        <v>0</v>
      </c>
      <c r="CO2882">
        <v>5</v>
      </c>
      <c r="CP2882" t="s">
        <v>119</v>
      </c>
      <c r="CQ2882">
        <v>364</v>
      </c>
      <c r="CR2882">
        <v>0</v>
      </c>
      <c r="CW2882">
        <v>1478533</v>
      </c>
      <c r="CY2882">
        <v>1</v>
      </c>
      <c r="CZ2882">
        <v>0</v>
      </c>
      <c r="DA2882">
        <v>1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3">
      <c r="A2883" t="str">
        <f>"03/24/2022 22:22:16.445"</f>
        <v>03/24/2022 22:22:16.445</v>
      </c>
      <c r="C2883" t="str">
        <f t="shared" si="848"/>
        <v>FFDFD3C0</v>
      </c>
      <c r="D2883" t="s">
        <v>113</v>
      </c>
      <c r="E2883">
        <v>24</v>
      </c>
      <c r="F2883">
        <v>2024</v>
      </c>
      <c r="G2883" t="s">
        <v>114</v>
      </c>
      <c r="J2883" t="s">
        <v>115</v>
      </c>
      <c r="K2883">
        <v>0</v>
      </c>
      <c r="L2883">
        <v>3</v>
      </c>
      <c r="M2883">
        <v>0</v>
      </c>
      <c r="N2883">
        <v>2</v>
      </c>
      <c r="O2883">
        <v>0</v>
      </c>
      <c r="P2883">
        <v>1</v>
      </c>
      <c r="Q2883">
        <v>0</v>
      </c>
      <c r="S2883" t="str">
        <f t="shared" ref="S2883:T2886" si="862">"22:22:16.000"</f>
        <v>22:22:16.000</v>
      </c>
      <c r="T2883" t="str">
        <f t="shared" si="862"/>
        <v>22:22:16.000</v>
      </c>
      <c r="U2883" t="str">
        <f t="shared" si="861"/>
        <v>A9D71F</v>
      </c>
      <c r="V2883">
        <v>0</v>
      </c>
      <c r="W2883">
        <v>0</v>
      </c>
      <c r="X2883">
        <v>2</v>
      </c>
      <c r="Z2883">
        <v>1</v>
      </c>
      <c r="AA2883">
        <v>8</v>
      </c>
      <c r="AB2883">
        <v>3</v>
      </c>
      <c r="AC2883">
        <v>0</v>
      </c>
      <c r="AD2883">
        <v>9</v>
      </c>
      <c r="AE2883">
        <v>0</v>
      </c>
      <c r="AF2883">
        <v>3</v>
      </c>
      <c r="AG2883">
        <v>1</v>
      </c>
      <c r="AH2883">
        <v>0</v>
      </c>
      <c r="AI2883" t="s">
        <v>1444</v>
      </c>
      <c r="AJ2883">
        <v>32.990912999999999</v>
      </c>
      <c r="AK2883" t="s">
        <v>1445</v>
      </c>
      <c r="AL2883">
        <v>-97.667212000000006</v>
      </c>
      <c r="AM2883">
        <v>25</v>
      </c>
      <c r="AN2883">
        <v>1100</v>
      </c>
      <c r="AO2883" t="s">
        <v>118</v>
      </c>
      <c r="AP2883">
        <v>-16</v>
      </c>
      <c r="AQ2883">
        <v>-83</v>
      </c>
      <c r="AR2883">
        <v>-768</v>
      </c>
      <c r="AZ2883">
        <v>7700</v>
      </c>
      <c r="BA2883">
        <v>1</v>
      </c>
      <c r="BB2883" t="str">
        <f t="shared" si="849"/>
        <v xml:space="preserve">N733KP  </v>
      </c>
      <c r="BC2883">
        <v>1</v>
      </c>
      <c r="BE2883">
        <v>0</v>
      </c>
      <c r="BF2883">
        <v>0</v>
      </c>
      <c r="BG2883">
        <v>1</v>
      </c>
      <c r="BH2883">
        <v>1150</v>
      </c>
      <c r="BI2883">
        <v>1</v>
      </c>
      <c r="BJ2883">
        <v>1</v>
      </c>
      <c r="BK2883">
        <v>0</v>
      </c>
      <c r="BL2883">
        <v>0</v>
      </c>
      <c r="BO2883">
        <v>0</v>
      </c>
      <c r="BP2883">
        <v>0</v>
      </c>
      <c r="BW2883" t="str">
        <f>"22:22:16.205"</f>
        <v>22:22:16.205</v>
      </c>
      <c r="CJ2883">
        <v>0</v>
      </c>
      <c r="CK2883">
        <v>2</v>
      </c>
      <c r="CL2883">
        <v>0</v>
      </c>
      <c r="CM2883">
        <v>2</v>
      </c>
      <c r="CN2883">
        <v>0</v>
      </c>
      <c r="CO2883">
        <v>4</v>
      </c>
      <c r="CP2883" t="s">
        <v>119</v>
      </c>
      <c r="CQ2883">
        <v>364</v>
      </c>
      <c r="CR2883">
        <v>0</v>
      </c>
      <c r="CW2883">
        <v>1478608</v>
      </c>
      <c r="CY2883">
        <v>1</v>
      </c>
      <c r="CZ2883">
        <v>0</v>
      </c>
      <c r="DA2883">
        <v>0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3">
      <c r="A2884" t="str">
        <f>"03/24/2022 22:22:16.445"</f>
        <v>03/24/2022 22:22:16.445</v>
      </c>
      <c r="C2884" t="str">
        <f t="shared" si="848"/>
        <v>FFDFD3C0</v>
      </c>
      <c r="D2884" t="s">
        <v>120</v>
      </c>
      <c r="E2884">
        <v>14</v>
      </c>
      <c r="F2884">
        <v>1014</v>
      </c>
      <c r="G2884" t="s">
        <v>121</v>
      </c>
      <c r="J2884" t="s">
        <v>122</v>
      </c>
      <c r="K2884">
        <v>0</v>
      </c>
      <c r="L2884">
        <v>3</v>
      </c>
      <c r="M2884">
        <v>0</v>
      </c>
      <c r="N2884">
        <v>2</v>
      </c>
      <c r="O2884">
        <v>0</v>
      </c>
      <c r="P2884">
        <v>1</v>
      </c>
      <c r="Q2884">
        <v>0</v>
      </c>
      <c r="S2884" t="str">
        <f t="shared" si="862"/>
        <v>22:22:16.000</v>
      </c>
      <c r="T2884" t="str">
        <f t="shared" si="862"/>
        <v>22:22:16.000</v>
      </c>
      <c r="U2884" t="str">
        <f t="shared" si="861"/>
        <v>A9D71F</v>
      </c>
      <c r="V2884">
        <v>0</v>
      </c>
      <c r="W2884">
        <v>0</v>
      </c>
      <c r="X2884">
        <v>2</v>
      </c>
      <c r="Z2884">
        <v>1</v>
      </c>
      <c r="AA2884">
        <v>8</v>
      </c>
      <c r="AB2884">
        <v>3</v>
      </c>
      <c r="AC2884">
        <v>0</v>
      </c>
      <c r="AD2884">
        <v>9</v>
      </c>
      <c r="AE2884">
        <v>0</v>
      </c>
      <c r="AF2884">
        <v>3</v>
      </c>
      <c r="AG2884">
        <v>1</v>
      </c>
      <c r="AH2884">
        <v>0</v>
      </c>
      <c r="AI2884" t="s">
        <v>1444</v>
      </c>
      <c r="AJ2884">
        <v>32.990912999999999</v>
      </c>
      <c r="AK2884" t="s">
        <v>1445</v>
      </c>
      <c r="AL2884">
        <v>-97.667212000000006</v>
      </c>
      <c r="AM2884">
        <v>25</v>
      </c>
      <c r="AN2884">
        <v>1100</v>
      </c>
      <c r="AO2884" t="s">
        <v>118</v>
      </c>
      <c r="AP2884">
        <v>-16</v>
      </c>
      <c r="AQ2884">
        <v>-83</v>
      </c>
      <c r="AR2884">
        <v>-768</v>
      </c>
      <c r="AZ2884">
        <v>7700</v>
      </c>
      <c r="BA2884">
        <v>1</v>
      </c>
      <c r="BB2884" t="str">
        <f t="shared" si="849"/>
        <v xml:space="preserve">N733KP  </v>
      </c>
      <c r="BC2884">
        <v>1</v>
      </c>
      <c r="BE2884">
        <v>0</v>
      </c>
      <c r="BF2884">
        <v>0</v>
      </c>
      <c r="BG2884">
        <v>1</v>
      </c>
      <c r="BH2884">
        <v>1150</v>
      </c>
      <c r="BI2884">
        <v>1</v>
      </c>
      <c r="BJ2884">
        <v>1</v>
      </c>
      <c r="BK2884">
        <v>0</v>
      </c>
      <c r="BL2884">
        <v>0</v>
      </c>
      <c r="BO2884">
        <v>0</v>
      </c>
      <c r="BP2884">
        <v>0</v>
      </c>
      <c r="BW2884" t="str">
        <f>"22:22:16.205"</f>
        <v>22:22:16.205</v>
      </c>
      <c r="CJ2884">
        <v>0</v>
      </c>
      <c r="CK2884">
        <v>2</v>
      </c>
      <c r="CL2884">
        <v>0</v>
      </c>
      <c r="CM2884">
        <v>2</v>
      </c>
      <c r="CN2884">
        <v>0</v>
      </c>
      <c r="CO2884">
        <v>4</v>
      </c>
      <c r="CP2884" t="s">
        <v>119</v>
      </c>
      <c r="CQ2884">
        <v>364</v>
      </c>
      <c r="CR2884">
        <v>0</v>
      </c>
      <c r="CW2884">
        <v>1478608</v>
      </c>
      <c r="CY2884">
        <v>1</v>
      </c>
      <c r="CZ2884">
        <v>0</v>
      </c>
      <c r="DA2884">
        <v>1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3">
      <c r="A2885" t="str">
        <f>"03/24/2022 22:22:16.445"</f>
        <v>03/24/2022 22:22:16.445</v>
      </c>
      <c r="C2885" t="str">
        <f t="shared" si="848"/>
        <v>FFDFD3C0</v>
      </c>
      <c r="D2885" t="s">
        <v>123</v>
      </c>
      <c r="E2885">
        <v>8</v>
      </c>
      <c r="H2885">
        <v>31</v>
      </c>
      <c r="I2885" t="s">
        <v>124</v>
      </c>
      <c r="J2885" t="s">
        <v>125</v>
      </c>
      <c r="K2885">
        <v>0</v>
      </c>
      <c r="L2885">
        <v>3</v>
      </c>
      <c r="M2885">
        <v>0</v>
      </c>
      <c r="N2885">
        <v>2</v>
      </c>
      <c r="O2885">
        <v>0</v>
      </c>
      <c r="P2885">
        <v>1</v>
      </c>
      <c r="Q2885">
        <v>0</v>
      </c>
      <c r="S2885" t="str">
        <f t="shared" si="862"/>
        <v>22:22:16.000</v>
      </c>
      <c r="T2885" t="str">
        <f t="shared" si="862"/>
        <v>22:22:16.000</v>
      </c>
      <c r="U2885" t="str">
        <f t="shared" si="861"/>
        <v>A9D71F</v>
      </c>
      <c r="V2885">
        <v>0</v>
      </c>
      <c r="W2885">
        <v>0</v>
      </c>
      <c r="X2885">
        <v>2</v>
      </c>
      <c r="Z2885">
        <v>1</v>
      </c>
      <c r="AA2885">
        <v>8</v>
      </c>
      <c r="AB2885">
        <v>3</v>
      </c>
      <c r="AC2885">
        <v>0</v>
      </c>
      <c r="AD2885">
        <v>9</v>
      </c>
      <c r="AE2885">
        <v>0</v>
      </c>
      <c r="AF2885">
        <v>3</v>
      </c>
      <c r="AG2885">
        <v>1</v>
      </c>
      <c r="AH2885">
        <v>0</v>
      </c>
      <c r="AI2885" t="s">
        <v>1444</v>
      </c>
      <c r="AJ2885">
        <v>32.990912999999999</v>
      </c>
      <c r="AK2885" t="s">
        <v>1445</v>
      </c>
      <c r="AL2885">
        <v>-97.667212000000006</v>
      </c>
      <c r="AM2885">
        <v>25</v>
      </c>
      <c r="AN2885">
        <v>1100</v>
      </c>
      <c r="AO2885" t="s">
        <v>118</v>
      </c>
      <c r="AP2885">
        <v>-16</v>
      </c>
      <c r="AQ2885">
        <v>-83</v>
      </c>
      <c r="AR2885">
        <v>-768</v>
      </c>
      <c r="AZ2885">
        <v>7700</v>
      </c>
      <c r="BA2885">
        <v>1</v>
      </c>
      <c r="BB2885" t="str">
        <f t="shared" si="849"/>
        <v xml:space="preserve">N733KP  </v>
      </c>
      <c r="BC2885">
        <v>1</v>
      </c>
      <c r="BE2885">
        <v>0</v>
      </c>
      <c r="BF2885">
        <v>0</v>
      </c>
      <c r="BG2885">
        <v>1</v>
      </c>
      <c r="BH2885">
        <v>1150</v>
      </c>
      <c r="BI2885">
        <v>1</v>
      </c>
      <c r="BJ2885">
        <v>1</v>
      </c>
      <c r="BK2885">
        <v>0</v>
      </c>
      <c r="BL2885">
        <v>0</v>
      </c>
      <c r="BO2885">
        <v>0</v>
      </c>
      <c r="BP2885">
        <v>0</v>
      </c>
      <c r="BW2885" t="str">
        <f>"22:22:16.205"</f>
        <v>22:22:16.205</v>
      </c>
      <c r="CJ2885">
        <v>0</v>
      </c>
      <c r="CK2885">
        <v>2</v>
      </c>
      <c r="CL2885">
        <v>0</v>
      </c>
      <c r="CM2885">
        <v>2</v>
      </c>
      <c r="CN2885">
        <v>0</v>
      </c>
      <c r="CO2885">
        <v>4</v>
      </c>
      <c r="CP2885" t="s">
        <v>119</v>
      </c>
      <c r="CQ2885">
        <v>364</v>
      </c>
      <c r="CR2885">
        <v>0</v>
      </c>
      <c r="CW2885">
        <v>1478608</v>
      </c>
      <c r="CY2885">
        <v>1</v>
      </c>
      <c r="CZ2885">
        <v>0</v>
      </c>
      <c r="DA2885">
        <v>1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3">
      <c r="A2886" t="str">
        <f>"03/24/2022 22:22:16.445"</f>
        <v>03/24/2022 22:22:16.445</v>
      </c>
      <c r="C2886" t="str">
        <f t="shared" si="848"/>
        <v>FFDFD3C0</v>
      </c>
      <c r="D2886" t="s">
        <v>126</v>
      </c>
      <c r="E2886">
        <v>3</v>
      </c>
      <c r="H2886">
        <v>160</v>
      </c>
      <c r="I2886" t="s">
        <v>121</v>
      </c>
      <c r="J2886" t="s">
        <v>127</v>
      </c>
      <c r="K2886">
        <v>0</v>
      </c>
      <c r="L2886">
        <v>3</v>
      </c>
      <c r="M2886">
        <v>0</v>
      </c>
      <c r="N2886">
        <v>2</v>
      </c>
      <c r="O2886">
        <v>0</v>
      </c>
      <c r="P2886">
        <v>1</v>
      </c>
      <c r="Q2886">
        <v>0</v>
      </c>
      <c r="S2886" t="str">
        <f t="shared" si="862"/>
        <v>22:22:16.000</v>
      </c>
      <c r="T2886" t="str">
        <f t="shared" si="862"/>
        <v>22:22:16.000</v>
      </c>
      <c r="U2886" t="str">
        <f t="shared" si="861"/>
        <v>A9D71F</v>
      </c>
      <c r="V2886">
        <v>0</v>
      </c>
      <c r="W2886">
        <v>0</v>
      </c>
      <c r="X2886">
        <v>2</v>
      </c>
      <c r="Z2886">
        <v>1</v>
      </c>
      <c r="AA2886">
        <v>8</v>
      </c>
      <c r="AB2886">
        <v>3</v>
      </c>
      <c r="AC2886">
        <v>0</v>
      </c>
      <c r="AD2886">
        <v>9</v>
      </c>
      <c r="AE2886">
        <v>0</v>
      </c>
      <c r="AF2886">
        <v>3</v>
      </c>
      <c r="AG2886">
        <v>1</v>
      </c>
      <c r="AH2886">
        <v>0</v>
      </c>
      <c r="AI2886" t="s">
        <v>1444</v>
      </c>
      <c r="AJ2886">
        <v>32.990912999999999</v>
      </c>
      <c r="AK2886" t="s">
        <v>1445</v>
      </c>
      <c r="AL2886">
        <v>-97.667212000000006</v>
      </c>
      <c r="AM2886">
        <v>25</v>
      </c>
      <c r="AN2886">
        <v>1100</v>
      </c>
      <c r="AO2886" t="s">
        <v>118</v>
      </c>
      <c r="AP2886">
        <v>-16</v>
      </c>
      <c r="AQ2886">
        <v>-83</v>
      </c>
      <c r="AR2886">
        <v>-768</v>
      </c>
      <c r="AZ2886">
        <v>7700</v>
      </c>
      <c r="BA2886">
        <v>1</v>
      </c>
      <c r="BB2886" t="str">
        <f t="shared" si="849"/>
        <v xml:space="preserve">N733KP  </v>
      </c>
      <c r="BC2886">
        <v>1</v>
      </c>
      <c r="BE2886">
        <v>0</v>
      </c>
      <c r="BF2886">
        <v>0</v>
      </c>
      <c r="BG2886">
        <v>1</v>
      </c>
      <c r="BH2886">
        <v>1150</v>
      </c>
      <c r="BI2886">
        <v>1</v>
      </c>
      <c r="BJ2886">
        <v>1</v>
      </c>
      <c r="BK2886">
        <v>0</v>
      </c>
      <c r="BL2886">
        <v>0</v>
      </c>
      <c r="BO2886">
        <v>0</v>
      </c>
      <c r="BP2886">
        <v>0</v>
      </c>
      <c r="BW2886" t="str">
        <f>"22:22:16.205"</f>
        <v>22:22:16.205</v>
      </c>
      <c r="CJ2886">
        <v>0</v>
      </c>
      <c r="CK2886">
        <v>2</v>
      </c>
      <c r="CL2886">
        <v>0</v>
      </c>
      <c r="CM2886">
        <v>2</v>
      </c>
      <c r="CN2886">
        <v>0</v>
      </c>
      <c r="CO2886">
        <v>4</v>
      </c>
      <c r="CP2886" t="s">
        <v>119</v>
      </c>
      <c r="CQ2886">
        <v>364</v>
      </c>
      <c r="CR2886">
        <v>0</v>
      </c>
      <c r="CW2886">
        <v>1478608</v>
      </c>
      <c r="CY2886">
        <v>1</v>
      </c>
      <c r="CZ2886">
        <v>0</v>
      </c>
      <c r="DA2886">
        <v>1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3">
      <c r="A2887" t="str">
        <f>"03/24/2022 22:22:18.181"</f>
        <v>03/24/2022 22:22:18.181</v>
      </c>
      <c r="C2887" t="str">
        <f t="shared" si="848"/>
        <v>FFDFD3C0</v>
      </c>
      <c r="D2887" t="s">
        <v>113</v>
      </c>
      <c r="E2887">
        <v>24</v>
      </c>
      <c r="F2887">
        <v>2024</v>
      </c>
      <c r="G2887" t="s">
        <v>114</v>
      </c>
      <c r="J2887" t="s">
        <v>115</v>
      </c>
      <c r="K2887">
        <v>0</v>
      </c>
      <c r="L2887">
        <v>3</v>
      </c>
      <c r="M2887">
        <v>0</v>
      </c>
      <c r="N2887">
        <v>2</v>
      </c>
      <c r="O2887">
        <v>0</v>
      </c>
      <c r="P2887">
        <v>1</v>
      </c>
      <c r="Q2887">
        <v>0</v>
      </c>
      <c r="S2887" t="str">
        <f t="shared" ref="S2887:T2890" si="863">"22:22:17.000"</f>
        <v>22:22:17.000</v>
      </c>
      <c r="T2887" t="str">
        <f t="shared" si="863"/>
        <v>22:22:17.000</v>
      </c>
      <c r="U2887" t="str">
        <f t="shared" si="861"/>
        <v>A9D71F</v>
      </c>
      <c r="V2887">
        <v>0</v>
      </c>
      <c r="W2887">
        <v>0</v>
      </c>
      <c r="X2887">
        <v>2</v>
      </c>
      <c r="Z2887">
        <v>1</v>
      </c>
      <c r="AA2887">
        <v>8</v>
      </c>
      <c r="AB2887">
        <v>3</v>
      </c>
      <c r="AC2887">
        <v>0</v>
      </c>
      <c r="AD2887">
        <v>9</v>
      </c>
      <c r="AE2887">
        <v>0</v>
      </c>
      <c r="AF2887">
        <v>3</v>
      </c>
      <c r="AG2887">
        <v>1</v>
      </c>
      <c r="AH2887">
        <v>0</v>
      </c>
      <c r="AI2887" t="s">
        <v>1446</v>
      </c>
      <c r="AJ2887">
        <v>32.990569999999998</v>
      </c>
      <c r="AK2887" t="s">
        <v>1447</v>
      </c>
      <c r="AL2887">
        <v>-97.667298000000002</v>
      </c>
      <c r="AM2887">
        <v>25</v>
      </c>
      <c r="AN2887">
        <v>1100</v>
      </c>
      <c r="AO2887" t="s">
        <v>118</v>
      </c>
      <c r="AP2887">
        <v>-15</v>
      </c>
      <c r="AQ2887">
        <v>-84</v>
      </c>
      <c r="AR2887">
        <v>-704</v>
      </c>
      <c r="AZ2887">
        <v>7700</v>
      </c>
      <c r="BA2887">
        <v>1</v>
      </c>
      <c r="BB2887" t="str">
        <f t="shared" si="849"/>
        <v xml:space="preserve">N733KP  </v>
      </c>
      <c r="BC2887">
        <v>1</v>
      </c>
      <c r="BE2887">
        <v>0</v>
      </c>
      <c r="BF2887">
        <v>0</v>
      </c>
      <c r="BG2887">
        <v>1</v>
      </c>
      <c r="BH2887">
        <v>1150</v>
      </c>
      <c r="BI2887">
        <v>1</v>
      </c>
      <c r="BJ2887">
        <v>1</v>
      </c>
      <c r="BK2887">
        <v>0</v>
      </c>
      <c r="BL2887">
        <v>0</v>
      </c>
      <c r="BO2887">
        <v>0</v>
      </c>
      <c r="BP2887">
        <v>0</v>
      </c>
      <c r="BW2887" t="str">
        <f>"22:22:17.986"</f>
        <v>22:22:17.986</v>
      </c>
      <c r="CJ2887">
        <v>0</v>
      </c>
      <c r="CK2887">
        <v>2</v>
      </c>
      <c r="CL2887">
        <v>0</v>
      </c>
      <c r="CM2887">
        <v>2</v>
      </c>
      <c r="CN2887">
        <v>0</v>
      </c>
      <c r="CO2887">
        <v>4</v>
      </c>
      <c r="CP2887" t="s">
        <v>119</v>
      </c>
      <c r="CQ2887">
        <v>364</v>
      </c>
      <c r="CR2887">
        <v>0</v>
      </c>
      <c r="CW2887">
        <v>1478918</v>
      </c>
      <c r="CY2887">
        <v>1</v>
      </c>
      <c r="CZ2887">
        <v>0</v>
      </c>
      <c r="DA2887">
        <v>0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3">
      <c r="A2888" t="str">
        <f>"03/24/2022 22:22:18.227"</f>
        <v>03/24/2022 22:22:18.227</v>
      </c>
      <c r="C2888" t="str">
        <f t="shared" si="848"/>
        <v>FFDFD3C0</v>
      </c>
      <c r="D2888" t="s">
        <v>123</v>
      </c>
      <c r="E2888">
        <v>8</v>
      </c>
      <c r="H2888">
        <v>31</v>
      </c>
      <c r="I2888" t="s">
        <v>124</v>
      </c>
      <c r="J2888" t="s">
        <v>125</v>
      </c>
      <c r="K2888">
        <v>0</v>
      </c>
      <c r="L2888">
        <v>3</v>
      </c>
      <c r="M2888">
        <v>0</v>
      </c>
      <c r="N2888">
        <v>2</v>
      </c>
      <c r="O2888">
        <v>0</v>
      </c>
      <c r="P2888">
        <v>1</v>
      </c>
      <c r="Q2888">
        <v>0</v>
      </c>
      <c r="S2888" t="str">
        <f t="shared" si="863"/>
        <v>22:22:17.000</v>
      </c>
      <c r="T2888" t="str">
        <f t="shared" si="863"/>
        <v>22:22:17.000</v>
      </c>
      <c r="U2888" t="str">
        <f t="shared" si="861"/>
        <v>A9D71F</v>
      </c>
      <c r="V2888">
        <v>0</v>
      </c>
      <c r="W2888">
        <v>0</v>
      </c>
      <c r="X2888">
        <v>2</v>
      </c>
      <c r="Z2888">
        <v>1</v>
      </c>
      <c r="AA2888">
        <v>8</v>
      </c>
      <c r="AB2888">
        <v>3</v>
      </c>
      <c r="AC2888">
        <v>0</v>
      </c>
      <c r="AD2888">
        <v>9</v>
      </c>
      <c r="AE2888">
        <v>0</v>
      </c>
      <c r="AF2888">
        <v>3</v>
      </c>
      <c r="AG2888">
        <v>1</v>
      </c>
      <c r="AH2888">
        <v>0</v>
      </c>
      <c r="AI2888" t="s">
        <v>1446</v>
      </c>
      <c r="AJ2888">
        <v>32.990569999999998</v>
      </c>
      <c r="AK2888" t="s">
        <v>1447</v>
      </c>
      <c r="AL2888">
        <v>-97.667298000000002</v>
      </c>
      <c r="AM2888">
        <v>25</v>
      </c>
      <c r="AN2888">
        <v>1100</v>
      </c>
      <c r="AO2888" t="s">
        <v>118</v>
      </c>
      <c r="AP2888">
        <v>-15</v>
      </c>
      <c r="AQ2888">
        <v>-84</v>
      </c>
      <c r="AR2888">
        <v>-704</v>
      </c>
      <c r="AZ2888">
        <v>7700</v>
      </c>
      <c r="BA2888">
        <v>1</v>
      </c>
      <c r="BB2888" t="str">
        <f t="shared" si="849"/>
        <v xml:space="preserve">N733KP  </v>
      </c>
      <c r="BC2888">
        <v>1</v>
      </c>
      <c r="BE2888">
        <v>0</v>
      </c>
      <c r="BF2888">
        <v>0</v>
      </c>
      <c r="BG2888">
        <v>1</v>
      </c>
      <c r="BH2888">
        <v>1150</v>
      </c>
      <c r="BI2888">
        <v>1</v>
      </c>
      <c r="BJ2888">
        <v>1</v>
      </c>
      <c r="BK2888">
        <v>0</v>
      </c>
      <c r="BL2888">
        <v>0</v>
      </c>
      <c r="BO2888">
        <v>0</v>
      </c>
      <c r="BP2888">
        <v>0</v>
      </c>
      <c r="BW2888" t="str">
        <f>"22:22:17.986"</f>
        <v>22:22:17.986</v>
      </c>
      <c r="CJ2888">
        <v>0</v>
      </c>
      <c r="CK2888">
        <v>2</v>
      </c>
      <c r="CL2888">
        <v>0</v>
      </c>
      <c r="CM2888">
        <v>2</v>
      </c>
      <c r="CN2888">
        <v>0</v>
      </c>
      <c r="CO2888">
        <v>4</v>
      </c>
      <c r="CP2888" t="s">
        <v>119</v>
      </c>
      <c r="CQ2888">
        <v>364</v>
      </c>
      <c r="CR2888">
        <v>0</v>
      </c>
      <c r="CW2888">
        <v>1478918</v>
      </c>
      <c r="CY2888">
        <v>1</v>
      </c>
      <c r="CZ2888">
        <v>0</v>
      </c>
      <c r="DA2888">
        <v>1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3">
      <c r="A2889" t="str">
        <f>"03/24/2022 22:22:18.227"</f>
        <v>03/24/2022 22:22:18.227</v>
      </c>
      <c r="C2889" t="str">
        <f t="shared" si="848"/>
        <v>FFDFD3C0</v>
      </c>
      <c r="D2889" t="s">
        <v>120</v>
      </c>
      <c r="E2889">
        <v>14</v>
      </c>
      <c r="F2889">
        <v>1014</v>
      </c>
      <c r="G2889" t="s">
        <v>121</v>
      </c>
      <c r="J2889" t="s">
        <v>122</v>
      </c>
      <c r="K2889">
        <v>0</v>
      </c>
      <c r="L2889">
        <v>3</v>
      </c>
      <c r="M2889">
        <v>0</v>
      </c>
      <c r="N2889">
        <v>2</v>
      </c>
      <c r="O2889">
        <v>0</v>
      </c>
      <c r="P2889">
        <v>1</v>
      </c>
      <c r="Q2889">
        <v>0</v>
      </c>
      <c r="S2889" t="str">
        <f t="shared" si="863"/>
        <v>22:22:17.000</v>
      </c>
      <c r="T2889" t="str">
        <f t="shared" si="863"/>
        <v>22:22:17.000</v>
      </c>
      <c r="U2889" t="str">
        <f t="shared" si="861"/>
        <v>A9D71F</v>
      </c>
      <c r="V2889">
        <v>0</v>
      </c>
      <c r="W2889">
        <v>0</v>
      </c>
      <c r="X2889">
        <v>2</v>
      </c>
      <c r="Z2889">
        <v>1</v>
      </c>
      <c r="AA2889">
        <v>8</v>
      </c>
      <c r="AB2889">
        <v>3</v>
      </c>
      <c r="AC2889">
        <v>0</v>
      </c>
      <c r="AD2889">
        <v>9</v>
      </c>
      <c r="AE2889">
        <v>0</v>
      </c>
      <c r="AF2889">
        <v>3</v>
      </c>
      <c r="AG2889">
        <v>1</v>
      </c>
      <c r="AH2889">
        <v>0</v>
      </c>
      <c r="AI2889" t="s">
        <v>1446</v>
      </c>
      <c r="AJ2889">
        <v>32.990569999999998</v>
      </c>
      <c r="AK2889" t="s">
        <v>1447</v>
      </c>
      <c r="AL2889">
        <v>-97.667298000000002</v>
      </c>
      <c r="AM2889">
        <v>25</v>
      </c>
      <c r="AN2889">
        <v>1100</v>
      </c>
      <c r="AO2889" t="s">
        <v>118</v>
      </c>
      <c r="AP2889">
        <v>-15</v>
      </c>
      <c r="AQ2889">
        <v>-84</v>
      </c>
      <c r="AR2889">
        <v>-704</v>
      </c>
      <c r="AZ2889">
        <v>7700</v>
      </c>
      <c r="BA2889">
        <v>1</v>
      </c>
      <c r="BB2889" t="str">
        <f t="shared" si="849"/>
        <v xml:space="preserve">N733KP  </v>
      </c>
      <c r="BC2889">
        <v>1</v>
      </c>
      <c r="BE2889">
        <v>0</v>
      </c>
      <c r="BF2889">
        <v>0</v>
      </c>
      <c r="BG2889">
        <v>1</v>
      </c>
      <c r="BH2889">
        <v>1150</v>
      </c>
      <c r="BI2889">
        <v>1</v>
      </c>
      <c r="BJ2889">
        <v>1</v>
      </c>
      <c r="BK2889">
        <v>0</v>
      </c>
      <c r="BL2889">
        <v>0</v>
      </c>
      <c r="BO2889">
        <v>0</v>
      </c>
      <c r="BP2889">
        <v>0</v>
      </c>
      <c r="BW2889" t="str">
        <f>"22:22:17.986"</f>
        <v>22:22:17.986</v>
      </c>
      <c r="CJ2889">
        <v>0</v>
      </c>
      <c r="CK2889">
        <v>2</v>
      </c>
      <c r="CL2889">
        <v>0</v>
      </c>
      <c r="CM2889">
        <v>2</v>
      </c>
      <c r="CN2889">
        <v>0</v>
      </c>
      <c r="CO2889">
        <v>4</v>
      </c>
      <c r="CP2889" t="s">
        <v>119</v>
      </c>
      <c r="CQ2889">
        <v>364</v>
      </c>
      <c r="CR2889">
        <v>0</v>
      </c>
      <c r="CW2889">
        <v>1478918</v>
      </c>
      <c r="CY2889">
        <v>1</v>
      </c>
      <c r="CZ2889">
        <v>0</v>
      </c>
      <c r="DA2889">
        <v>1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3">
      <c r="A2890" t="str">
        <f>"03/24/2022 22:22:18.291"</f>
        <v>03/24/2022 22:22:18.291</v>
      </c>
      <c r="C2890" t="str">
        <f t="shared" si="848"/>
        <v>FFDFD3C0</v>
      </c>
      <c r="D2890" t="s">
        <v>126</v>
      </c>
      <c r="E2890">
        <v>3</v>
      </c>
      <c r="H2890">
        <v>160</v>
      </c>
      <c r="I2890" t="s">
        <v>121</v>
      </c>
      <c r="J2890" t="s">
        <v>127</v>
      </c>
      <c r="K2890">
        <v>0</v>
      </c>
      <c r="L2890">
        <v>3</v>
      </c>
      <c r="M2890">
        <v>0</v>
      </c>
      <c r="N2890">
        <v>2</v>
      </c>
      <c r="O2890">
        <v>0</v>
      </c>
      <c r="P2890">
        <v>1</v>
      </c>
      <c r="Q2890">
        <v>0</v>
      </c>
      <c r="S2890" t="str">
        <f t="shared" si="863"/>
        <v>22:22:17.000</v>
      </c>
      <c r="T2890" t="str">
        <f t="shared" si="863"/>
        <v>22:22:17.000</v>
      </c>
      <c r="U2890" t="str">
        <f t="shared" si="861"/>
        <v>A9D71F</v>
      </c>
      <c r="V2890">
        <v>0</v>
      </c>
      <c r="W2890">
        <v>0</v>
      </c>
      <c r="X2890">
        <v>2</v>
      </c>
      <c r="Z2890">
        <v>1</v>
      </c>
      <c r="AA2890">
        <v>8</v>
      </c>
      <c r="AB2890">
        <v>3</v>
      </c>
      <c r="AC2890">
        <v>0</v>
      </c>
      <c r="AD2890">
        <v>9</v>
      </c>
      <c r="AE2890">
        <v>0</v>
      </c>
      <c r="AF2890">
        <v>3</v>
      </c>
      <c r="AG2890">
        <v>1</v>
      </c>
      <c r="AH2890">
        <v>0</v>
      </c>
      <c r="AI2890" t="s">
        <v>1446</v>
      </c>
      <c r="AJ2890">
        <v>32.990569999999998</v>
      </c>
      <c r="AK2890" t="s">
        <v>1447</v>
      </c>
      <c r="AL2890">
        <v>-97.667298000000002</v>
      </c>
      <c r="AM2890">
        <v>25</v>
      </c>
      <c r="AN2890">
        <v>1100</v>
      </c>
      <c r="AO2890" t="s">
        <v>118</v>
      </c>
      <c r="AP2890">
        <v>-15</v>
      </c>
      <c r="AQ2890">
        <v>-84</v>
      </c>
      <c r="AR2890">
        <v>-704</v>
      </c>
      <c r="AZ2890">
        <v>7700</v>
      </c>
      <c r="BA2890">
        <v>1</v>
      </c>
      <c r="BB2890" t="str">
        <f t="shared" si="849"/>
        <v xml:space="preserve">N733KP  </v>
      </c>
      <c r="BC2890">
        <v>1</v>
      </c>
      <c r="BE2890">
        <v>0</v>
      </c>
      <c r="BF2890">
        <v>0</v>
      </c>
      <c r="BG2890">
        <v>1</v>
      </c>
      <c r="BH2890">
        <v>1150</v>
      </c>
      <c r="BI2890">
        <v>1</v>
      </c>
      <c r="BJ2890">
        <v>1</v>
      </c>
      <c r="BK2890">
        <v>0</v>
      </c>
      <c r="BL2890">
        <v>0</v>
      </c>
      <c r="BO2890">
        <v>0</v>
      </c>
      <c r="BP2890">
        <v>0</v>
      </c>
      <c r="BW2890" t="str">
        <f>"22:22:17.986"</f>
        <v>22:22:17.986</v>
      </c>
      <c r="CJ2890">
        <v>0</v>
      </c>
      <c r="CK2890">
        <v>2</v>
      </c>
      <c r="CL2890">
        <v>0</v>
      </c>
      <c r="CM2890">
        <v>2</v>
      </c>
      <c r="CN2890">
        <v>0</v>
      </c>
      <c r="CO2890">
        <v>4</v>
      </c>
      <c r="CP2890" t="s">
        <v>119</v>
      </c>
      <c r="CQ2890">
        <v>364</v>
      </c>
      <c r="CR2890">
        <v>0</v>
      </c>
      <c r="CW2890">
        <v>1478918</v>
      </c>
      <c r="CY2890">
        <v>1</v>
      </c>
      <c r="CZ2890">
        <v>0</v>
      </c>
      <c r="DA2890">
        <v>1</v>
      </c>
      <c r="DB2890">
        <v>0</v>
      </c>
      <c r="DC2890">
        <v>0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3">
      <c r="A2891" t="str">
        <f>"03/24/2022 22:22:18.901"</f>
        <v>03/24/2022 22:22:18.901</v>
      </c>
      <c r="C2891" t="str">
        <f t="shared" si="848"/>
        <v>FFDFD3C0</v>
      </c>
      <c r="D2891" t="s">
        <v>113</v>
      </c>
      <c r="E2891">
        <v>24</v>
      </c>
      <c r="F2891">
        <v>2024</v>
      </c>
      <c r="G2891" t="s">
        <v>114</v>
      </c>
      <c r="J2891" t="s">
        <v>115</v>
      </c>
      <c r="K2891">
        <v>0</v>
      </c>
      <c r="L2891">
        <v>3</v>
      </c>
      <c r="M2891">
        <v>0</v>
      </c>
      <c r="N2891">
        <v>2</v>
      </c>
      <c r="O2891">
        <v>0</v>
      </c>
      <c r="P2891">
        <v>1</v>
      </c>
      <c r="Q2891">
        <v>0</v>
      </c>
      <c r="S2891" t="str">
        <f t="shared" ref="S2891:T2894" si="864">"22:22:18.000"</f>
        <v>22:22:18.000</v>
      </c>
      <c r="T2891" t="str">
        <f t="shared" si="864"/>
        <v>22:22:18.000</v>
      </c>
      <c r="U2891" t="str">
        <f t="shared" si="861"/>
        <v>A9D71F</v>
      </c>
      <c r="V2891">
        <v>0</v>
      </c>
      <c r="W2891">
        <v>0</v>
      </c>
      <c r="X2891">
        <v>2</v>
      </c>
      <c r="Z2891">
        <v>1</v>
      </c>
      <c r="AA2891">
        <v>8</v>
      </c>
      <c r="AB2891">
        <v>3</v>
      </c>
      <c r="AC2891">
        <v>0</v>
      </c>
      <c r="AD2891">
        <v>9</v>
      </c>
      <c r="AE2891">
        <v>0</v>
      </c>
      <c r="AF2891">
        <v>3</v>
      </c>
      <c r="AG2891">
        <v>1</v>
      </c>
      <c r="AH2891">
        <v>0</v>
      </c>
      <c r="AI2891" t="s">
        <v>1448</v>
      </c>
      <c r="AJ2891">
        <v>32.990076999999999</v>
      </c>
      <c r="AK2891" t="s">
        <v>1449</v>
      </c>
      <c r="AL2891">
        <v>-97.667383999999998</v>
      </c>
      <c r="AM2891">
        <v>25</v>
      </c>
      <c r="AN2891">
        <v>1100</v>
      </c>
      <c r="AO2891" t="s">
        <v>118</v>
      </c>
      <c r="AP2891">
        <v>-15</v>
      </c>
      <c r="AQ2891">
        <v>-83</v>
      </c>
      <c r="AR2891">
        <v>-640</v>
      </c>
      <c r="AZ2891">
        <v>7700</v>
      </c>
      <c r="BA2891">
        <v>1</v>
      </c>
      <c r="BB2891" t="str">
        <f t="shared" si="849"/>
        <v xml:space="preserve">N733KP  </v>
      </c>
      <c r="BC2891">
        <v>1</v>
      </c>
      <c r="BE2891">
        <v>0</v>
      </c>
      <c r="BF2891">
        <v>0</v>
      </c>
      <c r="BG2891">
        <v>1</v>
      </c>
      <c r="BH2891">
        <v>1125</v>
      </c>
      <c r="BI2891">
        <v>1</v>
      </c>
      <c r="BJ2891">
        <v>1</v>
      </c>
      <c r="BK2891">
        <v>0</v>
      </c>
      <c r="BL2891">
        <v>0</v>
      </c>
      <c r="BO2891">
        <v>0</v>
      </c>
      <c r="BP2891">
        <v>0</v>
      </c>
      <c r="BW2891" t="str">
        <f>"22:22:18.749"</f>
        <v>22:22:18.749</v>
      </c>
      <c r="CJ2891">
        <v>0</v>
      </c>
      <c r="CK2891">
        <v>2</v>
      </c>
      <c r="CL2891">
        <v>0</v>
      </c>
      <c r="CM2891">
        <v>2</v>
      </c>
      <c r="CN2891">
        <v>0</v>
      </c>
      <c r="CO2891">
        <v>4</v>
      </c>
      <c r="CP2891" t="s">
        <v>119</v>
      </c>
      <c r="CQ2891">
        <v>364</v>
      </c>
      <c r="CR2891">
        <v>0</v>
      </c>
      <c r="CW2891">
        <v>1479037</v>
      </c>
      <c r="CY2891">
        <v>1</v>
      </c>
      <c r="CZ2891">
        <v>0</v>
      </c>
      <c r="DA2891">
        <v>0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3">
      <c r="A2892" t="str">
        <f>"03/24/2022 22:22:18.901"</f>
        <v>03/24/2022 22:22:18.901</v>
      </c>
      <c r="C2892" t="str">
        <f t="shared" si="848"/>
        <v>FFDFD3C0</v>
      </c>
      <c r="D2892" t="s">
        <v>123</v>
      </c>
      <c r="E2892">
        <v>8</v>
      </c>
      <c r="H2892">
        <v>31</v>
      </c>
      <c r="I2892" t="s">
        <v>124</v>
      </c>
      <c r="J2892" t="s">
        <v>125</v>
      </c>
      <c r="K2892">
        <v>0</v>
      </c>
      <c r="L2892">
        <v>3</v>
      </c>
      <c r="M2892">
        <v>0</v>
      </c>
      <c r="N2892">
        <v>2</v>
      </c>
      <c r="O2892">
        <v>0</v>
      </c>
      <c r="P2892">
        <v>1</v>
      </c>
      <c r="Q2892">
        <v>0</v>
      </c>
      <c r="S2892" t="str">
        <f t="shared" si="864"/>
        <v>22:22:18.000</v>
      </c>
      <c r="T2892" t="str">
        <f t="shared" si="864"/>
        <v>22:22:18.000</v>
      </c>
      <c r="U2892" t="str">
        <f t="shared" si="861"/>
        <v>A9D71F</v>
      </c>
      <c r="V2892">
        <v>0</v>
      </c>
      <c r="W2892">
        <v>0</v>
      </c>
      <c r="X2892">
        <v>2</v>
      </c>
      <c r="Z2892">
        <v>1</v>
      </c>
      <c r="AA2892">
        <v>8</v>
      </c>
      <c r="AB2892">
        <v>3</v>
      </c>
      <c r="AC2892">
        <v>0</v>
      </c>
      <c r="AD2892">
        <v>9</v>
      </c>
      <c r="AE2892">
        <v>0</v>
      </c>
      <c r="AF2892">
        <v>3</v>
      </c>
      <c r="AG2892">
        <v>1</v>
      </c>
      <c r="AH2892">
        <v>0</v>
      </c>
      <c r="AI2892" t="s">
        <v>1448</v>
      </c>
      <c r="AJ2892">
        <v>32.990076999999999</v>
      </c>
      <c r="AK2892" t="s">
        <v>1449</v>
      </c>
      <c r="AL2892">
        <v>-97.667383999999998</v>
      </c>
      <c r="AM2892">
        <v>25</v>
      </c>
      <c r="AN2892">
        <v>1100</v>
      </c>
      <c r="AO2892" t="s">
        <v>118</v>
      </c>
      <c r="AP2892">
        <v>-15</v>
      </c>
      <c r="AQ2892">
        <v>-83</v>
      </c>
      <c r="AR2892">
        <v>-640</v>
      </c>
      <c r="AZ2892">
        <v>7700</v>
      </c>
      <c r="BA2892">
        <v>1</v>
      </c>
      <c r="BB2892" t="str">
        <f t="shared" si="849"/>
        <v xml:space="preserve">N733KP  </v>
      </c>
      <c r="BC2892">
        <v>1</v>
      </c>
      <c r="BE2892">
        <v>0</v>
      </c>
      <c r="BF2892">
        <v>0</v>
      </c>
      <c r="BG2892">
        <v>1</v>
      </c>
      <c r="BH2892">
        <v>1125</v>
      </c>
      <c r="BI2892">
        <v>1</v>
      </c>
      <c r="BJ2892">
        <v>1</v>
      </c>
      <c r="BK2892">
        <v>0</v>
      </c>
      <c r="BL2892">
        <v>0</v>
      </c>
      <c r="BO2892">
        <v>0</v>
      </c>
      <c r="BP2892">
        <v>0</v>
      </c>
      <c r="BW2892" t="str">
        <f>"22:22:18.749"</f>
        <v>22:22:18.749</v>
      </c>
      <c r="CJ2892">
        <v>0</v>
      </c>
      <c r="CK2892">
        <v>2</v>
      </c>
      <c r="CL2892">
        <v>0</v>
      </c>
      <c r="CM2892">
        <v>2</v>
      </c>
      <c r="CN2892">
        <v>0</v>
      </c>
      <c r="CO2892">
        <v>4</v>
      </c>
      <c r="CP2892" t="s">
        <v>119</v>
      </c>
      <c r="CQ2892">
        <v>364</v>
      </c>
      <c r="CR2892">
        <v>0</v>
      </c>
      <c r="CW2892">
        <v>1479037</v>
      </c>
      <c r="CY2892">
        <v>1</v>
      </c>
      <c r="CZ2892">
        <v>0</v>
      </c>
      <c r="DA2892">
        <v>1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3">
      <c r="A2893" t="str">
        <f>"03/24/2022 22:22:18.901"</f>
        <v>03/24/2022 22:22:18.901</v>
      </c>
      <c r="C2893" t="str">
        <f t="shared" si="848"/>
        <v>FFDFD3C0</v>
      </c>
      <c r="D2893" t="s">
        <v>120</v>
      </c>
      <c r="E2893">
        <v>14</v>
      </c>
      <c r="F2893">
        <v>1014</v>
      </c>
      <c r="G2893" t="s">
        <v>121</v>
      </c>
      <c r="J2893" t="s">
        <v>122</v>
      </c>
      <c r="K2893">
        <v>0</v>
      </c>
      <c r="L2893">
        <v>3</v>
      </c>
      <c r="M2893">
        <v>0</v>
      </c>
      <c r="N2893">
        <v>2</v>
      </c>
      <c r="O2893">
        <v>0</v>
      </c>
      <c r="P2893">
        <v>1</v>
      </c>
      <c r="Q2893">
        <v>0</v>
      </c>
      <c r="S2893" t="str">
        <f t="shared" si="864"/>
        <v>22:22:18.000</v>
      </c>
      <c r="T2893" t="str">
        <f t="shared" si="864"/>
        <v>22:22:18.000</v>
      </c>
      <c r="U2893" t="str">
        <f t="shared" si="861"/>
        <v>A9D71F</v>
      </c>
      <c r="V2893">
        <v>0</v>
      </c>
      <c r="W2893">
        <v>0</v>
      </c>
      <c r="X2893">
        <v>2</v>
      </c>
      <c r="Z2893">
        <v>1</v>
      </c>
      <c r="AA2893">
        <v>8</v>
      </c>
      <c r="AB2893">
        <v>3</v>
      </c>
      <c r="AC2893">
        <v>0</v>
      </c>
      <c r="AD2893">
        <v>9</v>
      </c>
      <c r="AE2893">
        <v>0</v>
      </c>
      <c r="AF2893">
        <v>3</v>
      </c>
      <c r="AG2893">
        <v>1</v>
      </c>
      <c r="AH2893">
        <v>0</v>
      </c>
      <c r="AI2893" t="s">
        <v>1448</v>
      </c>
      <c r="AJ2893">
        <v>32.990076999999999</v>
      </c>
      <c r="AK2893" t="s">
        <v>1449</v>
      </c>
      <c r="AL2893">
        <v>-97.667383999999998</v>
      </c>
      <c r="AM2893">
        <v>25</v>
      </c>
      <c r="AN2893">
        <v>1100</v>
      </c>
      <c r="AO2893" t="s">
        <v>118</v>
      </c>
      <c r="AP2893">
        <v>-15</v>
      </c>
      <c r="AQ2893">
        <v>-83</v>
      </c>
      <c r="AR2893">
        <v>-640</v>
      </c>
      <c r="AZ2893">
        <v>7700</v>
      </c>
      <c r="BA2893">
        <v>1</v>
      </c>
      <c r="BB2893" t="str">
        <f t="shared" si="849"/>
        <v xml:space="preserve">N733KP  </v>
      </c>
      <c r="BC2893">
        <v>1</v>
      </c>
      <c r="BE2893">
        <v>0</v>
      </c>
      <c r="BF2893">
        <v>0</v>
      </c>
      <c r="BG2893">
        <v>1</v>
      </c>
      <c r="BH2893">
        <v>1125</v>
      </c>
      <c r="BI2893">
        <v>1</v>
      </c>
      <c r="BJ2893">
        <v>1</v>
      </c>
      <c r="BK2893">
        <v>0</v>
      </c>
      <c r="BL2893">
        <v>0</v>
      </c>
      <c r="BO2893">
        <v>0</v>
      </c>
      <c r="BP2893">
        <v>0</v>
      </c>
      <c r="BW2893" t="str">
        <f>"22:22:18.749"</f>
        <v>22:22:18.749</v>
      </c>
      <c r="CJ2893">
        <v>0</v>
      </c>
      <c r="CK2893">
        <v>2</v>
      </c>
      <c r="CL2893">
        <v>0</v>
      </c>
      <c r="CM2893">
        <v>2</v>
      </c>
      <c r="CN2893">
        <v>0</v>
      </c>
      <c r="CO2893">
        <v>4</v>
      </c>
      <c r="CP2893" t="s">
        <v>119</v>
      </c>
      <c r="CQ2893">
        <v>364</v>
      </c>
      <c r="CR2893">
        <v>0</v>
      </c>
      <c r="CW2893">
        <v>1479037</v>
      </c>
      <c r="CY2893">
        <v>1</v>
      </c>
      <c r="CZ2893">
        <v>0</v>
      </c>
      <c r="DA2893">
        <v>1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3">
      <c r="A2894" t="str">
        <f>"03/24/2022 22:22:18.917"</f>
        <v>03/24/2022 22:22:18.917</v>
      </c>
      <c r="C2894" t="str">
        <f t="shared" si="848"/>
        <v>FFDFD3C0</v>
      </c>
      <c r="D2894" t="s">
        <v>126</v>
      </c>
      <c r="E2894">
        <v>3</v>
      </c>
      <c r="H2894">
        <v>160</v>
      </c>
      <c r="I2894" t="s">
        <v>121</v>
      </c>
      <c r="J2894" t="s">
        <v>127</v>
      </c>
      <c r="K2894">
        <v>0</v>
      </c>
      <c r="L2894">
        <v>3</v>
      </c>
      <c r="M2894">
        <v>0</v>
      </c>
      <c r="N2894">
        <v>2</v>
      </c>
      <c r="O2894">
        <v>0</v>
      </c>
      <c r="P2894">
        <v>1</v>
      </c>
      <c r="Q2894">
        <v>0</v>
      </c>
      <c r="S2894" t="str">
        <f t="shared" si="864"/>
        <v>22:22:18.000</v>
      </c>
      <c r="T2894" t="str">
        <f t="shared" si="864"/>
        <v>22:22:18.000</v>
      </c>
      <c r="U2894" t="str">
        <f t="shared" si="861"/>
        <v>A9D71F</v>
      </c>
      <c r="V2894">
        <v>0</v>
      </c>
      <c r="W2894">
        <v>0</v>
      </c>
      <c r="X2894">
        <v>2</v>
      </c>
      <c r="Z2894">
        <v>1</v>
      </c>
      <c r="AA2894">
        <v>8</v>
      </c>
      <c r="AB2894">
        <v>3</v>
      </c>
      <c r="AC2894">
        <v>0</v>
      </c>
      <c r="AD2894">
        <v>9</v>
      </c>
      <c r="AE2894">
        <v>0</v>
      </c>
      <c r="AF2894">
        <v>3</v>
      </c>
      <c r="AG2894">
        <v>1</v>
      </c>
      <c r="AH2894">
        <v>0</v>
      </c>
      <c r="AI2894" t="s">
        <v>1448</v>
      </c>
      <c r="AJ2894">
        <v>32.990076999999999</v>
      </c>
      <c r="AK2894" t="s">
        <v>1449</v>
      </c>
      <c r="AL2894">
        <v>-97.667383999999998</v>
      </c>
      <c r="AM2894">
        <v>25</v>
      </c>
      <c r="AN2894">
        <v>1100</v>
      </c>
      <c r="AO2894" t="s">
        <v>118</v>
      </c>
      <c r="AP2894">
        <v>-15</v>
      </c>
      <c r="AQ2894">
        <v>-83</v>
      </c>
      <c r="AR2894">
        <v>-640</v>
      </c>
      <c r="AZ2894">
        <v>7700</v>
      </c>
      <c r="BA2894">
        <v>1</v>
      </c>
      <c r="BB2894" t="str">
        <f t="shared" si="849"/>
        <v xml:space="preserve">N733KP  </v>
      </c>
      <c r="BC2894">
        <v>1</v>
      </c>
      <c r="BE2894">
        <v>0</v>
      </c>
      <c r="BF2894">
        <v>0</v>
      </c>
      <c r="BG2894">
        <v>1</v>
      </c>
      <c r="BH2894">
        <v>1125</v>
      </c>
      <c r="BI2894">
        <v>1</v>
      </c>
      <c r="BJ2894">
        <v>1</v>
      </c>
      <c r="BK2894">
        <v>0</v>
      </c>
      <c r="BL2894">
        <v>0</v>
      </c>
      <c r="BO2894">
        <v>0</v>
      </c>
      <c r="BP2894">
        <v>0</v>
      </c>
      <c r="BW2894" t="str">
        <f>"22:22:18.749"</f>
        <v>22:22:18.749</v>
      </c>
      <c r="CJ2894">
        <v>0</v>
      </c>
      <c r="CK2894">
        <v>2</v>
      </c>
      <c r="CL2894">
        <v>0</v>
      </c>
      <c r="CM2894">
        <v>2</v>
      </c>
      <c r="CN2894">
        <v>0</v>
      </c>
      <c r="CO2894">
        <v>4</v>
      </c>
      <c r="CP2894" t="s">
        <v>119</v>
      </c>
      <c r="CQ2894">
        <v>364</v>
      </c>
      <c r="CR2894">
        <v>0</v>
      </c>
      <c r="CW2894">
        <v>1479037</v>
      </c>
      <c r="CY2894">
        <v>1</v>
      </c>
      <c r="CZ2894">
        <v>0</v>
      </c>
      <c r="DA2894">
        <v>1</v>
      </c>
      <c r="DB2894">
        <v>0</v>
      </c>
      <c r="DC2894">
        <v>0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3">
      <c r="A2895" t="str">
        <f>"03/24/2022 22:22:19.526"</f>
        <v>03/24/2022 22:22:19.526</v>
      </c>
      <c r="C2895" t="str">
        <f t="shared" si="848"/>
        <v>FFDFD3C0</v>
      </c>
      <c r="D2895" t="s">
        <v>113</v>
      </c>
      <c r="E2895">
        <v>24</v>
      </c>
      <c r="F2895">
        <v>2024</v>
      </c>
      <c r="G2895" t="s">
        <v>114</v>
      </c>
      <c r="J2895" t="s">
        <v>115</v>
      </c>
      <c r="K2895">
        <v>0</v>
      </c>
      <c r="L2895">
        <v>3</v>
      </c>
      <c r="M2895">
        <v>0</v>
      </c>
      <c r="N2895">
        <v>2</v>
      </c>
      <c r="O2895">
        <v>0</v>
      </c>
      <c r="P2895">
        <v>1</v>
      </c>
      <c r="Q2895">
        <v>0</v>
      </c>
      <c r="S2895" t="str">
        <f t="shared" ref="S2895:T2898" si="865">"22:22:19.000"</f>
        <v>22:22:19.000</v>
      </c>
      <c r="T2895" t="str">
        <f t="shared" si="865"/>
        <v>22:22:19.000</v>
      </c>
      <c r="U2895" t="str">
        <f t="shared" si="861"/>
        <v>A9D71F</v>
      </c>
      <c r="V2895">
        <v>0</v>
      </c>
      <c r="W2895">
        <v>0</v>
      </c>
      <c r="X2895">
        <v>2</v>
      </c>
      <c r="Z2895">
        <v>1</v>
      </c>
      <c r="AA2895">
        <v>8</v>
      </c>
      <c r="AB2895">
        <v>3</v>
      </c>
      <c r="AC2895">
        <v>0</v>
      </c>
      <c r="AD2895">
        <v>9</v>
      </c>
      <c r="AE2895">
        <v>0</v>
      </c>
      <c r="AF2895">
        <v>3</v>
      </c>
      <c r="AG2895">
        <v>1</v>
      </c>
      <c r="AH2895">
        <v>0</v>
      </c>
      <c r="AI2895" t="s">
        <v>1450</v>
      </c>
      <c r="AJ2895">
        <v>32.989711999999997</v>
      </c>
      <c r="AK2895" t="s">
        <v>1451</v>
      </c>
      <c r="AL2895">
        <v>-97.667469999999994</v>
      </c>
      <c r="AM2895">
        <v>25</v>
      </c>
      <c r="AN2895">
        <v>1100</v>
      </c>
      <c r="AO2895" t="s">
        <v>118</v>
      </c>
      <c r="AP2895">
        <v>-15</v>
      </c>
      <c r="AQ2895">
        <v>-85</v>
      </c>
      <c r="AR2895">
        <v>-640</v>
      </c>
      <c r="AZ2895">
        <v>7700</v>
      </c>
      <c r="BA2895">
        <v>1</v>
      </c>
      <c r="BB2895" t="str">
        <f t="shared" si="849"/>
        <v xml:space="preserve">N733KP  </v>
      </c>
      <c r="BC2895">
        <v>1</v>
      </c>
      <c r="BE2895">
        <v>0</v>
      </c>
      <c r="BF2895">
        <v>0</v>
      </c>
      <c r="BG2895">
        <v>1</v>
      </c>
      <c r="BH2895">
        <v>1125</v>
      </c>
      <c r="BI2895">
        <v>1</v>
      </c>
      <c r="BJ2895">
        <v>1</v>
      </c>
      <c r="BK2895">
        <v>0</v>
      </c>
      <c r="BL2895">
        <v>0</v>
      </c>
      <c r="BO2895">
        <v>0</v>
      </c>
      <c r="BP2895">
        <v>0</v>
      </c>
      <c r="BW2895" t="str">
        <f>"22:22:19.328"</f>
        <v>22:22:19.328</v>
      </c>
      <c r="CJ2895">
        <v>0</v>
      </c>
      <c r="CK2895">
        <v>2</v>
      </c>
      <c r="CL2895">
        <v>0</v>
      </c>
      <c r="CM2895">
        <v>2</v>
      </c>
      <c r="CN2895">
        <v>0</v>
      </c>
      <c r="CO2895">
        <v>3</v>
      </c>
      <c r="CP2895" t="s">
        <v>119</v>
      </c>
      <c r="CQ2895">
        <v>364</v>
      </c>
      <c r="CR2895">
        <v>0</v>
      </c>
      <c r="CW2895">
        <v>1479121</v>
      </c>
      <c r="CY2895">
        <v>1</v>
      </c>
      <c r="CZ2895">
        <v>0</v>
      </c>
      <c r="DA2895">
        <v>0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3">
      <c r="A2896" t="str">
        <f>"03/24/2022 22:22:19.526"</f>
        <v>03/24/2022 22:22:19.526</v>
      </c>
      <c r="C2896" t="str">
        <f t="shared" si="848"/>
        <v>FFDFD3C0</v>
      </c>
      <c r="D2896" t="s">
        <v>123</v>
      </c>
      <c r="E2896">
        <v>8</v>
      </c>
      <c r="H2896">
        <v>31</v>
      </c>
      <c r="I2896" t="s">
        <v>124</v>
      </c>
      <c r="J2896" t="s">
        <v>125</v>
      </c>
      <c r="K2896">
        <v>0</v>
      </c>
      <c r="L2896">
        <v>3</v>
      </c>
      <c r="M2896">
        <v>0</v>
      </c>
      <c r="N2896">
        <v>2</v>
      </c>
      <c r="O2896">
        <v>0</v>
      </c>
      <c r="P2896">
        <v>1</v>
      </c>
      <c r="Q2896">
        <v>0</v>
      </c>
      <c r="S2896" t="str">
        <f t="shared" si="865"/>
        <v>22:22:19.000</v>
      </c>
      <c r="T2896" t="str">
        <f t="shared" si="865"/>
        <v>22:22:19.000</v>
      </c>
      <c r="U2896" t="str">
        <f t="shared" si="861"/>
        <v>A9D71F</v>
      </c>
      <c r="V2896">
        <v>0</v>
      </c>
      <c r="W2896">
        <v>0</v>
      </c>
      <c r="X2896">
        <v>2</v>
      </c>
      <c r="Z2896">
        <v>1</v>
      </c>
      <c r="AA2896">
        <v>8</v>
      </c>
      <c r="AB2896">
        <v>3</v>
      </c>
      <c r="AC2896">
        <v>0</v>
      </c>
      <c r="AD2896">
        <v>9</v>
      </c>
      <c r="AE2896">
        <v>0</v>
      </c>
      <c r="AF2896">
        <v>3</v>
      </c>
      <c r="AG2896">
        <v>1</v>
      </c>
      <c r="AH2896">
        <v>0</v>
      </c>
      <c r="AI2896" t="s">
        <v>1450</v>
      </c>
      <c r="AJ2896">
        <v>32.989711999999997</v>
      </c>
      <c r="AK2896" t="s">
        <v>1451</v>
      </c>
      <c r="AL2896">
        <v>-97.667469999999994</v>
      </c>
      <c r="AM2896">
        <v>25</v>
      </c>
      <c r="AN2896">
        <v>1100</v>
      </c>
      <c r="AO2896" t="s">
        <v>118</v>
      </c>
      <c r="AP2896">
        <v>-15</v>
      </c>
      <c r="AQ2896">
        <v>-85</v>
      </c>
      <c r="AR2896">
        <v>-640</v>
      </c>
      <c r="AZ2896">
        <v>7700</v>
      </c>
      <c r="BA2896">
        <v>1</v>
      </c>
      <c r="BB2896" t="str">
        <f t="shared" si="849"/>
        <v xml:space="preserve">N733KP  </v>
      </c>
      <c r="BC2896">
        <v>1</v>
      </c>
      <c r="BE2896">
        <v>0</v>
      </c>
      <c r="BF2896">
        <v>0</v>
      </c>
      <c r="BG2896">
        <v>1</v>
      </c>
      <c r="BH2896">
        <v>1125</v>
      </c>
      <c r="BI2896">
        <v>1</v>
      </c>
      <c r="BJ2896">
        <v>1</v>
      </c>
      <c r="BK2896">
        <v>0</v>
      </c>
      <c r="BL2896">
        <v>0</v>
      </c>
      <c r="BO2896">
        <v>0</v>
      </c>
      <c r="BP2896">
        <v>0</v>
      </c>
      <c r="BW2896" t="str">
        <f>"22:22:19.328"</f>
        <v>22:22:19.328</v>
      </c>
      <c r="CJ2896">
        <v>0</v>
      </c>
      <c r="CK2896">
        <v>2</v>
      </c>
      <c r="CL2896">
        <v>0</v>
      </c>
      <c r="CM2896">
        <v>2</v>
      </c>
      <c r="CN2896">
        <v>0</v>
      </c>
      <c r="CO2896">
        <v>3</v>
      </c>
      <c r="CP2896" t="s">
        <v>119</v>
      </c>
      <c r="CQ2896">
        <v>364</v>
      </c>
      <c r="CR2896">
        <v>0</v>
      </c>
      <c r="CW2896">
        <v>1479121</v>
      </c>
      <c r="CY2896">
        <v>1</v>
      </c>
      <c r="CZ2896">
        <v>0</v>
      </c>
      <c r="DA2896">
        <v>1</v>
      </c>
      <c r="DB2896">
        <v>0</v>
      </c>
      <c r="DC2896">
        <v>0</v>
      </c>
      <c r="DD2896">
        <v>0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3">
      <c r="A2897" t="str">
        <f>"03/24/2022 22:22:19.526"</f>
        <v>03/24/2022 22:22:19.526</v>
      </c>
      <c r="C2897" t="str">
        <f t="shared" si="848"/>
        <v>FFDFD3C0</v>
      </c>
      <c r="D2897" t="s">
        <v>120</v>
      </c>
      <c r="E2897">
        <v>14</v>
      </c>
      <c r="F2897">
        <v>1014</v>
      </c>
      <c r="G2897" t="s">
        <v>121</v>
      </c>
      <c r="J2897" t="s">
        <v>122</v>
      </c>
      <c r="K2897">
        <v>0</v>
      </c>
      <c r="L2897">
        <v>3</v>
      </c>
      <c r="M2897">
        <v>0</v>
      </c>
      <c r="N2897">
        <v>2</v>
      </c>
      <c r="O2897">
        <v>0</v>
      </c>
      <c r="P2897">
        <v>1</v>
      </c>
      <c r="Q2897">
        <v>0</v>
      </c>
      <c r="S2897" t="str">
        <f t="shared" si="865"/>
        <v>22:22:19.000</v>
      </c>
      <c r="T2897" t="str">
        <f t="shared" si="865"/>
        <v>22:22:19.000</v>
      </c>
      <c r="U2897" t="str">
        <f t="shared" si="861"/>
        <v>A9D71F</v>
      </c>
      <c r="V2897">
        <v>0</v>
      </c>
      <c r="W2897">
        <v>0</v>
      </c>
      <c r="X2897">
        <v>2</v>
      </c>
      <c r="Z2897">
        <v>1</v>
      </c>
      <c r="AA2897">
        <v>8</v>
      </c>
      <c r="AB2897">
        <v>3</v>
      </c>
      <c r="AC2897">
        <v>0</v>
      </c>
      <c r="AD2897">
        <v>9</v>
      </c>
      <c r="AE2897">
        <v>0</v>
      </c>
      <c r="AF2897">
        <v>3</v>
      </c>
      <c r="AG2897">
        <v>1</v>
      </c>
      <c r="AH2897">
        <v>0</v>
      </c>
      <c r="AI2897" t="s">
        <v>1450</v>
      </c>
      <c r="AJ2897">
        <v>32.989711999999997</v>
      </c>
      <c r="AK2897" t="s">
        <v>1451</v>
      </c>
      <c r="AL2897">
        <v>-97.667469999999994</v>
      </c>
      <c r="AM2897">
        <v>25</v>
      </c>
      <c r="AN2897">
        <v>1100</v>
      </c>
      <c r="AO2897" t="s">
        <v>118</v>
      </c>
      <c r="AP2897">
        <v>-15</v>
      </c>
      <c r="AQ2897">
        <v>-85</v>
      </c>
      <c r="AR2897">
        <v>-640</v>
      </c>
      <c r="AZ2897">
        <v>7700</v>
      </c>
      <c r="BA2897">
        <v>1</v>
      </c>
      <c r="BB2897" t="str">
        <f t="shared" si="849"/>
        <v xml:space="preserve">N733KP  </v>
      </c>
      <c r="BC2897">
        <v>1</v>
      </c>
      <c r="BE2897">
        <v>0</v>
      </c>
      <c r="BF2897">
        <v>0</v>
      </c>
      <c r="BG2897">
        <v>1</v>
      </c>
      <c r="BH2897">
        <v>1125</v>
      </c>
      <c r="BI2897">
        <v>1</v>
      </c>
      <c r="BJ2897">
        <v>1</v>
      </c>
      <c r="BK2897">
        <v>0</v>
      </c>
      <c r="BL2897">
        <v>0</v>
      </c>
      <c r="BO2897">
        <v>0</v>
      </c>
      <c r="BP2897">
        <v>0</v>
      </c>
      <c r="BW2897" t="str">
        <f>"22:22:19.328"</f>
        <v>22:22:19.328</v>
      </c>
      <c r="CJ2897">
        <v>0</v>
      </c>
      <c r="CK2897">
        <v>2</v>
      </c>
      <c r="CL2897">
        <v>0</v>
      </c>
      <c r="CM2897">
        <v>2</v>
      </c>
      <c r="CN2897">
        <v>0</v>
      </c>
      <c r="CO2897">
        <v>3</v>
      </c>
      <c r="CP2897" t="s">
        <v>119</v>
      </c>
      <c r="CQ2897">
        <v>364</v>
      </c>
      <c r="CR2897">
        <v>0</v>
      </c>
      <c r="CW2897">
        <v>1479121</v>
      </c>
      <c r="CY2897">
        <v>1</v>
      </c>
      <c r="CZ2897">
        <v>0</v>
      </c>
      <c r="DA2897">
        <v>1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3">
      <c r="A2898" t="str">
        <f>"03/24/2022 22:22:19.526"</f>
        <v>03/24/2022 22:22:19.526</v>
      </c>
      <c r="C2898" t="str">
        <f t="shared" si="848"/>
        <v>FFDFD3C0</v>
      </c>
      <c r="D2898" t="s">
        <v>126</v>
      </c>
      <c r="E2898">
        <v>3</v>
      </c>
      <c r="H2898">
        <v>160</v>
      </c>
      <c r="I2898" t="s">
        <v>121</v>
      </c>
      <c r="J2898" t="s">
        <v>127</v>
      </c>
      <c r="K2898">
        <v>0</v>
      </c>
      <c r="L2898">
        <v>3</v>
      </c>
      <c r="M2898">
        <v>0</v>
      </c>
      <c r="N2898">
        <v>2</v>
      </c>
      <c r="O2898">
        <v>0</v>
      </c>
      <c r="P2898">
        <v>1</v>
      </c>
      <c r="Q2898">
        <v>0</v>
      </c>
      <c r="S2898" t="str">
        <f t="shared" si="865"/>
        <v>22:22:19.000</v>
      </c>
      <c r="T2898" t="str">
        <f t="shared" si="865"/>
        <v>22:22:19.000</v>
      </c>
      <c r="U2898" t="str">
        <f t="shared" si="861"/>
        <v>A9D71F</v>
      </c>
      <c r="V2898">
        <v>0</v>
      </c>
      <c r="W2898">
        <v>0</v>
      </c>
      <c r="X2898">
        <v>2</v>
      </c>
      <c r="Z2898">
        <v>1</v>
      </c>
      <c r="AA2898">
        <v>8</v>
      </c>
      <c r="AB2898">
        <v>3</v>
      </c>
      <c r="AC2898">
        <v>0</v>
      </c>
      <c r="AD2898">
        <v>9</v>
      </c>
      <c r="AE2898">
        <v>0</v>
      </c>
      <c r="AF2898">
        <v>3</v>
      </c>
      <c r="AG2898">
        <v>1</v>
      </c>
      <c r="AH2898">
        <v>0</v>
      </c>
      <c r="AI2898" t="s">
        <v>1450</v>
      </c>
      <c r="AJ2898">
        <v>32.989711999999997</v>
      </c>
      <c r="AK2898" t="s">
        <v>1451</v>
      </c>
      <c r="AL2898">
        <v>-97.667469999999994</v>
      </c>
      <c r="AM2898">
        <v>25</v>
      </c>
      <c r="AN2898">
        <v>1100</v>
      </c>
      <c r="AO2898" t="s">
        <v>118</v>
      </c>
      <c r="AP2898">
        <v>-15</v>
      </c>
      <c r="AQ2898">
        <v>-85</v>
      </c>
      <c r="AR2898">
        <v>-640</v>
      </c>
      <c r="AZ2898">
        <v>7700</v>
      </c>
      <c r="BA2898">
        <v>1</v>
      </c>
      <c r="BB2898" t="str">
        <f t="shared" si="849"/>
        <v xml:space="preserve">N733KP  </v>
      </c>
      <c r="BC2898">
        <v>1</v>
      </c>
      <c r="BE2898">
        <v>0</v>
      </c>
      <c r="BF2898">
        <v>0</v>
      </c>
      <c r="BG2898">
        <v>1</v>
      </c>
      <c r="BH2898">
        <v>1125</v>
      </c>
      <c r="BI2898">
        <v>1</v>
      </c>
      <c r="BJ2898">
        <v>1</v>
      </c>
      <c r="BK2898">
        <v>0</v>
      </c>
      <c r="BL2898">
        <v>0</v>
      </c>
      <c r="BO2898">
        <v>0</v>
      </c>
      <c r="BP2898">
        <v>0</v>
      </c>
      <c r="BW2898" t="str">
        <f>"22:22:19.328"</f>
        <v>22:22:19.328</v>
      </c>
      <c r="CJ2898">
        <v>0</v>
      </c>
      <c r="CK2898">
        <v>2</v>
      </c>
      <c r="CL2898">
        <v>0</v>
      </c>
      <c r="CM2898">
        <v>2</v>
      </c>
      <c r="CN2898">
        <v>0</v>
      </c>
      <c r="CO2898">
        <v>3</v>
      </c>
      <c r="CP2898" t="s">
        <v>119</v>
      </c>
      <c r="CQ2898">
        <v>364</v>
      </c>
      <c r="CR2898">
        <v>0</v>
      </c>
      <c r="CW2898">
        <v>1479121</v>
      </c>
      <c r="CY2898">
        <v>1</v>
      </c>
      <c r="CZ2898">
        <v>0</v>
      </c>
      <c r="DA2898">
        <v>1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3">
      <c r="A2899" t="str">
        <f>"03/24/2022 22:22:20.886"</f>
        <v>03/24/2022 22:22:20.886</v>
      </c>
      <c r="C2899" t="str">
        <f t="shared" si="848"/>
        <v>FFDFD3C0</v>
      </c>
      <c r="D2899" t="s">
        <v>113</v>
      </c>
      <c r="E2899">
        <v>24</v>
      </c>
      <c r="F2899">
        <v>2024</v>
      </c>
      <c r="G2899" t="s">
        <v>114</v>
      </c>
      <c r="J2899" t="s">
        <v>115</v>
      </c>
      <c r="K2899">
        <v>0</v>
      </c>
      <c r="L2899">
        <v>3</v>
      </c>
      <c r="M2899">
        <v>0</v>
      </c>
      <c r="N2899">
        <v>2</v>
      </c>
      <c r="O2899">
        <v>0</v>
      </c>
      <c r="P2899">
        <v>1</v>
      </c>
      <c r="Q2899">
        <v>0</v>
      </c>
      <c r="S2899" t="str">
        <f t="shared" ref="S2899:T2902" si="866">"22:22:20.000"</f>
        <v>22:22:20.000</v>
      </c>
      <c r="T2899" t="str">
        <f t="shared" si="866"/>
        <v>22:22:20.000</v>
      </c>
      <c r="U2899" t="str">
        <f t="shared" si="861"/>
        <v>A9D71F</v>
      </c>
      <c r="V2899">
        <v>0</v>
      </c>
      <c r="W2899">
        <v>0</v>
      </c>
      <c r="X2899">
        <v>2</v>
      </c>
      <c r="Z2899">
        <v>1</v>
      </c>
      <c r="AA2899">
        <v>8</v>
      </c>
      <c r="AB2899">
        <v>3</v>
      </c>
      <c r="AC2899">
        <v>0</v>
      </c>
      <c r="AD2899">
        <v>9</v>
      </c>
      <c r="AE2899">
        <v>0</v>
      </c>
      <c r="AF2899">
        <v>3</v>
      </c>
      <c r="AG2899">
        <v>1</v>
      </c>
      <c r="AH2899">
        <v>0</v>
      </c>
      <c r="AI2899" t="s">
        <v>1452</v>
      </c>
      <c r="AJ2899">
        <v>32.989347000000002</v>
      </c>
      <c r="AK2899" t="s">
        <v>1453</v>
      </c>
      <c r="AL2899">
        <v>-97.667576999999994</v>
      </c>
      <c r="AM2899">
        <v>25</v>
      </c>
      <c r="AN2899">
        <v>1100</v>
      </c>
      <c r="AO2899" t="s">
        <v>118</v>
      </c>
      <c r="AP2899">
        <v>-14</v>
      </c>
      <c r="AQ2899">
        <v>-85</v>
      </c>
      <c r="AR2899">
        <v>-704</v>
      </c>
      <c r="AZ2899">
        <v>7700</v>
      </c>
      <c r="BA2899">
        <v>1</v>
      </c>
      <c r="BB2899" t="str">
        <f t="shared" si="849"/>
        <v xml:space="preserve">N733KP  </v>
      </c>
      <c r="BC2899">
        <v>1</v>
      </c>
      <c r="BE2899">
        <v>0</v>
      </c>
      <c r="BF2899">
        <v>0</v>
      </c>
      <c r="BG2899">
        <v>1</v>
      </c>
      <c r="BH2899">
        <v>1125</v>
      </c>
      <c r="BI2899">
        <v>1</v>
      </c>
      <c r="BJ2899">
        <v>1</v>
      </c>
      <c r="BK2899">
        <v>0</v>
      </c>
      <c r="BL2899">
        <v>0</v>
      </c>
      <c r="BO2899">
        <v>0</v>
      </c>
      <c r="BP2899">
        <v>0</v>
      </c>
      <c r="BW2899" t="str">
        <f>"22:22:20.682"</f>
        <v>22:22:20.682</v>
      </c>
      <c r="CJ2899">
        <v>0</v>
      </c>
      <c r="CK2899">
        <v>2</v>
      </c>
      <c r="CL2899">
        <v>0</v>
      </c>
      <c r="CM2899">
        <v>2</v>
      </c>
      <c r="CN2899">
        <v>0</v>
      </c>
      <c r="CO2899">
        <v>4</v>
      </c>
      <c r="CP2899" t="s">
        <v>119</v>
      </c>
      <c r="CQ2899">
        <v>364</v>
      </c>
      <c r="CR2899">
        <v>0</v>
      </c>
      <c r="CW2899">
        <v>1479335</v>
      </c>
      <c r="CY2899">
        <v>1</v>
      </c>
      <c r="CZ2899">
        <v>0</v>
      </c>
      <c r="DA2899">
        <v>0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3">
      <c r="A2900" t="str">
        <f>"03/24/2022 22:22:20.886"</f>
        <v>03/24/2022 22:22:20.886</v>
      </c>
      <c r="C2900" t="str">
        <f t="shared" si="848"/>
        <v>FFDFD3C0</v>
      </c>
      <c r="D2900" t="s">
        <v>123</v>
      </c>
      <c r="E2900">
        <v>8</v>
      </c>
      <c r="H2900">
        <v>31</v>
      </c>
      <c r="I2900" t="s">
        <v>124</v>
      </c>
      <c r="J2900" t="s">
        <v>125</v>
      </c>
      <c r="K2900">
        <v>0</v>
      </c>
      <c r="L2900">
        <v>3</v>
      </c>
      <c r="M2900">
        <v>0</v>
      </c>
      <c r="N2900">
        <v>2</v>
      </c>
      <c r="O2900">
        <v>0</v>
      </c>
      <c r="P2900">
        <v>1</v>
      </c>
      <c r="Q2900">
        <v>0</v>
      </c>
      <c r="S2900" t="str">
        <f t="shared" si="866"/>
        <v>22:22:20.000</v>
      </c>
      <c r="T2900" t="str">
        <f t="shared" si="866"/>
        <v>22:22:20.000</v>
      </c>
      <c r="U2900" t="str">
        <f t="shared" si="861"/>
        <v>A9D71F</v>
      </c>
      <c r="V2900">
        <v>0</v>
      </c>
      <c r="W2900">
        <v>0</v>
      </c>
      <c r="X2900">
        <v>2</v>
      </c>
      <c r="Z2900">
        <v>1</v>
      </c>
      <c r="AA2900">
        <v>8</v>
      </c>
      <c r="AB2900">
        <v>3</v>
      </c>
      <c r="AC2900">
        <v>0</v>
      </c>
      <c r="AD2900">
        <v>9</v>
      </c>
      <c r="AE2900">
        <v>0</v>
      </c>
      <c r="AF2900">
        <v>3</v>
      </c>
      <c r="AG2900">
        <v>1</v>
      </c>
      <c r="AH2900">
        <v>0</v>
      </c>
      <c r="AI2900" t="s">
        <v>1452</v>
      </c>
      <c r="AJ2900">
        <v>32.989347000000002</v>
      </c>
      <c r="AK2900" t="s">
        <v>1453</v>
      </c>
      <c r="AL2900">
        <v>-97.667576999999994</v>
      </c>
      <c r="AM2900">
        <v>25</v>
      </c>
      <c r="AN2900">
        <v>1100</v>
      </c>
      <c r="AO2900" t="s">
        <v>118</v>
      </c>
      <c r="AP2900">
        <v>-14</v>
      </c>
      <c r="AQ2900">
        <v>-85</v>
      </c>
      <c r="AR2900">
        <v>-704</v>
      </c>
      <c r="AZ2900">
        <v>7700</v>
      </c>
      <c r="BA2900">
        <v>1</v>
      </c>
      <c r="BB2900" t="str">
        <f t="shared" si="849"/>
        <v xml:space="preserve">N733KP  </v>
      </c>
      <c r="BC2900">
        <v>1</v>
      </c>
      <c r="BE2900">
        <v>0</v>
      </c>
      <c r="BF2900">
        <v>0</v>
      </c>
      <c r="BG2900">
        <v>1</v>
      </c>
      <c r="BH2900">
        <v>1125</v>
      </c>
      <c r="BI2900">
        <v>1</v>
      </c>
      <c r="BJ2900">
        <v>1</v>
      </c>
      <c r="BK2900">
        <v>0</v>
      </c>
      <c r="BL2900">
        <v>0</v>
      </c>
      <c r="BO2900">
        <v>0</v>
      </c>
      <c r="BP2900">
        <v>0</v>
      </c>
      <c r="BW2900" t="str">
        <f>"22:22:20.682"</f>
        <v>22:22:20.682</v>
      </c>
      <c r="CJ2900">
        <v>0</v>
      </c>
      <c r="CK2900">
        <v>2</v>
      </c>
      <c r="CL2900">
        <v>0</v>
      </c>
      <c r="CM2900">
        <v>2</v>
      </c>
      <c r="CN2900">
        <v>0</v>
      </c>
      <c r="CO2900">
        <v>4</v>
      </c>
      <c r="CP2900" t="s">
        <v>119</v>
      </c>
      <c r="CQ2900">
        <v>364</v>
      </c>
      <c r="CR2900">
        <v>0</v>
      </c>
      <c r="CW2900">
        <v>1479335</v>
      </c>
      <c r="CY2900">
        <v>1</v>
      </c>
      <c r="CZ2900">
        <v>0</v>
      </c>
      <c r="DA2900">
        <v>1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3">
      <c r="A2901" t="str">
        <f>"03/24/2022 22:22:20.886"</f>
        <v>03/24/2022 22:22:20.886</v>
      </c>
      <c r="C2901" t="str">
        <f t="shared" si="848"/>
        <v>FFDFD3C0</v>
      </c>
      <c r="D2901" t="s">
        <v>120</v>
      </c>
      <c r="E2901">
        <v>14</v>
      </c>
      <c r="F2901">
        <v>1014</v>
      </c>
      <c r="G2901" t="s">
        <v>121</v>
      </c>
      <c r="J2901" t="s">
        <v>122</v>
      </c>
      <c r="K2901">
        <v>0</v>
      </c>
      <c r="L2901">
        <v>3</v>
      </c>
      <c r="M2901">
        <v>0</v>
      </c>
      <c r="N2901">
        <v>2</v>
      </c>
      <c r="O2901">
        <v>0</v>
      </c>
      <c r="P2901">
        <v>1</v>
      </c>
      <c r="Q2901">
        <v>0</v>
      </c>
      <c r="S2901" t="str">
        <f t="shared" si="866"/>
        <v>22:22:20.000</v>
      </c>
      <c r="T2901" t="str">
        <f t="shared" si="866"/>
        <v>22:22:20.000</v>
      </c>
      <c r="U2901" t="str">
        <f t="shared" si="861"/>
        <v>A9D71F</v>
      </c>
      <c r="V2901">
        <v>0</v>
      </c>
      <c r="W2901">
        <v>0</v>
      </c>
      <c r="X2901">
        <v>2</v>
      </c>
      <c r="Z2901">
        <v>1</v>
      </c>
      <c r="AA2901">
        <v>8</v>
      </c>
      <c r="AB2901">
        <v>3</v>
      </c>
      <c r="AC2901">
        <v>0</v>
      </c>
      <c r="AD2901">
        <v>9</v>
      </c>
      <c r="AE2901">
        <v>0</v>
      </c>
      <c r="AF2901">
        <v>3</v>
      </c>
      <c r="AG2901">
        <v>1</v>
      </c>
      <c r="AH2901">
        <v>0</v>
      </c>
      <c r="AI2901" t="s">
        <v>1452</v>
      </c>
      <c r="AJ2901">
        <v>32.989347000000002</v>
      </c>
      <c r="AK2901" t="s">
        <v>1453</v>
      </c>
      <c r="AL2901">
        <v>-97.667576999999994</v>
      </c>
      <c r="AM2901">
        <v>25</v>
      </c>
      <c r="AN2901">
        <v>1100</v>
      </c>
      <c r="AO2901" t="s">
        <v>118</v>
      </c>
      <c r="AP2901">
        <v>-14</v>
      </c>
      <c r="AQ2901">
        <v>-85</v>
      </c>
      <c r="AR2901">
        <v>-704</v>
      </c>
      <c r="AZ2901">
        <v>7700</v>
      </c>
      <c r="BA2901">
        <v>1</v>
      </c>
      <c r="BB2901" t="str">
        <f t="shared" si="849"/>
        <v xml:space="preserve">N733KP  </v>
      </c>
      <c r="BC2901">
        <v>1</v>
      </c>
      <c r="BE2901">
        <v>0</v>
      </c>
      <c r="BF2901">
        <v>0</v>
      </c>
      <c r="BG2901">
        <v>1</v>
      </c>
      <c r="BH2901">
        <v>1125</v>
      </c>
      <c r="BI2901">
        <v>1</v>
      </c>
      <c r="BJ2901">
        <v>1</v>
      </c>
      <c r="BK2901">
        <v>0</v>
      </c>
      <c r="BL2901">
        <v>0</v>
      </c>
      <c r="BO2901">
        <v>0</v>
      </c>
      <c r="BP2901">
        <v>0</v>
      </c>
      <c r="BW2901" t="str">
        <f>"22:22:20.682"</f>
        <v>22:22:20.682</v>
      </c>
      <c r="CJ2901">
        <v>0</v>
      </c>
      <c r="CK2901">
        <v>2</v>
      </c>
      <c r="CL2901">
        <v>0</v>
      </c>
      <c r="CM2901">
        <v>2</v>
      </c>
      <c r="CN2901">
        <v>0</v>
      </c>
      <c r="CO2901">
        <v>4</v>
      </c>
      <c r="CP2901" t="s">
        <v>119</v>
      </c>
      <c r="CQ2901">
        <v>364</v>
      </c>
      <c r="CR2901">
        <v>0</v>
      </c>
      <c r="CW2901">
        <v>1479335</v>
      </c>
      <c r="CY2901">
        <v>1</v>
      </c>
      <c r="CZ2901">
        <v>0</v>
      </c>
      <c r="DA2901">
        <v>1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3">
      <c r="A2902" t="str">
        <f>"03/24/2022 22:22:20.886"</f>
        <v>03/24/2022 22:22:20.886</v>
      </c>
      <c r="C2902" t="str">
        <f t="shared" ref="C2902:C2965" si="867">"FFDFD3C0"</f>
        <v>FFDFD3C0</v>
      </c>
      <c r="D2902" t="s">
        <v>126</v>
      </c>
      <c r="E2902">
        <v>3</v>
      </c>
      <c r="H2902">
        <v>160</v>
      </c>
      <c r="I2902" t="s">
        <v>121</v>
      </c>
      <c r="J2902" t="s">
        <v>127</v>
      </c>
      <c r="K2902">
        <v>0</v>
      </c>
      <c r="L2902">
        <v>3</v>
      </c>
      <c r="M2902">
        <v>0</v>
      </c>
      <c r="N2902">
        <v>2</v>
      </c>
      <c r="O2902">
        <v>0</v>
      </c>
      <c r="P2902">
        <v>1</v>
      </c>
      <c r="Q2902">
        <v>0</v>
      </c>
      <c r="S2902" t="str">
        <f t="shared" si="866"/>
        <v>22:22:20.000</v>
      </c>
      <c r="T2902" t="str">
        <f t="shared" si="866"/>
        <v>22:22:20.000</v>
      </c>
      <c r="U2902" t="str">
        <f t="shared" si="861"/>
        <v>A9D71F</v>
      </c>
      <c r="V2902">
        <v>0</v>
      </c>
      <c r="W2902">
        <v>0</v>
      </c>
      <c r="X2902">
        <v>2</v>
      </c>
      <c r="Z2902">
        <v>1</v>
      </c>
      <c r="AA2902">
        <v>8</v>
      </c>
      <c r="AB2902">
        <v>3</v>
      </c>
      <c r="AC2902">
        <v>0</v>
      </c>
      <c r="AD2902">
        <v>9</v>
      </c>
      <c r="AE2902">
        <v>0</v>
      </c>
      <c r="AF2902">
        <v>3</v>
      </c>
      <c r="AG2902">
        <v>1</v>
      </c>
      <c r="AH2902">
        <v>0</v>
      </c>
      <c r="AI2902" t="s">
        <v>1452</v>
      </c>
      <c r="AJ2902">
        <v>32.989347000000002</v>
      </c>
      <c r="AK2902" t="s">
        <v>1453</v>
      </c>
      <c r="AL2902">
        <v>-97.667576999999994</v>
      </c>
      <c r="AM2902">
        <v>25</v>
      </c>
      <c r="AN2902">
        <v>1100</v>
      </c>
      <c r="AO2902" t="s">
        <v>118</v>
      </c>
      <c r="AP2902">
        <v>-14</v>
      </c>
      <c r="AQ2902">
        <v>-85</v>
      </c>
      <c r="AR2902">
        <v>-704</v>
      </c>
      <c r="AZ2902">
        <v>7700</v>
      </c>
      <c r="BA2902">
        <v>1</v>
      </c>
      <c r="BB2902" t="str">
        <f t="shared" ref="BB2902:BB2965" si="868">"N733KP  "</f>
        <v xml:space="preserve">N733KP  </v>
      </c>
      <c r="BC2902">
        <v>1</v>
      </c>
      <c r="BE2902">
        <v>0</v>
      </c>
      <c r="BF2902">
        <v>0</v>
      </c>
      <c r="BG2902">
        <v>1</v>
      </c>
      <c r="BH2902">
        <v>1125</v>
      </c>
      <c r="BI2902">
        <v>1</v>
      </c>
      <c r="BJ2902">
        <v>1</v>
      </c>
      <c r="BK2902">
        <v>0</v>
      </c>
      <c r="BL2902">
        <v>0</v>
      </c>
      <c r="BO2902">
        <v>0</v>
      </c>
      <c r="BP2902">
        <v>0</v>
      </c>
      <c r="BW2902" t="str">
        <f>"22:22:20.682"</f>
        <v>22:22:20.682</v>
      </c>
      <c r="CJ2902">
        <v>0</v>
      </c>
      <c r="CK2902">
        <v>2</v>
      </c>
      <c r="CL2902">
        <v>0</v>
      </c>
      <c r="CM2902">
        <v>2</v>
      </c>
      <c r="CN2902">
        <v>0</v>
      </c>
      <c r="CO2902">
        <v>4</v>
      </c>
      <c r="CP2902" t="s">
        <v>119</v>
      </c>
      <c r="CQ2902">
        <v>364</v>
      </c>
      <c r="CR2902">
        <v>0</v>
      </c>
      <c r="CW2902">
        <v>1479335</v>
      </c>
      <c r="CY2902">
        <v>1</v>
      </c>
      <c r="CZ2902">
        <v>0</v>
      </c>
      <c r="DA2902">
        <v>1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3">
      <c r="A2903" t="str">
        <f>"03/24/2022 22:22:21.464"</f>
        <v>03/24/2022 22:22:21.464</v>
      </c>
      <c r="C2903" t="str">
        <f t="shared" si="867"/>
        <v>FFDFD3C0</v>
      </c>
      <c r="D2903" t="s">
        <v>123</v>
      </c>
      <c r="E2903">
        <v>8</v>
      </c>
      <c r="H2903">
        <v>31</v>
      </c>
      <c r="I2903" t="s">
        <v>124</v>
      </c>
      <c r="J2903" t="s">
        <v>125</v>
      </c>
      <c r="K2903">
        <v>0</v>
      </c>
      <c r="L2903">
        <v>3</v>
      </c>
      <c r="M2903">
        <v>0</v>
      </c>
      <c r="N2903">
        <v>2</v>
      </c>
      <c r="O2903">
        <v>0</v>
      </c>
      <c r="P2903">
        <v>1</v>
      </c>
      <c r="Q2903">
        <v>0</v>
      </c>
      <c r="S2903" t="str">
        <f t="shared" ref="S2903:T2906" si="869">"22:22:21.000"</f>
        <v>22:22:21.000</v>
      </c>
      <c r="T2903" t="str">
        <f t="shared" si="869"/>
        <v>22:22:21.000</v>
      </c>
      <c r="U2903" t="str">
        <f t="shared" si="861"/>
        <v>A9D71F</v>
      </c>
      <c r="V2903">
        <v>0</v>
      </c>
      <c r="W2903">
        <v>0</v>
      </c>
      <c r="X2903">
        <v>2</v>
      </c>
      <c r="Z2903">
        <v>1</v>
      </c>
      <c r="AA2903">
        <v>8</v>
      </c>
      <c r="AB2903">
        <v>3</v>
      </c>
      <c r="AC2903">
        <v>0</v>
      </c>
      <c r="AD2903">
        <v>9</v>
      </c>
      <c r="AE2903">
        <v>0</v>
      </c>
      <c r="AF2903">
        <v>3</v>
      </c>
      <c r="AG2903">
        <v>1</v>
      </c>
      <c r="AH2903">
        <v>0</v>
      </c>
      <c r="AI2903" t="s">
        <v>1454</v>
      </c>
      <c r="AJ2903">
        <v>32.988939000000002</v>
      </c>
      <c r="AK2903" t="s">
        <v>939</v>
      </c>
      <c r="AL2903">
        <v>-97.667642000000001</v>
      </c>
      <c r="AM2903">
        <v>25</v>
      </c>
      <c r="AN2903">
        <v>1100</v>
      </c>
      <c r="AO2903" t="s">
        <v>118</v>
      </c>
      <c r="AP2903">
        <v>-13</v>
      </c>
      <c r="AQ2903">
        <v>-85</v>
      </c>
      <c r="AR2903">
        <v>-640</v>
      </c>
      <c r="AZ2903">
        <v>7700</v>
      </c>
      <c r="BA2903">
        <v>1</v>
      </c>
      <c r="BB2903" t="str">
        <f t="shared" si="868"/>
        <v xml:space="preserve">N733KP  </v>
      </c>
      <c r="BC2903">
        <v>1</v>
      </c>
      <c r="BE2903">
        <v>0</v>
      </c>
      <c r="BF2903">
        <v>0</v>
      </c>
      <c r="BG2903">
        <v>1</v>
      </c>
      <c r="BH2903">
        <v>1075</v>
      </c>
      <c r="BI2903">
        <v>1</v>
      </c>
      <c r="BJ2903">
        <v>1</v>
      </c>
      <c r="BK2903">
        <v>0</v>
      </c>
      <c r="BL2903">
        <v>0</v>
      </c>
      <c r="BO2903">
        <v>0</v>
      </c>
      <c r="BP2903">
        <v>0</v>
      </c>
      <c r="BW2903" t="str">
        <f>"22:22:21.259"</f>
        <v>22:22:21.259</v>
      </c>
      <c r="CJ2903">
        <v>0</v>
      </c>
      <c r="CK2903">
        <v>2</v>
      </c>
      <c r="CL2903">
        <v>0</v>
      </c>
      <c r="CM2903">
        <v>2</v>
      </c>
      <c r="CN2903">
        <v>0</v>
      </c>
      <c r="CO2903">
        <v>3</v>
      </c>
      <c r="CP2903" t="s">
        <v>119</v>
      </c>
      <c r="CQ2903">
        <v>364</v>
      </c>
      <c r="CR2903">
        <v>0</v>
      </c>
      <c r="CW2903">
        <v>1479419</v>
      </c>
      <c r="CY2903">
        <v>1</v>
      </c>
      <c r="CZ2903">
        <v>0</v>
      </c>
      <c r="DA2903">
        <v>0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3">
      <c r="A2904" t="str">
        <f>"03/24/2022 22:22:21.480"</f>
        <v>03/24/2022 22:22:21.480</v>
      </c>
      <c r="C2904" t="str">
        <f t="shared" si="867"/>
        <v>FFDFD3C0</v>
      </c>
      <c r="D2904" t="s">
        <v>113</v>
      </c>
      <c r="E2904">
        <v>24</v>
      </c>
      <c r="F2904">
        <v>2024</v>
      </c>
      <c r="G2904" t="s">
        <v>114</v>
      </c>
      <c r="J2904" t="s">
        <v>115</v>
      </c>
      <c r="K2904">
        <v>0</v>
      </c>
      <c r="L2904">
        <v>3</v>
      </c>
      <c r="M2904">
        <v>0</v>
      </c>
      <c r="N2904">
        <v>2</v>
      </c>
      <c r="O2904">
        <v>0</v>
      </c>
      <c r="P2904">
        <v>1</v>
      </c>
      <c r="Q2904">
        <v>0</v>
      </c>
      <c r="S2904" t="str">
        <f t="shared" si="869"/>
        <v>22:22:21.000</v>
      </c>
      <c r="T2904" t="str">
        <f t="shared" si="869"/>
        <v>22:22:21.000</v>
      </c>
      <c r="U2904" t="str">
        <f t="shared" si="861"/>
        <v>A9D71F</v>
      </c>
      <c r="V2904">
        <v>0</v>
      </c>
      <c r="W2904">
        <v>0</v>
      </c>
      <c r="X2904">
        <v>2</v>
      </c>
      <c r="Z2904">
        <v>1</v>
      </c>
      <c r="AA2904">
        <v>8</v>
      </c>
      <c r="AB2904">
        <v>3</v>
      </c>
      <c r="AC2904">
        <v>0</v>
      </c>
      <c r="AD2904">
        <v>9</v>
      </c>
      <c r="AE2904">
        <v>0</v>
      </c>
      <c r="AF2904">
        <v>3</v>
      </c>
      <c r="AG2904">
        <v>1</v>
      </c>
      <c r="AH2904">
        <v>0</v>
      </c>
      <c r="AI2904" t="s">
        <v>1454</v>
      </c>
      <c r="AJ2904">
        <v>32.988939000000002</v>
      </c>
      <c r="AK2904" t="s">
        <v>939</v>
      </c>
      <c r="AL2904">
        <v>-97.667642000000001</v>
      </c>
      <c r="AM2904">
        <v>25</v>
      </c>
      <c r="AN2904">
        <v>1100</v>
      </c>
      <c r="AO2904" t="s">
        <v>118</v>
      </c>
      <c r="AP2904">
        <v>-13</v>
      </c>
      <c r="AQ2904">
        <v>-85</v>
      </c>
      <c r="AR2904">
        <v>-640</v>
      </c>
      <c r="AZ2904">
        <v>7700</v>
      </c>
      <c r="BA2904">
        <v>1</v>
      </c>
      <c r="BB2904" t="str">
        <f t="shared" si="868"/>
        <v xml:space="preserve">N733KP  </v>
      </c>
      <c r="BC2904">
        <v>1</v>
      </c>
      <c r="BE2904">
        <v>0</v>
      </c>
      <c r="BF2904">
        <v>0</v>
      </c>
      <c r="BG2904">
        <v>1</v>
      </c>
      <c r="BH2904">
        <v>1075</v>
      </c>
      <c r="BI2904">
        <v>1</v>
      </c>
      <c r="BJ2904">
        <v>1</v>
      </c>
      <c r="BK2904">
        <v>0</v>
      </c>
      <c r="BL2904">
        <v>0</v>
      </c>
      <c r="BO2904">
        <v>0</v>
      </c>
      <c r="BP2904">
        <v>0</v>
      </c>
      <c r="BW2904" t="str">
        <f>"22:22:21.259"</f>
        <v>22:22:21.259</v>
      </c>
      <c r="CJ2904">
        <v>0</v>
      </c>
      <c r="CK2904">
        <v>2</v>
      </c>
      <c r="CL2904">
        <v>0</v>
      </c>
      <c r="CM2904">
        <v>2</v>
      </c>
      <c r="CN2904">
        <v>0</v>
      </c>
      <c r="CO2904">
        <v>3</v>
      </c>
      <c r="CP2904" t="s">
        <v>119</v>
      </c>
      <c r="CQ2904">
        <v>364</v>
      </c>
      <c r="CR2904">
        <v>0</v>
      </c>
      <c r="CW2904">
        <v>1479419</v>
      </c>
      <c r="CY2904">
        <v>1</v>
      </c>
      <c r="CZ2904">
        <v>0</v>
      </c>
      <c r="DA2904">
        <v>1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3">
      <c r="A2905" t="str">
        <f>"03/24/2022 22:22:21.480"</f>
        <v>03/24/2022 22:22:21.480</v>
      </c>
      <c r="C2905" t="str">
        <f t="shared" si="867"/>
        <v>FFDFD3C0</v>
      </c>
      <c r="D2905" t="s">
        <v>120</v>
      </c>
      <c r="E2905">
        <v>14</v>
      </c>
      <c r="F2905">
        <v>1014</v>
      </c>
      <c r="G2905" t="s">
        <v>121</v>
      </c>
      <c r="J2905" t="s">
        <v>122</v>
      </c>
      <c r="K2905">
        <v>0</v>
      </c>
      <c r="L2905">
        <v>3</v>
      </c>
      <c r="M2905">
        <v>0</v>
      </c>
      <c r="N2905">
        <v>2</v>
      </c>
      <c r="O2905">
        <v>0</v>
      </c>
      <c r="P2905">
        <v>1</v>
      </c>
      <c r="Q2905">
        <v>0</v>
      </c>
      <c r="S2905" t="str">
        <f t="shared" si="869"/>
        <v>22:22:21.000</v>
      </c>
      <c r="T2905" t="str">
        <f t="shared" si="869"/>
        <v>22:22:21.000</v>
      </c>
      <c r="U2905" t="str">
        <f t="shared" si="861"/>
        <v>A9D71F</v>
      </c>
      <c r="V2905">
        <v>0</v>
      </c>
      <c r="W2905">
        <v>0</v>
      </c>
      <c r="X2905">
        <v>2</v>
      </c>
      <c r="Z2905">
        <v>1</v>
      </c>
      <c r="AA2905">
        <v>8</v>
      </c>
      <c r="AB2905">
        <v>3</v>
      </c>
      <c r="AC2905">
        <v>0</v>
      </c>
      <c r="AD2905">
        <v>9</v>
      </c>
      <c r="AE2905">
        <v>0</v>
      </c>
      <c r="AF2905">
        <v>3</v>
      </c>
      <c r="AG2905">
        <v>1</v>
      </c>
      <c r="AH2905">
        <v>0</v>
      </c>
      <c r="AI2905" t="s">
        <v>1454</v>
      </c>
      <c r="AJ2905">
        <v>32.988939000000002</v>
      </c>
      <c r="AK2905" t="s">
        <v>939</v>
      </c>
      <c r="AL2905">
        <v>-97.667642000000001</v>
      </c>
      <c r="AM2905">
        <v>25</v>
      </c>
      <c r="AN2905">
        <v>1100</v>
      </c>
      <c r="AO2905" t="s">
        <v>118</v>
      </c>
      <c r="AP2905">
        <v>-13</v>
      </c>
      <c r="AQ2905">
        <v>-85</v>
      </c>
      <c r="AR2905">
        <v>-640</v>
      </c>
      <c r="AZ2905">
        <v>7700</v>
      </c>
      <c r="BA2905">
        <v>1</v>
      </c>
      <c r="BB2905" t="str">
        <f t="shared" si="868"/>
        <v xml:space="preserve">N733KP  </v>
      </c>
      <c r="BC2905">
        <v>1</v>
      </c>
      <c r="BE2905">
        <v>0</v>
      </c>
      <c r="BF2905">
        <v>0</v>
      </c>
      <c r="BG2905">
        <v>1</v>
      </c>
      <c r="BH2905">
        <v>1075</v>
      </c>
      <c r="BI2905">
        <v>1</v>
      </c>
      <c r="BJ2905">
        <v>1</v>
      </c>
      <c r="BK2905">
        <v>0</v>
      </c>
      <c r="BL2905">
        <v>0</v>
      </c>
      <c r="BO2905">
        <v>0</v>
      </c>
      <c r="BP2905">
        <v>0</v>
      </c>
      <c r="BW2905" t="str">
        <f>"22:22:21.259"</f>
        <v>22:22:21.259</v>
      </c>
      <c r="CJ2905">
        <v>0</v>
      </c>
      <c r="CK2905">
        <v>2</v>
      </c>
      <c r="CL2905">
        <v>0</v>
      </c>
      <c r="CM2905">
        <v>2</v>
      </c>
      <c r="CN2905">
        <v>0</v>
      </c>
      <c r="CO2905">
        <v>3</v>
      </c>
      <c r="CP2905" t="s">
        <v>119</v>
      </c>
      <c r="CQ2905">
        <v>364</v>
      </c>
      <c r="CR2905">
        <v>0</v>
      </c>
      <c r="CW2905">
        <v>1479419</v>
      </c>
      <c r="CY2905">
        <v>1</v>
      </c>
      <c r="CZ2905">
        <v>0</v>
      </c>
      <c r="DA2905">
        <v>1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3">
      <c r="A2906" t="str">
        <f>"03/24/2022 22:22:21.480"</f>
        <v>03/24/2022 22:22:21.480</v>
      </c>
      <c r="C2906" t="str">
        <f t="shared" si="867"/>
        <v>FFDFD3C0</v>
      </c>
      <c r="D2906" t="s">
        <v>126</v>
      </c>
      <c r="E2906">
        <v>3</v>
      </c>
      <c r="H2906">
        <v>160</v>
      </c>
      <c r="I2906" t="s">
        <v>121</v>
      </c>
      <c r="J2906" t="s">
        <v>127</v>
      </c>
      <c r="K2906">
        <v>0</v>
      </c>
      <c r="L2906">
        <v>3</v>
      </c>
      <c r="M2906">
        <v>0</v>
      </c>
      <c r="N2906">
        <v>2</v>
      </c>
      <c r="O2906">
        <v>0</v>
      </c>
      <c r="P2906">
        <v>1</v>
      </c>
      <c r="Q2906">
        <v>0</v>
      </c>
      <c r="S2906" t="str">
        <f t="shared" si="869"/>
        <v>22:22:21.000</v>
      </c>
      <c r="T2906" t="str">
        <f t="shared" si="869"/>
        <v>22:22:21.000</v>
      </c>
      <c r="U2906" t="str">
        <f t="shared" si="861"/>
        <v>A9D71F</v>
      </c>
      <c r="V2906">
        <v>0</v>
      </c>
      <c r="W2906">
        <v>0</v>
      </c>
      <c r="X2906">
        <v>2</v>
      </c>
      <c r="Z2906">
        <v>1</v>
      </c>
      <c r="AA2906">
        <v>8</v>
      </c>
      <c r="AB2906">
        <v>3</v>
      </c>
      <c r="AC2906">
        <v>0</v>
      </c>
      <c r="AD2906">
        <v>9</v>
      </c>
      <c r="AE2906">
        <v>0</v>
      </c>
      <c r="AF2906">
        <v>3</v>
      </c>
      <c r="AG2906">
        <v>1</v>
      </c>
      <c r="AH2906">
        <v>0</v>
      </c>
      <c r="AI2906" t="s">
        <v>1454</v>
      </c>
      <c r="AJ2906">
        <v>32.988939000000002</v>
      </c>
      <c r="AK2906" t="s">
        <v>939</v>
      </c>
      <c r="AL2906">
        <v>-97.667642000000001</v>
      </c>
      <c r="AM2906">
        <v>25</v>
      </c>
      <c r="AN2906">
        <v>1100</v>
      </c>
      <c r="AO2906" t="s">
        <v>118</v>
      </c>
      <c r="AP2906">
        <v>-13</v>
      </c>
      <c r="AQ2906">
        <v>-85</v>
      </c>
      <c r="AR2906">
        <v>-640</v>
      </c>
      <c r="AZ2906">
        <v>7700</v>
      </c>
      <c r="BA2906">
        <v>1</v>
      </c>
      <c r="BB2906" t="str">
        <f t="shared" si="868"/>
        <v xml:space="preserve">N733KP  </v>
      </c>
      <c r="BC2906">
        <v>1</v>
      </c>
      <c r="BE2906">
        <v>0</v>
      </c>
      <c r="BF2906">
        <v>0</v>
      </c>
      <c r="BG2906">
        <v>1</v>
      </c>
      <c r="BH2906">
        <v>1075</v>
      </c>
      <c r="BI2906">
        <v>1</v>
      </c>
      <c r="BJ2906">
        <v>1</v>
      </c>
      <c r="BK2906">
        <v>0</v>
      </c>
      <c r="BL2906">
        <v>0</v>
      </c>
      <c r="BO2906">
        <v>0</v>
      </c>
      <c r="BP2906">
        <v>0</v>
      </c>
      <c r="BW2906" t="str">
        <f>"22:22:21.259"</f>
        <v>22:22:21.259</v>
      </c>
      <c r="CJ2906">
        <v>0</v>
      </c>
      <c r="CK2906">
        <v>2</v>
      </c>
      <c r="CL2906">
        <v>0</v>
      </c>
      <c r="CM2906">
        <v>2</v>
      </c>
      <c r="CN2906">
        <v>0</v>
      </c>
      <c r="CO2906">
        <v>3</v>
      </c>
      <c r="CP2906" t="s">
        <v>119</v>
      </c>
      <c r="CQ2906">
        <v>364</v>
      </c>
      <c r="CR2906">
        <v>0</v>
      </c>
      <c r="CW2906">
        <v>1479419</v>
      </c>
      <c r="CY2906">
        <v>1</v>
      </c>
      <c r="CZ2906">
        <v>0</v>
      </c>
      <c r="DA2906">
        <v>1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3">
      <c r="A2907" t="str">
        <f>"03/24/2022 22:22:22.872"</f>
        <v>03/24/2022 22:22:22.872</v>
      </c>
      <c r="C2907" t="str">
        <f t="shared" si="867"/>
        <v>FFDFD3C0</v>
      </c>
      <c r="D2907" t="s">
        <v>123</v>
      </c>
      <c r="E2907">
        <v>8</v>
      </c>
      <c r="H2907">
        <v>31</v>
      </c>
      <c r="I2907" t="s">
        <v>124</v>
      </c>
      <c r="J2907" t="s">
        <v>125</v>
      </c>
      <c r="K2907">
        <v>0</v>
      </c>
      <c r="L2907">
        <v>3</v>
      </c>
      <c r="M2907">
        <v>0</v>
      </c>
      <c r="N2907">
        <v>2</v>
      </c>
      <c r="O2907">
        <v>0</v>
      </c>
      <c r="P2907">
        <v>1</v>
      </c>
      <c r="Q2907">
        <v>0</v>
      </c>
      <c r="S2907" t="str">
        <f t="shared" ref="S2907:T2910" si="870">"22:22:22.000"</f>
        <v>22:22:22.000</v>
      </c>
      <c r="T2907" t="str">
        <f t="shared" si="870"/>
        <v>22:22:22.000</v>
      </c>
      <c r="U2907" t="str">
        <f t="shared" si="861"/>
        <v>A9D71F</v>
      </c>
      <c r="V2907">
        <v>0</v>
      </c>
      <c r="W2907">
        <v>0</v>
      </c>
      <c r="X2907">
        <v>2</v>
      </c>
      <c r="Z2907">
        <v>1</v>
      </c>
      <c r="AA2907">
        <v>8</v>
      </c>
      <c r="AB2907">
        <v>3</v>
      </c>
      <c r="AC2907">
        <v>0</v>
      </c>
      <c r="AD2907">
        <v>9</v>
      </c>
      <c r="AE2907">
        <v>0</v>
      </c>
      <c r="AF2907">
        <v>3</v>
      </c>
      <c r="AG2907">
        <v>1</v>
      </c>
      <c r="AH2907">
        <v>0</v>
      </c>
      <c r="AI2907" t="s">
        <v>1455</v>
      </c>
      <c r="AJ2907">
        <v>32.988553000000003</v>
      </c>
      <c r="AK2907" t="s">
        <v>1456</v>
      </c>
      <c r="AL2907">
        <v>-97.667726999999999</v>
      </c>
      <c r="AM2907">
        <v>25</v>
      </c>
      <c r="AN2907">
        <v>1100</v>
      </c>
      <c r="AO2907" t="s">
        <v>118</v>
      </c>
      <c r="AP2907">
        <v>-10</v>
      </c>
      <c r="AQ2907">
        <v>-85</v>
      </c>
      <c r="AR2907">
        <v>-640</v>
      </c>
      <c r="AZ2907">
        <v>7700</v>
      </c>
      <c r="BA2907">
        <v>1</v>
      </c>
      <c r="BB2907" t="str">
        <f t="shared" si="868"/>
        <v xml:space="preserve">N733KP  </v>
      </c>
      <c r="BC2907">
        <v>1</v>
      </c>
      <c r="BE2907">
        <v>0</v>
      </c>
      <c r="BF2907">
        <v>0</v>
      </c>
      <c r="BG2907">
        <v>1</v>
      </c>
      <c r="BH2907">
        <v>1075</v>
      </c>
      <c r="BI2907">
        <v>1</v>
      </c>
      <c r="BJ2907">
        <v>1</v>
      </c>
      <c r="BK2907">
        <v>0</v>
      </c>
      <c r="BL2907">
        <v>0</v>
      </c>
      <c r="BO2907">
        <v>0</v>
      </c>
      <c r="BP2907">
        <v>0</v>
      </c>
      <c r="BW2907" t="str">
        <f>"22:22:22.603"</f>
        <v>22:22:22.603</v>
      </c>
      <c r="CJ2907">
        <v>0</v>
      </c>
      <c r="CK2907">
        <v>2</v>
      </c>
      <c r="CL2907">
        <v>0</v>
      </c>
      <c r="CM2907">
        <v>2</v>
      </c>
      <c r="CN2907">
        <v>0</v>
      </c>
      <c r="CO2907">
        <v>5</v>
      </c>
      <c r="CP2907" t="s">
        <v>119</v>
      </c>
      <c r="CQ2907">
        <v>364</v>
      </c>
      <c r="CR2907">
        <v>0</v>
      </c>
      <c r="CW2907">
        <v>1479633</v>
      </c>
      <c r="CY2907">
        <v>1</v>
      </c>
      <c r="CZ2907">
        <v>0</v>
      </c>
      <c r="DA2907">
        <v>0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3">
      <c r="A2908" t="str">
        <f>"03/24/2022 22:22:22.872"</f>
        <v>03/24/2022 22:22:22.872</v>
      </c>
      <c r="C2908" t="str">
        <f t="shared" si="867"/>
        <v>FFDFD3C0</v>
      </c>
      <c r="D2908" t="s">
        <v>113</v>
      </c>
      <c r="E2908">
        <v>24</v>
      </c>
      <c r="F2908">
        <v>2024</v>
      </c>
      <c r="G2908" t="s">
        <v>114</v>
      </c>
      <c r="J2908" t="s">
        <v>115</v>
      </c>
      <c r="K2908">
        <v>0</v>
      </c>
      <c r="L2908">
        <v>3</v>
      </c>
      <c r="M2908">
        <v>0</v>
      </c>
      <c r="N2908">
        <v>2</v>
      </c>
      <c r="O2908">
        <v>0</v>
      </c>
      <c r="P2908">
        <v>1</v>
      </c>
      <c r="Q2908">
        <v>0</v>
      </c>
      <c r="S2908" t="str">
        <f t="shared" si="870"/>
        <v>22:22:22.000</v>
      </c>
      <c r="T2908" t="str">
        <f t="shared" si="870"/>
        <v>22:22:22.000</v>
      </c>
      <c r="U2908" t="str">
        <f t="shared" si="861"/>
        <v>A9D71F</v>
      </c>
      <c r="V2908">
        <v>0</v>
      </c>
      <c r="W2908">
        <v>0</v>
      </c>
      <c r="X2908">
        <v>2</v>
      </c>
      <c r="Z2908">
        <v>1</v>
      </c>
      <c r="AA2908">
        <v>8</v>
      </c>
      <c r="AB2908">
        <v>3</v>
      </c>
      <c r="AC2908">
        <v>0</v>
      </c>
      <c r="AD2908">
        <v>9</v>
      </c>
      <c r="AE2908">
        <v>0</v>
      </c>
      <c r="AF2908">
        <v>3</v>
      </c>
      <c r="AG2908">
        <v>1</v>
      </c>
      <c r="AH2908">
        <v>0</v>
      </c>
      <c r="AI2908" t="s">
        <v>1455</v>
      </c>
      <c r="AJ2908">
        <v>32.988553000000003</v>
      </c>
      <c r="AK2908" t="s">
        <v>1456</v>
      </c>
      <c r="AL2908">
        <v>-97.667726999999999</v>
      </c>
      <c r="AM2908">
        <v>25</v>
      </c>
      <c r="AN2908">
        <v>1100</v>
      </c>
      <c r="AO2908" t="s">
        <v>118</v>
      </c>
      <c r="AP2908">
        <v>-10</v>
      </c>
      <c r="AQ2908">
        <v>-85</v>
      </c>
      <c r="AR2908">
        <v>-640</v>
      </c>
      <c r="AZ2908">
        <v>7700</v>
      </c>
      <c r="BA2908">
        <v>1</v>
      </c>
      <c r="BB2908" t="str">
        <f t="shared" si="868"/>
        <v xml:space="preserve">N733KP  </v>
      </c>
      <c r="BC2908">
        <v>1</v>
      </c>
      <c r="BE2908">
        <v>0</v>
      </c>
      <c r="BF2908">
        <v>0</v>
      </c>
      <c r="BG2908">
        <v>1</v>
      </c>
      <c r="BH2908">
        <v>1075</v>
      </c>
      <c r="BI2908">
        <v>1</v>
      </c>
      <c r="BJ2908">
        <v>1</v>
      </c>
      <c r="BK2908">
        <v>0</v>
      </c>
      <c r="BL2908">
        <v>0</v>
      </c>
      <c r="BO2908">
        <v>0</v>
      </c>
      <c r="BP2908">
        <v>0</v>
      </c>
      <c r="BW2908" t="str">
        <f>"22:22:22.603"</f>
        <v>22:22:22.603</v>
      </c>
      <c r="CJ2908">
        <v>0</v>
      </c>
      <c r="CK2908">
        <v>2</v>
      </c>
      <c r="CL2908">
        <v>0</v>
      </c>
      <c r="CM2908">
        <v>2</v>
      </c>
      <c r="CN2908">
        <v>0</v>
      </c>
      <c r="CO2908">
        <v>5</v>
      </c>
      <c r="CP2908" t="s">
        <v>119</v>
      </c>
      <c r="CQ2908">
        <v>364</v>
      </c>
      <c r="CR2908">
        <v>0</v>
      </c>
      <c r="CW2908">
        <v>1479633</v>
      </c>
      <c r="CY2908">
        <v>1</v>
      </c>
      <c r="CZ2908">
        <v>0</v>
      </c>
      <c r="DA2908">
        <v>1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3">
      <c r="A2909" t="str">
        <f>"03/24/2022 22:22:22.887"</f>
        <v>03/24/2022 22:22:22.887</v>
      </c>
      <c r="C2909" t="str">
        <f t="shared" si="867"/>
        <v>FFDFD3C0</v>
      </c>
      <c r="D2909" t="s">
        <v>120</v>
      </c>
      <c r="E2909">
        <v>14</v>
      </c>
      <c r="F2909">
        <v>1014</v>
      </c>
      <c r="G2909" t="s">
        <v>121</v>
      </c>
      <c r="J2909" t="s">
        <v>122</v>
      </c>
      <c r="K2909">
        <v>0</v>
      </c>
      <c r="L2909">
        <v>3</v>
      </c>
      <c r="M2909">
        <v>0</v>
      </c>
      <c r="N2909">
        <v>2</v>
      </c>
      <c r="O2909">
        <v>0</v>
      </c>
      <c r="P2909">
        <v>1</v>
      </c>
      <c r="Q2909">
        <v>0</v>
      </c>
      <c r="S2909" t="str">
        <f t="shared" si="870"/>
        <v>22:22:22.000</v>
      </c>
      <c r="T2909" t="str">
        <f t="shared" si="870"/>
        <v>22:22:22.000</v>
      </c>
      <c r="U2909" t="str">
        <f t="shared" si="861"/>
        <v>A9D71F</v>
      </c>
      <c r="V2909">
        <v>0</v>
      </c>
      <c r="W2909">
        <v>0</v>
      </c>
      <c r="X2909">
        <v>2</v>
      </c>
      <c r="Z2909">
        <v>1</v>
      </c>
      <c r="AA2909">
        <v>8</v>
      </c>
      <c r="AB2909">
        <v>3</v>
      </c>
      <c r="AC2909">
        <v>0</v>
      </c>
      <c r="AD2909">
        <v>9</v>
      </c>
      <c r="AE2909">
        <v>0</v>
      </c>
      <c r="AF2909">
        <v>3</v>
      </c>
      <c r="AG2909">
        <v>1</v>
      </c>
      <c r="AH2909">
        <v>0</v>
      </c>
      <c r="AI2909" t="s">
        <v>1455</v>
      </c>
      <c r="AJ2909">
        <v>32.988553000000003</v>
      </c>
      <c r="AK2909" t="s">
        <v>1456</v>
      </c>
      <c r="AL2909">
        <v>-97.667726999999999</v>
      </c>
      <c r="AM2909">
        <v>25</v>
      </c>
      <c r="AN2909">
        <v>1100</v>
      </c>
      <c r="AO2909" t="s">
        <v>118</v>
      </c>
      <c r="AP2909">
        <v>-10</v>
      </c>
      <c r="AQ2909">
        <v>-85</v>
      </c>
      <c r="AR2909">
        <v>-640</v>
      </c>
      <c r="AZ2909">
        <v>7700</v>
      </c>
      <c r="BA2909">
        <v>1</v>
      </c>
      <c r="BB2909" t="str">
        <f t="shared" si="868"/>
        <v xml:space="preserve">N733KP  </v>
      </c>
      <c r="BC2909">
        <v>1</v>
      </c>
      <c r="BE2909">
        <v>0</v>
      </c>
      <c r="BF2909">
        <v>0</v>
      </c>
      <c r="BG2909">
        <v>1</v>
      </c>
      <c r="BH2909">
        <v>1075</v>
      </c>
      <c r="BI2909">
        <v>1</v>
      </c>
      <c r="BJ2909">
        <v>1</v>
      </c>
      <c r="BK2909">
        <v>0</v>
      </c>
      <c r="BL2909">
        <v>0</v>
      </c>
      <c r="BO2909">
        <v>0</v>
      </c>
      <c r="BP2909">
        <v>0</v>
      </c>
      <c r="BW2909" t="str">
        <f>"22:22:22.603"</f>
        <v>22:22:22.603</v>
      </c>
      <c r="CJ2909">
        <v>0</v>
      </c>
      <c r="CK2909">
        <v>2</v>
      </c>
      <c r="CL2909">
        <v>0</v>
      </c>
      <c r="CM2909">
        <v>2</v>
      </c>
      <c r="CN2909">
        <v>0</v>
      </c>
      <c r="CO2909">
        <v>5</v>
      </c>
      <c r="CP2909" t="s">
        <v>119</v>
      </c>
      <c r="CQ2909">
        <v>364</v>
      </c>
      <c r="CR2909">
        <v>0</v>
      </c>
      <c r="CW2909">
        <v>1479633</v>
      </c>
      <c r="CY2909">
        <v>1</v>
      </c>
      <c r="CZ2909">
        <v>0</v>
      </c>
      <c r="DA2909">
        <v>1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3">
      <c r="A2910" t="str">
        <f>"03/24/2022 22:22:22.887"</f>
        <v>03/24/2022 22:22:22.887</v>
      </c>
      <c r="C2910" t="str">
        <f t="shared" si="867"/>
        <v>FFDFD3C0</v>
      </c>
      <c r="D2910" t="s">
        <v>126</v>
      </c>
      <c r="E2910">
        <v>3</v>
      </c>
      <c r="H2910">
        <v>160</v>
      </c>
      <c r="I2910" t="s">
        <v>121</v>
      </c>
      <c r="J2910" t="s">
        <v>127</v>
      </c>
      <c r="K2910">
        <v>0</v>
      </c>
      <c r="L2910">
        <v>3</v>
      </c>
      <c r="M2910">
        <v>0</v>
      </c>
      <c r="N2910">
        <v>2</v>
      </c>
      <c r="O2910">
        <v>0</v>
      </c>
      <c r="P2910">
        <v>1</v>
      </c>
      <c r="Q2910">
        <v>0</v>
      </c>
      <c r="S2910" t="str">
        <f t="shared" si="870"/>
        <v>22:22:22.000</v>
      </c>
      <c r="T2910" t="str">
        <f t="shared" si="870"/>
        <v>22:22:22.000</v>
      </c>
      <c r="U2910" t="str">
        <f t="shared" si="861"/>
        <v>A9D71F</v>
      </c>
      <c r="V2910">
        <v>0</v>
      </c>
      <c r="W2910">
        <v>0</v>
      </c>
      <c r="X2910">
        <v>2</v>
      </c>
      <c r="Z2910">
        <v>1</v>
      </c>
      <c r="AA2910">
        <v>8</v>
      </c>
      <c r="AB2910">
        <v>3</v>
      </c>
      <c r="AC2910">
        <v>0</v>
      </c>
      <c r="AD2910">
        <v>9</v>
      </c>
      <c r="AE2910">
        <v>0</v>
      </c>
      <c r="AF2910">
        <v>3</v>
      </c>
      <c r="AG2910">
        <v>1</v>
      </c>
      <c r="AH2910">
        <v>0</v>
      </c>
      <c r="AI2910" t="s">
        <v>1455</v>
      </c>
      <c r="AJ2910">
        <v>32.988553000000003</v>
      </c>
      <c r="AK2910" t="s">
        <v>1456</v>
      </c>
      <c r="AL2910">
        <v>-97.667726999999999</v>
      </c>
      <c r="AM2910">
        <v>25</v>
      </c>
      <c r="AN2910">
        <v>1100</v>
      </c>
      <c r="AO2910" t="s">
        <v>118</v>
      </c>
      <c r="AP2910">
        <v>-10</v>
      </c>
      <c r="AQ2910">
        <v>-85</v>
      </c>
      <c r="AR2910">
        <v>-640</v>
      </c>
      <c r="AZ2910">
        <v>7700</v>
      </c>
      <c r="BA2910">
        <v>1</v>
      </c>
      <c r="BB2910" t="str">
        <f t="shared" si="868"/>
        <v xml:space="preserve">N733KP  </v>
      </c>
      <c r="BC2910">
        <v>1</v>
      </c>
      <c r="BE2910">
        <v>0</v>
      </c>
      <c r="BF2910">
        <v>0</v>
      </c>
      <c r="BG2910">
        <v>1</v>
      </c>
      <c r="BH2910">
        <v>1075</v>
      </c>
      <c r="BI2910">
        <v>1</v>
      </c>
      <c r="BJ2910">
        <v>1</v>
      </c>
      <c r="BK2910">
        <v>0</v>
      </c>
      <c r="BL2910">
        <v>0</v>
      </c>
      <c r="BO2910">
        <v>0</v>
      </c>
      <c r="BP2910">
        <v>0</v>
      </c>
      <c r="BW2910" t="str">
        <f>"22:22:22.603"</f>
        <v>22:22:22.603</v>
      </c>
      <c r="CJ2910">
        <v>0</v>
      </c>
      <c r="CK2910">
        <v>2</v>
      </c>
      <c r="CL2910">
        <v>0</v>
      </c>
      <c r="CM2910">
        <v>2</v>
      </c>
      <c r="CN2910">
        <v>0</v>
      </c>
      <c r="CO2910">
        <v>5</v>
      </c>
      <c r="CP2910" t="s">
        <v>119</v>
      </c>
      <c r="CQ2910">
        <v>364</v>
      </c>
      <c r="CR2910">
        <v>0</v>
      </c>
      <c r="CW2910">
        <v>1479633</v>
      </c>
      <c r="CY2910">
        <v>1</v>
      </c>
      <c r="CZ2910">
        <v>0</v>
      </c>
      <c r="DA2910">
        <v>1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3">
      <c r="A2911" t="str">
        <f>"03/24/2022 22:22:24.014"</f>
        <v>03/24/2022 22:22:24.014</v>
      </c>
      <c r="C2911" t="str">
        <f t="shared" si="867"/>
        <v>FFDFD3C0</v>
      </c>
      <c r="D2911" t="s">
        <v>123</v>
      </c>
      <c r="E2911">
        <v>8</v>
      </c>
      <c r="H2911">
        <v>31</v>
      </c>
      <c r="I2911" t="s">
        <v>124</v>
      </c>
      <c r="J2911" t="s">
        <v>125</v>
      </c>
      <c r="K2911">
        <v>0</v>
      </c>
      <c r="L2911">
        <v>3</v>
      </c>
      <c r="M2911">
        <v>0</v>
      </c>
      <c r="N2911">
        <v>2</v>
      </c>
      <c r="O2911">
        <v>0</v>
      </c>
      <c r="P2911">
        <v>1</v>
      </c>
      <c r="Q2911">
        <v>0</v>
      </c>
      <c r="S2911" t="str">
        <f t="shared" ref="S2911:T2914" si="871">"22:22:23.000"</f>
        <v>22:22:23.000</v>
      </c>
      <c r="T2911" t="str">
        <f t="shared" si="871"/>
        <v>22:22:23.000</v>
      </c>
      <c r="U2911" t="str">
        <f t="shared" si="861"/>
        <v>A9D71F</v>
      </c>
      <c r="V2911">
        <v>0</v>
      </c>
      <c r="W2911">
        <v>0</v>
      </c>
      <c r="X2911">
        <v>2</v>
      </c>
      <c r="Z2911">
        <v>1</v>
      </c>
      <c r="AA2911">
        <v>8</v>
      </c>
      <c r="AB2911">
        <v>3</v>
      </c>
      <c r="AC2911">
        <v>0</v>
      </c>
      <c r="AD2911">
        <v>9</v>
      </c>
      <c r="AE2911">
        <v>0</v>
      </c>
      <c r="AF2911">
        <v>3</v>
      </c>
      <c r="AG2911">
        <v>1</v>
      </c>
      <c r="AH2911">
        <v>0</v>
      </c>
      <c r="AI2911" t="s">
        <v>1457</v>
      </c>
      <c r="AJ2911">
        <v>32.988145000000003</v>
      </c>
      <c r="AK2911" t="s">
        <v>1458</v>
      </c>
      <c r="AL2911">
        <v>-97.667770000000004</v>
      </c>
      <c r="AM2911">
        <v>25</v>
      </c>
      <c r="AN2911">
        <v>1100</v>
      </c>
      <c r="AO2911" t="s">
        <v>118</v>
      </c>
      <c r="AP2911">
        <v>-6</v>
      </c>
      <c r="AQ2911">
        <v>-86</v>
      </c>
      <c r="AR2911">
        <v>-640</v>
      </c>
      <c r="AZ2911">
        <v>7700</v>
      </c>
      <c r="BA2911">
        <v>1</v>
      </c>
      <c r="BB2911" t="str">
        <f t="shared" si="868"/>
        <v xml:space="preserve">N733KP  </v>
      </c>
      <c r="BC2911">
        <v>1</v>
      </c>
      <c r="BE2911">
        <v>0</v>
      </c>
      <c r="BF2911">
        <v>0</v>
      </c>
      <c r="BG2911">
        <v>1</v>
      </c>
      <c r="BH2911">
        <v>1050</v>
      </c>
      <c r="BI2911">
        <v>1</v>
      </c>
      <c r="BJ2911">
        <v>1</v>
      </c>
      <c r="BK2911">
        <v>0</v>
      </c>
      <c r="BL2911">
        <v>0</v>
      </c>
      <c r="BO2911">
        <v>0</v>
      </c>
      <c r="BP2911">
        <v>0</v>
      </c>
      <c r="BW2911" t="str">
        <f>"22:22:23.779"</f>
        <v>22:22:23.779</v>
      </c>
      <c r="CJ2911">
        <v>0</v>
      </c>
      <c r="CK2911">
        <v>2</v>
      </c>
      <c r="CL2911">
        <v>0</v>
      </c>
      <c r="CM2911">
        <v>2</v>
      </c>
      <c r="CN2911">
        <v>0</v>
      </c>
      <c r="CO2911">
        <v>5</v>
      </c>
      <c r="CP2911" t="s">
        <v>119</v>
      </c>
      <c r="CQ2911">
        <v>364</v>
      </c>
      <c r="CR2911">
        <v>0</v>
      </c>
      <c r="CW2911">
        <v>1479815</v>
      </c>
      <c r="CY2911">
        <v>1</v>
      </c>
      <c r="CZ2911">
        <v>0</v>
      </c>
      <c r="DA2911">
        <v>0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3">
      <c r="A2912" t="str">
        <f>"03/24/2022 22:22:24.014"</f>
        <v>03/24/2022 22:22:24.014</v>
      </c>
      <c r="C2912" t="str">
        <f t="shared" si="867"/>
        <v>FFDFD3C0</v>
      </c>
      <c r="D2912" t="s">
        <v>113</v>
      </c>
      <c r="E2912">
        <v>24</v>
      </c>
      <c r="F2912">
        <v>2024</v>
      </c>
      <c r="G2912" t="s">
        <v>114</v>
      </c>
      <c r="J2912" t="s">
        <v>115</v>
      </c>
      <c r="K2912">
        <v>0</v>
      </c>
      <c r="L2912">
        <v>3</v>
      </c>
      <c r="M2912">
        <v>0</v>
      </c>
      <c r="N2912">
        <v>2</v>
      </c>
      <c r="O2912">
        <v>0</v>
      </c>
      <c r="P2912">
        <v>1</v>
      </c>
      <c r="Q2912">
        <v>0</v>
      </c>
      <c r="S2912" t="str">
        <f t="shared" si="871"/>
        <v>22:22:23.000</v>
      </c>
      <c r="T2912" t="str">
        <f t="shared" si="871"/>
        <v>22:22:23.000</v>
      </c>
      <c r="U2912" t="str">
        <f t="shared" si="861"/>
        <v>A9D71F</v>
      </c>
      <c r="V2912">
        <v>0</v>
      </c>
      <c r="W2912">
        <v>0</v>
      </c>
      <c r="X2912">
        <v>2</v>
      </c>
      <c r="Z2912">
        <v>1</v>
      </c>
      <c r="AA2912">
        <v>8</v>
      </c>
      <c r="AB2912">
        <v>3</v>
      </c>
      <c r="AC2912">
        <v>0</v>
      </c>
      <c r="AD2912">
        <v>9</v>
      </c>
      <c r="AE2912">
        <v>0</v>
      </c>
      <c r="AF2912">
        <v>3</v>
      </c>
      <c r="AG2912">
        <v>1</v>
      </c>
      <c r="AH2912">
        <v>0</v>
      </c>
      <c r="AI2912" t="s">
        <v>1457</v>
      </c>
      <c r="AJ2912">
        <v>32.988145000000003</v>
      </c>
      <c r="AK2912" t="s">
        <v>1458</v>
      </c>
      <c r="AL2912">
        <v>-97.667770000000004</v>
      </c>
      <c r="AM2912">
        <v>25</v>
      </c>
      <c r="AN2912">
        <v>1100</v>
      </c>
      <c r="AO2912" t="s">
        <v>118</v>
      </c>
      <c r="AP2912">
        <v>-6</v>
      </c>
      <c r="AQ2912">
        <v>-86</v>
      </c>
      <c r="AR2912">
        <v>-640</v>
      </c>
      <c r="AZ2912">
        <v>7700</v>
      </c>
      <c r="BA2912">
        <v>1</v>
      </c>
      <c r="BB2912" t="str">
        <f t="shared" si="868"/>
        <v xml:space="preserve">N733KP  </v>
      </c>
      <c r="BC2912">
        <v>1</v>
      </c>
      <c r="BE2912">
        <v>0</v>
      </c>
      <c r="BF2912">
        <v>0</v>
      </c>
      <c r="BG2912">
        <v>1</v>
      </c>
      <c r="BH2912">
        <v>1050</v>
      </c>
      <c r="BI2912">
        <v>1</v>
      </c>
      <c r="BJ2912">
        <v>1</v>
      </c>
      <c r="BK2912">
        <v>0</v>
      </c>
      <c r="BL2912">
        <v>0</v>
      </c>
      <c r="BO2912">
        <v>0</v>
      </c>
      <c r="BP2912">
        <v>0</v>
      </c>
      <c r="BW2912" t="str">
        <f>"22:22:23.779"</f>
        <v>22:22:23.779</v>
      </c>
      <c r="CJ2912">
        <v>0</v>
      </c>
      <c r="CK2912">
        <v>2</v>
      </c>
      <c r="CL2912">
        <v>0</v>
      </c>
      <c r="CM2912">
        <v>2</v>
      </c>
      <c r="CN2912">
        <v>0</v>
      </c>
      <c r="CO2912">
        <v>5</v>
      </c>
      <c r="CP2912" t="s">
        <v>119</v>
      </c>
      <c r="CQ2912">
        <v>364</v>
      </c>
      <c r="CR2912">
        <v>0</v>
      </c>
      <c r="CW2912">
        <v>1479815</v>
      </c>
      <c r="CY2912">
        <v>1</v>
      </c>
      <c r="CZ2912">
        <v>0</v>
      </c>
      <c r="DA2912">
        <v>1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3">
      <c r="A2913" t="str">
        <f>"03/24/2022 22:22:24.014"</f>
        <v>03/24/2022 22:22:24.014</v>
      </c>
      <c r="C2913" t="str">
        <f t="shared" si="867"/>
        <v>FFDFD3C0</v>
      </c>
      <c r="D2913" t="s">
        <v>120</v>
      </c>
      <c r="E2913">
        <v>14</v>
      </c>
      <c r="F2913">
        <v>1014</v>
      </c>
      <c r="G2913" t="s">
        <v>121</v>
      </c>
      <c r="J2913" t="s">
        <v>122</v>
      </c>
      <c r="K2913">
        <v>0</v>
      </c>
      <c r="L2913">
        <v>3</v>
      </c>
      <c r="M2913">
        <v>0</v>
      </c>
      <c r="N2913">
        <v>2</v>
      </c>
      <c r="O2913">
        <v>0</v>
      </c>
      <c r="P2913">
        <v>1</v>
      </c>
      <c r="Q2913">
        <v>0</v>
      </c>
      <c r="S2913" t="str">
        <f t="shared" si="871"/>
        <v>22:22:23.000</v>
      </c>
      <c r="T2913" t="str">
        <f t="shared" si="871"/>
        <v>22:22:23.000</v>
      </c>
      <c r="U2913" t="str">
        <f t="shared" si="861"/>
        <v>A9D71F</v>
      </c>
      <c r="V2913">
        <v>0</v>
      </c>
      <c r="W2913">
        <v>0</v>
      </c>
      <c r="X2913">
        <v>2</v>
      </c>
      <c r="Z2913">
        <v>1</v>
      </c>
      <c r="AA2913">
        <v>8</v>
      </c>
      <c r="AB2913">
        <v>3</v>
      </c>
      <c r="AC2913">
        <v>0</v>
      </c>
      <c r="AD2913">
        <v>9</v>
      </c>
      <c r="AE2913">
        <v>0</v>
      </c>
      <c r="AF2913">
        <v>3</v>
      </c>
      <c r="AG2913">
        <v>1</v>
      </c>
      <c r="AH2913">
        <v>0</v>
      </c>
      <c r="AI2913" t="s">
        <v>1457</v>
      </c>
      <c r="AJ2913">
        <v>32.988145000000003</v>
      </c>
      <c r="AK2913" t="s">
        <v>1458</v>
      </c>
      <c r="AL2913">
        <v>-97.667770000000004</v>
      </c>
      <c r="AM2913">
        <v>25</v>
      </c>
      <c r="AN2913">
        <v>1100</v>
      </c>
      <c r="AO2913" t="s">
        <v>118</v>
      </c>
      <c r="AP2913">
        <v>-6</v>
      </c>
      <c r="AQ2913">
        <v>-86</v>
      </c>
      <c r="AR2913">
        <v>-640</v>
      </c>
      <c r="AZ2913">
        <v>7700</v>
      </c>
      <c r="BA2913">
        <v>1</v>
      </c>
      <c r="BB2913" t="str">
        <f t="shared" si="868"/>
        <v xml:space="preserve">N733KP  </v>
      </c>
      <c r="BC2913">
        <v>1</v>
      </c>
      <c r="BE2913">
        <v>0</v>
      </c>
      <c r="BF2913">
        <v>0</v>
      </c>
      <c r="BG2913">
        <v>1</v>
      </c>
      <c r="BH2913">
        <v>1050</v>
      </c>
      <c r="BI2913">
        <v>1</v>
      </c>
      <c r="BJ2913">
        <v>1</v>
      </c>
      <c r="BK2913">
        <v>0</v>
      </c>
      <c r="BL2913">
        <v>0</v>
      </c>
      <c r="BO2913">
        <v>0</v>
      </c>
      <c r="BP2913">
        <v>0</v>
      </c>
      <c r="BW2913" t="str">
        <f>"22:22:23.779"</f>
        <v>22:22:23.779</v>
      </c>
      <c r="CJ2913">
        <v>0</v>
      </c>
      <c r="CK2913">
        <v>2</v>
      </c>
      <c r="CL2913">
        <v>0</v>
      </c>
      <c r="CM2913">
        <v>2</v>
      </c>
      <c r="CN2913">
        <v>0</v>
      </c>
      <c r="CO2913">
        <v>5</v>
      </c>
      <c r="CP2913" t="s">
        <v>119</v>
      </c>
      <c r="CQ2913">
        <v>364</v>
      </c>
      <c r="CR2913">
        <v>0</v>
      </c>
      <c r="CW2913">
        <v>1479815</v>
      </c>
      <c r="CY2913">
        <v>1</v>
      </c>
      <c r="CZ2913">
        <v>0</v>
      </c>
      <c r="DA2913">
        <v>1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3">
      <c r="A2914" t="str">
        <f>"03/24/2022 22:22:24.014"</f>
        <v>03/24/2022 22:22:24.014</v>
      </c>
      <c r="C2914" t="str">
        <f t="shared" si="867"/>
        <v>FFDFD3C0</v>
      </c>
      <c r="D2914" t="s">
        <v>126</v>
      </c>
      <c r="E2914">
        <v>3</v>
      </c>
      <c r="H2914">
        <v>160</v>
      </c>
      <c r="I2914" t="s">
        <v>121</v>
      </c>
      <c r="J2914" t="s">
        <v>127</v>
      </c>
      <c r="K2914">
        <v>0</v>
      </c>
      <c r="L2914">
        <v>3</v>
      </c>
      <c r="M2914">
        <v>0</v>
      </c>
      <c r="N2914">
        <v>2</v>
      </c>
      <c r="O2914">
        <v>0</v>
      </c>
      <c r="P2914">
        <v>1</v>
      </c>
      <c r="Q2914">
        <v>0</v>
      </c>
      <c r="S2914" t="str">
        <f t="shared" si="871"/>
        <v>22:22:23.000</v>
      </c>
      <c r="T2914" t="str">
        <f t="shared" si="871"/>
        <v>22:22:23.000</v>
      </c>
      <c r="U2914" t="str">
        <f t="shared" si="861"/>
        <v>A9D71F</v>
      </c>
      <c r="V2914">
        <v>0</v>
      </c>
      <c r="W2914">
        <v>0</v>
      </c>
      <c r="X2914">
        <v>2</v>
      </c>
      <c r="Z2914">
        <v>1</v>
      </c>
      <c r="AA2914">
        <v>8</v>
      </c>
      <c r="AB2914">
        <v>3</v>
      </c>
      <c r="AC2914">
        <v>0</v>
      </c>
      <c r="AD2914">
        <v>9</v>
      </c>
      <c r="AE2914">
        <v>0</v>
      </c>
      <c r="AF2914">
        <v>3</v>
      </c>
      <c r="AG2914">
        <v>1</v>
      </c>
      <c r="AH2914">
        <v>0</v>
      </c>
      <c r="AI2914" t="s">
        <v>1457</v>
      </c>
      <c r="AJ2914">
        <v>32.988145000000003</v>
      </c>
      <c r="AK2914" t="s">
        <v>1458</v>
      </c>
      <c r="AL2914">
        <v>-97.667770000000004</v>
      </c>
      <c r="AM2914">
        <v>25</v>
      </c>
      <c r="AN2914">
        <v>1100</v>
      </c>
      <c r="AO2914" t="s">
        <v>118</v>
      </c>
      <c r="AP2914">
        <v>-6</v>
      </c>
      <c r="AQ2914">
        <v>-86</v>
      </c>
      <c r="AR2914">
        <v>-640</v>
      </c>
      <c r="AZ2914">
        <v>7700</v>
      </c>
      <c r="BA2914">
        <v>1</v>
      </c>
      <c r="BB2914" t="str">
        <f t="shared" si="868"/>
        <v xml:space="preserve">N733KP  </v>
      </c>
      <c r="BC2914">
        <v>1</v>
      </c>
      <c r="BE2914">
        <v>0</v>
      </c>
      <c r="BF2914">
        <v>0</v>
      </c>
      <c r="BG2914">
        <v>1</v>
      </c>
      <c r="BH2914">
        <v>1050</v>
      </c>
      <c r="BI2914">
        <v>1</v>
      </c>
      <c r="BJ2914">
        <v>1</v>
      </c>
      <c r="BK2914">
        <v>0</v>
      </c>
      <c r="BL2914">
        <v>0</v>
      </c>
      <c r="BO2914">
        <v>0</v>
      </c>
      <c r="BP2914">
        <v>0</v>
      </c>
      <c r="BW2914" t="str">
        <f>"22:22:23.779"</f>
        <v>22:22:23.779</v>
      </c>
      <c r="CJ2914">
        <v>0</v>
      </c>
      <c r="CK2914">
        <v>2</v>
      </c>
      <c r="CL2914">
        <v>0</v>
      </c>
      <c r="CM2914">
        <v>2</v>
      </c>
      <c r="CN2914">
        <v>0</v>
      </c>
      <c r="CO2914">
        <v>5</v>
      </c>
      <c r="CP2914" t="s">
        <v>119</v>
      </c>
      <c r="CQ2914">
        <v>364</v>
      </c>
      <c r="CR2914">
        <v>0</v>
      </c>
      <c r="CW2914">
        <v>1479815</v>
      </c>
      <c r="CY2914">
        <v>1</v>
      </c>
      <c r="CZ2914">
        <v>0</v>
      </c>
      <c r="DA2914">
        <v>1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3">
      <c r="A2915" t="str">
        <f>"03/24/2022 22:22:24.686"</f>
        <v>03/24/2022 22:22:24.686</v>
      </c>
      <c r="C2915" t="str">
        <f t="shared" si="867"/>
        <v>FFDFD3C0</v>
      </c>
      <c r="D2915" t="s">
        <v>123</v>
      </c>
      <c r="E2915">
        <v>8</v>
      </c>
      <c r="H2915">
        <v>31</v>
      </c>
      <c r="I2915" t="s">
        <v>124</v>
      </c>
      <c r="J2915" t="s">
        <v>125</v>
      </c>
      <c r="K2915">
        <v>0</v>
      </c>
      <c r="L2915">
        <v>3</v>
      </c>
      <c r="M2915">
        <v>0</v>
      </c>
      <c r="N2915">
        <v>2</v>
      </c>
      <c r="O2915">
        <v>0</v>
      </c>
      <c r="P2915">
        <v>1</v>
      </c>
      <c r="Q2915">
        <v>0</v>
      </c>
      <c r="S2915" t="str">
        <f t="shared" ref="S2915:T2918" si="872">"22:22:24.000"</f>
        <v>22:22:24.000</v>
      </c>
      <c r="T2915" t="str">
        <f t="shared" si="872"/>
        <v>22:22:24.000</v>
      </c>
      <c r="U2915" t="str">
        <f t="shared" si="861"/>
        <v>A9D71F</v>
      </c>
      <c r="V2915">
        <v>0</v>
      </c>
      <c r="W2915">
        <v>0</v>
      </c>
      <c r="X2915">
        <v>2</v>
      </c>
      <c r="Z2915">
        <v>1</v>
      </c>
      <c r="AA2915">
        <v>8</v>
      </c>
      <c r="AB2915">
        <v>3</v>
      </c>
      <c r="AC2915">
        <v>0</v>
      </c>
      <c r="AD2915">
        <v>9</v>
      </c>
      <c r="AE2915">
        <v>0</v>
      </c>
      <c r="AF2915">
        <v>3</v>
      </c>
      <c r="AG2915">
        <v>1</v>
      </c>
      <c r="AH2915">
        <v>0</v>
      </c>
      <c r="AI2915" t="s">
        <v>1459</v>
      </c>
      <c r="AJ2915">
        <v>32.987738</v>
      </c>
      <c r="AK2915" t="s">
        <v>1460</v>
      </c>
      <c r="AL2915">
        <v>-97.667834999999997</v>
      </c>
      <c r="AM2915">
        <v>25</v>
      </c>
      <c r="AN2915">
        <v>1100</v>
      </c>
      <c r="AO2915" t="s">
        <v>118</v>
      </c>
      <c r="AP2915">
        <v>-4</v>
      </c>
      <c r="AQ2915">
        <v>-88</v>
      </c>
      <c r="AR2915">
        <v>-576</v>
      </c>
      <c r="AZ2915">
        <v>7700</v>
      </c>
      <c r="BA2915">
        <v>1</v>
      </c>
      <c r="BB2915" t="str">
        <f t="shared" si="868"/>
        <v xml:space="preserve">N733KP  </v>
      </c>
      <c r="BC2915">
        <v>1</v>
      </c>
      <c r="BE2915">
        <v>0</v>
      </c>
      <c r="BF2915">
        <v>0</v>
      </c>
      <c r="BG2915">
        <v>1</v>
      </c>
      <c r="BH2915">
        <v>1025</v>
      </c>
      <c r="BI2915">
        <v>1</v>
      </c>
      <c r="BJ2915">
        <v>1</v>
      </c>
      <c r="BK2915">
        <v>0</v>
      </c>
      <c r="BL2915">
        <v>0</v>
      </c>
      <c r="BO2915">
        <v>0</v>
      </c>
      <c r="BP2915">
        <v>0</v>
      </c>
      <c r="BW2915" t="str">
        <f>"22:22:24.514"</f>
        <v>22:22:24.514</v>
      </c>
      <c r="CJ2915">
        <v>0</v>
      </c>
      <c r="CK2915">
        <v>2</v>
      </c>
      <c r="CL2915">
        <v>0</v>
      </c>
      <c r="CM2915">
        <v>2</v>
      </c>
      <c r="CN2915">
        <v>0</v>
      </c>
      <c r="CO2915">
        <v>5</v>
      </c>
      <c r="CP2915" t="s">
        <v>119</v>
      </c>
      <c r="CQ2915">
        <v>364</v>
      </c>
      <c r="CR2915">
        <v>0</v>
      </c>
      <c r="CW2915">
        <v>1479922</v>
      </c>
      <c r="CY2915">
        <v>1</v>
      </c>
      <c r="CZ2915">
        <v>0</v>
      </c>
      <c r="DA2915">
        <v>0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3">
      <c r="A2916" t="str">
        <f>"03/24/2022 22:22:24.686"</f>
        <v>03/24/2022 22:22:24.686</v>
      </c>
      <c r="C2916" t="str">
        <f t="shared" si="867"/>
        <v>FFDFD3C0</v>
      </c>
      <c r="D2916" t="s">
        <v>113</v>
      </c>
      <c r="E2916">
        <v>24</v>
      </c>
      <c r="F2916">
        <v>2024</v>
      </c>
      <c r="G2916" t="s">
        <v>114</v>
      </c>
      <c r="J2916" t="s">
        <v>115</v>
      </c>
      <c r="K2916">
        <v>0</v>
      </c>
      <c r="L2916">
        <v>3</v>
      </c>
      <c r="M2916">
        <v>0</v>
      </c>
      <c r="N2916">
        <v>2</v>
      </c>
      <c r="O2916">
        <v>0</v>
      </c>
      <c r="P2916">
        <v>1</v>
      </c>
      <c r="Q2916">
        <v>0</v>
      </c>
      <c r="S2916" t="str">
        <f t="shared" si="872"/>
        <v>22:22:24.000</v>
      </c>
      <c r="T2916" t="str">
        <f t="shared" si="872"/>
        <v>22:22:24.000</v>
      </c>
      <c r="U2916" t="str">
        <f t="shared" si="861"/>
        <v>A9D71F</v>
      </c>
      <c r="V2916">
        <v>0</v>
      </c>
      <c r="W2916">
        <v>0</v>
      </c>
      <c r="X2916">
        <v>2</v>
      </c>
      <c r="Z2916">
        <v>1</v>
      </c>
      <c r="AA2916">
        <v>8</v>
      </c>
      <c r="AB2916">
        <v>3</v>
      </c>
      <c r="AC2916">
        <v>0</v>
      </c>
      <c r="AD2916">
        <v>9</v>
      </c>
      <c r="AE2916">
        <v>0</v>
      </c>
      <c r="AF2916">
        <v>3</v>
      </c>
      <c r="AG2916">
        <v>1</v>
      </c>
      <c r="AH2916">
        <v>0</v>
      </c>
      <c r="AI2916" t="s">
        <v>1459</v>
      </c>
      <c r="AJ2916">
        <v>32.987738</v>
      </c>
      <c r="AK2916" t="s">
        <v>1460</v>
      </c>
      <c r="AL2916">
        <v>-97.667834999999997</v>
      </c>
      <c r="AM2916">
        <v>25</v>
      </c>
      <c r="AN2916">
        <v>1100</v>
      </c>
      <c r="AO2916" t="s">
        <v>118</v>
      </c>
      <c r="AP2916">
        <v>-4</v>
      </c>
      <c r="AQ2916">
        <v>-88</v>
      </c>
      <c r="AR2916">
        <v>-576</v>
      </c>
      <c r="AZ2916">
        <v>7700</v>
      </c>
      <c r="BA2916">
        <v>1</v>
      </c>
      <c r="BB2916" t="str">
        <f t="shared" si="868"/>
        <v xml:space="preserve">N733KP  </v>
      </c>
      <c r="BC2916">
        <v>1</v>
      </c>
      <c r="BE2916">
        <v>0</v>
      </c>
      <c r="BF2916">
        <v>0</v>
      </c>
      <c r="BG2916">
        <v>1</v>
      </c>
      <c r="BH2916">
        <v>1025</v>
      </c>
      <c r="BI2916">
        <v>1</v>
      </c>
      <c r="BJ2916">
        <v>1</v>
      </c>
      <c r="BK2916">
        <v>0</v>
      </c>
      <c r="BL2916">
        <v>0</v>
      </c>
      <c r="BO2916">
        <v>0</v>
      </c>
      <c r="BP2916">
        <v>0</v>
      </c>
      <c r="BW2916" t="str">
        <f>"22:22:24.514"</f>
        <v>22:22:24.514</v>
      </c>
      <c r="CJ2916">
        <v>0</v>
      </c>
      <c r="CK2916">
        <v>2</v>
      </c>
      <c r="CL2916">
        <v>0</v>
      </c>
      <c r="CM2916">
        <v>2</v>
      </c>
      <c r="CN2916">
        <v>0</v>
      </c>
      <c r="CO2916">
        <v>5</v>
      </c>
      <c r="CP2916" t="s">
        <v>119</v>
      </c>
      <c r="CQ2916">
        <v>364</v>
      </c>
      <c r="CR2916">
        <v>0</v>
      </c>
      <c r="CW2916">
        <v>1479922</v>
      </c>
      <c r="CY2916">
        <v>1</v>
      </c>
      <c r="CZ2916">
        <v>0</v>
      </c>
      <c r="DA2916">
        <v>1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3">
      <c r="A2917" t="str">
        <f>"03/24/2022 22:22:24.686"</f>
        <v>03/24/2022 22:22:24.686</v>
      </c>
      <c r="C2917" t="str">
        <f t="shared" si="867"/>
        <v>FFDFD3C0</v>
      </c>
      <c r="D2917" t="s">
        <v>126</v>
      </c>
      <c r="E2917">
        <v>3</v>
      </c>
      <c r="H2917">
        <v>160</v>
      </c>
      <c r="I2917" t="s">
        <v>121</v>
      </c>
      <c r="J2917" t="s">
        <v>127</v>
      </c>
      <c r="K2917">
        <v>0</v>
      </c>
      <c r="L2917">
        <v>3</v>
      </c>
      <c r="M2917">
        <v>0</v>
      </c>
      <c r="N2917">
        <v>2</v>
      </c>
      <c r="O2917">
        <v>0</v>
      </c>
      <c r="P2917">
        <v>1</v>
      </c>
      <c r="Q2917">
        <v>0</v>
      </c>
      <c r="S2917" t="str">
        <f t="shared" si="872"/>
        <v>22:22:24.000</v>
      </c>
      <c r="T2917" t="str">
        <f t="shared" si="872"/>
        <v>22:22:24.000</v>
      </c>
      <c r="U2917" t="str">
        <f t="shared" si="861"/>
        <v>A9D71F</v>
      </c>
      <c r="V2917">
        <v>0</v>
      </c>
      <c r="W2917">
        <v>0</v>
      </c>
      <c r="X2917">
        <v>2</v>
      </c>
      <c r="Z2917">
        <v>1</v>
      </c>
      <c r="AA2917">
        <v>8</v>
      </c>
      <c r="AB2917">
        <v>3</v>
      </c>
      <c r="AC2917">
        <v>0</v>
      </c>
      <c r="AD2917">
        <v>9</v>
      </c>
      <c r="AE2917">
        <v>0</v>
      </c>
      <c r="AF2917">
        <v>3</v>
      </c>
      <c r="AG2917">
        <v>1</v>
      </c>
      <c r="AH2917">
        <v>0</v>
      </c>
      <c r="AI2917" t="s">
        <v>1459</v>
      </c>
      <c r="AJ2917">
        <v>32.987738</v>
      </c>
      <c r="AK2917" t="s">
        <v>1460</v>
      </c>
      <c r="AL2917">
        <v>-97.667834999999997</v>
      </c>
      <c r="AM2917">
        <v>25</v>
      </c>
      <c r="AN2917">
        <v>1100</v>
      </c>
      <c r="AO2917" t="s">
        <v>118</v>
      </c>
      <c r="AP2917">
        <v>-4</v>
      </c>
      <c r="AQ2917">
        <v>-88</v>
      </c>
      <c r="AR2917">
        <v>-576</v>
      </c>
      <c r="AZ2917">
        <v>7700</v>
      </c>
      <c r="BA2917">
        <v>1</v>
      </c>
      <c r="BB2917" t="str">
        <f t="shared" si="868"/>
        <v xml:space="preserve">N733KP  </v>
      </c>
      <c r="BC2917">
        <v>1</v>
      </c>
      <c r="BE2917">
        <v>0</v>
      </c>
      <c r="BF2917">
        <v>0</v>
      </c>
      <c r="BG2917">
        <v>1</v>
      </c>
      <c r="BH2917">
        <v>1025</v>
      </c>
      <c r="BI2917">
        <v>1</v>
      </c>
      <c r="BJ2917">
        <v>1</v>
      </c>
      <c r="BK2917">
        <v>0</v>
      </c>
      <c r="BL2917">
        <v>0</v>
      </c>
      <c r="BO2917">
        <v>0</v>
      </c>
      <c r="BP2917">
        <v>0</v>
      </c>
      <c r="BW2917" t="str">
        <f>"22:22:24.514"</f>
        <v>22:22:24.514</v>
      </c>
      <c r="CJ2917">
        <v>0</v>
      </c>
      <c r="CK2917">
        <v>2</v>
      </c>
      <c r="CL2917">
        <v>0</v>
      </c>
      <c r="CM2917">
        <v>2</v>
      </c>
      <c r="CN2917">
        <v>0</v>
      </c>
      <c r="CO2917">
        <v>5</v>
      </c>
      <c r="CP2917" t="s">
        <v>119</v>
      </c>
      <c r="CQ2917">
        <v>364</v>
      </c>
      <c r="CR2917">
        <v>0</v>
      </c>
      <c r="CW2917">
        <v>1479922</v>
      </c>
      <c r="CY2917">
        <v>1</v>
      </c>
      <c r="CZ2917">
        <v>0</v>
      </c>
      <c r="DA2917">
        <v>1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3">
      <c r="A2918" t="str">
        <f>"03/24/2022 22:22:24.686"</f>
        <v>03/24/2022 22:22:24.686</v>
      </c>
      <c r="C2918" t="str">
        <f t="shared" si="867"/>
        <v>FFDFD3C0</v>
      </c>
      <c r="D2918" t="s">
        <v>120</v>
      </c>
      <c r="E2918">
        <v>14</v>
      </c>
      <c r="F2918">
        <v>1014</v>
      </c>
      <c r="G2918" t="s">
        <v>121</v>
      </c>
      <c r="J2918" t="s">
        <v>122</v>
      </c>
      <c r="K2918">
        <v>0</v>
      </c>
      <c r="L2918">
        <v>3</v>
      </c>
      <c r="M2918">
        <v>0</v>
      </c>
      <c r="N2918">
        <v>2</v>
      </c>
      <c r="O2918">
        <v>0</v>
      </c>
      <c r="P2918">
        <v>1</v>
      </c>
      <c r="Q2918">
        <v>0</v>
      </c>
      <c r="S2918" t="str">
        <f t="shared" si="872"/>
        <v>22:22:24.000</v>
      </c>
      <c r="T2918" t="str">
        <f t="shared" si="872"/>
        <v>22:22:24.000</v>
      </c>
      <c r="U2918" t="str">
        <f t="shared" si="861"/>
        <v>A9D71F</v>
      </c>
      <c r="V2918">
        <v>0</v>
      </c>
      <c r="W2918">
        <v>0</v>
      </c>
      <c r="X2918">
        <v>2</v>
      </c>
      <c r="Z2918">
        <v>1</v>
      </c>
      <c r="AA2918">
        <v>8</v>
      </c>
      <c r="AB2918">
        <v>3</v>
      </c>
      <c r="AC2918">
        <v>0</v>
      </c>
      <c r="AD2918">
        <v>9</v>
      </c>
      <c r="AE2918">
        <v>0</v>
      </c>
      <c r="AF2918">
        <v>3</v>
      </c>
      <c r="AG2918">
        <v>1</v>
      </c>
      <c r="AH2918">
        <v>0</v>
      </c>
      <c r="AI2918" t="s">
        <v>1459</v>
      </c>
      <c r="AJ2918">
        <v>32.987738</v>
      </c>
      <c r="AK2918" t="s">
        <v>1460</v>
      </c>
      <c r="AL2918">
        <v>-97.667834999999997</v>
      </c>
      <c r="AM2918">
        <v>25</v>
      </c>
      <c r="AN2918">
        <v>1100</v>
      </c>
      <c r="AO2918" t="s">
        <v>118</v>
      </c>
      <c r="AP2918">
        <v>-4</v>
      </c>
      <c r="AQ2918">
        <v>-88</v>
      </c>
      <c r="AR2918">
        <v>-576</v>
      </c>
      <c r="AZ2918">
        <v>7700</v>
      </c>
      <c r="BA2918">
        <v>1</v>
      </c>
      <c r="BB2918" t="str">
        <f t="shared" si="868"/>
        <v xml:space="preserve">N733KP  </v>
      </c>
      <c r="BC2918">
        <v>1</v>
      </c>
      <c r="BE2918">
        <v>0</v>
      </c>
      <c r="BF2918">
        <v>0</v>
      </c>
      <c r="BG2918">
        <v>1</v>
      </c>
      <c r="BH2918">
        <v>1025</v>
      </c>
      <c r="BI2918">
        <v>1</v>
      </c>
      <c r="BJ2918">
        <v>1</v>
      </c>
      <c r="BK2918">
        <v>0</v>
      </c>
      <c r="BL2918">
        <v>0</v>
      </c>
      <c r="BO2918">
        <v>0</v>
      </c>
      <c r="BP2918">
        <v>0</v>
      </c>
      <c r="BW2918" t="str">
        <f>"22:22:24.514"</f>
        <v>22:22:24.514</v>
      </c>
      <c r="CJ2918">
        <v>0</v>
      </c>
      <c r="CK2918">
        <v>2</v>
      </c>
      <c r="CL2918">
        <v>0</v>
      </c>
      <c r="CM2918">
        <v>2</v>
      </c>
      <c r="CN2918">
        <v>0</v>
      </c>
      <c r="CO2918">
        <v>5</v>
      </c>
      <c r="CP2918" t="s">
        <v>119</v>
      </c>
      <c r="CQ2918">
        <v>364</v>
      </c>
      <c r="CR2918">
        <v>0</v>
      </c>
      <c r="CW2918">
        <v>1479922</v>
      </c>
      <c r="CY2918">
        <v>1</v>
      </c>
      <c r="CZ2918">
        <v>0</v>
      </c>
      <c r="DA2918">
        <v>1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3">
      <c r="A2919" t="str">
        <f>"03/24/2022 22:22:25.891"</f>
        <v>03/24/2022 22:22:25.891</v>
      </c>
      <c r="C2919" t="str">
        <f t="shared" si="867"/>
        <v>FFDFD3C0</v>
      </c>
      <c r="D2919" t="s">
        <v>126</v>
      </c>
      <c r="E2919">
        <v>3</v>
      </c>
      <c r="H2919">
        <v>160</v>
      </c>
      <c r="I2919" t="s">
        <v>121</v>
      </c>
      <c r="J2919" t="s">
        <v>127</v>
      </c>
      <c r="K2919">
        <v>0</v>
      </c>
      <c r="L2919">
        <v>3</v>
      </c>
      <c r="M2919">
        <v>0</v>
      </c>
      <c r="N2919">
        <v>2</v>
      </c>
      <c r="O2919">
        <v>0</v>
      </c>
      <c r="P2919">
        <v>1</v>
      </c>
      <c r="Q2919">
        <v>0</v>
      </c>
      <c r="S2919" t="str">
        <f t="shared" ref="S2919:T2922" si="873">"22:22:25.000"</f>
        <v>22:22:25.000</v>
      </c>
      <c r="T2919" t="str">
        <f t="shared" si="873"/>
        <v>22:22:25.000</v>
      </c>
      <c r="U2919" t="str">
        <f t="shared" si="861"/>
        <v>A9D71F</v>
      </c>
      <c r="V2919">
        <v>0</v>
      </c>
      <c r="W2919">
        <v>0</v>
      </c>
      <c r="X2919">
        <v>2</v>
      </c>
      <c r="Z2919">
        <v>1</v>
      </c>
      <c r="AA2919">
        <v>8</v>
      </c>
      <c r="AB2919">
        <v>3</v>
      </c>
      <c r="AC2919">
        <v>0</v>
      </c>
      <c r="AD2919">
        <v>9</v>
      </c>
      <c r="AE2919">
        <v>0</v>
      </c>
      <c r="AF2919">
        <v>3</v>
      </c>
      <c r="AG2919">
        <v>1</v>
      </c>
      <c r="AH2919">
        <v>0</v>
      </c>
      <c r="AI2919" t="s">
        <v>1461</v>
      </c>
      <c r="AJ2919">
        <v>32.98733</v>
      </c>
      <c r="AK2919" t="s">
        <v>1462</v>
      </c>
      <c r="AL2919">
        <v>-97.667878000000002</v>
      </c>
      <c r="AM2919">
        <v>25</v>
      </c>
      <c r="AN2919">
        <v>1100</v>
      </c>
      <c r="AO2919" t="s">
        <v>118</v>
      </c>
      <c r="AP2919">
        <v>-3</v>
      </c>
      <c r="AQ2919">
        <v>-87</v>
      </c>
      <c r="AR2919">
        <v>-576</v>
      </c>
      <c r="AZ2919">
        <v>7700</v>
      </c>
      <c r="BA2919">
        <v>1</v>
      </c>
      <c r="BB2919" t="str">
        <f t="shared" si="868"/>
        <v xml:space="preserve">N733KP  </v>
      </c>
      <c r="BC2919">
        <v>1</v>
      </c>
      <c r="BE2919">
        <v>0</v>
      </c>
      <c r="BF2919">
        <v>0</v>
      </c>
      <c r="BG2919">
        <v>1</v>
      </c>
      <c r="BH2919">
        <v>1025</v>
      </c>
      <c r="BI2919">
        <v>1</v>
      </c>
      <c r="BJ2919">
        <v>1</v>
      </c>
      <c r="BK2919">
        <v>0</v>
      </c>
      <c r="BL2919">
        <v>0</v>
      </c>
      <c r="BO2919">
        <v>0</v>
      </c>
      <c r="BP2919">
        <v>0</v>
      </c>
      <c r="BW2919" t="str">
        <f>"22:22:25.689"</f>
        <v>22:22:25.689</v>
      </c>
      <c r="CJ2919">
        <v>0</v>
      </c>
      <c r="CK2919">
        <v>2</v>
      </c>
      <c r="CL2919">
        <v>0</v>
      </c>
      <c r="CM2919">
        <v>2</v>
      </c>
      <c r="CN2919">
        <v>0</v>
      </c>
      <c r="CO2919">
        <v>5</v>
      </c>
      <c r="CP2919" t="s">
        <v>119</v>
      </c>
      <c r="CQ2919">
        <v>364</v>
      </c>
      <c r="CR2919">
        <v>0</v>
      </c>
      <c r="CW2919">
        <v>1480118</v>
      </c>
      <c r="CY2919">
        <v>1</v>
      </c>
      <c r="CZ2919">
        <v>0</v>
      </c>
      <c r="DA2919">
        <v>0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3">
      <c r="A2920" t="str">
        <f>"03/24/2022 22:22:25.891"</f>
        <v>03/24/2022 22:22:25.891</v>
      </c>
      <c r="C2920" t="str">
        <f t="shared" si="867"/>
        <v>FFDFD3C0</v>
      </c>
      <c r="D2920" t="s">
        <v>113</v>
      </c>
      <c r="E2920">
        <v>24</v>
      </c>
      <c r="F2920">
        <v>2024</v>
      </c>
      <c r="G2920" t="s">
        <v>114</v>
      </c>
      <c r="J2920" t="s">
        <v>115</v>
      </c>
      <c r="K2920">
        <v>0</v>
      </c>
      <c r="L2920">
        <v>3</v>
      </c>
      <c r="M2920">
        <v>0</v>
      </c>
      <c r="N2920">
        <v>2</v>
      </c>
      <c r="O2920">
        <v>0</v>
      </c>
      <c r="P2920">
        <v>1</v>
      </c>
      <c r="Q2920">
        <v>0</v>
      </c>
      <c r="S2920" t="str">
        <f t="shared" si="873"/>
        <v>22:22:25.000</v>
      </c>
      <c r="T2920" t="str">
        <f t="shared" si="873"/>
        <v>22:22:25.000</v>
      </c>
      <c r="U2920" t="str">
        <f t="shared" si="861"/>
        <v>A9D71F</v>
      </c>
      <c r="V2920">
        <v>0</v>
      </c>
      <c r="W2920">
        <v>0</v>
      </c>
      <c r="X2920">
        <v>2</v>
      </c>
      <c r="Z2920">
        <v>1</v>
      </c>
      <c r="AA2920">
        <v>8</v>
      </c>
      <c r="AB2920">
        <v>3</v>
      </c>
      <c r="AC2920">
        <v>0</v>
      </c>
      <c r="AD2920">
        <v>9</v>
      </c>
      <c r="AE2920">
        <v>0</v>
      </c>
      <c r="AF2920">
        <v>3</v>
      </c>
      <c r="AG2920">
        <v>1</v>
      </c>
      <c r="AH2920">
        <v>0</v>
      </c>
      <c r="AI2920" t="s">
        <v>1461</v>
      </c>
      <c r="AJ2920">
        <v>32.98733</v>
      </c>
      <c r="AK2920" t="s">
        <v>1462</v>
      </c>
      <c r="AL2920">
        <v>-97.667878000000002</v>
      </c>
      <c r="AM2920">
        <v>25</v>
      </c>
      <c r="AN2920">
        <v>1100</v>
      </c>
      <c r="AO2920" t="s">
        <v>118</v>
      </c>
      <c r="AP2920">
        <v>-3</v>
      </c>
      <c r="AQ2920">
        <v>-87</v>
      </c>
      <c r="AR2920">
        <v>-576</v>
      </c>
      <c r="AZ2920">
        <v>7700</v>
      </c>
      <c r="BA2920">
        <v>1</v>
      </c>
      <c r="BB2920" t="str">
        <f t="shared" si="868"/>
        <v xml:space="preserve">N733KP  </v>
      </c>
      <c r="BC2920">
        <v>1</v>
      </c>
      <c r="BE2920">
        <v>0</v>
      </c>
      <c r="BF2920">
        <v>0</v>
      </c>
      <c r="BG2920">
        <v>1</v>
      </c>
      <c r="BH2920">
        <v>1025</v>
      </c>
      <c r="BI2920">
        <v>1</v>
      </c>
      <c r="BJ2920">
        <v>1</v>
      </c>
      <c r="BK2920">
        <v>0</v>
      </c>
      <c r="BL2920">
        <v>0</v>
      </c>
      <c r="BO2920">
        <v>0</v>
      </c>
      <c r="BP2920">
        <v>0</v>
      </c>
      <c r="BW2920" t="str">
        <f>"22:22:25.689"</f>
        <v>22:22:25.689</v>
      </c>
      <c r="CJ2920">
        <v>0</v>
      </c>
      <c r="CK2920">
        <v>2</v>
      </c>
      <c r="CL2920">
        <v>0</v>
      </c>
      <c r="CM2920">
        <v>2</v>
      </c>
      <c r="CN2920">
        <v>0</v>
      </c>
      <c r="CO2920">
        <v>5</v>
      </c>
      <c r="CP2920" t="s">
        <v>119</v>
      </c>
      <c r="CQ2920">
        <v>364</v>
      </c>
      <c r="CR2920">
        <v>0</v>
      </c>
      <c r="CW2920">
        <v>1480118</v>
      </c>
      <c r="CY2920">
        <v>1</v>
      </c>
      <c r="CZ2920">
        <v>0</v>
      </c>
      <c r="DA2920">
        <v>1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3">
      <c r="A2921" t="str">
        <f>"03/24/2022 22:22:25.891"</f>
        <v>03/24/2022 22:22:25.891</v>
      </c>
      <c r="C2921" t="str">
        <f t="shared" si="867"/>
        <v>FFDFD3C0</v>
      </c>
      <c r="D2921" t="s">
        <v>120</v>
      </c>
      <c r="E2921">
        <v>14</v>
      </c>
      <c r="F2921">
        <v>1014</v>
      </c>
      <c r="G2921" t="s">
        <v>121</v>
      </c>
      <c r="J2921" t="s">
        <v>122</v>
      </c>
      <c r="K2921">
        <v>0</v>
      </c>
      <c r="L2921">
        <v>3</v>
      </c>
      <c r="M2921">
        <v>0</v>
      </c>
      <c r="N2921">
        <v>2</v>
      </c>
      <c r="O2921">
        <v>0</v>
      </c>
      <c r="P2921">
        <v>1</v>
      </c>
      <c r="Q2921">
        <v>0</v>
      </c>
      <c r="S2921" t="str">
        <f t="shared" si="873"/>
        <v>22:22:25.000</v>
      </c>
      <c r="T2921" t="str">
        <f t="shared" si="873"/>
        <v>22:22:25.000</v>
      </c>
      <c r="U2921" t="str">
        <f t="shared" si="861"/>
        <v>A9D71F</v>
      </c>
      <c r="V2921">
        <v>0</v>
      </c>
      <c r="W2921">
        <v>0</v>
      </c>
      <c r="X2921">
        <v>2</v>
      </c>
      <c r="Z2921">
        <v>1</v>
      </c>
      <c r="AA2921">
        <v>8</v>
      </c>
      <c r="AB2921">
        <v>3</v>
      </c>
      <c r="AC2921">
        <v>0</v>
      </c>
      <c r="AD2921">
        <v>9</v>
      </c>
      <c r="AE2921">
        <v>0</v>
      </c>
      <c r="AF2921">
        <v>3</v>
      </c>
      <c r="AG2921">
        <v>1</v>
      </c>
      <c r="AH2921">
        <v>0</v>
      </c>
      <c r="AI2921" t="s">
        <v>1461</v>
      </c>
      <c r="AJ2921">
        <v>32.98733</v>
      </c>
      <c r="AK2921" t="s">
        <v>1462</v>
      </c>
      <c r="AL2921">
        <v>-97.667878000000002</v>
      </c>
      <c r="AM2921">
        <v>25</v>
      </c>
      <c r="AN2921">
        <v>1100</v>
      </c>
      <c r="AO2921" t="s">
        <v>118</v>
      </c>
      <c r="AP2921">
        <v>-3</v>
      </c>
      <c r="AQ2921">
        <v>-87</v>
      </c>
      <c r="AR2921">
        <v>-576</v>
      </c>
      <c r="AZ2921">
        <v>7700</v>
      </c>
      <c r="BA2921">
        <v>1</v>
      </c>
      <c r="BB2921" t="str">
        <f t="shared" si="868"/>
        <v xml:space="preserve">N733KP  </v>
      </c>
      <c r="BC2921">
        <v>1</v>
      </c>
      <c r="BE2921">
        <v>0</v>
      </c>
      <c r="BF2921">
        <v>0</v>
      </c>
      <c r="BG2921">
        <v>1</v>
      </c>
      <c r="BH2921">
        <v>1025</v>
      </c>
      <c r="BI2921">
        <v>1</v>
      </c>
      <c r="BJ2921">
        <v>1</v>
      </c>
      <c r="BK2921">
        <v>0</v>
      </c>
      <c r="BL2921">
        <v>0</v>
      </c>
      <c r="BO2921">
        <v>0</v>
      </c>
      <c r="BP2921">
        <v>0</v>
      </c>
      <c r="BW2921" t="str">
        <f>"22:22:25.689"</f>
        <v>22:22:25.689</v>
      </c>
      <c r="CJ2921">
        <v>0</v>
      </c>
      <c r="CK2921">
        <v>2</v>
      </c>
      <c r="CL2921">
        <v>0</v>
      </c>
      <c r="CM2921">
        <v>2</v>
      </c>
      <c r="CN2921">
        <v>0</v>
      </c>
      <c r="CO2921">
        <v>5</v>
      </c>
      <c r="CP2921" t="s">
        <v>119</v>
      </c>
      <c r="CQ2921">
        <v>364</v>
      </c>
      <c r="CR2921">
        <v>0</v>
      </c>
      <c r="CW2921">
        <v>1480118</v>
      </c>
      <c r="CY2921">
        <v>1</v>
      </c>
      <c r="CZ2921">
        <v>0</v>
      </c>
      <c r="DA2921">
        <v>1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3">
      <c r="A2922" t="str">
        <f>"03/24/2022 22:22:25.891"</f>
        <v>03/24/2022 22:22:25.891</v>
      </c>
      <c r="C2922" t="str">
        <f t="shared" si="867"/>
        <v>FFDFD3C0</v>
      </c>
      <c r="D2922" t="s">
        <v>123</v>
      </c>
      <c r="E2922">
        <v>8</v>
      </c>
      <c r="H2922">
        <v>31</v>
      </c>
      <c r="I2922" t="s">
        <v>124</v>
      </c>
      <c r="J2922" t="s">
        <v>125</v>
      </c>
      <c r="K2922">
        <v>0</v>
      </c>
      <c r="L2922">
        <v>3</v>
      </c>
      <c r="M2922">
        <v>0</v>
      </c>
      <c r="N2922">
        <v>2</v>
      </c>
      <c r="O2922">
        <v>0</v>
      </c>
      <c r="P2922">
        <v>1</v>
      </c>
      <c r="Q2922">
        <v>0</v>
      </c>
      <c r="S2922" t="str">
        <f t="shared" si="873"/>
        <v>22:22:25.000</v>
      </c>
      <c r="T2922" t="str">
        <f t="shared" si="873"/>
        <v>22:22:25.000</v>
      </c>
      <c r="U2922" t="str">
        <f t="shared" si="861"/>
        <v>A9D71F</v>
      </c>
      <c r="V2922">
        <v>0</v>
      </c>
      <c r="W2922">
        <v>0</v>
      </c>
      <c r="X2922">
        <v>2</v>
      </c>
      <c r="Z2922">
        <v>1</v>
      </c>
      <c r="AA2922">
        <v>8</v>
      </c>
      <c r="AB2922">
        <v>3</v>
      </c>
      <c r="AC2922">
        <v>0</v>
      </c>
      <c r="AD2922">
        <v>9</v>
      </c>
      <c r="AE2922">
        <v>0</v>
      </c>
      <c r="AF2922">
        <v>3</v>
      </c>
      <c r="AG2922">
        <v>1</v>
      </c>
      <c r="AH2922">
        <v>0</v>
      </c>
      <c r="AI2922" t="s">
        <v>1461</v>
      </c>
      <c r="AJ2922">
        <v>32.98733</v>
      </c>
      <c r="AK2922" t="s">
        <v>1462</v>
      </c>
      <c r="AL2922">
        <v>-97.667878000000002</v>
      </c>
      <c r="AM2922">
        <v>25</v>
      </c>
      <c r="AN2922">
        <v>1100</v>
      </c>
      <c r="AO2922" t="s">
        <v>118</v>
      </c>
      <c r="AP2922">
        <v>-3</v>
      </c>
      <c r="AQ2922">
        <v>-87</v>
      </c>
      <c r="AR2922">
        <v>-576</v>
      </c>
      <c r="AZ2922">
        <v>7700</v>
      </c>
      <c r="BA2922">
        <v>1</v>
      </c>
      <c r="BB2922" t="str">
        <f t="shared" si="868"/>
        <v xml:space="preserve">N733KP  </v>
      </c>
      <c r="BC2922">
        <v>1</v>
      </c>
      <c r="BE2922">
        <v>0</v>
      </c>
      <c r="BF2922">
        <v>0</v>
      </c>
      <c r="BG2922">
        <v>1</v>
      </c>
      <c r="BH2922">
        <v>1025</v>
      </c>
      <c r="BI2922">
        <v>1</v>
      </c>
      <c r="BJ2922">
        <v>1</v>
      </c>
      <c r="BK2922">
        <v>0</v>
      </c>
      <c r="BL2922">
        <v>0</v>
      </c>
      <c r="BO2922">
        <v>0</v>
      </c>
      <c r="BP2922">
        <v>0</v>
      </c>
      <c r="BW2922" t="str">
        <f>"22:22:25.689"</f>
        <v>22:22:25.689</v>
      </c>
      <c r="CJ2922">
        <v>0</v>
      </c>
      <c r="CK2922">
        <v>2</v>
      </c>
      <c r="CL2922">
        <v>0</v>
      </c>
      <c r="CM2922">
        <v>2</v>
      </c>
      <c r="CN2922">
        <v>0</v>
      </c>
      <c r="CO2922">
        <v>5</v>
      </c>
      <c r="CP2922" t="s">
        <v>119</v>
      </c>
      <c r="CQ2922">
        <v>364</v>
      </c>
      <c r="CR2922">
        <v>0</v>
      </c>
      <c r="CW2922">
        <v>1480118</v>
      </c>
      <c r="CY2922">
        <v>1</v>
      </c>
      <c r="CZ2922">
        <v>0</v>
      </c>
      <c r="DA2922">
        <v>1</v>
      </c>
      <c r="DB2922">
        <v>0</v>
      </c>
      <c r="DC2922">
        <v>0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3">
      <c r="A2923" t="str">
        <f>"03/24/2022 22:22:26.391"</f>
        <v>03/24/2022 22:22:26.391</v>
      </c>
      <c r="C2923" t="str">
        <f t="shared" si="867"/>
        <v>FFDFD3C0</v>
      </c>
      <c r="D2923" t="s">
        <v>113</v>
      </c>
      <c r="E2923">
        <v>24</v>
      </c>
      <c r="F2923">
        <v>2024</v>
      </c>
      <c r="G2923" t="s">
        <v>114</v>
      </c>
      <c r="J2923" t="s">
        <v>115</v>
      </c>
      <c r="K2923">
        <v>0</v>
      </c>
      <c r="L2923">
        <v>3</v>
      </c>
      <c r="M2923">
        <v>0</v>
      </c>
      <c r="N2923">
        <v>2</v>
      </c>
      <c r="O2923">
        <v>0</v>
      </c>
      <c r="P2923">
        <v>1</v>
      </c>
      <c r="Q2923">
        <v>0</v>
      </c>
      <c r="S2923" t="str">
        <f t="shared" ref="S2923:T2926" si="874">"22:22:26.000"</f>
        <v>22:22:26.000</v>
      </c>
      <c r="T2923" t="str">
        <f t="shared" si="874"/>
        <v>22:22:26.000</v>
      </c>
      <c r="U2923" t="str">
        <f t="shared" si="861"/>
        <v>A9D71F</v>
      </c>
      <c r="V2923">
        <v>0</v>
      </c>
      <c r="W2923">
        <v>0</v>
      </c>
      <c r="X2923">
        <v>2</v>
      </c>
      <c r="Z2923">
        <v>1</v>
      </c>
      <c r="AA2923">
        <v>8</v>
      </c>
      <c r="AB2923">
        <v>3</v>
      </c>
      <c r="AC2923">
        <v>0</v>
      </c>
      <c r="AD2923">
        <v>9</v>
      </c>
      <c r="AE2923">
        <v>0</v>
      </c>
      <c r="AF2923">
        <v>3</v>
      </c>
      <c r="AG2923">
        <v>1</v>
      </c>
      <c r="AH2923">
        <v>0</v>
      </c>
      <c r="AI2923" t="s">
        <v>1463</v>
      </c>
      <c r="AJ2923">
        <v>32.986835999999997</v>
      </c>
      <c r="AK2923" t="s">
        <v>1460</v>
      </c>
      <c r="AL2923">
        <v>-97.667834999999997</v>
      </c>
      <c r="AM2923">
        <v>25</v>
      </c>
      <c r="AN2923">
        <v>1000</v>
      </c>
      <c r="AO2923" t="s">
        <v>118</v>
      </c>
      <c r="AP2923">
        <v>-1</v>
      </c>
      <c r="AQ2923">
        <v>-88</v>
      </c>
      <c r="AR2923">
        <v>-576</v>
      </c>
      <c r="AZ2923">
        <v>7700</v>
      </c>
      <c r="BA2923">
        <v>1</v>
      </c>
      <c r="BB2923" t="str">
        <f t="shared" si="868"/>
        <v xml:space="preserve">N733KP  </v>
      </c>
      <c r="BC2923">
        <v>1</v>
      </c>
      <c r="BE2923">
        <v>0</v>
      </c>
      <c r="BF2923">
        <v>0</v>
      </c>
      <c r="BG2923">
        <v>1</v>
      </c>
      <c r="BH2923">
        <v>1000</v>
      </c>
      <c r="BI2923">
        <v>1</v>
      </c>
      <c r="BJ2923">
        <v>1</v>
      </c>
      <c r="BK2923">
        <v>0</v>
      </c>
      <c r="BL2923">
        <v>0</v>
      </c>
      <c r="BO2923">
        <v>0</v>
      </c>
      <c r="BP2923">
        <v>0</v>
      </c>
      <c r="BW2923" t="str">
        <f>"22:22:26.214"</f>
        <v>22:22:26.214</v>
      </c>
      <c r="CJ2923">
        <v>0</v>
      </c>
      <c r="CK2923">
        <v>2</v>
      </c>
      <c r="CL2923">
        <v>0</v>
      </c>
      <c r="CM2923">
        <v>2</v>
      </c>
      <c r="CN2923">
        <v>0</v>
      </c>
      <c r="CO2923">
        <v>5</v>
      </c>
      <c r="CP2923" t="s">
        <v>119</v>
      </c>
      <c r="CQ2923">
        <v>364</v>
      </c>
      <c r="CR2923">
        <v>0</v>
      </c>
      <c r="CW2923">
        <v>1480181</v>
      </c>
      <c r="CY2923">
        <v>1</v>
      </c>
      <c r="CZ2923">
        <v>0</v>
      </c>
      <c r="DA2923">
        <v>0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3">
      <c r="A2924" t="str">
        <f>"03/24/2022 22:22:26.391"</f>
        <v>03/24/2022 22:22:26.391</v>
      </c>
      <c r="C2924" t="str">
        <f t="shared" si="867"/>
        <v>FFDFD3C0</v>
      </c>
      <c r="D2924" t="s">
        <v>126</v>
      </c>
      <c r="E2924">
        <v>3</v>
      </c>
      <c r="H2924">
        <v>160</v>
      </c>
      <c r="I2924" t="s">
        <v>121</v>
      </c>
      <c r="J2924" t="s">
        <v>127</v>
      </c>
      <c r="K2924">
        <v>0</v>
      </c>
      <c r="L2924">
        <v>3</v>
      </c>
      <c r="M2924">
        <v>0</v>
      </c>
      <c r="N2924">
        <v>2</v>
      </c>
      <c r="O2924">
        <v>0</v>
      </c>
      <c r="P2924">
        <v>1</v>
      </c>
      <c r="Q2924">
        <v>0</v>
      </c>
      <c r="S2924" t="str">
        <f t="shared" si="874"/>
        <v>22:22:26.000</v>
      </c>
      <c r="T2924" t="str">
        <f t="shared" si="874"/>
        <v>22:22:26.000</v>
      </c>
      <c r="U2924" t="str">
        <f t="shared" si="861"/>
        <v>A9D71F</v>
      </c>
      <c r="V2924">
        <v>0</v>
      </c>
      <c r="W2924">
        <v>0</v>
      </c>
      <c r="X2924">
        <v>2</v>
      </c>
      <c r="Z2924">
        <v>1</v>
      </c>
      <c r="AA2924">
        <v>8</v>
      </c>
      <c r="AB2924">
        <v>3</v>
      </c>
      <c r="AC2924">
        <v>0</v>
      </c>
      <c r="AD2924">
        <v>9</v>
      </c>
      <c r="AE2924">
        <v>0</v>
      </c>
      <c r="AF2924">
        <v>3</v>
      </c>
      <c r="AG2924">
        <v>1</v>
      </c>
      <c r="AH2924">
        <v>0</v>
      </c>
      <c r="AI2924" t="s">
        <v>1463</v>
      </c>
      <c r="AJ2924">
        <v>32.986835999999997</v>
      </c>
      <c r="AK2924" t="s">
        <v>1460</v>
      </c>
      <c r="AL2924">
        <v>-97.667834999999997</v>
      </c>
      <c r="AM2924">
        <v>25</v>
      </c>
      <c r="AN2924">
        <v>1000</v>
      </c>
      <c r="AO2924" t="s">
        <v>118</v>
      </c>
      <c r="AP2924">
        <v>-1</v>
      </c>
      <c r="AQ2924">
        <v>-88</v>
      </c>
      <c r="AR2924">
        <v>-576</v>
      </c>
      <c r="AZ2924">
        <v>7700</v>
      </c>
      <c r="BA2924">
        <v>1</v>
      </c>
      <c r="BB2924" t="str">
        <f t="shared" si="868"/>
        <v xml:space="preserve">N733KP  </v>
      </c>
      <c r="BC2924">
        <v>1</v>
      </c>
      <c r="BE2924">
        <v>0</v>
      </c>
      <c r="BF2924">
        <v>0</v>
      </c>
      <c r="BG2924">
        <v>1</v>
      </c>
      <c r="BH2924">
        <v>1000</v>
      </c>
      <c r="BI2924">
        <v>1</v>
      </c>
      <c r="BJ2924">
        <v>1</v>
      </c>
      <c r="BK2924">
        <v>0</v>
      </c>
      <c r="BL2924">
        <v>0</v>
      </c>
      <c r="BO2924">
        <v>0</v>
      </c>
      <c r="BP2924">
        <v>0</v>
      </c>
      <c r="BW2924" t="str">
        <f>"22:22:26.214"</f>
        <v>22:22:26.214</v>
      </c>
      <c r="CJ2924">
        <v>0</v>
      </c>
      <c r="CK2924">
        <v>2</v>
      </c>
      <c r="CL2924">
        <v>0</v>
      </c>
      <c r="CM2924">
        <v>2</v>
      </c>
      <c r="CN2924">
        <v>0</v>
      </c>
      <c r="CO2924">
        <v>5</v>
      </c>
      <c r="CP2924" t="s">
        <v>119</v>
      </c>
      <c r="CQ2924">
        <v>364</v>
      </c>
      <c r="CR2924">
        <v>0</v>
      </c>
      <c r="CW2924">
        <v>1480181</v>
      </c>
      <c r="CY2924">
        <v>1</v>
      </c>
      <c r="CZ2924">
        <v>0</v>
      </c>
      <c r="DA2924">
        <v>1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3">
      <c r="A2925" t="str">
        <f>"03/24/2022 22:22:26.453"</f>
        <v>03/24/2022 22:22:26.453</v>
      </c>
      <c r="C2925" t="str">
        <f t="shared" si="867"/>
        <v>FFDFD3C0</v>
      </c>
      <c r="D2925" t="s">
        <v>120</v>
      </c>
      <c r="E2925">
        <v>14</v>
      </c>
      <c r="F2925">
        <v>1014</v>
      </c>
      <c r="G2925" t="s">
        <v>121</v>
      </c>
      <c r="J2925" t="s">
        <v>122</v>
      </c>
      <c r="K2925">
        <v>0</v>
      </c>
      <c r="L2925">
        <v>3</v>
      </c>
      <c r="M2925">
        <v>0</v>
      </c>
      <c r="N2925">
        <v>2</v>
      </c>
      <c r="O2925">
        <v>0</v>
      </c>
      <c r="P2925">
        <v>1</v>
      </c>
      <c r="Q2925">
        <v>0</v>
      </c>
      <c r="S2925" t="str">
        <f t="shared" si="874"/>
        <v>22:22:26.000</v>
      </c>
      <c r="T2925" t="str">
        <f t="shared" si="874"/>
        <v>22:22:26.000</v>
      </c>
      <c r="U2925" t="str">
        <f t="shared" si="861"/>
        <v>A9D71F</v>
      </c>
      <c r="V2925">
        <v>0</v>
      </c>
      <c r="W2925">
        <v>0</v>
      </c>
      <c r="X2925">
        <v>2</v>
      </c>
      <c r="Z2925">
        <v>1</v>
      </c>
      <c r="AA2925">
        <v>8</v>
      </c>
      <c r="AB2925">
        <v>3</v>
      </c>
      <c r="AC2925">
        <v>0</v>
      </c>
      <c r="AD2925">
        <v>9</v>
      </c>
      <c r="AE2925">
        <v>0</v>
      </c>
      <c r="AF2925">
        <v>3</v>
      </c>
      <c r="AG2925">
        <v>1</v>
      </c>
      <c r="AH2925">
        <v>0</v>
      </c>
      <c r="AI2925" t="s">
        <v>1463</v>
      </c>
      <c r="AJ2925">
        <v>32.986835999999997</v>
      </c>
      <c r="AK2925" t="s">
        <v>1460</v>
      </c>
      <c r="AL2925">
        <v>-97.667834999999997</v>
      </c>
      <c r="AM2925">
        <v>25</v>
      </c>
      <c r="AN2925">
        <v>1000</v>
      </c>
      <c r="AO2925" t="s">
        <v>118</v>
      </c>
      <c r="AP2925">
        <v>-1</v>
      </c>
      <c r="AQ2925">
        <v>-88</v>
      </c>
      <c r="AR2925">
        <v>-576</v>
      </c>
      <c r="AZ2925">
        <v>7700</v>
      </c>
      <c r="BA2925">
        <v>1</v>
      </c>
      <c r="BB2925" t="str">
        <f t="shared" si="868"/>
        <v xml:space="preserve">N733KP  </v>
      </c>
      <c r="BC2925">
        <v>1</v>
      </c>
      <c r="BE2925">
        <v>0</v>
      </c>
      <c r="BF2925">
        <v>0</v>
      </c>
      <c r="BG2925">
        <v>1</v>
      </c>
      <c r="BH2925">
        <v>1000</v>
      </c>
      <c r="BI2925">
        <v>1</v>
      </c>
      <c r="BJ2925">
        <v>1</v>
      </c>
      <c r="BK2925">
        <v>0</v>
      </c>
      <c r="BL2925">
        <v>0</v>
      </c>
      <c r="BO2925">
        <v>0</v>
      </c>
      <c r="BP2925">
        <v>0</v>
      </c>
      <c r="BW2925" t="str">
        <f>"22:22:26.214"</f>
        <v>22:22:26.214</v>
      </c>
      <c r="CJ2925">
        <v>0</v>
      </c>
      <c r="CK2925">
        <v>2</v>
      </c>
      <c r="CL2925">
        <v>0</v>
      </c>
      <c r="CM2925">
        <v>2</v>
      </c>
      <c r="CN2925">
        <v>0</v>
      </c>
      <c r="CO2925">
        <v>5</v>
      </c>
      <c r="CP2925" t="s">
        <v>119</v>
      </c>
      <c r="CQ2925">
        <v>364</v>
      </c>
      <c r="CR2925">
        <v>0</v>
      </c>
      <c r="CW2925">
        <v>1480181</v>
      </c>
      <c r="CY2925">
        <v>1</v>
      </c>
      <c r="CZ2925">
        <v>0</v>
      </c>
      <c r="DA2925">
        <v>1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3">
      <c r="A2926" t="str">
        <f>"03/24/2022 22:22:26.469"</f>
        <v>03/24/2022 22:22:26.469</v>
      </c>
      <c r="C2926" t="str">
        <f t="shared" si="867"/>
        <v>FFDFD3C0</v>
      </c>
      <c r="D2926" t="s">
        <v>123</v>
      </c>
      <c r="E2926">
        <v>8</v>
      </c>
      <c r="H2926">
        <v>31</v>
      </c>
      <c r="I2926" t="s">
        <v>124</v>
      </c>
      <c r="J2926" t="s">
        <v>125</v>
      </c>
      <c r="K2926">
        <v>0</v>
      </c>
      <c r="L2926">
        <v>3</v>
      </c>
      <c r="M2926">
        <v>0</v>
      </c>
      <c r="N2926">
        <v>2</v>
      </c>
      <c r="O2926">
        <v>0</v>
      </c>
      <c r="P2926">
        <v>1</v>
      </c>
      <c r="Q2926">
        <v>0</v>
      </c>
      <c r="S2926" t="str">
        <f t="shared" si="874"/>
        <v>22:22:26.000</v>
      </c>
      <c r="T2926" t="str">
        <f t="shared" si="874"/>
        <v>22:22:26.000</v>
      </c>
      <c r="U2926" t="str">
        <f t="shared" si="861"/>
        <v>A9D71F</v>
      </c>
      <c r="V2926">
        <v>0</v>
      </c>
      <c r="W2926">
        <v>0</v>
      </c>
      <c r="X2926">
        <v>2</v>
      </c>
      <c r="Z2926">
        <v>1</v>
      </c>
      <c r="AA2926">
        <v>8</v>
      </c>
      <c r="AB2926">
        <v>3</v>
      </c>
      <c r="AC2926">
        <v>0</v>
      </c>
      <c r="AD2926">
        <v>9</v>
      </c>
      <c r="AE2926">
        <v>0</v>
      </c>
      <c r="AF2926">
        <v>3</v>
      </c>
      <c r="AG2926">
        <v>1</v>
      </c>
      <c r="AH2926">
        <v>0</v>
      </c>
      <c r="AI2926" t="s">
        <v>1463</v>
      </c>
      <c r="AJ2926">
        <v>32.986835999999997</v>
      </c>
      <c r="AK2926" t="s">
        <v>1460</v>
      </c>
      <c r="AL2926">
        <v>-97.667834999999997</v>
      </c>
      <c r="AM2926">
        <v>25</v>
      </c>
      <c r="AN2926">
        <v>1000</v>
      </c>
      <c r="AO2926" t="s">
        <v>118</v>
      </c>
      <c r="AP2926">
        <v>-1</v>
      </c>
      <c r="AQ2926">
        <v>-88</v>
      </c>
      <c r="AR2926">
        <v>-576</v>
      </c>
      <c r="AZ2926">
        <v>7700</v>
      </c>
      <c r="BA2926">
        <v>1</v>
      </c>
      <c r="BB2926" t="str">
        <f t="shared" si="868"/>
        <v xml:space="preserve">N733KP  </v>
      </c>
      <c r="BC2926">
        <v>1</v>
      </c>
      <c r="BE2926">
        <v>0</v>
      </c>
      <c r="BF2926">
        <v>0</v>
      </c>
      <c r="BG2926">
        <v>1</v>
      </c>
      <c r="BH2926">
        <v>1000</v>
      </c>
      <c r="BI2926">
        <v>1</v>
      </c>
      <c r="BJ2926">
        <v>1</v>
      </c>
      <c r="BK2926">
        <v>0</v>
      </c>
      <c r="BL2926">
        <v>0</v>
      </c>
      <c r="BO2926">
        <v>0</v>
      </c>
      <c r="BP2926">
        <v>0</v>
      </c>
      <c r="BW2926" t="str">
        <f>"22:22:26.214"</f>
        <v>22:22:26.214</v>
      </c>
      <c r="CJ2926">
        <v>0</v>
      </c>
      <c r="CK2926">
        <v>2</v>
      </c>
      <c r="CL2926">
        <v>0</v>
      </c>
      <c r="CM2926">
        <v>2</v>
      </c>
      <c r="CN2926">
        <v>0</v>
      </c>
      <c r="CO2926">
        <v>5</v>
      </c>
      <c r="CP2926" t="s">
        <v>119</v>
      </c>
      <c r="CQ2926">
        <v>364</v>
      </c>
      <c r="CR2926">
        <v>0</v>
      </c>
      <c r="CW2926">
        <v>1480181</v>
      </c>
      <c r="CY2926">
        <v>1</v>
      </c>
      <c r="CZ2926">
        <v>0</v>
      </c>
      <c r="DA2926">
        <v>1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3">
      <c r="A2927" t="str">
        <f>"03/24/2022 22:22:27.814"</f>
        <v>03/24/2022 22:22:27.814</v>
      </c>
      <c r="C2927" t="str">
        <f t="shared" si="867"/>
        <v>FFDFD3C0</v>
      </c>
      <c r="D2927" t="s">
        <v>126</v>
      </c>
      <c r="E2927">
        <v>3</v>
      </c>
      <c r="H2927">
        <v>160</v>
      </c>
      <c r="I2927" t="s">
        <v>121</v>
      </c>
      <c r="J2927" t="s">
        <v>127</v>
      </c>
      <c r="K2927">
        <v>0</v>
      </c>
      <c r="L2927">
        <v>3</v>
      </c>
      <c r="M2927">
        <v>0</v>
      </c>
      <c r="N2927">
        <v>2</v>
      </c>
      <c r="O2927">
        <v>0</v>
      </c>
      <c r="P2927">
        <v>1</v>
      </c>
      <c r="Q2927">
        <v>0</v>
      </c>
      <c r="S2927" t="str">
        <f t="shared" ref="S2927:T2930" si="875">"22:22:27.000"</f>
        <v>22:22:27.000</v>
      </c>
      <c r="T2927" t="str">
        <f t="shared" si="875"/>
        <v>22:22:27.000</v>
      </c>
      <c r="U2927" t="str">
        <f t="shared" si="861"/>
        <v>A9D71F</v>
      </c>
      <c r="V2927">
        <v>0</v>
      </c>
      <c r="W2927">
        <v>0</v>
      </c>
      <c r="X2927">
        <v>2</v>
      </c>
      <c r="Z2927">
        <v>1</v>
      </c>
      <c r="AA2927">
        <v>8</v>
      </c>
      <c r="AB2927">
        <v>3</v>
      </c>
      <c r="AC2927">
        <v>0</v>
      </c>
      <c r="AD2927">
        <v>9</v>
      </c>
      <c r="AE2927">
        <v>0</v>
      </c>
      <c r="AF2927">
        <v>3</v>
      </c>
      <c r="AG2927">
        <v>1</v>
      </c>
      <c r="AH2927">
        <v>0</v>
      </c>
      <c r="AI2927" t="s">
        <v>1464</v>
      </c>
      <c r="AJ2927">
        <v>32.986429000000001</v>
      </c>
      <c r="AK2927" t="s">
        <v>1465</v>
      </c>
      <c r="AL2927">
        <v>-97.667856</v>
      </c>
      <c r="AM2927">
        <v>25</v>
      </c>
      <c r="AN2927">
        <v>1000</v>
      </c>
      <c r="AO2927" t="s">
        <v>118</v>
      </c>
      <c r="AP2927">
        <v>0</v>
      </c>
      <c r="AQ2927">
        <v>-88</v>
      </c>
      <c r="AR2927">
        <v>-448</v>
      </c>
      <c r="AZ2927">
        <v>7700</v>
      </c>
      <c r="BA2927">
        <v>1</v>
      </c>
      <c r="BB2927" t="str">
        <f t="shared" si="868"/>
        <v xml:space="preserve">N733KP  </v>
      </c>
      <c r="BC2927">
        <v>1</v>
      </c>
      <c r="BE2927">
        <v>0</v>
      </c>
      <c r="BF2927">
        <v>0</v>
      </c>
      <c r="BG2927">
        <v>1</v>
      </c>
      <c r="BH2927">
        <v>1000</v>
      </c>
      <c r="BI2927">
        <v>1</v>
      </c>
      <c r="BJ2927">
        <v>1</v>
      </c>
      <c r="BK2927">
        <v>0</v>
      </c>
      <c r="BL2927">
        <v>0</v>
      </c>
      <c r="BO2927">
        <v>0</v>
      </c>
      <c r="BP2927">
        <v>0</v>
      </c>
      <c r="BW2927" t="str">
        <f>"22:22:27.589"</f>
        <v>22:22:27.589</v>
      </c>
      <c r="CJ2927">
        <v>0</v>
      </c>
      <c r="CK2927">
        <v>2</v>
      </c>
      <c r="CL2927">
        <v>0</v>
      </c>
      <c r="CM2927">
        <v>2</v>
      </c>
      <c r="CN2927">
        <v>0</v>
      </c>
      <c r="CO2927">
        <v>5</v>
      </c>
      <c r="CP2927" t="s">
        <v>119</v>
      </c>
      <c r="CQ2927">
        <v>364</v>
      </c>
      <c r="CR2927">
        <v>0</v>
      </c>
      <c r="CW2927">
        <v>1480385</v>
      </c>
      <c r="CY2927">
        <v>1</v>
      </c>
      <c r="CZ2927">
        <v>0</v>
      </c>
      <c r="DA2927">
        <v>0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3">
      <c r="A2928" t="str">
        <f>"03/24/2022 22:22:27.814"</f>
        <v>03/24/2022 22:22:27.814</v>
      </c>
      <c r="C2928" t="str">
        <f t="shared" si="867"/>
        <v>FFDFD3C0</v>
      </c>
      <c r="D2928" t="s">
        <v>113</v>
      </c>
      <c r="E2928">
        <v>24</v>
      </c>
      <c r="F2928">
        <v>2024</v>
      </c>
      <c r="G2928" t="s">
        <v>114</v>
      </c>
      <c r="J2928" t="s">
        <v>115</v>
      </c>
      <c r="K2928">
        <v>0</v>
      </c>
      <c r="L2928">
        <v>3</v>
      </c>
      <c r="M2928">
        <v>0</v>
      </c>
      <c r="N2928">
        <v>2</v>
      </c>
      <c r="O2928">
        <v>0</v>
      </c>
      <c r="P2928">
        <v>1</v>
      </c>
      <c r="Q2928">
        <v>0</v>
      </c>
      <c r="S2928" t="str">
        <f t="shared" si="875"/>
        <v>22:22:27.000</v>
      </c>
      <c r="T2928" t="str">
        <f t="shared" si="875"/>
        <v>22:22:27.000</v>
      </c>
      <c r="U2928" t="str">
        <f t="shared" si="861"/>
        <v>A9D71F</v>
      </c>
      <c r="V2928">
        <v>0</v>
      </c>
      <c r="W2928">
        <v>0</v>
      </c>
      <c r="X2928">
        <v>2</v>
      </c>
      <c r="Z2928">
        <v>1</v>
      </c>
      <c r="AA2928">
        <v>8</v>
      </c>
      <c r="AB2928">
        <v>3</v>
      </c>
      <c r="AC2928">
        <v>0</v>
      </c>
      <c r="AD2928">
        <v>9</v>
      </c>
      <c r="AE2928">
        <v>0</v>
      </c>
      <c r="AF2928">
        <v>3</v>
      </c>
      <c r="AG2928">
        <v>1</v>
      </c>
      <c r="AH2928">
        <v>0</v>
      </c>
      <c r="AI2928" t="s">
        <v>1464</v>
      </c>
      <c r="AJ2928">
        <v>32.986429000000001</v>
      </c>
      <c r="AK2928" t="s">
        <v>1465</v>
      </c>
      <c r="AL2928">
        <v>-97.667856</v>
      </c>
      <c r="AM2928">
        <v>25</v>
      </c>
      <c r="AN2928">
        <v>1000</v>
      </c>
      <c r="AO2928" t="s">
        <v>118</v>
      </c>
      <c r="AP2928">
        <v>0</v>
      </c>
      <c r="AQ2928">
        <v>-88</v>
      </c>
      <c r="AR2928">
        <v>-448</v>
      </c>
      <c r="AZ2928">
        <v>7700</v>
      </c>
      <c r="BA2928">
        <v>1</v>
      </c>
      <c r="BB2928" t="str">
        <f t="shared" si="868"/>
        <v xml:space="preserve">N733KP  </v>
      </c>
      <c r="BC2928">
        <v>1</v>
      </c>
      <c r="BE2928">
        <v>0</v>
      </c>
      <c r="BF2928">
        <v>0</v>
      </c>
      <c r="BG2928">
        <v>1</v>
      </c>
      <c r="BH2928">
        <v>1000</v>
      </c>
      <c r="BI2928">
        <v>1</v>
      </c>
      <c r="BJ2928">
        <v>1</v>
      </c>
      <c r="BK2928">
        <v>0</v>
      </c>
      <c r="BL2928">
        <v>0</v>
      </c>
      <c r="BO2928">
        <v>0</v>
      </c>
      <c r="BP2928">
        <v>0</v>
      </c>
      <c r="BW2928" t="str">
        <f>"22:22:27.589"</f>
        <v>22:22:27.589</v>
      </c>
      <c r="CJ2928">
        <v>0</v>
      </c>
      <c r="CK2928">
        <v>2</v>
      </c>
      <c r="CL2928">
        <v>0</v>
      </c>
      <c r="CM2928">
        <v>2</v>
      </c>
      <c r="CN2928">
        <v>0</v>
      </c>
      <c r="CO2928">
        <v>5</v>
      </c>
      <c r="CP2928" t="s">
        <v>119</v>
      </c>
      <c r="CQ2928">
        <v>364</v>
      </c>
      <c r="CR2928">
        <v>0</v>
      </c>
      <c r="CW2928">
        <v>1480385</v>
      </c>
      <c r="CY2928">
        <v>1</v>
      </c>
      <c r="CZ2928">
        <v>0</v>
      </c>
      <c r="DA2928">
        <v>1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3">
      <c r="A2929" t="str">
        <f>"03/24/2022 22:22:27.814"</f>
        <v>03/24/2022 22:22:27.814</v>
      </c>
      <c r="C2929" t="str">
        <f t="shared" si="867"/>
        <v>FFDFD3C0</v>
      </c>
      <c r="D2929" t="s">
        <v>120</v>
      </c>
      <c r="E2929">
        <v>14</v>
      </c>
      <c r="F2929">
        <v>1014</v>
      </c>
      <c r="G2929" t="s">
        <v>121</v>
      </c>
      <c r="J2929" t="s">
        <v>122</v>
      </c>
      <c r="K2929">
        <v>0</v>
      </c>
      <c r="L2929">
        <v>3</v>
      </c>
      <c r="M2929">
        <v>0</v>
      </c>
      <c r="N2929">
        <v>2</v>
      </c>
      <c r="O2929">
        <v>0</v>
      </c>
      <c r="P2929">
        <v>1</v>
      </c>
      <c r="Q2929">
        <v>0</v>
      </c>
      <c r="S2929" t="str">
        <f t="shared" si="875"/>
        <v>22:22:27.000</v>
      </c>
      <c r="T2929" t="str">
        <f t="shared" si="875"/>
        <v>22:22:27.000</v>
      </c>
      <c r="U2929" t="str">
        <f t="shared" si="861"/>
        <v>A9D71F</v>
      </c>
      <c r="V2929">
        <v>0</v>
      </c>
      <c r="W2929">
        <v>0</v>
      </c>
      <c r="X2929">
        <v>2</v>
      </c>
      <c r="Z2929">
        <v>1</v>
      </c>
      <c r="AA2929">
        <v>8</v>
      </c>
      <c r="AB2929">
        <v>3</v>
      </c>
      <c r="AC2929">
        <v>0</v>
      </c>
      <c r="AD2929">
        <v>9</v>
      </c>
      <c r="AE2929">
        <v>0</v>
      </c>
      <c r="AF2929">
        <v>3</v>
      </c>
      <c r="AG2929">
        <v>1</v>
      </c>
      <c r="AH2929">
        <v>0</v>
      </c>
      <c r="AI2929" t="s">
        <v>1464</v>
      </c>
      <c r="AJ2929">
        <v>32.986429000000001</v>
      </c>
      <c r="AK2929" t="s">
        <v>1465</v>
      </c>
      <c r="AL2929">
        <v>-97.667856</v>
      </c>
      <c r="AM2929">
        <v>25</v>
      </c>
      <c r="AN2929">
        <v>1000</v>
      </c>
      <c r="AO2929" t="s">
        <v>118</v>
      </c>
      <c r="AP2929">
        <v>0</v>
      </c>
      <c r="AQ2929">
        <v>-88</v>
      </c>
      <c r="AR2929">
        <v>-448</v>
      </c>
      <c r="AZ2929">
        <v>7700</v>
      </c>
      <c r="BA2929">
        <v>1</v>
      </c>
      <c r="BB2929" t="str">
        <f t="shared" si="868"/>
        <v xml:space="preserve">N733KP  </v>
      </c>
      <c r="BC2929">
        <v>1</v>
      </c>
      <c r="BE2929">
        <v>0</v>
      </c>
      <c r="BF2929">
        <v>0</v>
      </c>
      <c r="BG2929">
        <v>1</v>
      </c>
      <c r="BH2929">
        <v>1000</v>
      </c>
      <c r="BI2929">
        <v>1</v>
      </c>
      <c r="BJ2929">
        <v>1</v>
      </c>
      <c r="BK2929">
        <v>0</v>
      </c>
      <c r="BL2929">
        <v>0</v>
      </c>
      <c r="BO2929">
        <v>0</v>
      </c>
      <c r="BP2929">
        <v>0</v>
      </c>
      <c r="BW2929" t="str">
        <f>"22:22:27.589"</f>
        <v>22:22:27.589</v>
      </c>
      <c r="CJ2929">
        <v>0</v>
      </c>
      <c r="CK2929">
        <v>2</v>
      </c>
      <c r="CL2929">
        <v>0</v>
      </c>
      <c r="CM2929">
        <v>2</v>
      </c>
      <c r="CN2929">
        <v>0</v>
      </c>
      <c r="CO2929">
        <v>5</v>
      </c>
      <c r="CP2929" t="s">
        <v>119</v>
      </c>
      <c r="CQ2929">
        <v>364</v>
      </c>
      <c r="CR2929">
        <v>0</v>
      </c>
      <c r="CW2929">
        <v>1480385</v>
      </c>
      <c r="CY2929">
        <v>1</v>
      </c>
      <c r="CZ2929">
        <v>0</v>
      </c>
      <c r="DA2929">
        <v>1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3">
      <c r="A2930" t="str">
        <f>"03/24/2022 22:22:27.814"</f>
        <v>03/24/2022 22:22:27.814</v>
      </c>
      <c r="C2930" t="str">
        <f t="shared" si="867"/>
        <v>FFDFD3C0</v>
      </c>
      <c r="D2930" t="s">
        <v>123</v>
      </c>
      <c r="E2930">
        <v>8</v>
      </c>
      <c r="H2930">
        <v>31</v>
      </c>
      <c r="I2930" t="s">
        <v>124</v>
      </c>
      <c r="J2930" t="s">
        <v>125</v>
      </c>
      <c r="K2930">
        <v>0</v>
      </c>
      <c r="L2930">
        <v>3</v>
      </c>
      <c r="M2930">
        <v>0</v>
      </c>
      <c r="N2930">
        <v>2</v>
      </c>
      <c r="O2930">
        <v>0</v>
      </c>
      <c r="P2930">
        <v>1</v>
      </c>
      <c r="Q2930">
        <v>0</v>
      </c>
      <c r="S2930" t="str">
        <f t="shared" si="875"/>
        <v>22:22:27.000</v>
      </c>
      <c r="T2930" t="str">
        <f t="shared" si="875"/>
        <v>22:22:27.000</v>
      </c>
      <c r="U2930" t="str">
        <f t="shared" si="861"/>
        <v>A9D71F</v>
      </c>
      <c r="V2930">
        <v>0</v>
      </c>
      <c r="W2930">
        <v>0</v>
      </c>
      <c r="X2930">
        <v>2</v>
      </c>
      <c r="Z2930">
        <v>1</v>
      </c>
      <c r="AA2930">
        <v>8</v>
      </c>
      <c r="AB2930">
        <v>3</v>
      </c>
      <c r="AC2930">
        <v>0</v>
      </c>
      <c r="AD2930">
        <v>9</v>
      </c>
      <c r="AE2930">
        <v>0</v>
      </c>
      <c r="AF2930">
        <v>3</v>
      </c>
      <c r="AG2930">
        <v>1</v>
      </c>
      <c r="AH2930">
        <v>0</v>
      </c>
      <c r="AI2930" t="s">
        <v>1464</v>
      </c>
      <c r="AJ2930">
        <v>32.986429000000001</v>
      </c>
      <c r="AK2930" t="s">
        <v>1465</v>
      </c>
      <c r="AL2930">
        <v>-97.667856</v>
      </c>
      <c r="AM2930">
        <v>25</v>
      </c>
      <c r="AN2930">
        <v>1000</v>
      </c>
      <c r="AO2930" t="s">
        <v>118</v>
      </c>
      <c r="AP2930">
        <v>0</v>
      </c>
      <c r="AQ2930">
        <v>-88</v>
      </c>
      <c r="AR2930">
        <v>-448</v>
      </c>
      <c r="AZ2930">
        <v>7700</v>
      </c>
      <c r="BA2930">
        <v>1</v>
      </c>
      <c r="BB2930" t="str">
        <f t="shared" si="868"/>
        <v xml:space="preserve">N733KP  </v>
      </c>
      <c r="BC2930">
        <v>1</v>
      </c>
      <c r="BE2930">
        <v>0</v>
      </c>
      <c r="BF2930">
        <v>0</v>
      </c>
      <c r="BG2930">
        <v>1</v>
      </c>
      <c r="BH2930">
        <v>1000</v>
      </c>
      <c r="BI2930">
        <v>1</v>
      </c>
      <c r="BJ2930">
        <v>1</v>
      </c>
      <c r="BK2930">
        <v>0</v>
      </c>
      <c r="BL2930">
        <v>0</v>
      </c>
      <c r="BO2930">
        <v>0</v>
      </c>
      <c r="BP2930">
        <v>0</v>
      </c>
      <c r="BW2930" t="str">
        <f>"22:22:27.589"</f>
        <v>22:22:27.589</v>
      </c>
      <c r="CJ2930">
        <v>0</v>
      </c>
      <c r="CK2930">
        <v>2</v>
      </c>
      <c r="CL2930">
        <v>0</v>
      </c>
      <c r="CM2930">
        <v>2</v>
      </c>
      <c r="CN2930">
        <v>0</v>
      </c>
      <c r="CO2930">
        <v>5</v>
      </c>
      <c r="CP2930" t="s">
        <v>119</v>
      </c>
      <c r="CQ2930">
        <v>364</v>
      </c>
      <c r="CR2930">
        <v>0</v>
      </c>
      <c r="CW2930">
        <v>1480385</v>
      </c>
      <c r="CY2930">
        <v>1</v>
      </c>
      <c r="CZ2930">
        <v>0</v>
      </c>
      <c r="DA2930">
        <v>1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3">
      <c r="A2931" t="str">
        <f>"03/24/2022 22:22:28.660"</f>
        <v>03/24/2022 22:22:28.660</v>
      </c>
      <c r="C2931" t="str">
        <f t="shared" si="867"/>
        <v>FFDFD3C0</v>
      </c>
      <c r="D2931" t="s">
        <v>126</v>
      </c>
      <c r="E2931">
        <v>3</v>
      </c>
      <c r="H2931">
        <v>160</v>
      </c>
      <c r="I2931" t="s">
        <v>121</v>
      </c>
      <c r="J2931" t="s">
        <v>127</v>
      </c>
      <c r="K2931">
        <v>0</v>
      </c>
      <c r="L2931">
        <v>3</v>
      </c>
      <c r="M2931">
        <v>0</v>
      </c>
      <c r="N2931">
        <v>2</v>
      </c>
      <c r="O2931">
        <v>0</v>
      </c>
      <c r="P2931">
        <v>1</v>
      </c>
      <c r="Q2931">
        <v>0</v>
      </c>
      <c r="S2931" t="str">
        <f t="shared" ref="S2931:T2934" si="876">"22:22:28.000"</f>
        <v>22:22:28.000</v>
      </c>
      <c r="T2931" t="str">
        <f t="shared" si="876"/>
        <v>22:22:28.000</v>
      </c>
      <c r="U2931" t="str">
        <f t="shared" si="861"/>
        <v>A9D71F</v>
      </c>
      <c r="V2931">
        <v>0</v>
      </c>
      <c r="W2931">
        <v>0</v>
      </c>
      <c r="X2931">
        <v>2</v>
      </c>
      <c r="Z2931">
        <v>1</v>
      </c>
      <c r="AA2931">
        <v>8</v>
      </c>
      <c r="AB2931">
        <v>3</v>
      </c>
      <c r="AC2931">
        <v>0</v>
      </c>
      <c r="AD2931">
        <v>9</v>
      </c>
      <c r="AE2931">
        <v>0</v>
      </c>
      <c r="AF2931">
        <v>3</v>
      </c>
      <c r="AG2931">
        <v>1</v>
      </c>
      <c r="AH2931">
        <v>0</v>
      </c>
      <c r="AI2931" t="s">
        <v>1466</v>
      </c>
      <c r="AJ2931">
        <v>32.986021000000001</v>
      </c>
      <c r="AK2931" t="s">
        <v>1462</v>
      </c>
      <c r="AL2931">
        <v>-97.667878000000002</v>
      </c>
      <c r="AM2931">
        <v>25</v>
      </c>
      <c r="AN2931">
        <v>1000</v>
      </c>
      <c r="AO2931" t="s">
        <v>118</v>
      </c>
      <c r="AP2931">
        <v>-1</v>
      </c>
      <c r="AQ2931">
        <v>-87</v>
      </c>
      <c r="AR2931">
        <v>-384</v>
      </c>
      <c r="AZ2931">
        <v>7700</v>
      </c>
      <c r="BA2931">
        <v>1</v>
      </c>
      <c r="BB2931" t="str">
        <f t="shared" si="868"/>
        <v xml:space="preserve">N733KP  </v>
      </c>
      <c r="BC2931">
        <v>1</v>
      </c>
      <c r="BE2931">
        <v>0</v>
      </c>
      <c r="BF2931">
        <v>0</v>
      </c>
      <c r="BG2931">
        <v>1</v>
      </c>
      <c r="BH2931">
        <v>1000</v>
      </c>
      <c r="BI2931">
        <v>1</v>
      </c>
      <c r="BJ2931">
        <v>1</v>
      </c>
      <c r="BK2931">
        <v>0</v>
      </c>
      <c r="BL2931">
        <v>0</v>
      </c>
      <c r="BO2931">
        <v>0</v>
      </c>
      <c r="BP2931">
        <v>0</v>
      </c>
      <c r="BW2931" t="str">
        <f>"22:22:28.504"</f>
        <v>22:22:28.504</v>
      </c>
      <c r="CJ2931">
        <v>0</v>
      </c>
      <c r="CK2931">
        <v>2</v>
      </c>
      <c r="CL2931">
        <v>0</v>
      </c>
      <c r="CM2931">
        <v>2</v>
      </c>
      <c r="CN2931">
        <v>0</v>
      </c>
      <c r="CO2931">
        <v>5</v>
      </c>
      <c r="CP2931" t="s">
        <v>119</v>
      </c>
      <c r="CQ2931">
        <v>364</v>
      </c>
      <c r="CR2931">
        <v>0</v>
      </c>
      <c r="CW2931">
        <v>1480510</v>
      </c>
      <c r="CY2931">
        <v>1</v>
      </c>
      <c r="CZ2931">
        <v>0</v>
      </c>
      <c r="DA2931">
        <v>0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3">
      <c r="A2932" t="str">
        <f>"03/24/2022 22:22:28.675"</f>
        <v>03/24/2022 22:22:28.675</v>
      </c>
      <c r="C2932" t="str">
        <f t="shared" si="867"/>
        <v>FFDFD3C0</v>
      </c>
      <c r="D2932" t="s">
        <v>113</v>
      </c>
      <c r="E2932">
        <v>24</v>
      </c>
      <c r="F2932">
        <v>2024</v>
      </c>
      <c r="G2932" t="s">
        <v>114</v>
      </c>
      <c r="J2932" t="s">
        <v>115</v>
      </c>
      <c r="K2932">
        <v>0</v>
      </c>
      <c r="L2932">
        <v>3</v>
      </c>
      <c r="M2932">
        <v>0</v>
      </c>
      <c r="N2932">
        <v>2</v>
      </c>
      <c r="O2932">
        <v>0</v>
      </c>
      <c r="P2932">
        <v>1</v>
      </c>
      <c r="Q2932">
        <v>0</v>
      </c>
      <c r="S2932" t="str">
        <f t="shared" si="876"/>
        <v>22:22:28.000</v>
      </c>
      <c r="T2932" t="str">
        <f t="shared" si="876"/>
        <v>22:22:28.000</v>
      </c>
      <c r="U2932" t="str">
        <f t="shared" si="861"/>
        <v>A9D71F</v>
      </c>
      <c r="V2932">
        <v>0</v>
      </c>
      <c r="W2932">
        <v>0</v>
      </c>
      <c r="X2932">
        <v>2</v>
      </c>
      <c r="Z2932">
        <v>1</v>
      </c>
      <c r="AA2932">
        <v>8</v>
      </c>
      <c r="AB2932">
        <v>3</v>
      </c>
      <c r="AC2932">
        <v>0</v>
      </c>
      <c r="AD2932">
        <v>9</v>
      </c>
      <c r="AE2932">
        <v>0</v>
      </c>
      <c r="AF2932">
        <v>3</v>
      </c>
      <c r="AG2932">
        <v>1</v>
      </c>
      <c r="AH2932">
        <v>0</v>
      </c>
      <c r="AI2932" t="s">
        <v>1466</v>
      </c>
      <c r="AJ2932">
        <v>32.986021000000001</v>
      </c>
      <c r="AK2932" t="s">
        <v>1462</v>
      </c>
      <c r="AL2932">
        <v>-97.667878000000002</v>
      </c>
      <c r="AM2932">
        <v>25</v>
      </c>
      <c r="AN2932">
        <v>1000</v>
      </c>
      <c r="AO2932" t="s">
        <v>118</v>
      </c>
      <c r="AP2932">
        <v>-1</v>
      </c>
      <c r="AQ2932">
        <v>-87</v>
      </c>
      <c r="AR2932">
        <v>-384</v>
      </c>
      <c r="AZ2932">
        <v>7700</v>
      </c>
      <c r="BA2932">
        <v>1</v>
      </c>
      <c r="BB2932" t="str">
        <f t="shared" si="868"/>
        <v xml:space="preserve">N733KP  </v>
      </c>
      <c r="BC2932">
        <v>1</v>
      </c>
      <c r="BE2932">
        <v>0</v>
      </c>
      <c r="BF2932">
        <v>0</v>
      </c>
      <c r="BG2932">
        <v>1</v>
      </c>
      <c r="BH2932">
        <v>1000</v>
      </c>
      <c r="BI2932">
        <v>1</v>
      </c>
      <c r="BJ2932">
        <v>1</v>
      </c>
      <c r="BK2932">
        <v>0</v>
      </c>
      <c r="BL2932">
        <v>0</v>
      </c>
      <c r="BO2932">
        <v>0</v>
      </c>
      <c r="BP2932">
        <v>0</v>
      </c>
      <c r="BW2932" t="str">
        <f>"22:22:28.504"</f>
        <v>22:22:28.504</v>
      </c>
      <c r="CJ2932">
        <v>0</v>
      </c>
      <c r="CK2932">
        <v>2</v>
      </c>
      <c r="CL2932">
        <v>0</v>
      </c>
      <c r="CM2932">
        <v>2</v>
      </c>
      <c r="CN2932">
        <v>0</v>
      </c>
      <c r="CO2932">
        <v>5</v>
      </c>
      <c r="CP2932" t="s">
        <v>119</v>
      </c>
      <c r="CQ2932">
        <v>364</v>
      </c>
      <c r="CR2932">
        <v>0</v>
      </c>
      <c r="CW2932">
        <v>1480510</v>
      </c>
      <c r="CY2932">
        <v>1</v>
      </c>
      <c r="CZ2932">
        <v>0</v>
      </c>
      <c r="DA2932">
        <v>1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3">
      <c r="A2933" t="str">
        <f>"03/24/2022 22:22:28.691"</f>
        <v>03/24/2022 22:22:28.691</v>
      </c>
      <c r="C2933" t="str">
        <f t="shared" si="867"/>
        <v>FFDFD3C0</v>
      </c>
      <c r="D2933" t="s">
        <v>120</v>
      </c>
      <c r="E2933">
        <v>14</v>
      </c>
      <c r="F2933">
        <v>1014</v>
      </c>
      <c r="G2933" t="s">
        <v>121</v>
      </c>
      <c r="J2933" t="s">
        <v>122</v>
      </c>
      <c r="K2933">
        <v>0</v>
      </c>
      <c r="L2933">
        <v>3</v>
      </c>
      <c r="M2933">
        <v>0</v>
      </c>
      <c r="N2933">
        <v>2</v>
      </c>
      <c r="O2933">
        <v>0</v>
      </c>
      <c r="P2933">
        <v>1</v>
      </c>
      <c r="Q2933">
        <v>0</v>
      </c>
      <c r="S2933" t="str">
        <f t="shared" si="876"/>
        <v>22:22:28.000</v>
      </c>
      <c r="T2933" t="str">
        <f t="shared" si="876"/>
        <v>22:22:28.000</v>
      </c>
      <c r="U2933" t="str">
        <f t="shared" si="861"/>
        <v>A9D71F</v>
      </c>
      <c r="V2933">
        <v>0</v>
      </c>
      <c r="W2933">
        <v>0</v>
      </c>
      <c r="X2933">
        <v>2</v>
      </c>
      <c r="Z2933">
        <v>1</v>
      </c>
      <c r="AA2933">
        <v>8</v>
      </c>
      <c r="AB2933">
        <v>3</v>
      </c>
      <c r="AC2933">
        <v>0</v>
      </c>
      <c r="AD2933">
        <v>9</v>
      </c>
      <c r="AE2933">
        <v>0</v>
      </c>
      <c r="AF2933">
        <v>3</v>
      </c>
      <c r="AG2933">
        <v>1</v>
      </c>
      <c r="AH2933">
        <v>0</v>
      </c>
      <c r="AI2933" t="s">
        <v>1466</v>
      </c>
      <c r="AJ2933">
        <v>32.986021000000001</v>
      </c>
      <c r="AK2933" t="s">
        <v>1462</v>
      </c>
      <c r="AL2933">
        <v>-97.667878000000002</v>
      </c>
      <c r="AM2933">
        <v>25</v>
      </c>
      <c r="AN2933">
        <v>1000</v>
      </c>
      <c r="AO2933" t="s">
        <v>118</v>
      </c>
      <c r="AP2933">
        <v>-1</v>
      </c>
      <c r="AQ2933">
        <v>-87</v>
      </c>
      <c r="AR2933">
        <v>-384</v>
      </c>
      <c r="AZ2933">
        <v>7700</v>
      </c>
      <c r="BA2933">
        <v>1</v>
      </c>
      <c r="BB2933" t="str">
        <f t="shared" si="868"/>
        <v xml:space="preserve">N733KP  </v>
      </c>
      <c r="BC2933">
        <v>1</v>
      </c>
      <c r="BE2933">
        <v>0</v>
      </c>
      <c r="BF2933">
        <v>0</v>
      </c>
      <c r="BG2933">
        <v>1</v>
      </c>
      <c r="BH2933">
        <v>1000</v>
      </c>
      <c r="BI2933">
        <v>1</v>
      </c>
      <c r="BJ2933">
        <v>1</v>
      </c>
      <c r="BK2933">
        <v>0</v>
      </c>
      <c r="BL2933">
        <v>0</v>
      </c>
      <c r="BO2933">
        <v>0</v>
      </c>
      <c r="BP2933">
        <v>0</v>
      </c>
      <c r="BW2933" t="str">
        <f>"22:22:28.504"</f>
        <v>22:22:28.504</v>
      </c>
      <c r="CJ2933">
        <v>0</v>
      </c>
      <c r="CK2933">
        <v>2</v>
      </c>
      <c r="CL2933">
        <v>0</v>
      </c>
      <c r="CM2933">
        <v>2</v>
      </c>
      <c r="CN2933">
        <v>0</v>
      </c>
      <c r="CO2933">
        <v>5</v>
      </c>
      <c r="CP2933" t="s">
        <v>119</v>
      </c>
      <c r="CQ2933">
        <v>364</v>
      </c>
      <c r="CR2933">
        <v>0</v>
      </c>
      <c r="CW2933">
        <v>1480510</v>
      </c>
      <c r="CY2933">
        <v>1</v>
      </c>
      <c r="CZ2933">
        <v>0</v>
      </c>
      <c r="DA2933">
        <v>1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3">
      <c r="A2934" t="str">
        <f>"03/24/2022 22:22:28.738"</f>
        <v>03/24/2022 22:22:28.738</v>
      </c>
      <c r="C2934" t="str">
        <f t="shared" si="867"/>
        <v>FFDFD3C0</v>
      </c>
      <c r="D2934" t="s">
        <v>123</v>
      </c>
      <c r="E2934">
        <v>8</v>
      </c>
      <c r="H2934">
        <v>31</v>
      </c>
      <c r="I2934" t="s">
        <v>124</v>
      </c>
      <c r="J2934" t="s">
        <v>125</v>
      </c>
      <c r="K2934">
        <v>0</v>
      </c>
      <c r="L2934">
        <v>3</v>
      </c>
      <c r="M2934">
        <v>0</v>
      </c>
      <c r="N2934">
        <v>2</v>
      </c>
      <c r="O2934">
        <v>0</v>
      </c>
      <c r="P2934">
        <v>1</v>
      </c>
      <c r="Q2934">
        <v>0</v>
      </c>
      <c r="S2934" t="str">
        <f t="shared" si="876"/>
        <v>22:22:28.000</v>
      </c>
      <c r="T2934" t="str">
        <f t="shared" si="876"/>
        <v>22:22:28.000</v>
      </c>
      <c r="U2934" t="str">
        <f t="shared" si="861"/>
        <v>A9D71F</v>
      </c>
      <c r="V2934">
        <v>0</v>
      </c>
      <c r="W2934">
        <v>0</v>
      </c>
      <c r="X2934">
        <v>2</v>
      </c>
      <c r="Z2934">
        <v>1</v>
      </c>
      <c r="AA2934">
        <v>8</v>
      </c>
      <c r="AB2934">
        <v>3</v>
      </c>
      <c r="AC2934">
        <v>0</v>
      </c>
      <c r="AD2934">
        <v>9</v>
      </c>
      <c r="AE2934">
        <v>0</v>
      </c>
      <c r="AF2934">
        <v>3</v>
      </c>
      <c r="AG2934">
        <v>1</v>
      </c>
      <c r="AH2934">
        <v>0</v>
      </c>
      <c r="AI2934" t="s">
        <v>1466</v>
      </c>
      <c r="AJ2934">
        <v>32.986021000000001</v>
      </c>
      <c r="AK2934" t="s">
        <v>1462</v>
      </c>
      <c r="AL2934">
        <v>-97.667878000000002</v>
      </c>
      <c r="AM2934">
        <v>25</v>
      </c>
      <c r="AN2934">
        <v>1000</v>
      </c>
      <c r="AO2934" t="s">
        <v>118</v>
      </c>
      <c r="AP2934">
        <v>-1</v>
      </c>
      <c r="AQ2934">
        <v>-87</v>
      </c>
      <c r="AR2934">
        <v>-384</v>
      </c>
      <c r="AZ2934">
        <v>7700</v>
      </c>
      <c r="BA2934">
        <v>1</v>
      </c>
      <c r="BB2934" t="str">
        <f t="shared" si="868"/>
        <v xml:space="preserve">N733KP  </v>
      </c>
      <c r="BC2934">
        <v>1</v>
      </c>
      <c r="BE2934">
        <v>0</v>
      </c>
      <c r="BF2934">
        <v>0</v>
      </c>
      <c r="BG2934">
        <v>1</v>
      </c>
      <c r="BH2934">
        <v>1000</v>
      </c>
      <c r="BI2934">
        <v>1</v>
      </c>
      <c r="BJ2934">
        <v>1</v>
      </c>
      <c r="BK2934">
        <v>0</v>
      </c>
      <c r="BL2934">
        <v>0</v>
      </c>
      <c r="BO2934">
        <v>0</v>
      </c>
      <c r="BP2934">
        <v>0</v>
      </c>
      <c r="BW2934" t="str">
        <f>"22:22:28.504"</f>
        <v>22:22:28.504</v>
      </c>
      <c r="CJ2934">
        <v>0</v>
      </c>
      <c r="CK2934">
        <v>2</v>
      </c>
      <c r="CL2934">
        <v>0</v>
      </c>
      <c r="CM2934">
        <v>2</v>
      </c>
      <c r="CN2934">
        <v>0</v>
      </c>
      <c r="CO2934">
        <v>5</v>
      </c>
      <c r="CP2934" t="s">
        <v>119</v>
      </c>
      <c r="CQ2934">
        <v>364</v>
      </c>
      <c r="CR2934">
        <v>0</v>
      </c>
      <c r="CW2934">
        <v>1480510</v>
      </c>
      <c r="CY2934">
        <v>1</v>
      </c>
      <c r="CZ2934">
        <v>0</v>
      </c>
      <c r="DA2934">
        <v>1</v>
      </c>
      <c r="DB2934">
        <v>0</v>
      </c>
      <c r="DC2934">
        <v>0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3">
      <c r="A2935" t="str">
        <f>"03/24/2022 22:22:30.097"</f>
        <v>03/24/2022 22:22:30.097</v>
      </c>
      <c r="C2935" t="str">
        <f t="shared" si="867"/>
        <v>FFDFD3C0</v>
      </c>
      <c r="D2935" t="s">
        <v>113</v>
      </c>
      <c r="E2935">
        <v>24</v>
      </c>
      <c r="F2935">
        <v>2024</v>
      </c>
      <c r="G2935" t="s">
        <v>114</v>
      </c>
      <c r="J2935" t="s">
        <v>115</v>
      </c>
      <c r="K2935">
        <v>0</v>
      </c>
      <c r="L2935">
        <v>3</v>
      </c>
      <c r="M2935">
        <v>0</v>
      </c>
      <c r="N2935">
        <v>2</v>
      </c>
      <c r="O2935">
        <v>0</v>
      </c>
      <c r="P2935">
        <v>1</v>
      </c>
      <c r="Q2935">
        <v>0</v>
      </c>
      <c r="S2935" t="str">
        <f t="shared" ref="S2935:T2938" si="877">"22:22:29.000"</f>
        <v>22:22:29.000</v>
      </c>
      <c r="T2935" t="str">
        <f t="shared" si="877"/>
        <v>22:22:29.000</v>
      </c>
      <c r="U2935" t="str">
        <f t="shared" si="861"/>
        <v>A9D71F</v>
      </c>
      <c r="V2935">
        <v>0</v>
      </c>
      <c r="W2935">
        <v>0</v>
      </c>
      <c r="X2935">
        <v>2</v>
      </c>
      <c r="Z2935">
        <v>1</v>
      </c>
      <c r="AA2935">
        <v>8</v>
      </c>
      <c r="AB2935">
        <v>3</v>
      </c>
      <c r="AC2935">
        <v>0</v>
      </c>
      <c r="AD2935">
        <v>9</v>
      </c>
      <c r="AE2935">
        <v>0</v>
      </c>
      <c r="AF2935">
        <v>3</v>
      </c>
      <c r="AG2935">
        <v>1</v>
      </c>
      <c r="AH2935">
        <v>0</v>
      </c>
      <c r="AI2935" t="s">
        <v>1467</v>
      </c>
      <c r="AJ2935">
        <v>32.985613000000001</v>
      </c>
      <c r="AK2935" t="s">
        <v>1462</v>
      </c>
      <c r="AL2935">
        <v>-97.667878000000002</v>
      </c>
      <c r="AM2935">
        <v>25</v>
      </c>
      <c r="AN2935">
        <v>1000</v>
      </c>
      <c r="AO2935" t="s">
        <v>118</v>
      </c>
      <c r="AP2935">
        <v>0</v>
      </c>
      <c r="AQ2935">
        <v>-87</v>
      </c>
      <c r="AR2935">
        <v>-256</v>
      </c>
      <c r="AZ2935">
        <v>7700</v>
      </c>
      <c r="BA2935">
        <v>1</v>
      </c>
      <c r="BB2935" t="str">
        <f t="shared" si="868"/>
        <v xml:space="preserve">N733KP  </v>
      </c>
      <c r="BC2935">
        <v>1</v>
      </c>
      <c r="BE2935">
        <v>0</v>
      </c>
      <c r="BF2935">
        <v>0</v>
      </c>
      <c r="BG2935">
        <v>1</v>
      </c>
      <c r="BH2935">
        <v>950</v>
      </c>
      <c r="BI2935">
        <v>1</v>
      </c>
      <c r="BJ2935">
        <v>1</v>
      </c>
      <c r="BK2935">
        <v>0</v>
      </c>
      <c r="BL2935">
        <v>0</v>
      </c>
      <c r="BO2935">
        <v>0</v>
      </c>
      <c r="BP2935">
        <v>0</v>
      </c>
      <c r="BW2935" t="str">
        <f>"22:22:29.878"</f>
        <v>22:22:29.878</v>
      </c>
      <c r="CJ2935">
        <v>0</v>
      </c>
      <c r="CK2935">
        <v>2</v>
      </c>
      <c r="CL2935">
        <v>0</v>
      </c>
      <c r="CM2935">
        <v>2</v>
      </c>
      <c r="CN2935">
        <v>0</v>
      </c>
      <c r="CO2935">
        <v>5</v>
      </c>
      <c r="CP2935" t="s">
        <v>119</v>
      </c>
      <c r="CQ2935">
        <v>364</v>
      </c>
      <c r="CR2935">
        <v>0</v>
      </c>
      <c r="CW2935">
        <v>1480701</v>
      </c>
      <c r="CY2935">
        <v>1</v>
      </c>
      <c r="CZ2935">
        <v>0</v>
      </c>
      <c r="DA2935">
        <v>0</v>
      </c>
      <c r="DB2935">
        <v>0</v>
      </c>
      <c r="DC2935">
        <v>0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3">
      <c r="A2936" t="str">
        <f>"03/24/2022 22:22:30.097"</f>
        <v>03/24/2022 22:22:30.097</v>
      </c>
      <c r="C2936" t="str">
        <f t="shared" si="867"/>
        <v>FFDFD3C0</v>
      </c>
      <c r="D2936" t="s">
        <v>120</v>
      </c>
      <c r="E2936">
        <v>14</v>
      </c>
      <c r="F2936">
        <v>1014</v>
      </c>
      <c r="G2936" t="s">
        <v>121</v>
      </c>
      <c r="J2936" t="s">
        <v>122</v>
      </c>
      <c r="K2936">
        <v>0</v>
      </c>
      <c r="L2936">
        <v>3</v>
      </c>
      <c r="M2936">
        <v>0</v>
      </c>
      <c r="N2936">
        <v>2</v>
      </c>
      <c r="O2936">
        <v>0</v>
      </c>
      <c r="P2936">
        <v>1</v>
      </c>
      <c r="Q2936">
        <v>0</v>
      </c>
      <c r="S2936" t="str">
        <f t="shared" si="877"/>
        <v>22:22:29.000</v>
      </c>
      <c r="T2936" t="str">
        <f t="shared" si="877"/>
        <v>22:22:29.000</v>
      </c>
      <c r="U2936" t="str">
        <f t="shared" si="861"/>
        <v>A9D71F</v>
      </c>
      <c r="V2936">
        <v>0</v>
      </c>
      <c r="W2936">
        <v>0</v>
      </c>
      <c r="X2936">
        <v>2</v>
      </c>
      <c r="Z2936">
        <v>1</v>
      </c>
      <c r="AA2936">
        <v>8</v>
      </c>
      <c r="AB2936">
        <v>3</v>
      </c>
      <c r="AC2936">
        <v>0</v>
      </c>
      <c r="AD2936">
        <v>9</v>
      </c>
      <c r="AE2936">
        <v>0</v>
      </c>
      <c r="AF2936">
        <v>3</v>
      </c>
      <c r="AG2936">
        <v>1</v>
      </c>
      <c r="AH2936">
        <v>0</v>
      </c>
      <c r="AI2936" t="s">
        <v>1467</v>
      </c>
      <c r="AJ2936">
        <v>32.985613000000001</v>
      </c>
      <c r="AK2936" t="s">
        <v>1462</v>
      </c>
      <c r="AL2936">
        <v>-97.667878000000002</v>
      </c>
      <c r="AM2936">
        <v>25</v>
      </c>
      <c r="AN2936">
        <v>1000</v>
      </c>
      <c r="AO2936" t="s">
        <v>118</v>
      </c>
      <c r="AP2936">
        <v>0</v>
      </c>
      <c r="AQ2936">
        <v>-87</v>
      </c>
      <c r="AR2936">
        <v>-256</v>
      </c>
      <c r="AZ2936">
        <v>7700</v>
      </c>
      <c r="BA2936">
        <v>1</v>
      </c>
      <c r="BB2936" t="str">
        <f t="shared" si="868"/>
        <v xml:space="preserve">N733KP  </v>
      </c>
      <c r="BC2936">
        <v>1</v>
      </c>
      <c r="BE2936">
        <v>0</v>
      </c>
      <c r="BF2936">
        <v>0</v>
      </c>
      <c r="BG2936">
        <v>1</v>
      </c>
      <c r="BH2936">
        <v>950</v>
      </c>
      <c r="BI2936">
        <v>1</v>
      </c>
      <c r="BJ2936">
        <v>1</v>
      </c>
      <c r="BK2936">
        <v>0</v>
      </c>
      <c r="BL2936">
        <v>0</v>
      </c>
      <c r="BO2936">
        <v>0</v>
      </c>
      <c r="BP2936">
        <v>0</v>
      </c>
      <c r="BW2936" t="str">
        <f>"22:22:29.878"</f>
        <v>22:22:29.878</v>
      </c>
      <c r="CJ2936">
        <v>0</v>
      </c>
      <c r="CK2936">
        <v>2</v>
      </c>
      <c r="CL2936">
        <v>0</v>
      </c>
      <c r="CM2936">
        <v>2</v>
      </c>
      <c r="CN2936">
        <v>0</v>
      </c>
      <c r="CO2936">
        <v>5</v>
      </c>
      <c r="CP2936" t="s">
        <v>119</v>
      </c>
      <c r="CQ2936">
        <v>364</v>
      </c>
      <c r="CR2936">
        <v>0</v>
      </c>
      <c r="CW2936">
        <v>1480701</v>
      </c>
      <c r="CY2936">
        <v>1</v>
      </c>
      <c r="CZ2936">
        <v>0</v>
      </c>
      <c r="DA2936">
        <v>1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3">
      <c r="A2937" t="str">
        <f>"03/24/2022 22:22:30.113"</f>
        <v>03/24/2022 22:22:30.113</v>
      </c>
      <c r="C2937" t="str">
        <f t="shared" si="867"/>
        <v>FFDFD3C0</v>
      </c>
      <c r="D2937" t="s">
        <v>123</v>
      </c>
      <c r="E2937">
        <v>8</v>
      </c>
      <c r="H2937">
        <v>31</v>
      </c>
      <c r="I2937" t="s">
        <v>124</v>
      </c>
      <c r="J2937" t="s">
        <v>125</v>
      </c>
      <c r="K2937">
        <v>0</v>
      </c>
      <c r="L2937">
        <v>3</v>
      </c>
      <c r="M2937">
        <v>0</v>
      </c>
      <c r="N2937">
        <v>2</v>
      </c>
      <c r="O2937">
        <v>0</v>
      </c>
      <c r="P2937">
        <v>1</v>
      </c>
      <c r="Q2937">
        <v>0</v>
      </c>
      <c r="S2937" t="str">
        <f t="shared" si="877"/>
        <v>22:22:29.000</v>
      </c>
      <c r="T2937" t="str">
        <f t="shared" si="877"/>
        <v>22:22:29.000</v>
      </c>
      <c r="U2937" t="str">
        <f t="shared" si="861"/>
        <v>A9D71F</v>
      </c>
      <c r="V2937">
        <v>0</v>
      </c>
      <c r="W2937">
        <v>0</v>
      </c>
      <c r="X2937">
        <v>2</v>
      </c>
      <c r="Z2937">
        <v>1</v>
      </c>
      <c r="AA2937">
        <v>8</v>
      </c>
      <c r="AB2937">
        <v>3</v>
      </c>
      <c r="AC2937">
        <v>0</v>
      </c>
      <c r="AD2937">
        <v>9</v>
      </c>
      <c r="AE2937">
        <v>0</v>
      </c>
      <c r="AF2937">
        <v>3</v>
      </c>
      <c r="AG2937">
        <v>1</v>
      </c>
      <c r="AH2937">
        <v>0</v>
      </c>
      <c r="AI2937" t="s">
        <v>1467</v>
      </c>
      <c r="AJ2937">
        <v>32.985613000000001</v>
      </c>
      <c r="AK2937" t="s">
        <v>1462</v>
      </c>
      <c r="AL2937">
        <v>-97.667878000000002</v>
      </c>
      <c r="AM2937">
        <v>25</v>
      </c>
      <c r="AN2937">
        <v>1000</v>
      </c>
      <c r="AO2937" t="s">
        <v>118</v>
      </c>
      <c r="AP2937">
        <v>0</v>
      </c>
      <c r="AQ2937">
        <v>-87</v>
      </c>
      <c r="AR2937">
        <v>-256</v>
      </c>
      <c r="AZ2937">
        <v>7700</v>
      </c>
      <c r="BA2937">
        <v>1</v>
      </c>
      <c r="BB2937" t="str">
        <f t="shared" si="868"/>
        <v xml:space="preserve">N733KP  </v>
      </c>
      <c r="BC2937">
        <v>1</v>
      </c>
      <c r="BE2937">
        <v>0</v>
      </c>
      <c r="BF2937">
        <v>0</v>
      </c>
      <c r="BG2937">
        <v>1</v>
      </c>
      <c r="BH2937">
        <v>950</v>
      </c>
      <c r="BI2937">
        <v>1</v>
      </c>
      <c r="BJ2937">
        <v>1</v>
      </c>
      <c r="BK2937">
        <v>0</v>
      </c>
      <c r="BL2937">
        <v>0</v>
      </c>
      <c r="BO2937">
        <v>0</v>
      </c>
      <c r="BP2937">
        <v>0</v>
      </c>
      <c r="BW2937" t="str">
        <f>"22:22:29.878"</f>
        <v>22:22:29.878</v>
      </c>
      <c r="CJ2937">
        <v>0</v>
      </c>
      <c r="CK2937">
        <v>2</v>
      </c>
      <c r="CL2937">
        <v>0</v>
      </c>
      <c r="CM2937">
        <v>2</v>
      </c>
      <c r="CN2937">
        <v>0</v>
      </c>
      <c r="CO2937">
        <v>5</v>
      </c>
      <c r="CP2937" t="s">
        <v>119</v>
      </c>
      <c r="CQ2937">
        <v>364</v>
      </c>
      <c r="CR2937">
        <v>0</v>
      </c>
      <c r="CW2937">
        <v>1480701</v>
      </c>
      <c r="CY2937">
        <v>1</v>
      </c>
      <c r="CZ2937">
        <v>0</v>
      </c>
      <c r="DA2937">
        <v>1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3">
      <c r="A2938" t="str">
        <f>"03/24/2022 22:22:30.113"</f>
        <v>03/24/2022 22:22:30.113</v>
      </c>
      <c r="C2938" t="str">
        <f t="shared" si="867"/>
        <v>FFDFD3C0</v>
      </c>
      <c r="D2938" t="s">
        <v>126</v>
      </c>
      <c r="E2938">
        <v>3</v>
      </c>
      <c r="H2938">
        <v>160</v>
      </c>
      <c r="I2938" t="s">
        <v>121</v>
      </c>
      <c r="J2938" t="s">
        <v>127</v>
      </c>
      <c r="K2938">
        <v>0</v>
      </c>
      <c r="L2938">
        <v>3</v>
      </c>
      <c r="M2938">
        <v>0</v>
      </c>
      <c r="N2938">
        <v>2</v>
      </c>
      <c r="O2938">
        <v>0</v>
      </c>
      <c r="P2938">
        <v>1</v>
      </c>
      <c r="Q2938">
        <v>0</v>
      </c>
      <c r="S2938" t="str">
        <f t="shared" si="877"/>
        <v>22:22:29.000</v>
      </c>
      <c r="T2938" t="str">
        <f t="shared" si="877"/>
        <v>22:22:29.000</v>
      </c>
      <c r="U2938" t="str">
        <f t="shared" si="861"/>
        <v>A9D71F</v>
      </c>
      <c r="V2938">
        <v>0</v>
      </c>
      <c r="W2938">
        <v>0</v>
      </c>
      <c r="X2938">
        <v>2</v>
      </c>
      <c r="Z2938">
        <v>1</v>
      </c>
      <c r="AA2938">
        <v>8</v>
      </c>
      <c r="AB2938">
        <v>3</v>
      </c>
      <c r="AC2938">
        <v>0</v>
      </c>
      <c r="AD2938">
        <v>9</v>
      </c>
      <c r="AE2938">
        <v>0</v>
      </c>
      <c r="AF2938">
        <v>3</v>
      </c>
      <c r="AG2938">
        <v>1</v>
      </c>
      <c r="AH2938">
        <v>0</v>
      </c>
      <c r="AI2938" t="s">
        <v>1467</v>
      </c>
      <c r="AJ2938">
        <v>32.985613000000001</v>
      </c>
      <c r="AK2938" t="s">
        <v>1462</v>
      </c>
      <c r="AL2938">
        <v>-97.667878000000002</v>
      </c>
      <c r="AM2938">
        <v>25</v>
      </c>
      <c r="AN2938">
        <v>1000</v>
      </c>
      <c r="AO2938" t="s">
        <v>118</v>
      </c>
      <c r="AP2938">
        <v>0</v>
      </c>
      <c r="AQ2938">
        <v>-87</v>
      </c>
      <c r="AR2938">
        <v>-256</v>
      </c>
      <c r="AZ2938">
        <v>7700</v>
      </c>
      <c r="BA2938">
        <v>1</v>
      </c>
      <c r="BB2938" t="str">
        <f t="shared" si="868"/>
        <v xml:space="preserve">N733KP  </v>
      </c>
      <c r="BC2938">
        <v>1</v>
      </c>
      <c r="BE2938">
        <v>0</v>
      </c>
      <c r="BF2938">
        <v>0</v>
      </c>
      <c r="BG2938">
        <v>1</v>
      </c>
      <c r="BH2938">
        <v>950</v>
      </c>
      <c r="BI2938">
        <v>1</v>
      </c>
      <c r="BJ2938">
        <v>1</v>
      </c>
      <c r="BK2938">
        <v>0</v>
      </c>
      <c r="BL2938">
        <v>0</v>
      </c>
      <c r="BO2938">
        <v>0</v>
      </c>
      <c r="BP2938">
        <v>0</v>
      </c>
      <c r="BW2938" t="str">
        <f>"22:22:29.878"</f>
        <v>22:22:29.878</v>
      </c>
      <c r="CJ2938">
        <v>0</v>
      </c>
      <c r="CK2938">
        <v>2</v>
      </c>
      <c r="CL2938">
        <v>0</v>
      </c>
      <c r="CM2938">
        <v>2</v>
      </c>
      <c r="CN2938">
        <v>0</v>
      </c>
      <c r="CO2938">
        <v>5</v>
      </c>
      <c r="CP2938" t="s">
        <v>119</v>
      </c>
      <c r="CQ2938">
        <v>364</v>
      </c>
      <c r="CR2938">
        <v>0</v>
      </c>
      <c r="CW2938">
        <v>1480701</v>
      </c>
      <c r="CY2938">
        <v>1</v>
      </c>
      <c r="CZ2938">
        <v>0</v>
      </c>
      <c r="DA2938">
        <v>1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3">
      <c r="A2939" t="str">
        <f>"03/24/2022 22:22:30.785"</f>
        <v>03/24/2022 22:22:30.785</v>
      </c>
      <c r="C2939" t="str">
        <f t="shared" si="867"/>
        <v>FFDFD3C0</v>
      </c>
      <c r="D2939" t="s">
        <v>126</v>
      </c>
      <c r="E2939">
        <v>3</v>
      </c>
      <c r="H2939">
        <v>160</v>
      </c>
      <c r="I2939" t="s">
        <v>121</v>
      </c>
      <c r="J2939" t="s">
        <v>127</v>
      </c>
      <c r="K2939">
        <v>0</v>
      </c>
      <c r="L2939">
        <v>3</v>
      </c>
      <c r="M2939">
        <v>0</v>
      </c>
      <c r="N2939">
        <v>2</v>
      </c>
      <c r="O2939">
        <v>0</v>
      </c>
      <c r="P2939">
        <v>1</v>
      </c>
      <c r="Q2939">
        <v>0</v>
      </c>
      <c r="S2939" t="str">
        <f t="shared" ref="S2939:T2942" si="878">"22:22:30.000"</f>
        <v>22:22:30.000</v>
      </c>
      <c r="T2939" t="str">
        <f t="shared" si="878"/>
        <v>22:22:30.000</v>
      </c>
      <c r="U2939" t="str">
        <f t="shared" si="861"/>
        <v>A9D71F</v>
      </c>
      <c r="V2939">
        <v>0</v>
      </c>
      <c r="W2939">
        <v>0</v>
      </c>
      <c r="X2939">
        <v>2</v>
      </c>
      <c r="Z2939">
        <v>1</v>
      </c>
      <c r="AA2939">
        <v>8</v>
      </c>
      <c r="AB2939">
        <v>3</v>
      </c>
      <c r="AC2939">
        <v>0</v>
      </c>
      <c r="AD2939">
        <v>9</v>
      </c>
      <c r="AE2939">
        <v>0</v>
      </c>
      <c r="AF2939">
        <v>3</v>
      </c>
      <c r="AG2939">
        <v>1</v>
      </c>
      <c r="AH2939">
        <v>0</v>
      </c>
      <c r="AI2939" t="s">
        <v>1468</v>
      </c>
      <c r="AJ2939">
        <v>32.985227000000002</v>
      </c>
      <c r="AK2939" t="s">
        <v>1462</v>
      </c>
      <c r="AL2939">
        <v>-97.667878000000002</v>
      </c>
      <c r="AM2939">
        <v>25</v>
      </c>
      <c r="AN2939">
        <v>1000</v>
      </c>
      <c r="AO2939" t="s">
        <v>118</v>
      </c>
      <c r="AP2939">
        <v>0</v>
      </c>
      <c r="AQ2939">
        <v>-87</v>
      </c>
      <c r="AR2939">
        <v>-192</v>
      </c>
      <c r="AZ2939">
        <v>7700</v>
      </c>
      <c r="BA2939">
        <v>1</v>
      </c>
      <c r="BB2939" t="str">
        <f t="shared" si="868"/>
        <v xml:space="preserve">N733KP  </v>
      </c>
      <c r="BC2939">
        <v>1</v>
      </c>
      <c r="BE2939">
        <v>0</v>
      </c>
      <c r="BF2939">
        <v>0</v>
      </c>
      <c r="BG2939">
        <v>1</v>
      </c>
      <c r="BH2939">
        <v>950</v>
      </c>
      <c r="BI2939">
        <v>1</v>
      </c>
      <c r="BJ2939">
        <v>1</v>
      </c>
      <c r="BK2939">
        <v>0</v>
      </c>
      <c r="BL2939">
        <v>0</v>
      </c>
      <c r="BO2939">
        <v>0</v>
      </c>
      <c r="BP2939">
        <v>0</v>
      </c>
      <c r="BW2939" t="str">
        <f>"22:22:30.584"</f>
        <v>22:22:30.584</v>
      </c>
      <c r="CJ2939">
        <v>0</v>
      </c>
      <c r="CK2939">
        <v>2</v>
      </c>
      <c r="CL2939">
        <v>0</v>
      </c>
      <c r="CM2939">
        <v>2</v>
      </c>
      <c r="CN2939">
        <v>0</v>
      </c>
      <c r="CO2939">
        <v>5</v>
      </c>
      <c r="CP2939" t="s">
        <v>119</v>
      </c>
      <c r="CQ2939">
        <v>364</v>
      </c>
      <c r="CR2939">
        <v>0</v>
      </c>
      <c r="CW2939">
        <v>1480794</v>
      </c>
      <c r="CY2939">
        <v>1</v>
      </c>
      <c r="CZ2939">
        <v>0</v>
      </c>
      <c r="DA2939">
        <v>0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3">
      <c r="A2940" t="str">
        <f>"03/24/2022 22:22:30.785"</f>
        <v>03/24/2022 22:22:30.785</v>
      </c>
      <c r="C2940" t="str">
        <f t="shared" si="867"/>
        <v>FFDFD3C0</v>
      </c>
      <c r="D2940" t="s">
        <v>113</v>
      </c>
      <c r="E2940">
        <v>24</v>
      </c>
      <c r="F2940">
        <v>2024</v>
      </c>
      <c r="G2940" t="s">
        <v>114</v>
      </c>
      <c r="J2940" t="s">
        <v>115</v>
      </c>
      <c r="K2940">
        <v>0</v>
      </c>
      <c r="L2940">
        <v>3</v>
      </c>
      <c r="M2940">
        <v>0</v>
      </c>
      <c r="N2940">
        <v>2</v>
      </c>
      <c r="O2940">
        <v>0</v>
      </c>
      <c r="P2940">
        <v>1</v>
      </c>
      <c r="Q2940">
        <v>0</v>
      </c>
      <c r="S2940" t="str">
        <f t="shared" si="878"/>
        <v>22:22:30.000</v>
      </c>
      <c r="T2940" t="str">
        <f t="shared" si="878"/>
        <v>22:22:30.000</v>
      </c>
      <c r="U2940" t="str">
        <f t="shared" si="861"/>
        <v>A9D71F</v>
      </c>
      <c r="V2940">
        <v>0</v>
      </c>
      <c r="W2940">
        <v>0</v>
      </c>
      <c r="X2940">
        <v>2</v>
      </c>
      <c r="Z2940">
        <v>1</v>
      </c>
      <c r="AA2940">
        <v>8</v>
      </c>
      <c r="AB2940">
        <v>3</v>
      </c>
      <c r="AC2940">
        <v>0</v>
      </c>
      <c r="AD2940">
        <v>9</v>
      </c>
      <c r="AE2940">
        <v>0</v>
      </c>
      <c r="AF2940">
        <v>3</v>
      </c>
      <c r="AG2940">
        <v>1</v>
      </c>
      <c r="AH2940">
        <v>0</v>
      </c>
      <c r="AI2940" t="s">
        <v>1468</v>
      </c>
      <c r="AJ2940">
        <v>32.985227000000002</v>
      </c>
      <c r="AK2940" t="s">
        <v>1462</v>
      </c>
      <c r="AL2940">
        <v>-97.667878000000002</v>
      </c>
      <c r="AM2940">
        <v>25</v>
      </c>
      <c r="AN2940">
        <v>1000</v>
      </c>
      <c r="AO2940" t="s">
        <v>118</v>
      </c>
      <c r="AP2940">
        <v>0</v>
      </c>
      <c r="AQ2940">
        <v>-87</v>
      </c>
      <c r="AR2940">
        <v>-192</v>
      </c>
      <c r="AZ2940">
        <v>7700</v>
      </c>
      <c r="BA2940">
        <v>1</v>
      </c>
      <c r="BB2940" t="str">
        <f t="shared" si="868"/>
        <v xml:space="preserve">N733KP  </v>
      </c>
      <c r="BC2940">
        <v>1</v>
      </c>
      <c r="BE2940">
        <v>0</v>
      </c>
      <c r="BF2940">
        <v>0</v>
      </c>
      <c r="BG2940">
        <v>1</v>
      </c>
      <c r="BH2940">
        <v>950</v>
      </c>
      <c r="BI2940">
        <v>1</v>
      </c>
      <c r="BJ2940">
        <v>1</v>
      </c>
      <c r="BK2940">
        <v>0</v>
      </c>
      <c r="BL2940">
        <v>0</v>
      </c>
      <c r="BO2940">
        <v>0</v>
      </c>
      <c r="BP2940">
        <v>0</v>
      </c>
      <c r="BW2940" t="str">
        <f>"22:22:30.584"</f>
        <v>22:22:30.584</v>
      </c>
      <c r="CJ2940">
        <v>0</v>
      </c>
      <c r="CK2940">
        <v>2</v>
      </c>
      <c r="CL2940">
        <v>0</v>
      </c>
      <c r="CM2940">
        <v>2</v>
      </c>
      <c r="CN2940">
        <v>0</v>
      </c>
      <c r="CO2940">
        <v>5</v>
      </c>
      <c r="CP2940" t="s">
        <v>119</v>
      </c>
      <c r="CQ2940">
        <v>364</v>
      </c>
      <c r="CR2940">
        <v>0</v>
      </c>
      <c r="CW2940">
        <v>1480794</v>
      </c>
      <c r="CY2940">
        <v>1</v>
      </c>
      <c r="CZ2940">
        <v>0</v>
      </c>
      <c r="DA2940">
        <v>1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3">
      <c r="A2941" t="str">
        <f>"03/24/2022 22:22:30.847"</f>
        <v>03/24/2022 22:22:30.847</v>
      </c>
      <c r="C2941" t="str">
        <f t="shared" si="867"/>
        <v>FFDFD3C0</v>
      </c>
      <c r="D2941" t="s">
        <v>120</v>
      </c>
      <c r="E2941">
        <v>14</v>
      </c>
      <c r="F2941">
        <v>1014</v>
      </c>
      <c r="G2941" t="s">
        <v>121</v>
      </c>
      <c r="J2941" t="s">
        <v>122</v>
      </c>
      <c r="K2941">
        <v>0</v>
      </c>
      <c r="L2941">
        <v>3</v>
      </c>
      <c r="M2941">
        <v>0</v>
      </c>
      <c r="N2941">
        <v>2</v>
      </c>
      <c r="O2941">
        <v>0</v>
      </c>
      <c r="P2941">
        <v>1</v>
      </c>
      <c r="Q2941">
        <v>0</v>
      </c>
      <c r="S2941" t="str">
        <f t="shared" si="878"/>
        <v>22:22:30.000</v>
      </c>
      <c r="T2941" t="str">
        <f t="shared" si="878"/>
        <v>22:22:30.000</v>
      </c>
      <c r="U2941" t="str">
        <f t="shared" si="861"/>
        <v>A9D71F</v>
      </c>
      <c r="V2941">
        <v>0</v>
      </c>
      <c r="W2941">
        <v>0</v>
      </c>
      <c r="X2941">
        <v>2</v>
      </c>
      <c r="Z2941">
        <v>1</v>
      </c>
      <c r="AA2941">
        <v>8</v>
      </c>
      <c r="AB2941">
        <v>3</v>
      </c>
      <c r="AC2941">
        <v>0</v>
      </c>
      <c r="AD2941">
        <v>9</v>
      </c>
      <c r="AE2941">
        <v>0</v>
      </c>
      <c r="AF2941">
        <v>3</v>
      </c>
      <c r="AG2941">
        <v>1</v>
      </c>
      <c r="AH2941">
        <v>0</v>
      </c>
      <c r="AI2941" t="s">
        <v>1468</v>
      </c>
      <c r="AJ2941">
        <v>32.985227000000002</v>
      </c>
      <c r="AK2941" t="s">
        <v>1462</v>
      </c>
      <c r="AL2941">
        <v>-97.667878000000002</v>
      </c>
      <c r="AM2941">
        <v>25</v>
      </c>
      <c r="AN2941">
        <v>1000</v>
      </c>
      <c r="AO2941" t="s">
        <v>118</v>
      </c>
      <c r="AP2941">
        <v>0</v>
      </c>
      <c r="AQ2941">
        <v>-87</v>
      </c>
      <c r="AR2941">
        <v>-192</v>
      </c>
      <c r="AZ2941">
        <v>7700</v>
      </c>
      <c r="BA2941">
        <v>1</v>
      </c>
      <c r="BB2941" t="str">
        <f t="shared" si="868"/>
        <v xml:space="preserve">N733KP  </v>
      </c>
      <c r="BC2941">
        <v>1</v>
      </c>
      <c r="BE2941">
        <v>0</v>
      </c>
      <c r="BF2941">
        <v>0</v>
      </c>
      <c r="BG2941">
        <v>1</v>
      </c>
      <c r="BH2941">
        <v>950</v>
      </c>
      <c r="BI2941">
        <v>1</v>
      </c>
      <c r="BJ2941">
        <v>1</v>
      </c>
      <c r="BK2941">
        <v>0</v>
      </c>
      <c r="BL2941">
        <v>0</v>
      </c>
      <c r="BO2941">
        <v>0</v>
      </c>
      <c r="BP2941">
        <v>0</v>
      </c>
      <c r="BW2941" t="str">
        <f>"22:22:30.584"</f>
        <v>22:22:30.584</v>
      </c>
      <c r="CJ2941">
        <v>0</v>
      </c>
      <c r="CK2941">
        <v>2</v>
      </c>
      <c r="CL2941">
        <v>0</v>
      </c>
      <c r="CM2941">
        <v>2</v>
      </c>
      <c r="CN2941">
        <v>0</v>
      </c>
      <c r="CO2941">
        <v>5</v>
      </c>
      <c r="CP2941" t="s">
        <v>119</v>
      </c>
      <c r="CQ2941">
        <v>364</v>
      </c>
      <c r="CR2941">
        <v>0</v>
      </c>
      <c r="CW2941">
        <v>1480794</v>
      </c>
      <c r="CY2941">
        <v>1</v>
      </c>
      <c r="CZ2941">
        <v>0</v>
      </c>
      <c r="DA2941">
        <v>1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3">
      <c r="A2942" t="str">
        <f>"03/24/2022 22:22:30.847"</f>
        <v>03/24/2022 22:22:30.847</v>
      </c>
      <c r="C2942" t="str">
        <f t="shared" si="867"/>
        <v>FFDFD3C0</v>
      </c>
      <c r="D2942" t="s">
        <v>123</v>
      </c>
      <c r="E2942">
        <v>8</v>
      </c>
      <c r="H2942">
        <v>31</v>
      </c>
      <c r="I2942" t="s">
        <v>124</v>
      </c>
      <c r="J2942" t="s">
        <v>125</v>
      </c>
      <c r="K2942">
        <v>0</v>
      </c>
      <c r="L2942">
        <v>3</v>
      </c>
      <c r="M2942">
        <v>0</v>
      </c>
      <c r="N2942">
        <v>2</v>
      </c>
      <c r="O2942">
        <v>0</v>
      </c>
      <c r="P2942">
        <v>1</v>
      </c>
      <c r="Q2942">
        <v>0</v>
      </c>
      <c r="S2942" t="str">
        <f t="shared" si="878"/>
        <v>22:22:30.000</v>
      </c>
      <c r="T2942" t="str">
        <f t="shared" si="878"/>
        <v>22:22:30.000</v>
      </c>
      <c r="U2942" t="str">
        <f t="shared" si="861"/>
        <v>A9D71F</v>
      </c>
      <c r="V2942">
        <v>0</v>
      </c>
      <c r="W2942">
        <v>0</v>
      </c>
      <c r="X2942">
        <v>2</v>
      </c>
      <c r="Z2942">
        <v>1</v>
      </c>
      <c r="AA2942">
        <v>8</v>
      </c>
      <c r="AB2942">
        <v>3</v>
      </c>
      <c r="AC2942">
        <v>0</v>
      </c>
      <c r="AD2942">
        <v>9</v>
      </c>
      <c r="AE2942">
        <v>0</v>
      </c>
      <c r="AF2942">
        <v>3</v>
      </c>
      <c r="AG2942">
        <v>1</v>
      </c>
      <c r="AH2942">
        <v>0</v>
      </c>
      <c r="AI2942" t="s">
        <v>1468</v>
      </c>
      <c r="AJ2942">
        <v>32.985227000000002</v>
      </c>
      <c r="AK2942" t="s">
        <v>1462</v>
      </c>
      <c r="AL2942">
        <v>-97.667878000000002</v>
      </c>
      <c r="AM2942">
        <v>25</v>
      </c>
      <c r="AN2942">
        <v>1000</v>
      </c>
      <c r="AO2942" t="s">
        <v>118</v>
      </c>
      <c r="AP2942">
        <v>0</v>
      </c>
      <c r="AQ2942">
        <v>-87</v>
      </c>
      <c r="AR2942">
        <v>-192</v>
      </c>
      <c r="AZ2942">
        <v>7700</v>
      </c>
      <c r="BA2942">
        <v>1</v>
      </c>
      <c r="BB2942" t="str">
        <f t="shared" si="868"/>
        <v xml:space="preserve">N733KP  </v>
      </c>
      <c r="BC2942">
        <v>1</v>
      </c>
      <c r="BE2942">
        <v>0</v>
      </c>
      <c r="BF2942">
        <v>0</v>
      </c>
      <c r="BG2942">
        <v>1</v>
      </c>
      <c r="BH2942">
        <v>950</v>
      </c>
      <c r="BI2942">
        <v>1</v>
      </c>
      <c r="BJ2942">
        <v>1</v>
      </c>
      <c r="BK2942">
        <v>0</v>
      </c>
      <c r="BL2942">
        <v>0</v>
      </c>
      <c r="BO2942">
        <v>0</v>
      </c>
      <c r="BP2942">
        <v>0</v>
      </c>
      <c r="BW2942" t="str">
        <f>"22:22:30.584"</f>
        <v>22:22:30.584</v>
      </c>
      <c r="CJ2942">
        <v>0</v>
      </c>
      <c r="CK2942">
        <v>2</v>
      </c>
      <c r="CL2942">
        <v>0</v>
      </c>
      <c r="CM2942">
        <v>2</v>
      </c>
      <c r="CN2942">
        <v>0</v>
      </c>
      <c r="CO2942">
        <v>5</v>
      </c>
      <c r="CP2942" t="s">
        <v>119</v>
      </c>
      <c r="CQ2942">
        <v>364</v>
      </c>
      <c r="CR2942">
        <v>0</v>
      </c>
      <c r="CW2942">
        <v>1480794</v>
      </c>
      <c r="CY2942">
        <v>1</v>
      </c>
      <c r="CZ2942">
        <v>0</v>
      </c>
      <c r="DA2942">
        <v>1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3">
      <c r="A2943" t="str">
        <f>"03/24/2022 22:22:31.723"</f>
        <v>03/24/2022 22:22:31.723</v>
      </c>
      <c r="C2943" t="str">
        <f t="shared" si="867"/>
        <v>FFDFD3C0</v>
      </c>
      <c r="D2943" t="s">
        <v>126</v>
      </c>
      <c r="E2943">
        <v>3</v>
      </c>
      <c r="H2943">
        <v>160</v>
      </c>
      <c r="I2943" t="s">
        <v>121</v>
      </c>
      <c r="J2943" t="s">
        <v>127</v>
      </c>
      <c r="K2943">
        <v>0</v>
      </c>
      <c r="L2943">
        <v>3</v>
      </c>
      <c r="M2943">
        <v>0</v>
      </c>
      <c r="N2943">
        <v>2</v>
      </c>
      <c r="O2943">
        <v>0</v>
      </c>
      <c r="P2943">
        <v>1</v>
      </c>
      <c r="Q2943">
        <v>0</v>
      </c>
      <c r="S2943" t="str">
        <f t="shared" ref="S2943:T2946" si="879">"22:22:31.000"</f>
        <v>22:22:31.000</v>
      </c>
      <c r="T2943" t="str">
        <f t="shared" si="879"/>
        <v>22:22:31.000</v>
      </c>
      <c r="U2943" t="str">
        <f t="shared" si="861"/>
        <v>A9D71F</v>
      </c>
      <c r="V2943">
        <v>0</v>
      </c>
      <c r="W2943">
        <v>0</v>
      </c>
      <c r="X2943">
        <v>2</v>
      </c>
      <c r="Z2943">
        <v>1</v>
      </c>
      <c r="AA2943">
        <v>8</v>
      </c>
      <c r="AB2943">
        <v>3</v>
      </c>
      <c r="AC2943">
        <v>0</v>
      </c>
      <c r="AD2943">
        <v>9</v>
      </c>
      <c r="AE2943">
        <v>0</v>
      </c>
      <c r="AF2943">
        <v>3</v>
      </c>
      <c r="AG2943">
        <v>1</v>
      </c>
      <c r="AH2943">
        <v>0</v>
      </c>
      <c r="AI2943" t="s">
        <v>1469</v>
      </c>
      <c r="AJ2943">
        <v>32.984819000000002</v>
      </c>
      <c r="AK2943" t="s">
        <v>1470</v>
      </c>
      <c r="AL2943">
        <v>-97.667899000000006</v>
      </c>
      <c r="AM2943">
        <v>25</v>
      </c>
      <c r="AN2943">
        <v>1000</v>
      </c>
      <c r="AO2943" t="s">
        <v>118</v>
      </c>
      <c r="AP2943">
        <v>-1</v>
      </c>
      <c r="AQ2943">
        <v>-87</v>
      </c>
      <c r="AR2943">
        <v>-128</v>
      </c>
      <c r="AZ2943">
        <v>7700</v>
      </c>
      <c r="BA2943">
        <v>1</v>
      </c>
      <c r="BB2943" t="str">
        <f t="shared" si="868"/>
        <v xml:space="preserve">N733KP  </v>
      </c>
      <c r="BC2943">
        <v>1</v>
      </c>
      <c r="BE2943">
        <v>0</v>
      </c>
      <c r="BF2943">
        <v>0</v>
      </c>
      <c r="BG2943">
        <v>1</v>
      </c>
      <c r="BH2943">
        <v>925</v>
      </c>
      <c r="BI2943">
        <v>1</v>
      </c>
      <c r="BJ2943">
        <v>1</v>
      </c>
      <c r="BK2943">
        <v>0</v>
      </c>
      <c r="BL2943">
        <v>0</v>
      </c>
      <c r="BO2943">
        <v>0</v>
      </c>
      <c r="BP2943">
        <v>0</v>
      </c>
      <c r="BW2943" t="str">
        <f>"22:22:31.559"</f>
        <v>22:22:31.559</v>
      </c>
      <c r="CJ2943">
        <v>0</v>
      </c>
      <c r="CK2943">
        <v>2</v>
      </c>
      <c r="CL2943">
        <v>0</v>
      </c>
      <c r="CM2943">
        <v>2</v>
      </c>
      <c r="CN2943">
        <v>0</v>
      </c>
      <c r="CO2943">
        <v>5</v>
      </c>
      <c r="CP2943" t="s">
        <v>119</v>
      </c>
      <c r="CQ2943">
        <v>364</v>
      </c>
      <c r="CR2943">
        <v>0</v>
      </c>
      <c r="CW2943">
        <v>1480937</v>
      </c>
      <c r="CY2943">
        <v>1</v>
      </c>
      <c r="CZ2943">
        <v>0</v>
      </c>
      <c r="DA2943">
        <v>0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3">
      <c r="A2944" t="str">
        <f>"03/24/2022 22:22:31.723"</f>
        <v>03/24/2022 22:22:31.723</v>
      </c>
      <c r="C2944" t="str">
        <f t="shared" si="867"/>
        <v>FFDFD3C0</v>
      </c>
      <c r="D2944" t="s">
        <v>113</v>
      </c>
      <c r="E2944">
        <v>24</v>
      </c>
      <c r="F2944">
        <v>2024</v>
      </c>
      <c r="G2944" t="s">
        <v>114</v>
      </c>
      <c r="J2944" t="s">
        <v>115</v>
      </c>
      <c r="K2944">
        <v>0</v>
      </c>
      <c r="L2944">
        <v>3</v>
      </c>
      <c r="M2944">
        <v>0</v>
      </c>
      <c r="N2944">
        <v>2</v>
      </c>
      <c r="O2944">
        <v>0</v>
      </c>
      <c r="P2944">
        <v>1</v>
      </c>
      <c r="Q2944">
        <v>0</v>
      </c>
      <c r="S2944" t="str">
        <f t="shared" si="879"/>
        <v>22:22:31.000</v>
      </c>
      <c r="T2944" t="str">
        <f t="shared" si="879"/>
        <v>22:22:31.000</v>
      </c>
      <c r="U2944" t="str">
        <f t="shared" si="861"/>
        <v>A9D71F</v>
      </c>
      <c r="V2944">
        <v>0</v>
      </c>
      <c r="W2944">
        <v>0</v>
      </c>
      <c r="X2944">
        <v>2</v>
      </c>
      <c r="Z2944">
        <v>1</v>
      </c>
      <c r="AA2944">
        <v>8</v>
      </c>
      <c r="AB2944">
        <v>3</v>
      </c>
      <c r="AC2944">
        <v>0</v>
      </c>
      <c r="AD2944">
        <v>9</v>
      </c>
      <c r="AE2944">
        <v>0</v>
      </c>
      <c r="AF2944">
        <v>3</v>
      </c>
      <c r="AG2944">
        <v>1</v>
      </c>
      <c r="AH2944">
        <v>0</v>
      </c>
      <c r="AI2944" t="s">
        <v>1469</v>
      </c>
      <c r="AJ2944">
        <v>32.984819000000002</v>
      </c>
      <c r="AK2944" t="s">
        <v>1470</v>
      </c>
      <c r="AL2944">
        <v>-97.667899000000006</v>
      </c>
      <c r="AM2944">
        <v>25</v>
      </c>
      <c r="AN2944">
        <v>1000</v>
      </c>
      <c r="AO2944" t="s">
        <v>118</v>
      </c>
      <c r="AP2944">
        <v>-1</v>
      </c>
      <c r="AQ2944">
        <v>-87</v>
      </c>
      <c r="AR2944">
        <v>-128</v>
      </c>
      <c r="AZ2944">
        <v>7700</v>
      </c>
      <c r="BA2944">
        <v>1</v>
      </c>
      <c r="BB2944" t="str">
        <f t="shared" si="868"/>
        <v xml:space="preserve">N733KP  </v>
      </c>
      <c r="BC2944">
        <v>1</v>
      </c>
      <c r="BE2944">
        <v>0</v>
      </c>
      <c r="BF2944">
        <v>0</v>
      </c>
      <c r="BG2944">
        <v>1</v>
      </c>
      <c r="BH2944">
        <v>925</v>
      </c>
      <c r="BI2944">
        <v>1</v>
      </c>
      <c r="BJ2944">
        <v>1</v>
      </c>
      <c r="BK2944">
        <v>0</v>
      </c>
      <c r="BL2944">
        <v>0</v>
      </c>
      <c r="BO2944">
        <v>0</v>
      </c>
      <c r="BP2944">
        <v>0</v>
      </c>
      <c r="BW2944" t="str">
        <f>"22:22:31.559"</f>
        <v>22:22:31.559</v>
      </c>
      <c r="CJ2944">
        <v>0</v>
      </c>
      <c r="CK2944">
        <v>2</v>
      </c>
      <c r="CL2944">
        <v>0</v>
      </c>
      <c r="CM2944">
        <v>2</v>
      </c>
      <c r="CN2944">
        <v>0</v>
      </c>
      <c r="CO2944">
        <v>5</v>
      </c>
      <c r="CP2944" t="s">
        <v>119</v>
      </c>
      <c r="CQ2944">
        <v>364</v>
      </c>
      <c r="CR2944">
        <v>0</v>
      </c>
      <c r="CW2944">
        <v>1480937</v>
      </c>
      <c r="CY2944">
        <v>1</v>
      </c>
      <c r="CZ2944">
        <v>0</v>
      </c>
      <c r="DA2944">
        <v>1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3">
      <c r="A2945" t="str">
        <f>"03/24/2022 22:22:31.723"</f>
        <v>03/24/2022 22:22:31.723</v>
      </c>
      <c r="C2945" t="str">
        <f t="shared" si="867"/>
        <v>FFDFD3C0</v>
      </c>
      <c r="D2945" t="s">
        <v>120</v>
      </c>
      <c r="E2945">
        <v>14</v>
      </c>
      <c r="F2945">
        <v>1014</v>
      </c>
      <c r="G2945" t="s">
        <v>121</v>
      </c>
      <c r="J2945" t="s">
        <v>122</v>
      </c>
      <c r="K2945">
        <v>0</v>
      </c>
      <c r="L2945">
        <v>3</v>
      </c>
      <c r="M2945">
        <v>0</v>
      </c>
      <c r="N2945">
        <v>2</v>
      </c>
      <c r="O2945">
        <v>0</v>
      </c>
      <c r="P2945">
        <v>1</v>
      </c>
      <c r="Q2945">
        <v>0</v>
      </c>
      <c r="S2945" t="str">
        <f t="shared" si="879"/>
        <v>22:22:31.000</v>
      </c>
      <c r="T2945" t="str">
        <f t="shared" si="879"/>
        <v>22:22:31.000</v>
      </c>
      <c r="U2945" t="str">
        <f t="shared" si="861"/>
        <v>A9D71F</v>
      </c>
      <c r="V2945">
        <v>0</v>
      </c>
      <c r="W2945">
        <v>0</v>
      </c>
      <c r="X2945">
        <v>2</v>
      </c>
      <c r="Z2945">
        <v>1</v>
      </c>
      <c r="AA2945">
        <v>8</v>
      </c>
      <c r="AB2945">
        <v>3</v>
      </c>
      <c r="AC2945">
        <v>0</v>
      </c>
      <c r="AD2945">
        <v>9</v>
      </c>
      <c r="AE2945">
        <v>0</v>
      </c>
      <c r="AF2945">
        <v>3</v>
      </c>
      <c r="AG2945">
        <v>1</v>
      </c>
      <c r="AH2945">
        <v>0</v>
      </c>
      <c r="AI2945" t="s">
        <v>1469</v>
      </c>
      <c r="AJ2945">
        <v>32.984819000000002</v>
      </c>
      <c r="AK2945" t="s">
        <v>1470</v>
      </c>
      <c r="AL2945">
        <v>-97.667899000000006</v>
      </c>
      <c r="AM2945">
        <v>25</v>
      </c>
      <c r="AN2945">
        <v>1000</v>
      </c>
      <c r="AO2945" t="s">
        <v>118</v>
      </c>
      <c r="AP2945">
        <v>-1</v>
      </c>
      <c r="AQ2945">
        <v>-87</v>
      </c>
      <c r="AR2945">
        <v>-128</v>
      </c>
      <c r="AZ2945">
        <v>7700</v>
      </c>
      <c r="BA2945">
        <v>1</v>
      </c>
      <c r="BB2945" t="str">
        <f t="shared" si="868"/>
        <v xml:space="preserve">N733KP  </v>
      </c>
      <c r="BC2945">
        <v>1</v>
      </c>
      <c r="BE2945">
        <v>0</v>
      </c>
      <c r="BF2945">
        <v>0</v>
      </c>
      <c r="BG2945">
        <v>1</v>
      </c>
      <c r="BH2945">
        <v>925</v>
      </c>
      <c r="BI2945">
        <v>1</v>
      </c>
      <c r="BJ2945">
        <v>1</v>
      </c>
      <c r="BK2945">
        <v>0</v>
      </c>
      <c r="BL2945">
        <v>0</v>
      </c>
      <c r="BO2945">
        <v>0</v>
      </c>
      <c r="BP2945">
        <v>0</v>
      </c>
      <c r="BW2945" t="str">
        <f>"22:22:31.559"</f>
        <v>22:22:31.559</v>
      </c>
      <c r="CJ2945">
        <v>0</v>
      </c>
      <c r="CK2945">
        <v>2</v>
      </c>
      <c r="CL2945">
        <v>0</v>
      </c>
      <c r="CM2945">
        <v>2</v>
      </c>
      <c r="CN2945">
        <v>0</v>
      </c>
      <c r="CO2945">
        <v>5</v>
      </c>
      <c r="CP2945" t="s">
        <v>119</v>
      </c>
      <c r="CQ2945">
        <v>364</v>
      </c>
      <c r="CR2945">
        <v>0</v>
      </c>
      <c r="CW2945">
        <v>1480937</v>
      </c>
      <c r="CY2945">
        <v>1</v>
      </c>
      <c r="CZ2945">
        <v>0</v>
      </c>
      <c r="DA2945">
        <v>1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3">
      <c r="A2946" t="str">
        <f>"03/24/2022 22:22:31.754"</f>
        <v>03/24/2022 22:22:31.754</v>
      </c>
      <c r="C2946" t="str">
        <f t="shared" si="867"/>
        <v>FFDFD3C0</v>
      </c>
      <c r="D2946" t="s">
        <v>123</v>
      </c>
      <c r="E2946">
        <v>8</v>
      </c>
      <c r="H2946">
        <v>31</v>
      </c>
      <c r="I2946" t="s">
        <v>124</v>
      </c>
      <c r="J2946" t="s">
        <v>125</v>
      </c>
      <c r="K2946">
        <v>0</v>
      </c>
      <c r="L2946">
        <v>3</v>
      </c>
      <c r="M2946">
        <v>0</v>
      </c>
      <c r="N2946">
        <v>2</v>
      </c>
      <c r="O2946">
        <v>0</v>
      </c>
      <c r="P2946">
        <v>1</v>
      </c>
      <c r="Q2946">
        <v>0</v>
      </c>
      <c r="S2946" t="str">
        <f t="shared" si="879"/>
        <v>22:22:31.000</v>
      </c>
      <c r="T2946" t="str">
        <f t="shared" si="879"/>
        <v>22:22:31.000</v>
      </c>
      <c r="U2946" t="str">
        <f t="shared" ref="U2946:U3009" si="880">"A9D71F"</f>
        <v>A9D71F</v>
      </c>
      <c r="V2946">
        <v>0</v>
      </c>
      <c r="W2946">
        <v>0</v>
      </c>
      <c r="X2946">
        <v>2</v>
      </c>
      <c r="Z2946">
        <v>1</v>
      </c>
      <c r="AA2946">
        <v>8</v>
      </c>
      <c r="AB2946">
        <v>3</v>
      </c>
      <c r="AC2946">
        <v>0</v>
      </c>
      <c r="AD2946">
        <v>9</v>
      </c>
      <c r="AE2946">
        <v>0</v>
      </c>
      <c r="AF2946">
        <v>3</v>
      </c>
      <c r="AG2946">
        <v>1</v>
      </c>
      <c r="AH2946">
        <v>0</v>
      </c>
      <c r="AI2946" t="s">
        <v>1469</v>
      </c>
      <c r="AJ2946">
        <v>32.984819000000002</v>
      </c>
      <c r="AK2946" t="s">
        <v>1470</v>
      </c>
      <c r="AL2946">
        <v>-97.667899000000006</v>
      </c>
      <c r="AM2946">
        <v>25</v>
      </c>
      <c r="AN2946">
        <v>1000</v>
      </c>
      <c r="AO2946" t="s">
        <v>118</v>
      </c>
      <c r="AP2946">
        <v>-1</v>
      </c>
      <c r="AQ2946">
        <v>-87</v>
      </c>
      <c r="AR2946">
        <v>-128</v>
      </c>
      <c r="AZ2946">
        <v>7700</v>
      </c>
      <c r="BA2946">
        <v>1</v>
      </c>
      <c r="BB2946" t="str">
        <f t="shared" si="868"/>
        <v xml:space="preserve">N733KP  </v>
      </c>
      <c r="BC2946">
        <v>1</v>
      </c>
      <c r="BE2946">
        <v>0</v>
      </c>
      <c r="BF2946">
        <v>0</v>
      </c>
      <c r="BG2946">
        <v>1</v>
      </c>
      <c r="BH2946">
        <v>925</v>
      </c>
      <c r="BI2946">
        <v>1</v>
      </c>
      <c r="BJ2946">
        <v>1</v>
      </c>
      <c r="BK2946">
        <v>0</v>
      </c>
      <c r="BL2946">
        <v>0</v>
      </c>
      <c r="BO2946">
        <v>0</v>
      </c>
      <c r="BP2946">
        <v>0</v>
      </c>
      <c r="BW2946" t="str">
        <f>"22:22:31.559"</f>
        <v>22:22:31.559</v>
      </c>
      <c r="CJ2946">
        <v>0</v>
      </c>
      <c r="CK2946">
        <v>2</v>
      </c>
      <c r="CL2946">
        <v>0</v>
      </c>
      <c r="CM2946">
        <v>2</v>
      </c>
      <c r="CN2946">
        <v>0</v>
      </c>
      <c r="CO2946">
        <v>5</v>
      </c>
      <c r="CP2946" t="s">
        <v>119</v>
      </c>
      <c r="CQ2946">
        <v>364</v>
      </c>
      <c r="CR2946">
        <v>0</v>
      </c>
      <c r="CW2946">
        <v>1480937</v>
      </c>
      <c r="CY2946">
        <v>1</v>
      </c>
      <c r="CZ2946">
        <v>0</v>
      </c>
      <c r="DA2946">
        <v>1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3">
      <c r="A2947" t="str">
        <f>"03/24/2022 22:22:32.646"</f>
        <v>03/24/2022 22:22:32.646</v>
      </c>
      <c r="C2947" t="str">
        <f t="shared" si="867"/>
        <v>FFDFD3C0</v>
      </c>
      <c r="D2947" t="s">
        <v>126</v>
      </c>
      <c r="E2947">
        <v>3</v>
      </c>
      <c r="H2947">
        <v>160</v>
      </c>
      <c r="I2947" t="s">
        <v>121</v>
      </c>
      <c r="J2947" t="s">
        <v>127</v>
      </c>
      <c r="K2947">
        <v>0</v>
      </c>
      <c r="L2947">
        <v>3</v>
      </c>
      <c r="M2947">
        <v>0</v>
      </c>
      <c r="N2947">
        <v>2</v>
      </c>
      <c r="O2947">
        <v>0</v>
      </c>
      <c r="P2947">
        <v>1</v>
      </c>
      <c r="Q2947">
        <v>0</v>
      </c>
      <c r="S2947" t="str">
        <f t="shared" ref="S2947:T2950" si="881">"22:22:32.000"</f>
        <v>22:22:32.000</v>
      </c>
      <c r="T2947" t="str">
        <f t="shared" si="881"/>
        <v>22:22:32.000</v>
      </c>
      <c r="U2947" t="str">
        <f t="shared" si="880"/>
        <v>A9D71F</v>
      </c>
      <c r="V2947">
        <v>0</v>
      </c>
      <c r="W2947">
        <v>0</v>
      </c>
      <c r="X2947">
        <v>2</v>
      </c>
      <c r="Z2947">
        <v>1</v>
      </c>
      <c r="AA2947">
        <v>8</v>
      </c>
      <c r="AB2947">
        <v>3</v>
      </c>
      <c r="AC2947">
        <v>0</v>
      </c>
      <c r="AD2947">
        <v>9</v>
      </c>
      <c r="AE2947">
        <v>0</v>
      </c>
      <c r="AF2947">
        <v>3</v>
      </c>
      <c r="AG2947">
        <v>1</v>
      </c>
      <c r="AH2947">
        <v>0</v>
      </c>
      <c r="AI2947" t="s">
        <v>1471</v>
      </c>
      <c r="AJ2947">
        <v>32.984454999999997</v>
      </c>
      <c r="AK2947" t="s">
        <v>1472</v>
      </c>
      <c r="AL2947">
        <v>-97.667941999999996</v>
      </c>
      <c r="AM2947">
        <v>25</v>
      </c>
      <c r="AN2947">
        <v>1000</v>
      </c>
      <c r="AO2947" t="s">
        <v>118</v>
      </c>
      <c r="AP2947">
        <v>0</v>
      </c>
      <c r="AQ2947">
        <v>-87</v>
      </c>
      <c r="AR2947">
        <v>-64</v>
      </c>
      <c r="AZ2947">
        <v>7700</v>
      </c>
      <c r="BA2947">
        <v>1</v>
      </c>
      <c r="BB2947" t="str">
        <f t="shared" si="868"/>
        <v xml:space="preserve">N733KP  </v>
      </c>
      <c r="BC2947">
        <v>1</v>
      </c>
      <c r="BE2947">
        <v>0</v>
      </c>
      <c r="BF2947">
        <v>0</v>
      </c>
      <c r="BG2947">
        <v>1</v>
      </c>
      <c r="BH2947">
        <v>925</v>
      </c>
      <c r="BI2947">
        <v>1</v>
      </c>
      <c r="BJ2947">
        <v>1</v>
      </c>
      <c r="BK2947">
        <v>0</v>
      </c>
      <c r="BL2947">
        <v>0</v>
      </c>
      <c r="BO2947">
        <v>0</v>
      </c>
      <c r="BP2947">
        <v>0</v>
      </c>
      <c r="BW2947" t="str">
        <f>"22:22:32.455"</f>
        <v>22:22:32.455</v>
      </c>
      <c r="CJ2947">
        <v>0</v>
      </c>
      <c r="CK2947">
        <v>2</v>
      </c>
      <c r="CL2947">
        <v>0</v>
      </c>
      <c r="CM2947">
        <v>2</v>
      </c>
      <c r="CN2947">
        <v>0</v>
      </c>
      <c r="CO2947">
        <v>5</v>
      </c>
      <c r="CP2947" t="s">
        <v>119</v>
      </c>
      <c r="CQ2947">
        <v>364</v>
      </c>
      <c r="CR2947">
        <v>0</v>
      </c>
      <c r="CW2947">
        <v>1481054</v>
      </c>
      <c r="CY2947">
        <v>1</v>
      </c>
      <c r="CZ2947">
        <v>0</v>
      </c>
      <c r="DA2947">
        <v>0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3">
      <c r="A2948" t="str">
        <f>"03/24/2022 22:22:32.661"</f>
        <v>03/24/2022 22:22:32.661</v>
      </c>
      <c r="C2948" t="str">
        <f t="shared" si="867"/>
        <v>FFDFD3C0</v>
      </c>
      <c r="D2948" t="s">
        <v>113</v>
      </c>
      <c r="E2948">
        <v>24</v>
      </c>
      <c r="F2948">
        <v>2024</v>
      </c>
      <c r="G2948" t="s">
        <v>114</v>
      </c>
      <c r="J2948" t="s">
        <v>115</v>
      </c>
      <c r="K2948">
        <v>0</v>
      </c>
      <c r="L2948">
        <v>3</v>
      </c>
      <c r="M2948">
        <v>0</v>
      </c>
      <c r="N2948">
        <v>2</v>
      </c>
      <c r="O2948">
        <v>0</v>
      </c>
      <c r="P2948">
        <v>1</v>
      </c>
      <c r="Q2948">
        <v>0</v>
      </c>
      <c r="S2948" t="str">
        <f t="shared" si="881"/>
        <v>22:22:32.000</v>
      </c>
      <c r="T2948" t="str">
        <f t="shared" si="881"/>
        <v>22:22:32.000</v>
      </c>
      <c r="U2948" t="str">
        <f t="shared" si="880"/>
        <v>A9D71F</v>
      </c>
      <c r="V2948">
        <v>0</v>
      </c>
      <c r="W2948">
        <v>0</v>
      </c>
      <c r="X2948">
        <v>2</v>
      </c>
      <c r="Z2948">
        <v>1</v>
      </c>
      <c r="AA2948">
        <v>8</v>
      </c>
      <c r="AB2948">
        <v>3</v>
      </c>
      <c r="AC2948">
        <v>0</v>
      </c>
      <c r="AD2948">
        <v>9</v>
      </c>
      <c r="AE2948">
        <v>0</v>
      </c>
      <c r="AF2948">
        <v>3</v>
      </c>
      <c r="AG2948">
        <v>1</v>
      </c>
      <c r="AH2948">
        <v>0</v>
      </c>
      <c r="AI2948" t="s">
        <v>1471</v>
      </c>
      <c r="AJ2948">
        <v>32.984454999999997</v>
      </c>
      <c r="AK2948" t="s">
        <v>1472</v>
      </c>
      <c r="AL2948">
        <v>-97.667941999999996</v>
      </c>
      <c r="AM2948">
        <v>25</v>
      </c>
      <c r="AN2948">
        <v>1000</v>
      </c>
      <c r="AO2948" t="s">
        <v>118</v>
      </c>
      <c r="AP2948">
        <v>0</v>
      </c>
      <c r="AQ2948">
        <v>-87</v>
      </c>
      <c r="AR2948">
        <v>-64</v>
      </c>
      <c r="AZ2948">
        <v>7700</v>
      </c>
      <c r="BA2948">
        <v>1</v>
      </c>
      <c r="BB2948" t="str">
        <f t="shared" si="868"/>
        <v xml:space="preserve">N733KP  </v>
      </c>
      <c r="BC2948">
        <v>1</v>
      </c>
      <c r="BE2948">
        <v>0</v>
      </c>
      <c r="BF2948">
        <v>0</v>
      </c>
      <c r="BG2948">
        <v>1</v>
      </c>
      <c r="BH2948">
        <v>925</v>
      </c>
      <c r="BI2948">
        <v>1</v>
      </c>
      <c r="BJ2948">
        <v>1</v>
      </c>
      <c r="BK2948">
        <v>0</v>
      </c>
      <c r="BL2948">
        <v>0</v>
      </c>
      <c r="BO2948">
        <v>0</v>
      </c>
      <c r="BP2948">
        <v>0</v>
      </c>
      <c r="BW2948" t="str">
        <f>"22:22:32.455"</f>
        <v>22:22:32.455</v>
      </c>
      <c r="CJ2948">
        <v>0</v>
      </c>
      <c r="CK2948">
        <v>2</v>
      </c>
      <c r="CL2948">
        <v>0</v>
      </c>
      <c r="CM2948">
        <v>2</v>
      </c>
      <c r="CN2948">
        <v>0</v>
      </c>
      <c r="CO2948">
        <v>5</v>
      </c>
      <c r="CP2948" t="s">
        <v>119</v>
      </c>
      <c r="CQ2948">
        <v>364</v>
      </c>
      <c r="CR2948">
        <v>0</v>
      </c>
      <c r="CW2948">
        <v>1481054</v>
      </c>
      <c r="CY2948">
        <v>1</v>
      </c>
      <c r="CZ2948">
        <v>0</v>
      </c>
      <c r="DA2948">
        <v>1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3">
      <c r="A2949" t="str">
        <f>"03/24/2022 22:22:32.661"</f>
        <v>03/24/2022 22:22:32.661</v>
      </c>
      <c r="C2949" t="str">
        <f t="shared" si="867"/>
        <v>FFDFD3C0</v>
      </c>
      <c r="D2949" t="s">
        <v>120</v>
      </c>
      <c r="E2949">
        <v>14</v>
      </c>
      <c r="F2949">
        <v>1014</v>
      </c>
      <c r="G2949" t="s">
        <v>121</v>
      </c>
      <c r="J2949" t="s">
        <v>122</v>
      </c>
      <c r="K2949">
        <v>0</v>
      </c>
      <c r="L2949">
        <v>3</v>
      </c>
      <c r="M2949">
        <v>0</v>
      </c>
      <c r="N2949">
        <v>2</v>
      </c>
      <c r="O2949">
        <v>0</v>
      </c>
      <c r="P2949">
        <v>1</v>
      </c>
      <c r="Q2949">
        <v>0</v>
      </c>
      <c r="S2949" t="str">
        <f t="shared" si="881"/>
        <v>22:22:32.000</v>
      </c>
      <c r="T2949" t="str">
        <f t="shared" si="881"/>
        <v>22:22:32.000</v>
      </c>
      <c r="U2949" t="str">
        <f t="shared" si="880"/>
        <v>A9D71F</v>
      </c>
      <c r="V2949">
        <v>0</v>
      </c>
      <c r="W2949">
        <v>0</v>
      </c>
      <c r="X2949">
        <v>2</v>
      </c>
      <c r="Z2949">
        <v>1</v>
      </c>
      <c r="AA2949">
        <v>8</v>
      </c>
      <c r="AB2949">
        <v>3</v>
      </c>
      <c r="AC2949">
        <v>0</v>
      </c>
      <c r="AD2949">
        <v>9</v>
      </c>
      <c r="AE2949">
        <v>0</v>
      </c>
      <c r="AF2949">
        <v>3</v>
      </c>
      <c r="AG2949">
        <v>1</v>
      </c>
      <c r="AH2949">
        <v>0</v>
      </c>
      <c r="AI2949" t="s">
        <v>1471</v>
      </c>
      <c r="AJ2949">
        <v>32.984454999999997</v>
      </c>
      <c r="AK2949" t="s">
        <v>1472</v>
      </c>
      <c r="AL2949">
        <v>-97.667941999999996</v>
      </c>
      <c r="AM2949">
        <v>25</v>
      </c>
      <c r="AN2949">
        <v>1000</v>
      </c>
      <c r="AO2949" t="s">
        <v>118</v>
      </c>
      <c r="AP2949">
        <v>0</v>
      </c>
      <c r="AQ2949">
        <v>-87</v>
      </c>
      <c r="AR2949">
        <v>-64</v>
      </c>
      <c r="AZ2949">
        <v>7700</v>
      </c>
      <c r="BA2949">
        <v>1</v>
      </c>
      <c r="BB2949" t="str">
        <f t="shared" si="868"/>
        <v xml:space="preserve">N733KP  </v>
      </c>
      <c r="BC2949">
        <v>1</v>
      </c>
      <c r="BE2949">
        <v>0</v>
      </c>
      <c r="BF2949">
        <v>0</v>
      </c>
      <c r="BG2949">
        <v>1</v>
      </c>
      <c r="BH2949">
        <v>925</v>
      </c>
      <c r="BI2949">
        <v>1</v>
      </c>
      <c r="BJ2949">
        <v>1</v>
      </c>
      <c r="BK2949">
        <v>0</v>
      </c>
      <c r="BL2949">
        <v>0</v>
      </c>
      <c r="BO2949">
        <v>0</v>
      </c>
      <c r="BP2949">
        <v>0</v>
      </c>
      <c r="BW2949" t="str">
        <f>"22:22:32.455"</f>
        <v>22:22:32.455</v>
      </c>
      <c r="CJ2949">
        <v>0</v>
      </c>
      <c r="CK2949">
        <v>2</v>
      </c>
      <c r="CL2949">
        <v>0</v>
      </c>
      <c r="CM2949">
        <v>2</v>
      </c>
      <c r="CN2949">
        <v>0</v>
      </c>
      <c r="CO2949">
        <v>5</v>
      </c>
      <c r="CP2949" t="s">
        <v>119</v>
      </c>
      <c r="CQ2949">
        <v>364</v>
      </c>
      <c r="CR2949">
        <v>0</v>
      </c>
      <c r="CW2949">
        <v>1481054</v>
      </c>
      <c r="CY2949">
        <v>1</v>
      </c>
      <c r="CZ2949">
        <v>0</v>
      </c>
      <c r="DA2949">
        <v>1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3">
      <c r="A2950" t="str">
        <f>"03/24/2022 22:22:32.661"</f>
        <v>03/24/2022 22:22:32.661</v>
      </c>
      <c r="C2950" t="str">
        <f t="shared" si="867"/>
        <v>FFDFD3C0</v>
      </c>
      <c r="D2950" t="s">
        <v>123</v>
      </c>
      <c r="E2950">
        <v>8</v>
      </c>
      <c r="H2950">
        <v>31</v>
      </c>
      <c r="I2950" t="s">
        <v>124</v>
      </c>
      <c r="J2950" t="s">
        <v>125</v>
      </c>
      <c r="K2950">
        <v>0</v>
      </c>
      <c r="L2950">
        <v>3</v>
      </c>
      <c r="M2950">
        <v>0</v>
      </c>
      <c r="N2950">
        <v>2</v>
      </c>
      <c r="O2950">
        <v>0</v>
      </c>
      <c r="P2950">
        <v>1</v>
      </c>
      <c r="Q2950">
        <v>0</v>
      </c>
      <c r="S2950" t="str">
        <f t="shared" si="881"/>
        <v>22:22:32.000</v>
      </c>
      <c r="T2950" t="str">
        <f t="shared" si="881"/>
        <v>22:22:32.000</v>
      </c>
      <c r="U2950" t="str">
        <f t="shared" si="880"/>
        <v>A9D71F</v>
      </c>
      <c r="V2950">
        <v>0</v>
      </c>
      <c r="W2950">
        <v>0</v>
      </c>
      <c r="X2950">
        <v>2</v>
      </c>
      <c r="Z2950">
        <v>1</v>
      </c>
      <c r="AA2950">
        <v>8</v>
      </c>
      <c r="AB2950">
        <v>3</v>
      </c>
      <c r="AC2950">
        <v>0</v>
      </c>
      <c r="AD2950">
        <v>9</v>
      </c>
      <c r="AE2950">
        <v>0</v>
      </c>
      <c r="AF2950">
        <v>3</v>
      </c>
      <c r="AG2950">
        <v>1</v>
      </c>
      <c r="AH2950">
        <v>0</v>
      </c>
      <c r="AI2950" t="s">
        <v>1471</v>
      </c>
      <c r="AJ2950">
        <v>32.984454999999997</v>
      </c>
      <c r="AK2950" t="s">
        <v>1472</v>
      </c>
      <c r="AL2950">
        <v>-97.667941999999996</v>
      </c>
      <c r="AM2950">
        <v>25</v>
      </c>
      <c r="AN2950">
        <v>1000</v>
      </c>
      <c r="AO2950" t="s">
        <v>118</v>
      </c>
      <c r="AP2950">
        <v>0</v>
      </c>
      <c r="AQ2950">
        <v>-87</v>
      </c>
      <c r="AR2950">
        <v>-64</v>
      </c>
      <c r="AZ2950">
        <v>7700</v>
      </c>
      <c r="BA2950">
        <v>1</v>
      </c>
      <c r="BB2950" t="str">
        <f t="shared" si="868"/>
        <v xml:space="preserve">N733KP  </v>
      </c>
      <c r="BC2950">
        <v>1</v>
      </c>
      <c r="BE2950">
        <v>0</v>
      </c>
      <c r="BF2950">
        <v>0</v>
      </c>
      <c r="BG2950">
        <v>1</v>
      </c>
      <c r="BH2950">
        <v>925</v>
      </c>
      <c r="BI2950">
        <v>1</v>
      </c>
      <c r="BJ2950">
        <v>1</v>
      </c>
      <c r="BK2950">
        <v>0</v>
      </c>
      <c r="BL2950">
        <v>0</v>
      </c>
      <c r="BO2950">
        <v>0</v>
      </c>
      <c r="BP2950">
        <v>0</v>
      </c>
      <c r="BW2950" t="str">
        <f>"22:22:32.455"</f>
        <v>22:22:32.455</v>
      </c>
      <c r="CJ2950">
        <v>0</v>
      </c>
      <c r="CK2950">
        <v>2</v>
      </c>
      <c r="CL2950">
        <v>0</v>
      </c>
      <c r="CM2950">
        <v>2</v>
      </c>
      <c r="CN2950">
        <v>0</v>
      </c>
      <c r="CO2950">
        <v>5</v>
      </c>
      <c r="CP2950" t="s">
        <v>119</v>
      </c>
      <c r="CQ2950">
        <v>364</v>
      </c>
      <c r="CR2950">
        <v>0</v>
      </c>
      <c r="CW2950">
        <v>1481054</v>
      </c>
      <c r="CY2950">
        <v>1</v>
      </c>
      <c r="CZ2950">
        <v>0</v>
      </c>
      <c r="DA2950">
        <v>1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3">
      <c r="A2951" t="str">
        <f>"03/24/2022 22:22:33.836"</f>
        <v>03/24/2022 22:22:33.836</v>
      </c>
      <c r="C2951" t="str">
        <f t="shared" si="867"/>
        <v>FFDFD3C0</v>
      </c>
      <c r="D2951" t="s">
        <v>123</v>
      </c>
      <c r="E2951">
        <v>8</v>
      </c>
      <c r="H2951">
        <v>31</v>
      </c>
      <c r="I2951" t="s">
        <v>124</v>
      </c>
      <c r="J2951" t="s">
        <v>125</v>
      </c>
      <c r="K2951">
        <v>0</v>
      </c>
      <c r="L2951">
        <v>3</v>
      </c>
      <c r="M2951">
        <v>0</v>
      </c>
      <c r="N2951">
        <v>2</v>
      </c>
      <c r="O2951">
        <v>0</v>
      </c>
      <c r="P2951">
        <v>1</v>
      </c>
      <c r="Q2951">
        <v>0</v>
      </c>
      <c r="S2951" t="str">
        <f t="shared" ref="S2951:T2954" si="882">"22:22:33.000"</f>
        <v>22:22:33.000</v>
      </c>
      <c r="T2951" t="str">
        <f t="shared" si="882"/>
        <v>22:22:33.000</v>
      </c>
      <c r="U2951" t="str">
        <f t="shared" si="880"/>
        <v>A9D71F</v>
      </c>
      <c r="V2951">
        <v>0</v>
      </c>
      <c r="W2951">
        <v>0</v>
      </c>
      <c r="X2951">
        <v>2</v>
      </c>
      <c r="Z2951">
        <v>1</v>
      </c>
      <c r="AA2951">
        <v>8</v>
      </c>
      <c r="AB2951">
        <v>3</v>
      </c>
      <c r="AC2951">
        <v>0</v>
      </c>
      <c r="AD2951">
        <v>9</v>
      </c>
      <c r="AE2951">
        <v>0</v>
      </c>
      <c r="AF2951">
        <v>3</v>
      </c>
      <c r="AG2951">
        <v>1</v>
      </c>
      <c r="AH2951">
        <v>0</v>
      </c>
      <c r="AI2951" t="s">
        <v>1473</v>
      </c>
      <c r="AJ2951">
        <v>32.984046999999997</v>
      </c>
      <c r="AK2951" t="s">
        <v>1472</v>
      </c>
      <c r="AL2951">
        <v>-97.667941999999996</v>
      </c>
      <c r="AM2951">
        <v>25</v>
      </c>
      <c r="AN2951">
        <v>1000</v>
      </c>
      <c r="AO2951" t="s">
        <v>118</v>
      </c>
      <c r="AP2951">
        <v>0</v>
      </c>
      <c r="AQ2951">
        <v>-86</v>
      </c>
      <c r="AR2951">
        <v>0</v>
      </c>
      <c r="AZ2951">
        <v>7700</v>
      </c>
      <c r="BA2951">
        <v>1</v>
      </c>
      <c r="BB2951" t="str">
        <f t="shared" si="868"/>
        <v xml:space="preserve">N733KP  </v>
      </c>
      <c r="BC2951">
        <v>1</v>
      </c>
      <c r="BE2951">
        <v>0</v>
      </c>
      <c r="BF2951">
        <v>0</v>
      </c>
      <c r="BG2951">
        <v>1</v>
      </c>
      <c r="BH2951">
        <v>925</v>
      </c>
      <c r="BI2951">
        <v>1</v>
      </c>
      <c r="BJ2951">
        <v>1</v>
      </c>
      <c r="BK2951">
        <v>0</v>
      </c>
      <c r="BL2951">
        <v>0</v>
      </c>
      <c r="BO2951">
        <v>0</v>
      </c>
      <c r="BP2951">
        <v>0</v>
      </c>
      <c r="BW2951" t="str">
        <f>"22:22:33.629"</f>
        <v>22:22:33.629</v>
      </c>
      <c r="CJ2951">
        <v>0</v>
      </c>
      <c r="CK2951">
        <v>2</v>
      </c>
      <c r="CL2951">
        <v>0</v>
      </c>
      <c r="CM2951">
        <v>2</v>
      </c>
      <c r="CN2951">
        <v>0</v>
      </c>
      <c r="CO2951">
        <v>5</v>
      </c>
      <c r="CP2951" t="s">
        <v>119</v>
      </c>
      <c r="CQ2951">
        <v>364</v>
      </c>
      <c r="CR2951">
        <v>0</v>
      </c>
      <c r="CW2951">
        <v>1481218</v>
      </c>
      <c r="CY2951">
        <v>1</v>
      </c>
      <c r="CZ2951">
        <v>0</v>
      </c>
      <c r="DA2951">
        <v>0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3">
      <c r="A2952" t="str">
        <f>"03/24/2022 22:22:33.836"</f>
        <v>03/24/2022 22:22:33.836</v>
      </c>
      <c r="C2952" t="str">
        <f t="shared" si="867"/>
        <v>FFDFD3C0</v>
      </c>
      <c r="D2952" t="s">
        <v>120</v>
      </c>
      <c r="E2952">
        <v>14</v>
      </c>
      <c r="F2952">
        <v>1014</v>
      </c>
      <c r="G2952" t="s">
        <v>121</v>
      </c>
      <c r="J2952" t="s">
        <v>122</v>
      </c>
      <c r="K2952">
        <v>0</v>
      </c>
      <c r="L2952">
        <v>3</v>
      </c>
      <c r="M2952">
        <v>0</v>
      </c>
      <c r="N2952">
        <v>2</v>
      </c>
      <c r="O2952">
        <v>0</v>
      </c>
      <c r="P2952">
        <v>1</v>
      </c>
      <c r="Q2952">
        <v>0</v>
      </c>
      <c r="S2952" t="str">
        <f t="shared" si="882"/>
        <v>22:22:33.000</v>
      </c>
      <c r="T2952" t="str">
        <f t="shared" si="882"/>
        <v>22:22:33.000</v>
      </c>
      <c r="U2952" t="str">
        <f t="shared" si="880"/>
        <v>A9D71F</v>
      </c>
      <c r="V2952">
        <v>0</v>
      </c>
      <c r="W2952">
        <v>0</v>
      </c>
      <c r="X2952">
        <v>2</v>
      </c>
      <c r="Z2952">
        <v>1</v>
      </c>
      <c r="AA2952">
        <v>8</v>
      </c>
      <c r="AB2952">
        <v>3</v>
      </c>
      <c r="AC2952">
        <v>0</v>
      </c>
      <c r="AD2952">
        <v>9</v>
      </c>
      <c r="AE2952">
        <v>0</v>
      </c>
      <c r="AF2952">
        <v>3</v>
      </c>
      <c r="AG2952">
        <v>1</v>
      </c>
      <c r="AH2952">
        <v>0</v>
      </c>
      <c r="AI2952" t="s">
        <v>1473</v>
      </c>
      <c r="AJ2952">
        <v>32.984046999999997</v>
      </c>
      <c r="AK2952" t="s">
        <v>1472</v>
      </c>
      <c r="AL2952">
        <v>-97.667941999999996</v>
      </c>
      <c r="AM2952">
        <v>25</v>
      </c>
      <c r="AN2952">
        <v>1000</v>
      </c>
      <c r="AO2952" t="s">
        <v>118</v>
      </c>
      <c r="AP2952">
        <v>0</v>
      </c>
      <c r="AQ2952">
        <v>-86</v>
      </c>
      <c r="AR2952">
        <v>0</v>
      </c>
      <c r="AZ2952">
        <v>7700</v>
      </c>
      <c r="BA2952">
        <v>1</v>
      </c>
      <c r="BB2952" t="str">
        <f t="shared" si="868"/>
        <v xml:space="preserve">N733KP  </v>
      </c>
      <c r="BC2952">
        <v>1</v>
      </c>
      <c r="BE2952">
        <v>0</v>
      </c>
      <c r="BF2952">
        <v>0</v>
      </c>
      <c r="BG2952">
        <v>1</v>
      </c>
      <c r="BH2952">
        <v>925</v>
      </c>
      <c r="BI2952">
        <v>1</v>
      </c>
      <c r="BJ2952">
        <v>1</v>
      </c>
      <c r="BK2952">
        <v>0</v>
      </c>
      <c r="BL2952">
        <v>0</v>
      </c>
      <c r="BO2952">
        <v>0</v>
      </c>
      <c r="BP2952">
        <v>0</v>
      </c>
      <c r="BW2952" t="str">
        <f>"22:22:33.629"</f>
        <v>22:22:33.629</v>
      </c>
      <c r="CJ2952">
        <v>0</v>
      </c>
      <c r="CK2952">
        <v>2</v>
      </c>
      <c r="CL2952">
        <v>0</v>
      </c>
      <c r="CM2952">
        <v>2</v>
      </c>
      <c r="CN2952">
        <v>0</v>
      </c>
      <c r="CO2952">
        <v>5</v>
      </c>
      <c r="CP2952" t="s">
        <v>119</v>
      </c>
      <c r="CQ2952">
        <v>364</v>
      </c>
      <c r="CR2952">
        <v>0</v>
      </c>
      <c r="CW2952">
        <v>1481218</v>
      </c>
      <c r="CY2952">
        <v>1</v>
      </c>
      <c r="CZ2952">
        <v>0</v>
      </c>
      <c r="DA2952">
        <v>1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3">
      <c r="A2953" t="str">
        <f>"03/24/2022 22:22:33.836"</f>
        <v>03/24/2022 22:22:33.836</v>
      </c>
      <c r="C2953" t="str">
        <f t="shared" si="867"/>
        <v>FFDFD3C0</v>
      </c>
      <c r="D2953" t="s">
        <v>126</v>
      </c>
      <c r="E2953">
        <v>3</v>
      </c>
      <c r="H2953">
        <v>160</v>
      </c>
      <c r="I2953" t="s">
        <v>121</v>
      </c>
      <c r="J2953" t="s">
        <v>127</v>
      </c>
      <c r="K2953">
        <v>0</v>
      </c>
      <c r="L2953">
        <v>3</v>
      </c>
      <c r="M2953">
        <v>0</v>
      </c>
      <c r="N2953">
        <v>2</v>
      </c>
      <c r="O2953">
        <v>0</v>
      </c>
      <c r="P2953">
        <v>1</v>
      </c>
      <c r="Q2953">
        <v>0</v>
      </c>
      <c r="S2953" t="str">
        <f t="shared" si="882"/>
        <v>22:22:33.000</v>
      </c>
      <c r="T2953" t="str">
        <f t="shared" si="882"/>
        <v>22:22:33.000</v>
      </c>
      <c r="U2953" t="str">
        <f t="shared" si="880"/>
        <v>A9D71F</v>
      </c>
      <c r="V2953">
        <v>0</v>
      </c>
      <c r="W2953">
        <v>0</v>
      </c>
      <c r="X2953">
        <v>2</v>
      </c>
      <c r="Z2953">
        <v>1</v>
      </c>
      <c r="AA2953">
        <v>8</v>
      </c>
      <c r="AB2953">
        <v>3</v>
      </c>
      <c r="AC2953">
        <v>0</v>
      </c>
      <c r="AD2953">
        <v>9</v>
      </c>
      <c r="AE2953">
        <v>0</v>
      </c>
      <c r="AF2953">
        <v>3</v>
      </c>
      <c r="AG2953">
        <v>1</v>
      </c>
      <c r="AH2953">
        <v>0</v>
      </c>
      <c r="AI2953" t="s">
        <v>1473</v>
      </c>
      <c r="AJ2953">
        <v>32.984046999999997</v>
      </c>
      <c r="AK2953" t="s">
        <v>1472</v>
      </c>
      <c r="AL2953">
        <v>-97.667941999999996</v>
      </c>
      <c r="AM2953">
        <v>25</v>
      </c>
      <c r="AN2953">
        <v>1000</v>
      </c>
      <c r="AO2953" t="s">
        <v>118</v>
      </c>
      <c r="AP2953">
        <v>0</v>
      </c>
      <c r="AQ2953">
        <v>-86</v>
      </c>
      <c r="AR2953">
        <v>0</v>
      </c>
      <c r="AZ2953">
        <v>7700</v>
      </c>
      <c r="BA2953">
        <v>1</v>
      </c>
      <c r="BB2953" t="str">
        <f t="shared" si="868"/>
        <v xml:space="preserve">N733KP  </v>
      </c>
      <c r="BC2953">
        <v>1</v>
      </c>
      <c r="BE2953">
        <v>0</v>
      </c>
      <c r="BF2953">
        <v>0</v>
      </c>
      <c r="BG2953">
        <v>1</v>
      </c>
      <c r="BH2953">
        <v>925</v>
      </c>
      <c r="BI2953">
        <v>1</v>
      </c>
      <c r="BJ2953">
        <v>1</v>
      </c>
      <c r="BK2953">
        <v>0</v>
      </c>
      <c r="BL2953">
        <v>0</v>
      </c>
      <c r="BO2953">
        <v>0</v>
      </c>
      <c r="BP2953">
        <v>0</v>
      </c>
      <c r="BW2953" t="str">
        <f>"22:22:33.629"</f>
        <v>22:22:33.629</v>
      </c>
      <c r="CJ2953">
        <v>0</v>
      </c>
      <c r="CK2953">
        <v>2</v>
      </c>
      <c r="CL2953">
        <v>0</v>
      </c>
      <c r="CM2953">
        <v>2</v>
      </c>
      <c r="CN2953">
        <v>0</v>
      </c>
      <c r="CO2953">
        <v>5</v>
      </c>
      <c r="CP2953" t="s">
        <v>119</v>
      </c>
      <c r="CQ2953">
        <v>364</v>
      </c>
      <c r="CR2953">
        <v>0</v>
      </c>
      <c r="CW2953">
        <v>1481218</v>
      </c>
      <c r="CY2953">
        <v>1</v>
      </c>
      <c r="CZ2953">
        <v>0</v>
      </c>
      <c r="DA2953">
        <v>1</v>
      </c>
      <c r="DB2953">
        <v>0</v>
      </c>
      <c r="DC2953">
        <v>0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3">
      <c r="A2954" t="str">
        <f>"03/24/2022 22:22:33.852"</f>
        <v>03/24/2022 22:22:33.852</v>
      </c>
      <c r="C2954" t="str">
        <f t="shared" si="867"/>
        <v>FFDFD3C0</v>
      </c>
      <c r="D2954" t="s">
        <v>113</v>
      </c>
      <c r="E2954">
        <v>24</v>
      </c>
      <c r="F2954">
        <v>2024</v>
      </c>
      <c r="G2954" t="s">
        <v>114</v>
      </c>
      <c r="J2954" t="s">
        <v>115</v>
      </c>
      <c r="K2954">
        <v>0</v>
      </c>
      <c r="L2954">
        <v>3</v>
      </c>
      <c r="M2954">
        <v>0</v>
      </c>
      <c r="N2954">
        <v>2</v>
      </c>
      <c r="O2954">
        <v>0</v>
      </c>
      <c r="P2954">
        <v>1</v>
      </c>
      <c r="Q2954">
        <v>0</v>
      </c>
      <c r="S2954" t="str">
        <f t="shared" si="882"/>
        <v>22:22:33.000</v>
      </c>
      <c r="T2954" t="str">
        <f t="shared" si="882"/>
        <v>22:22:33.000</v>
      </c>
      <c r="U2954" t="str">
        <f t="shared" si="880"/>
        <v>A9D71F</v>
      </c>
      <c r="V2954">
        <v>0</v>
      </c>
      <c r="W2954">
        <v>0</v>
      </c>
      <c r="X2954">
        <v>2</v>
      </c>
      <c r="Z2954">
        <v>1</v>
      </c>
      <c r="AA2954">
        <v>8</v>
      </c>
      <c r="AB2954">
        <v>3</v>
      </c>
      <c r="AC2954">
        <v>0</v>
      </c>
      <c r="AD2954">
        <v>9</v>
      </c>
      <c r="AE2954">
        <v>0</v>
      </c>
      <c r="AF2954">
        <v>3</v>
      </c>
      <c r="AG2954">
        <v>1</v>
      </c>
      <c r="AH2954">
        <v>0</v>
      </c>
      <c r="AI2954" t="s">
        <v>1473</v>
      </c>
      <c r="AJ2954">
        <v>32.984046999999997</v>
      </c>
      <c r="AK2954" t="s">
        <v>1472</v>
      </c>
      <c r="AL2954">
        <v>-97.667941999999996</v>
      </c>
      <c r="AM2954">
        <v>25</v>
      </c>
      <c r="AN2954">
        <v>1000</v>
      </c>
      <c r="AO2954" t="s">
        <v>118</v>
      </c>
      <c r="AP2954">
        <v>0</v>
      </c>
      <c r="AQ2954">
        <v>-86</v>
      </c>
      <c r="AR2954">
        <v>0</v>
      </c>
      <c r="AZ2954">
        <v>7700</v>
      </c>
      <c r="BA2954">
        <v>1</v>
      </c>
      <c r="BB2954" t="str">
        <f t="shared" si="868"/>
        <v xml:space="preserve">N733KP  </v>
      </c>
      <c r="BC2954">
        <v>1</v>
      </c>
      <c r="BE2954">
        <v>0</v>
      </c>
      <c r="BF2954">
        <v>0</v>
      </c>
      <c r="BG2954">
        <v>1</v>
      </c>
      <c r="BH2954">
        <v>925</v>
      </c>
      <c r="BI2954">
        <v>1</v>
      </c>
      <c r="BJ2954">
        <v>1</v>
      </c>
      <c r="BK2954">
        <v>0</v>
      </c>
      <c r="BL2954">
        <v>0</v>
      </c>
      <c r="BO2954">
        <v>0</v>
      </c>
      <c r="BP2954">
        <v>0</v>
      </c>
      <c r="BW2954" t="str">
        <f>"22:22:33.629"</f>
        <v>22:22:33.629</v>
      </c>
      <c r="CJ2954">
        <v>0</v>
      </c>
      <c r="CK2954">
        <v>2</v>
      </c>
      <c r="CL2954">
        <v>0</v>
      </c>
      <c r="CM2954">
        <v>2</v>
      </c>
      <c r="CN2954">
        <v>0</v>
      </c>
      <c r="CO2954">
        <v>5</v>
      </c>
      <c r="CP2954" t="s">
        <v>119</v>
      </c>
      <c r="CQ2954">
        <v>364</v>
      </c>
      <c r="CR2954">
        <v>0</v>
      </c>
      <c r="CW2954">
        <v>1481218</v>
      </c>
      <c r="CY2954">
        <v>1</v>
      </c>
      <c r="CZ2954">
        <v>0</v>
      </c>
      <c r="DA2954">
        <v>1</v>
      </c>
      <c r="DB2954">
        <v>0</v>
      </c>
      <c r="DC2954">
        <v>0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3">
      <c r="A2955" t="str">
        <f>"03/24/2022 22:22:34.492"</f>
        <v>03/24/2022 22:22:34.492</v>
      </c>
      <c r="C2955" t="str">
        <f t="shared" si="867"/>
        <v>FFDFD3C0</v>
      </c>
      <c r="D2955" t="s">
        <v>126</v>
      </c>
      <c r="E2955">
        <v>3</v>
      </c>
      <c r="H2955">
        <v>160</v>
      </c>
      <c r="I2955" t="s">
        <v>121</v>
      </c>
      <c r="J2955" t="s">
        <v>127</v>
      </c>
      <c r="K2955">
        <v>0</v>
      </c>
      <c r="L2955">
        <v>3</v>
      </c>
      <c r="M2955">
        <v>0</v>
      </c>
      <c r="N2955">
        <v>2</v>
      </c>
      <c r="O2955">
        <v>0</v>
      </c>
      <c r="P2955">
        <v>1</v>
      </c>
      <c r="Q2955">
        <v>0</v>
      </c>
      <c r="S2955" t="str">
        <f t="shared" ref="S2955:T2958" si="883">"22:22:34.000"</f>
        <v>22:22:34.000</v>
      </c>
      <c r="T2955" t="str">
        <f t="shared" si="883"/>
        <v>22:22:34.000</v>
      </c>
      <c r="U2955" t="str">
        <f t="shared" si="880"/>
        <v>A9D71F</v>
      </c>
      <c r="V2955">
        <v>0</v>
      </c>
      <c r="W2955">
        <v>0</v>
      </c>
      <c r="X2955">
        <v>2</v>
      </c>
      <c r="Z2955">
        <v>1</v>
      </c>
      <c r="AA2955">
        <v>8</v>
      </c>
      <c r="AB2955">
        <v>3</v>
      </c>
      <c r="AC2955">
        <v>0</v>
      </c>
      <c r="AD2955">
        <v>9</v>
      </c>
      <c r="AE2955">
        <v>0</v>
      </c>
      <c r="AF2955">
        <v>3</v>
      </c>
      <c r="AG2955">
        <v>1</v>
      </c>
      <c r="AH2955">
        <v>0</v>
      </c>
      <c r="AI2955" t="s">
        <v>1474</v>
      </c>
      <c r="AJ2955">
        <v>32.983638999999997</v>
      </c>
      <c r="AK2955" t="s">
        <v>1472</v>
      </c>
      <c r="AL2955">
        <v>-97.667941999999996</v>
      </c>
      <c r="AM2955">
        <v>25</v>
      </c>
      <c r="AN2955">
        <v>1000</v>
      </c>
      <c r="AO2955" t="s">
        <v>118</v>
      </c>
      <c r="AP2955">
        <v>-1</v>
      </c>
      <c r="AQ2955">
        <v>-85</v>
      </c>
      <c r="AR2955">
        <v>0</v>
      </c>
      <c r="AZ2955">
        <v>7700</v>
      </c>
      <c r="BA2955">
        <v>1</v>
      </c>
      <c r="BB2955" t="str">
        <f t="shared" si="868"/>
        <v xml:space="preserve">N733KP  </v>
      </c>
      <c r="BC2955">
        <v>1</v>
      </c>
      <c r="BE2955">
        <v>0</v>
      </c>
      <c r="BF2955">
        <v>0</v>
      </c>
      <c r="BG2955">
        <v>1</v>
      </c>
      <c r="BH2955">
        <v>900</v>
      </c>
      <c r="BI2955">
        <v>1</v>
      </c>
      <c r="BJ2955">
        <v>1</v>
      </c>
      <c r="BK2955">
        <v>0</v>
      </c>
      <c r="BL2955">
        <v>0</v>
      </c>
      <c r="BO2955">
        <v>0</v>
      </c>
      <c r="BP2955">
        <v>0</v>
      </c>
      <c r="BW2955" t="str">
        <f>"22:22:34.317"</f>
        <v>22:22:34.317</v>
      </c>
      <c r="CJ2955">
        <v>0</v>
      </c>
      <c r="CK2955">
        <v>2</v>
      </c>
      <c r="CL2955">
        <v>0</v>
      </c>
      <c r="CM2955">
        <v>2</v>
      </c>
      <c r="CN2955">
        <v>0</v>
      </c>
      <c r="CO2955">
        <v>5</v>
      </c>
      <c r="CP2955" t="s">
        <v>119</v>
      </c>
      <c r="CQ2955">
        <v>364</v>
      </c>
      <c r="CR2955">
        <v>0</v>
      </c>
      <c r="CW2955">
        <v>1481314</v>
      </c>
      <c r="CY2955">
        <v>1</v>
      </c>
      <c r="CZ2955">
        <v>0</v>
      </c>
      <c r="DA2955">
        <v>0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3">
      <c r="A2956" t="str">
        <f>"03/24/2022 22:22:34.508"</f>
        <v>03/24/2022 22:22:34.508</v>
      </c>
      <c r="C2956" t="str">
        <f t="shared" si="867"/>
        <v>FFDFD3C0</v>
      </c>
      <c r="D2956" t="s">
        <v>113</v>
      </c>
      <c r="E2956">
        <v>24</v>
      </c>
      <c r="F2956">
        <v>2024</v>
      </c>
      <c r="G2956" t="s">
        <v>114</v>
      </c>
      <c r="J2956" t="s">
        <v>115</v>
      </c>
      <c r="K2956">
        <v>0</v>
      </c>
      <c r="L2956">
        <v>3</v>
      </c>
      <c r="M2956">
        <v>0</v>
      </c>
      <c r="N2956">
        <v>2</v>
      </c>
      <c r="O2956">
        <v>0</v>
      </c>
      <c r="P2956">
        <v>1</v>
      </c>
      <c r="Q2956">
        <v>0</v>
      </c>
      <c r="S2956" t="str">
        <f t="shared" si="883"/>
        <v>22:22:34.000</v>
      </c>
      <c r="T2956" t="str">
        <f t="shared" si="883"/>
        <v>22:22:34.000</v>
      </c>
      <c r="U2956" t="str">
        <f t="shared" si="880"/>
        <v>A9D71F</v>
      </c>
      <c r="V2956">
        <v>0</v>
      </c>
      <c r="W2956">
        <v>0</v>
      </c>
      <c r="X2956">
        <v>2</v>
      </c>
      <c r="Z2956">
        <v>1</v>
      </c>
      <c r="AA2956">
        <v>8</v>
      </c>
      <c r="AB2956">
        <v>3</v>
      </c>
      <c r="AC2956">
        <v>0</v>
      </c>
      <c r="AD2956">
        <v>9</v>
      </c>
      <c r="AE2956">
        <v>0</v>
      </c>
      <c r="AF2956">
        <v>3</v>
      </c>
      <c r="AG2956">
        <v>1</v>
      </c>
      <c r="AH2956">
        <v>0</v>
      </c>
      <c r="AI2956" t="s">
        <v>1474</v>
      </c>
      <c r="AJ2956">
        <v>32.983638999999997</v>
      </c>
      <c r="AK2956" t="s">
        <v>1472</v>
      </c>
      <c r="AL2956">
        <v>-97.667941999999996</v>
      </c>
      <c r="AM2956">
        <v>25</v>
      </c>
      <c r="AN2956">
        <v>1000</v>
      </c>
      <c r="AO2956" t="s">
        <v>118</v>
      </c>
      <c r="AP2956">
        <v>-1</v>
      </c>
      <c r="AQ2956">
        <v>-85</v>
      </c>
      <c r="AR2956">
        <v>0</v>
      </c>
      <c r="AZ2956">
        <v>7700</v>
      </c>
      <c r="BA2956">
        <v>1</v>
      </c>
      <c r="BB2956" t="str">
        <f t="shared" si="868"/>
        <v xml:space="preserve">N733KP  </v>
      </c>
      <c r="BC2956">
        <v>1</v>
      </c>
      <c r="BE2956">
        <v>0</v>
      </c>
      <c r="BF2956">
        <v>0</v>
      </c>
      <c r="BG2956">
        <v>1</v>
      </c>
      <c r="BH2956">
        <v>900</v>
      </c>
      <c r="BI2956">
        <v>1</v>
      </c>
      <c r="BJ2956">
        <v>1</v>
      </c>
      <c r="BK2956">
        <v>0</v>
      </c>
      <c r="BL2956">
        <v>0</v>
      </c>
      <c r="BO2956">
        <v>0</v>
      </c>
      <c r="BP2956">
        <v>0</v>
      </c>
      <c r="BW2956" t="str">
        <f>"22:22:34.317"</f>
        <v>22:22:34.317</v>
      </c>
      <c r="CJ2956">
        <v>0</v>
      </c>
      <c r="CK2956">
        <v>2</v>
      </c>
      <c r="CL2956">
        <v>0</v>
      </c>
      <c r="CM2956">
        <v>2</v>
      </c>
      <c r="CN2956">
        <v>0</v>
      </c>
      <c r="CO2956">
        <v>5</v>
      </c>
      <c r="CP2956" t="s">
        <v>119</v>
      </c>
      <c r="CQ2956">
        <v>364</v>
      </c>
      <c r="CR2956">
        <v>0</v>
      </c>
      <c r="CW2956">
        <v>1481314</v>
      </c>
      <c r="CY2956">
        <v>1</v>
      </c>
      <c r="CZ2956">
        <v>0</v>
      </c>
      <c r="DA2956">
        <v>1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3">
      <c r="A2957" t="str">
        <f>"03/24/2022 22:22:34.508"</f>
        <v>03/24/2022 22:22:34.508</v>
      </c>
      <c r="C2957" t="str">
        <f t="shared" si="867"/>
        <v>FFDFD3C0</v>
      </c>
      <c r="D2957" t="s">
        <v>123</v>
      </c>
      <c r="E2957">
        <v>8</v>
      </c>
      <c r="H2957">
        <v>31</v>
      </c>
      <c r="I2957" t="s">
        <v>124</v>
      </c>
      <c r="J2957" t="s">
        <v>125</v>
      </c>
      <c r="K2957">
        <v>0</v>
      </c>
      <c r="L2957">
        <v>3</v>
      </c>
      <c r="M2957">
        <v>0</v>
      </c>
      <c r="N2957">
        <v>2</v>
      </c>
      <c r="O2957">
        <v>0</v>
      </c>
      <c r="P2957">
        <v>1</v>
      </c>
      <c r="Q2957">
        <v>0</v>
      </c>
      <c r="S2957" t="str">
        <f t="shared" si="883"/>
        <v>22:22:34.000</v>
      </c>
      <c r="T2957" t="str">
        <f t="shared" si="883"/>
        <v>22:22:34.000</v>
      </c>
      <c r="U2957" t="str">
        <f t="shared" si="880"/>
        <v>A9D71F</v>
      </c>
      <c r="V2957">
        <v>0</v>
      </c>
      <c r="W2957">
        <v>0</v>
      </c>
      <c r="X2957">
        <v>2</v>
      </c>
      <c r="Z2957">
        <v>1</v>
      </c>
      <c r="AA2957">
        <v>8</v>
      </c>
      <c r="AB2957">
        <v>3</v>
      </c>
      <c r="AC2957">
        <v>0</v>
      </c>
      <c r="AD2957">
        <v>9</v>
      </c>
      <c r="AE2957">
        <v>0</v>
      </c>
      <c r="AF2957">
        <v>3</v>
      </c>
      <c r="AG2957">
        <v>1</v>
      </c>
      <c r="AH2957">
        <v>0</v>
      </c>
      <c r="AI2957" t="s">
        <v>1474</v>
      </c>
      <c r="AJ2957">
        <v>32.983638999999997</v>
      </c>
      <c r="AK2957" t="s">
        <v>1472</v>
      </c>
      <c r="AL2957">
        <v>-97.667941999999996</v>
      </c>
      <c r="AM2957">
        <v>25</v>
      </c>
      <c r="AN2957">
        <v>1000</v>
      </c>
      <c r="AO2957" t="s">
        <v>118</v>
      </c>
      <c r="AP2957">
        <v>-1</v>
      </c>
      <c r="AQ2957">
        <v>-85</v>
      </c>
      <c r="AR2957">
        <v>0</v>
      </c>
      <c r="AZ2957">
        <v>7700</v>
      </c>
      <c r="BA2957">
        <v>1</v>
      </c>
      <c r="BB2957" t="str">
        <f t="shared" si="868"/>
        <v xml:space="preserve">N733KP  </v>
      </c>
      <c r="BC2957">
        <v>1</v>
      </c>
      <c r="BE2957">
        <v>0</v>
      </c>
      <c r="BF2957">
        <v>0</v>
      </c>
      <c r="BG2957">
        <v>1</v>
      </c>
      <c r="BH2957">
        <v>900</v>
      </c>
      <c r="BI2957">
        <v>1</v>
      </c>
      <c r="BJ2957">
        <v>1</v>
      </c>
      <c r="BK2957">
        <v>0</v>
      </c>
      <c r="BL2957">
        <v>0</v>
      </c>
      <c r="BO2957">
        <v>0</v>
      </c>
      <c r="BP2957">
        <v>0</v>
      </c>
      <c r="BW2957" t="str">
        <f>"22:22:34.317"</f>
        <v>22:22:34.317</v>
      </c>
      <c r="CJ2957">
        <v>0</v>
      </c>
      <c r="CK2957">
        <v>2</v>
      </c>
      <c r="CL2957">
        <v>0</v>
      </c>
      <c r="CM2957">
        <v>2</v>
      </c>
      <c r="CN2957">
        <v>0</v>
      </c>
      <c r="CO2957">
        <v>5</v>
      </c>
      <c r="CP2957" t="s">
        <v>119</v>
      </c>
      <c r="CQ2957">
        <v>364</v>
      </c>
      <c r="CR2957">
        <v>0</v>
      </c>
      <c r="CW2957">
        <v>1481314</v>
      </c>
      <c r="CY2957">
        <v>1</v>
      </c>
      <c r="CZ2957">
        <v>0</v>
      </c>
      <c r="DA2957">
        <v>1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3">
      <c r="A2958" t="str">
        <f>"03/24/2022 22:22:34.508"</f>
        <v>03/24/2022 22:22:34.508</v>
      </c>
      <c r="C2958" t="str">
        <f t="shared" si="867"/>
        <v>FFDFD3C0</v>
      </c>
      <c r="D2958" t="s">
        <v>120</v>
      </c>
      <c r="E2958">
        <v>14</v>
      </c>
      <c r="F2958">
        <v>1014</v>
      </c>
      <c r="G2958" t="s">
        <v>121</v>
      </c>
      <c r="J2958" t="s">
        <v>122</v>
      </c>
      <c r="K2958">
        <v>0</v>
      </c>
      <c r="L2958">
        <v>3</v>
      </c>
      <c r="M2958">
        <v>0</v>
      </c>
      <c r="N2958">
        <v>2</v>
      </c>
      <c r="O2958">
        <v>0</v>
      </c>
      <c r="P2958">
        <v>1</v>
      </c>
      <c r="Q2958">
        <v>0</v>
      </c>
      <c r="S2958" t="str">
        <f t="shared" si="883"/>
        <v>22:22:34.000</v>
      </c>
      <c r="T2958" t="str">
        <f t="shared" si="883"/>
        <v>22:22:34.000</v>
      </c>
      <c r="U2958" t="str">
        <f t="shared" si="880"/>
        <v>A9D71F</v>
      </c>
      <c r="V2958">
        <v>0</v>
      </c>
      <c r="W2958">
        <v>0</v>
      </c>
      <c r="X2958">
        <v>2</v>
      </c>
      <c r="Z2958">
        <v>1</v>
      </c>
      <c r="AA2958">
        <v>8</v>
      </c>
      <c r="AB2958">
        <v>3</v>
      </c>
      <c r="AC2958">
        <v>0</v>
      </c>
      <c r="AD2958">
        <v>9</v>
      </c>
      <c r="AE2958">
        <v>0</v>
      </c>
      <c r="AF2958">
        <v>3</v>
      </c>
      <c r="AG2958">
        <v>1</v>
      </c>
      <c r="AH2958">
        <v>0</v>
      </c>
      <c r="AI2958" t="s">
        <v>1474</v>
      </c>
      <c r="AJ2958">
        <v>32.983638999999997</v>
      </c>
      <c r="AK2958" t="s">
        <v>1472</v>
      </c>
      <c r="AL2958">
        <v>-97.667941999999996</v>
      </c>
      <c r="AM2958">
        <v>25</v>
      </c>
      <c r="AN2958">
        <v>1000</v>
      </c>
      <c r="AO2958" t="s">
        <v>118</v>
      </c>
      <c r="AP2958">
        <v>-1</v>
      </c>
      <c r="AQ2958">
        <v>-85</v>
      </c>
      <c r="AR2958">
        <v>0</v>
      </c>
      <c r="AZ2958">
        <v>7700</v>
      </c>
      <c r="BA2958">
        <v>1</v>
      </c>
      <c r="BB2958" t="str">
        <f t="shared" si="868"/>
        <v xml:space="preserve">N733KP  </v>
      </c>
      <c r="BC2958">
        <v>1</v>
      </c>
      <c r="BE2958">
        <v>0</v>
      </c>
      <c r="BF2958">
        <v>0</v>
      </c>
      <c r="BG2958">
        <v>1</v>
      </c>
      <c r="BH2958">
        <v>900</v>
      </c>
      <c r="BI2958">
        <v>1</v>
      </c>
      <c r="BJ2958">
        <v>1</v>
      </c>
      <c r="BK2958">
        <v>0</v>
      </c>
      <c r="BL2958">
        <v>0</v>
      </c>
      <c r="BO2958">
        <v>0</v>
      </c>
      <c r="BP2958">
        <v>0</v>
      </c>
      <c r="BW2958" t="str">
        <f>"22:22:34.317"</f>
        <v>22:22:34.317</v>
      </c>
      <c r="CJ2958">
        <v>0</v>
      </c>
      <c r="CK2958">
        <v>2</v>
      </c>
      <c r="CL2958">
        <v>0</v>
      </c>
      <c r="CM2958">
        <v>2</v>
      </c>
      <c r="CN2958">
        <v>0</v>
      </c>
      <c r="CO2958">
        <v>5</v>
      </c>
      <c r="CP2958" t="s">
        <v>119</v>
      </c>
      <c r="CQ2958">
        <v>364</v>
      </c>
      <c r="CR2958">
        <v>0</v>
      </c>
      <c r="CW2958">
        <v>1481314</v>
      </c>
      <c r="CY2958">
        <v>1</v>
      </c>
      <c r="CZ2958">
        <v>0</v>
      </c>
      <c r="DA2958">
        <v>1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3">
      <c r="A2959" t="str">
        <f>"03/24/2022 22:22:36.524"</f>
        <v>03/24/2022 22:22:36.524</v>
      </c>
      <c r="C2959" t="str">
        <f t="shared" si="867"/>
        <v>FFDFD3C0</v>
      </c>
      <c r="D2959" t="s">
        <v>113</v>
      </c>
      <c r="E2959">
        <v>24</v>
      </c>
      <c r="F2959">
        <v>2024</v>
      </c>
      <c r="G2959" t="s">
        <v>114</v>
      </c>
      <c r="J2959" t="s">
        <v>115</v>
      </c>
      <c r="K2959">
        <v>0</v>
      </c>
      <c r="L2959">
        <v>3</v>
      </c>
      <c r="M2959">
        <v>0</v>
      </c>
      <c r="N2959">
        <v>2</v>
      </c>
      <c r="O2959">
        <v>0</v>
      </c>
      <c r="P2959">
        <v>1</v>
      </c>
      <c r="Q2959">
        <v>0</v>
      </c>
      <c r="S2959" t="str">
        <f t="shared" ref="S2959:T2962" si="884">"22:22:36.000"</f>
        <v>22:22:36.000</v>
      </c>
      <c r="T2959" t="str">
        <f t="shared" si="884"/>
        <v>22:22:36.000</v>
      </c>
      <c r="U2959" t="str">
        <f t="shared" si="880"/>
        <v>A9D71F</v>
      </c>
      <c r="V2959">
        <v>0</v>
      </c>
      <c r="W2959">
        <v>0</v>
      </c>
      <c r="X2959">
        <v>2</v>
      </c>
      <c r="Z2959">
        <v>1</v>
      </c>
      <c r="AA2959">
        <v>8</v>
      </c>
      <c r="AB2959">
        <v>3</v>
      </c>
      <c r="AC2959">
        <v>0</v>
      </c>
      <c r="AD2959">
        <v>9</v>
      </c>
      <c r="AE2959">
        <v>0</v>
      </c>
      <c r="AF2959">
        <v>3</v>
      </c>
      <c r="AG2959">
        <v>1</v>
      </c>
      <c r="AH2959">
        <v>0</v>
      </c>
      <c r="AI2959" t="s">
        <v>1475</v>
      </c>
      <c r="AJ2959">
        <v>32.982844999999998</v>
      </c>
      <c r="AK2959" t="s">
        <v>935</v>
      </c>
      <c r="AL2959">
        <v>-97.667985000000002</v>
      </c>
      <c r="AM2959">
        <v>25</v>
      </c>
      <c r="AN2959">
        <v>1000</v>
      </c>
      <c r="AO2959" t="s">
        <v>118</v>
      </c>
      <c r="AP2959">
        <v>-3</v>
      </c>
      <c r="AQ2959">
        <v>-84</v>
      </c>
      <c r="AR2959">
        <v>-128</v>
      </c>
      <c r="AZ2959">
        <v>7700</v>
      </c>
      <c r="BA2959">
        <v>1</v>
      </c>
      <c r="BB2959" t="str">
        <f t="shared" si="868"/>
        <v xml:space="preserve">N733KP  </v>
      </c>
      <c r="BC2959">
        <v>1</v>
      </c>
      <c r="BE2959">
        <v>0</v>
      </c>
      <c r="BF2959">
        <v>0</v>
      </c>
      <c r="BG2959">
        <v>1</v>
      </c>
      <c r="BH2959">
        <v>900</v>
      </c>
      <c r="BI2959">
        <v>1</v>
      </c>
      <c r="BJ2959">
        <v>1</v>
      </c>
      <c r="BK2959">
        <v>0</v>
      </c>
      <c r="BL2959">
        <v>0</v>
      </c>
      <c r="BO2959">
        <v>0</v>
      </c>
      <c r="BP2959">
        <v>0</v>
      </c>
      <c r="BW2959" t="str">
        <f>"22:22:36.368"</f>
        <v>22:22:36.368</v>
      </c>
      <c r="CJ2959">
        <v>0</v>
      </c>
      <c r="CK2959">
        <v>2</v>
      </c>
      <c r="CL2959">
        <v>0</v>
      </c>
      <c r="CM2959">
        <v>2</v>
      </c>
      <c r="CN2959">
        <v>0</v>
      </c>
      <c r="CO2959">
        <v>5</v>
      </c>
      <c r="CP2959" t="s">
        <v>119</v>
      </c>
      <c r="CQ2959">
        <v>364</v>
      </c>
      <c r="CR2959">
        <v>0</v>
      </c>
      <c r="CW2959">
        <v>1481588</v>
      </c>
      <c r="CY2959">
        <v>1</v>
      </c>
      <c r="CZ2959">
        <v>0</v>
      </c>
      <c r="DA2959">
        <v>0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3">
      <c r="A2960" t="str">
        <f>"03/24/2022 22:22:36.618"</f>
        <v>03/24/2022 22:22:36.618</v>
      </c>
      <c r="C2960" t="str">
        <f t="shared" si="867"/>
        <v>FFDFD3C0</v>
      </c>
      <c r="D2960" t="s">
        <v>123</v>
      </c>
      <c r="E2960">
        <v>8</v>
      </c>
      <c r="H2960">
        <v>31</v>
      </c>
      <c r="I2960" t="s">
        <v>124</v>
      </c>
      <c r="J2960" t="s">
        <v>125</v>
      </c>
      <c r="K2960">
        <v>0</v>
      </c>
      <c r="L2960">
        <v>3</v>
      </c>
      <c r="M2960">
        <v>0</v>
      </c>
      <c r="N2960">
        <v>2</v>
      </c>
      <c r="O2960">
        <v>0</v>
      </c>
      <c r="P2960">
        <v>1</v>
      </c>
      <c r="Q2960">
        <v>0</v>
      </c>
      <c r="S2960" t="str">
        <f t="shared" si="884"/>
        <v>22:22:36.000</v>
      </c>
      <c r="T2960" t="str">
        <f t="shared" si="884"/>
        <v>22:22:36.000</v>
      </c>
      <c r="U2960" t="str">
        <f t="shared" si="880"/>
        <v>A9D71F</v>
      </c>
      <c r="V2960">
        <v>0</v>
      </c>
      <c r="W2960">
        <v>0</v>
      </c>
      <c r="X2960">
        <v>2</v>
      </c>
      <c r="Z2960">
        <v>1</v>
      </c>
      <c r="AA2960">
        <v>8</v>
      </c>
      <c r="AB2960">
        <v>3</v>
      </c>
      <c r="AC2960">
        <v>0</v>
      </c>
      <c r="AD2960">
        <v>9</v>
      </c>
      <c r="AE2960">
        <v>0</v>
      </c>
      <c r="AF2960">
        <v>3</v>
      </c>
      <c r="AG2960">
        <v>1</v>
      </c>
      <c r="AH2960">
        <v>0</v>
      </c>
      <c r="AI2960" t="s">
        <v>1475</v>
      </c>
      <c r="AJ2960">
        <v>32.982844999999998</v>
      </c>
      <c r="AK2960" t="s">
        <v>935</v>
      </c>
      <c r="AL2960">
        <v>-97.667985000000002</v>
      </c>
      <c r="AM2960">
        <v>25</v>
      </c>
      <c r="AN2960">
        <v>1000</v>
      </c>
      <c r="AO2960" t="s">
        <v>118</v>
      </c>
      <c r="AP2960">
        <v>-3</v>
      </c>
      <c r="AQ2960">
        <v>-84</v>
      </c>
      <c r="AR2960">
        <v>-128</v>
      </c>
      <c r="AZ2960">
        <v>7700</v>
      </c>
      <c r="BA2960">
        <v>1</v>
      </c>
      <c r="BB2960" t="str">
        <f t="shared" si="868"/>
        <v xml:space="preserve">N733KP  </v>
      </c>
      <c r="BC2960">
        <v>1</v>
      </c>
      <c r="BE2960">
        <v>0</v>
      </c>
      <c r="BF2960">
        <v>0</v>
      </c>
      <c r="BG2960">
        <v>1</v>
      </c>
      <c r="BH2960">
        <v>900</v>
      </c>
      <c r="BI2960">
        <v>1</v>
      </c>
      <c r="BJ2960">
        <v>1</v>
      </c>
      <c r="BK2960">
        <v>0</v>
      </c>
      <c r="BL2960">
        <v>0</v>
      </c>
      <c r="BO2960">
        <v>0</v>
      </c>
      <c r="BP2960">
        <v>0</v>
      </c>
      <c r="BW2960" t="str">
        <f>"22:22:36.368"</f>
        <v>22:22:36.368</v>
      </c>
      <c r="CJ2960">
        <v>0</v>
      </c>
      <c r="CK2960">
        <v>2</v>
      </c>
      <c r="CL2960">
        <v>0</v>
      </c>
      <c r="CM2960">
        <v>2</v>
      </c>
      <c r="CN2960">
        <v>0</v>
      </c>
      <c r="CO2960">
        <v>5</v>
      </c>
      <c r="CP2960" t="s">
        <v>119</v>
      </c>
      <c r="CQ2960">
        <v>364</v>
      </c>
      <c r="CR2960">
        <v>0</v>
      </c>
      <c r="CW2960">
        <v>1481588</v>
      </c>
      <c r="CY2960">
        <v>1</v>
      </c>
      <c r="CZ2960">
        <v>0</v>
      </c>
      <c r="DA2960">
        <v>1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3">
      <c r="A2961" t="str">
        <f>"03/24/2022 22:22:36.618"</f>
        <v>03/24/2022 22:22:36.618</v>
      </c>
      <c r="C2961" t="str">
        <f t="shared" si="867"/>
        <v>FFDFD3C0</v>
      </c>
      <c r="D2961" t="s">
        <v>120</v>
      </c>
      <c r="E2961">
        <v>14</v>
      </c>
      <c r="F2961">
        <v>1014</v>
      </c>
      <c r="G2961" t="s">
        <v>121</v>
      </c>
      <c r="J2961" t="s">
        <v>122</v>
      </c>
      <c r="K2961">
        <v>0</v>
      </c>
      <c r="L2961">
        <v>3</v>
      </c>
      <c r="M2961">
        <v>0</v>
      </c>
      <c r="N2961">
        <v>2</v>
      </c>
      <c r="O2961">
        <v>0</v>
      </c>
      <c r="P2961">
        <v>1</v>
      </c>
      <c r="Q2961">
        <v>0</v>
      </c>
      <c r="S2961" t="str">
        <f t="shared" si="884"/>
        <v>22:22:36.000</v>
      </c>
      <c r="T2961" t="str">
        <f t="shared" si="884"/>
        <v>22:22:36.000</v>
      </c>
      <c r="U2961" t="str">
        <f t="shared" si="880"/>
        <v>A9D71F</v>
      </c>
      <c r="V2961">
        <v>0</v>
      </c>
      <c r="W2961">
        <v>0</v>
      </c>
      <c r="X2961">
        <v>2</v>
      </c>
      <c r="Z2961">
        <v>1</v>
      </c>
      <c r="AA2961">
        <v>8</v>
      </c>
      <c r="AB2961">
        <v>3</v>
      </c>
      <c r="AC2961">
        <v>0</v>
      </c>
      <c r="AD2961">
        <v>9</v>
      </c>
      <c r="AE2961">
        <v>0</v>
      </c>
      <c r="AF2961">
        <v>3</v>
      </c>
      <c r="AG2961">
        <v>1</v>
      </c>
      <c r="AH2961">
        <v>0</v>
      </c>
      <c r="AI2961" t="s">
        <v>1475</v>
      </c>
      <c r="AJ2961">
        <v>32.982844999999998</v>
      </c>
      <c r="AK2961" t="s">
        <v>935</v>
      </c>
      <c r="AL2961">
        <v>-97.667985000000002</v>
      </c>
      <c r="AM2961">
        <v>25</v>
      </c>
      <c r="AN2961">
        <v>1000</v>
      </c>
      <c r="AO2961" t="s">
        <v>118</v>
      </c>
      <c r="AP2961">
        <v>-3</v>
      </c>
      <c r="AQ2961">
        <v>-84</v>
      </c>
      <c r="AR2961">
        <v>-128</v>
      </c>
      <c r="AZ2961">
        <v>7700</v>
      </c>
      <c r="BA2961">
        <v>1</v>
      </c>
      <c r="BB2961" t="str">
        <f t="shared" si="868"/>
        <v xml:space="preserve">N733KP  </v>
      </c>
      <c r="BC2961">
        <v>1</v>
      </c>
      <c r="BE2961">
        <v>0</v>
      </c>
      <c r="BF2961">
        <v>0</v>
      </c>
      <c r="BG2961">
        <v>1</v>
      </c>
      <c r="BH2961">
        <v>900</v>
      </c>
      <c r="BI2961">
        <v>1</v>
      </c>
      <c r="BJ2961">
        <v>1</v>
      </c>
      <c r="BK2961">
        <v>0</v>
      </c>
      <c r="BL2961">
        <v>0</v>
      </c>
      <c r="BO2961">
        <v>0</v>
      </c>
      <c r="BP2961">
        <v>0</v>
      </c>
      <c r="BW2961" t="str">
        <f>"22:22:36.368"</f>
        <v>22:22:36.368</v>
      </c>
      <c r="CJ2961">
        <v>0</v>
      </c>
      <c r="CK2961">
        <v>2</v>
      </c>
      <c r="CL2961">
        <v>0</v>
      </c>
      <c r="CM2961">
        <v>2</v>
      </c>
      <c r="CN2961">
        <v>0</v>
      </c>
      <c r="CO2961">
        <v>5</v>
      </c>
      <c r="CP2961" t="s">
        <v>119</v>
      </c>
      <c r="CQ2961">
        <v>364</v>
      </c>
      <c r="CR2961">
        <v>0</v>
      </c>
      <c r="CW2961">
        <v>1481588</v>
      </c>
      <c r="CY2961">
        <v>1</v>
      </c>
      <c r="CZ2961">
        <v>0</v>
      </c>
      <c r="DA2961">
        <v>1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3">
      <c r="A2962" t="str">
        <f>"03/24/2022 22:22:36.618"</f>
        <v>03/24/2022 22:22:36.618</v>
      </c>
      <c r="C2962" t="str">
        <f t="shared" si="867"/>
        <v>FFDFD3C0</v>
      </c>
      <c r="D2962" t="s">
        <v>126</v>
      </c>
      <c r="E2962">
        <v>3</v>
      </c>
      <c r="H2962">
        <v>160</v>
      </c>
      <c r="I2962" t="s">
        <v>121</v>
      </c>
      <c r="J2962" t="s">
        <v>127</v>
      </c>
      <c r="K2962">
        <v>0</v>
      </c>
      <c r="L2962">
        <v>3</v>
      </c>
      <c r="M2962">
        <v>0</v>
      </c>
      <c r="N2962">
        <v>2</v>
      </c>
      <c r="O2962">
        <v>0</v>
      </c>
      <c r="P2962">
        <v>1</v>
      </c>
      <c r="Q2962">
        <v>0</v>
      </c>
      <c r="S2962" t="str">
        <f t="shared" si="884"/>
        <v>22:22:36.000</v>
      </c>
      <c r="T2962" t="str">
        <f t="shared" si="884"/>
        <v>22:22:36.000</v>
      </c>
      <c r="U2962" t="str">
        <f t="shared" si="880"/>
        <v>A9D71F</v>
      </c>
      <c r="V2962">
        <v>0</v>
      </c>
      <c r="W2962">
        <v>0</v>
      </c>
      <c r="X2962">
        <v>2</v>
      </c>
      <c r="Z2962">
        <v>1</v>
      </c>
      <c r="AA2962">
        <v>8</v>
      </c>
      <c r="AB2962">
        <v>3</v>
      </c>
      <c r="AC2962">
        <v>0</v>
      </c>
      <c r="AD2962">
        <v>9</v>
      </c>
      <c r="AE2962">
        <v>0</v>
      </c>
      <c r="AF2962">
        <v>3</v>
      </c>
      <c r="AG2962">
        <v>1</v>
      </c>
      <c r="AH2962">
        <v>0</v>
      </c>
      <c r="AI2962" t="s">
        <v>1475</v>
      </c>
      <c r="AJ2962">
        <v>32.982844999999998</v>
      </c>
      <c r="AK2962" t="s">
        <v>935</v>
      </c>
      <c r="AL2962">
        <v>-97.667985000000002</v>
      </c>
      <c r="AM2962">
        <v>25</v>
      </c>
      <c r="AN2962">
        <v>1000</v>
      </c>
      <c r="AO2962" t="s">
        <v>118</v>
      </c>
      <c r="AP2962">
        <v>-3</v>
      </c>
      <c r="AQ2962">
        <v>-84</v>
      </c>
      <c r="AR2962">
        <v>-128</v>
      </c>
      <c r="AZ2962">
        <v>7700</v>
      </c>
      <c r="BA2962">
        <v>1</v>
      </c>
      <c r="BB2962" t="str">
        <f t="shared" si="868"/>
        <v xml:space="preserve">N733KP  </v>
      </c>
      <c r="BC2962">
        <v>1</v>
      </c>
      <c r="BE2962">
        <v>0</v>
      </c>
      <c r="BF2962">
        <v>0</v>
      </c>
      <c r="BG2962">
        <v>1</v>
      </c>
      <c r="BH2962">
        <v>900</v>
      </c>
      <c r="BI2962">
        <v>1</v>
      </c>
      <c r="BJ2962">
        <v>1</v>
      </c>
      <c r="BK2962">
        <v>0</v>
      </c>
      <c r="BL2962">
        <v>0</v>
      </c>
      <c r="BO2962">
        <v>0</v>
      </c>
      <c r="BP2962">
        <v>0</v>
      </c>
      <c r="BW2962" t="str">
        <f>"22:22:36.368"</f>
        <v>22:22:36.368</v>
      </c>
      <c r="CJ2962">
        <v>0</v>
      </c>
      <c r="CK2962">
        <v>2</v>
      </c>
      <c r="CL2962">
        <v>0</v>
      </c>
      <c r="CM2962">
        <v>2</v>
      </c>
      <c r="CN2962">
        <v>0</v>
      </c>
      <c r="CO2962">
        <v>5</v>
      </c>
      <c r="CP2962" t="s">
        <v>119</v>
      </c>
      <c r="CQ2962">
        <v>364</v>
      </c>
      <c r="CR2962">
        <v>0</v>
      </c>
      <c r="CW2962">
        <v>1481588</v>
      </c>
      <c r="CY2962">
        <v>1</v>
      </c>
      <c r="CZ2962">
        <v>0</v>
      </c>
      <c r="DA2962">
        <v>1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3">
      <c r="A2963" t="str">
        <f>"03/24/2022 22:22:37.744"</f>
        <v>03/24/2022 22:22:37.744</v>
      </c>
      <c r="C2963" t="str">
        <f t="shared" si="867"/>
        <v>FFDFD3C0</v>
      </c>
      <c r="D2963" t="s">
        <v>113</v>
      </c>
      <c r="E2963">
        <v>24</v>
      </c>
      <c r="F2963">
        <v>2024</v>
      </c>
      <c r="G2963" t="s">
        <v>114</v>
      </c>
      <c r="J2963" t="s">
        <v>115</v>
      </c>
      <c r="K2963">
        <v>0</v>
      </c>
      <c r="L2963">
        <v>3</v>
      </c>
      <c r="M2963">
        <v>0</v>
      </c>
      <c r="N2963">
        <v>2</v>
      </c>
      <c r="O2963">
        <v>0</v>
      </c>
      <c r="P2963">
        <v>1</v>
      </c>
      <c r="Q2963">
        <v>0</v>
      </c>
      <c r="S2963" t="str">
        <f t="shared" ref="S2963:T2966" si="885">"22:22:37.000"</f>
        <v>22:22:37.000</v>
      </c>
      <c r="T2963" t="str">
        <f t="shared" si="885"/>
        <v>22:22:37.000</v>
      </c>
      <c r="U2963" t="str">
        <f t="shared" si="880"/>
        <v>A9D71F</v>
      </c>
      <c r="V2963">
        <v>0</v>
      </c>
      <c r="W2963">
        <v>0</v>
      </c>
      <c r="X2963">
        <v>2</v>
      </c>
      <c r="Z2963">
        <v>1</v>
      </c>
      <c r="AA2963">
        <v>8</v>
      </c>
      <c r="AB2963">
        <v>3</v>
      </c>
      <c r="AC2963">
        <v>0</v>
      </c>
      <c r="AD2963">
        <v>9</v>
      </c>
      <c r="AE2963">
        <v>0</v>
      </c>
      <c r="AF2963">
        <v>3</v>
      </c>
      <c r="AG2963">
        <v>1</v>
      </c>
      <c r="AH2963">
        <v>0</v>
      </c>
      <c r="AI2963" t="s">
        <v>1476</v>
      </c>
      <c r="AJ2963">
        <v>32.982416000000001</v>
      </c>
      <c r="AK2963" t="s">
        <v>935</v>
      </c>
      <c r="AL2963">
        <v>-97.667985000000002</v>
      </c>
      <c r="AM2963">
        <v>25</v>
      </c>
      <c r="AN2963">
        <v>1000</v>
      </c>
      <c r="AO2963" t="s">
        <v>118</v>
      </c>
      <c r="AP2963">
        <v>-7</v>
      </c>
      <c r="AQ2963">
        <v>-81</v>
      </c>
      <c r="AR2963">
        <v>0</v>
      </c>
      <c r="AZ2963">
        <v>7700</v>
      </c>
      <c r="BA2963">
        <v>1</v>
      </c>
      <c r="BB2963" t="str">
        <f t="shared" si="868"/>
        <v xml:space="preserve">N733KP  </v>
      </c>
      <c r="BC2963">
        <v>1</v>
      </c>
      <c r="BE2963">
        <v>0</v>
      </c>
      <c r="BF2963">
        <v>0</v>
      </c>
      <c r="BG2963">
        <v>1</v>
      </c>
      <c r="BH2963">
        <v>900</v>
      </c>
      <c r="BI2963">
        <v>1</v>
      </c>
      <c r="BJ2963">
        <v>1</v>
      </c>
      <c r="BK2963">
        <v>0</v>
      </c>
      <c r="BL2963">
        <v>0</v>
      </c>
      <c r="BO2963">
        <v>0</v>
      </c>
      <c r="BP2963">
        <v>0</v>
      </c>
      <c r="BW2963" t="str">
        <f>"22:22:37.542"</f>
        <v>22:22:37.542</v>
      </c>
      <c r="CJ2963">
        <v>0</v>
      </c>
      <c r="CK2963">
        <v>2</v>
      </c>
      <c r="CL2963">
        <v>0</v>
      </c>
      <c r="CM2963">
        <v>2</v>
      </c>
      <c r="CN2963">
        <v>0</v>
      </c>
      <c r="CO2963">
        <v>5</v>
      </c>
      <c r="CP2963" t="s">
        <v>119</v>
      </c>
      <c r="CQ2963">
        <v>364</v>
      </c>
      <c r="CR2963">
        <v>0</v>
      </c>
      <c r="CW2963">
        <v>1481739</v>
      </c>
      <c r="CY2963">
        <v>1</v>
      </c>
      <c r="CZ2963">
        <v>0</v>
      </c>
      <c r="DA2963">
        <v>0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3">
      <c r="A2964" t="str">
        <f>"03/24/2022 22:22:37.744"</f>
        <v>03/24/2022 22:22:37.744</v>
      </c>
      <c r="C2964" t="str">
        <f t="shared" si="867"/>
        <v>FFDFD3C0</v>
      </c>
      <c r="D2964" t="s">
        <v>123</v>
      </c>
      <c r="E2964">
        <v>8</v>
      </c>
      <c r="H2964">
        <v>31</v>
      </c>
      <c r="I2964" t="s">
        <v>124</v>
      </c>
      <c r="J2964" t="s">
        <v>125</v>
      </c>
      <c r="K2964">
        <v>0</v>
      </c>
      <c r="L2964">
        <v>3</v>
      </c>
      <c r="M2964">
        <v>0</v>
      </c>
      <c r="N2964">
        <v>2</v>
      </c>
      <c r="O2964">
        <v>0</v>
      </c>
      <c r="P2964">
        <v>1</v>
      </c>
      <c r="Q2964">
        <v>0</v>
      </c>
      <c r="S2964" t="str">
        <f t="shared" si="885"/>
        <v>22:22:37.000</v>
      </c>
      <c r="T2964" t="str">
        <f t="shared" si="885"/>
        <v>22:22:37.000</v>
      </c>
      <c r="U2964" t="str">
        <f t="shared" si="880"/>
        <v>A9D71F</v>
      </c>
      <c r="V2964">
        <v>0</v>
      </c>
      <c r="W2964">
        <v>0</v>
      </c>
      <c r="X2964">
        <v>2</v>
      </c>
      <c r="Z2964">
        <v>1</v>
      </c>
      <c r="AA2964">
        <v>8</v>
      </c>
      <c r="AB2964">
        <v>3</v>
      </c>
      <c r="AC2964">
        <v>0</v>
      </c>
      <c r="AD2964">
        <v>9</v>
      </c>
      <c r="AE2964">
        <v>0</v>
      </c>
      <c r="AF2964">
        <v>3</v>
      </c>
      <c r="AG2964">
        <v>1</v>
      </c>
      <c r="AH2964">
        <v>0</v>
      </c>
      <c r="AI2964" t="s">
        <v>1476</v>
      </c>
      <c r="AJ2964">
        <v>32.982416000000001</v>
      </c>
      <c r="AK2964" t="s">
        <v>935</v>
      </c>
      <c r="AL2964">
        <v>-97.667985000000002</v>
      </c>
      <c r="AM2964">
        <v>25</v>
      </c>
      <c r="AN2964">
        <v>1000</v>
      </c>
      <c r="AO2964" t="s">
        <v>118</v>
      </c>
      <c r="AP2964">
        <v>-7</v>
      </c>
      <c r="AQ2964">
        <v>-81</v>
      </c>
      <c r="AR2964">
        <v>0</v>
      </c>
      <c r="AZ2964">
        <v>7700</v>
      </c>
      <c r="BA2964">
        <v>1</v>
      </c>
      <c r="BB2964" t="str">
        <f t="shared" si="868"/>
        <v xml:space="preserve">N733KP  </v>
      </c>
      <c r="BC2964">
        <v>1</v>
      </c>
      <c r="BE2964">
        <v>0</v>
      </c>
      <c r="BF2964">
        <v>0</v>
      </c>
      <c r="BG2964">
        <v>1</v>
      </c>
      <c r="BH2964">
        <v>900</v>
      </c>
      <c r="BI2964">
        <v>1</v>
      </c>
      <c r="BJ2964">
        <v>1</v>
      </c>
      <c r="BK2964">
        <v>0</v>
      </c>
      <c r="BL2964">
        <v>0</v>
      </c>
      <c r="BO2964">
        <v>0</v>
      </c>
      <c r="BP2964">
        <v>0</v>
      </c>
      <c r="BW2964" t="str">
        <f>"22:22:37.542"</f>
        <v>22:22:37.542</v>
      </c>
      <c r="CJ2964">
        <v>0</v>
      </c>
      <c r="CK2964">
        <v>2</v>
      </c>
      <c r="CL2964">
        <v>0</v>
      </c>
      <c r="CM2964">
        <v>2</v>
      </c>
      <c r="CN2964">
        <v>0</v>
      </c>
      <c r="CO2964">
        <v>5</v>
      </c>
      <c r="CP2964" t="s">
        <v>119</v>
      </c>
      <c r="CQ2964">
        <v>364</v>
      </c>
      <c r="CR2964">
        <v>0</v>
      </c>
      <c r="CW2964">
        <v>1481739</v>
      </c>
      <c r="CY2964">
        <v>1</v>
      </c>
      <c r="CZ2964">
        <v>0</v>
      </c>
      <c r="DA2964">
        <v>1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3">
      <c r="A2965" t="str">
        <f>"03/24/2022 22:22:37.775"</f>
        <v>03/24/2022 22:22:37.775</v>
      </c>
      <c r="C2965" t="str">
        <f t="shared" si="867"/>
        <v>FFDFD3C0</v>
      </c>
      <c r="D2965" t="s">
        <v>120</v>
      </c>
      <c r="E2965">
        <v>14</v>
      </c>
      <c r="F2965">
        <v>1014</v>
      </c>
      <c r="G2965" t="s">
        <v>121</v>
      </c>
      <c r="J2965" t="s">
        <v>122</v>
      </c>
      <c r="K2965">
        <v>0</v>
      </c>
      <c r="L2965">
        <v>3</v>
      </c>
      <c r="M2965">
        <v>0</v>
      </c>
      <c r="N2965">
        <v>2</v>
      </c>
      <c r="O2965">
        <v>0</v>
      </c>
      <c r="P2965">
        <v>1</v>
      </c>
      <c r="Q2965">
        <v>0</v>
      </c>
      <c r="S2965" t="str">
        <f t="shared" si="885"/>
        <v>22:22:37.000</v>
      </c>
      <c r="T2965" t="str">
        <f t="shared" si="885"/>
        <v>22:22:37.000</v>
      </c>
      <c r="U2965" t="str">
        <f t="shared" si="880"/>
        <v>A9D71F</v>
      </c>
      <c r="V2965">
        <v>0</v>
      </c>
      <c r="W2965">
        <v>0</v>
      </c>
      <c r="X2965">
        <v>2</v>
      </c>
      <c r="Z2965">
        <v>1</v>
      </c>
      <c r="AA2965">
        <v>8</v>
      </c>
      <c r="AB2965">
        <v>3</v>
      </c>
      <c r="AC2965">
        <v>0</v>
      </c>
      <c r="AD2965">
        <v>9</v>
      </c>
      <c r="AE2965">
        <v>0</v>
      </c>
      <c r="AF2965">
        <v>3</v>
      </c>
      <c r="AG2965">
        <v>1</v>
      </c>
      <c r="AH2965">
        <v>0</v>
      </c>
      <c r="AI2965" t="s">
        <v>1476</v>
      </c>
      <c r="AJ2965">
        <v>32.982416000000001</v>
      </c>
      <c r="AK2965" t="s">
        <v>935</v>
      </c>
      <c r="AL2965">
        <v>-97.667985000000002</v>
      </c>
      <c r="AM2965">
        <v>25</v>
      </c>
      <c r="AN2965">
        <v>1000</v>
      </c>
      <c r="AO2965" t="s">
        <v>118</v>
      </c>
      <c r="AP2965">
        <v>-7</v>
      </c>
      <c r="AQ2965">
        <v>-81</v>
      </c>
      <c r="AR2965">
        <v>0</v>
      </c>
      <c r="AZ2965">
        <v>7700</v>
      </c>
      <c r="BA2965">
        <v>1</v>
      </c>
      <c r="BB2965" t="str">
        <f t="shared" si="868"/>
        <v xml:space="preserve">N733KP  </v>
      </c>
      <c r="BC2965">
        <v>1</v>
      </c>
      <c r="BE2965">
        <v>0</v>
      </c>
      <c r="BF2965">
        <v>0</v>
      </c>
      <c r="BG2965">
        <v>1</v>
      </c>
      <c r="BH2965">
        <v>900</v>
      </c>
      <c r="BI2965">
        <v>1</v>
      </c>
      <c r="BJ2965">
        <v>1</v>
      </c>
      <c r="BK2965">
        <v>0</v>
      </c>
      <c r="BL2965">
        <v>0</v>
      </c>
      <c r="BO2965">
        <v>0</v>
      </c>
      <c r="BP2965">
        <v>0</v>
      </c>
      <c r="BW2965" t="str">
        <f>"22:22:37.542"</f>
        <v>22:22:37.542</v>
      </c>
      <c r="CJ2965">
        <v>0</v>
      </c>
      <c r="CK2965">
        <v>2</v>
      </c>
      <c r="CL2965">
        <v>0</v>
      </c>
      <c r="CM2965">
        <v>2</v>
      </c>
      <c r="CN2965">
        <v>0</v>
      </c>
      <c r="CO2965">
        <v>5</v>
      </c>
      <c r="CP2965" t="s">
        <v>119</v>
      </c>
      <c r="CQ2965">
        <v>364</v>
      </c>
      <c r="CR2965">
        <v>0</v>
      </c>
      <c r="CW2965">
        <v>1481739</v>
      </c>
      <c r="CY2965">
        <v>1</v>
      </c>
      <c r="CZ2965">
        <v>0</v>
      </c>
      <c r="DA2965">
        <v>1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3">
      <c r="A2966" t="str">
        <f>"03/24/2022 22:22:37.775"</f>
        <v>03/24/2022 22:22:37.775</v>
      </c>
      <c r="C2966" t="str">
        <f t="shared" ref="C2966:C3029" si="886">"FFDFD3C0"</f>
        <v>FFDFD3C0</v>
      </c>
      <c r="D2966" t="s">
        <v>126</v>
      </c>
      <c r="E2966">
        <v>3</v>
      </c>
      <c r="H2966">
        <v>160</v>
      </c>
      <c r="I2966" t="s">
        <v>121</v>
      </c>
      <c r="J2966" t="s">
        <v>127</v>
      </c>
      <c r="K2966">
        <v>0</v>
      </c>
      <c r="L2966">
        <v>3</v>
      </c>
      <c r="M2966">
        <v>0</v>
      </c>
      <c r="N2966">
        <v>2</v>
      </c>
      <c r="O2966">
        <v>0</v>
      </c>
      <c r="P2966">
        <v>1</v>
      </c>
      <c r="Q2966">
        <v>0</v>
      </c>
      <c r="S2966" t="str">
        <f t="shared" si="885"/>
        <v>22:22:37.000</v>
      </c>
      <c r="T2966" t="str">
        <f t="shared" si="885"/>
        <v>22:22:37.000</v>
      </c>
      <c r="U2966" t="str">
        <f t="shared" si="880"/>
        <v>A9D71F</v>
      </c>
      <c r="V2966">
        <v>0</v>
      </c>
      <c r="W2966">
        <v>0</v>
      </c>
      <c r="X2966">
        <v>2</v>
      </c>
      <c r="Z2966">
        <v>1</v>
      </c>
      <c r="AA2966">
        <v>8</v>
      </c>
      <c r="AB2966">
        <v>3</v>
      </c>
      <c r="AC2966">
        <v>0</v>
      </c>
      <c r="AD2966">
        <v>9</v>
      </c>
      <c r="AE2966">
        <v>0</v>
      </c>
      <c r="AF2966">
        <v>3</v>
      </c>
      <c r="AG2966">
        <v>1</v>
      </c>
      <c r="AH2966">
        <v>0</v>
      </c>
      <c r="AI2966" t="s">
        <v>1476</v>
      </c>
      <c r="AJ2966">
        <v>32.982416000000001</v>
      </c>
      <c r="AK2966" t="s">
        <v>935</v>
      </c>
      <c r="AL2966">
        <v>-97.667985000000002</v>
      </c>
      <c r="AM2966">
        <v>25</v>
      </c>
      <c r="AN2966">
        <v>1000</v>
      </c>
      <c r="AO2966" t="s">
        <v>118</v>
      </c>
      <c r="AP2966">
        <v>-7</v>
      </c>
      <c r="AQ2966">
        <v>-81</v>
      </c>
      <c r="AR2966">
        <v>0</v>
      </c>
      <c r="AZ2966">
        <v>7700</v>
      </c>
      <c r="BA2966">
        <v>1</v>
      </c>
      <c r="BB2966" t="str">
        <f t="shared" ref="BB2966:BB3029" si="887">"N733KP  "</f>
        <v xml:space="preserve">N733KP  </v>
      </c>
      <c r="BC2966">
        <v>1</v>
      </c>
      <c r="BE2966">
        <v>0</v>
      </c>
      <c r="BF2966">
        <v>0</v>
      </c>
      <c r="BG2966">
        <v>1</v>
      </c>
      <c r="BH2966">
        <v>900</v>
      </c>
      <c r="BI2966">
        <v>1</v>
      </c>
      <c r="BJ2966">
        <v>1</v>
      </c>
      <c r="BK2966">
        <v>0</v>
      </c>
      <c r="BL2966">
        <v>0</v>
      </c>
      <c r="BO2966">
        <v>0</v>
      </c>
      <c r="BP2966">
        <v>0</v>
      </c>
      <c r="BW2966" t="str">
        <f>"22:22:37.542"</f>
        <v>22:22:37.542</v>
      </c>
      <c r="CJ2966">
        <v>0</v>
      </c>
      <c r="CK2966">
        <v>2</v>
      </c>
      <c r="CL2966">
        <v>0</v>
      </c>
      <c r="CM2966">
        <v>2</v>
      </c>
      <c r="CN2966">
        <v>0</v>
      </c>
      <c r="CO2966">
        <v>5</v>
      </c>
      <c r="CP2966" t="s">
        <v>119</v>
      </c>
      <c r="CQ2966">
        <v>364</v>
      </c>
      <c r="CR2966">
        <v>0</v>
      </c>
      <c r="CW2966">
        <v>1481739</v>
      </c>
      <c r="CY2966">
        <v>1</v>
      </c>
      <c r="CZ2966">
        <v>0</v>
      </c>
      <c r="DA2966">
        <v>1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3">
      <c r="A2967" t="str">
        <f>"03/24/2022 22:22:38.793"</f>
        <v>03/24/2022 22:22:38.793</v>
      </c>
      <c r="C2967" t="str">
        <f t="shared" si="886"/>
        <v>FFDFD3C0</v>
      </c>
      <c r="D2967" t="s">
        <v>126</v>
      </c>
      <c r="E2967">
        <v>3</v>
      </c>
      <c r="H2967">
        <v>160</v>
      </c>
      <c r="I2967" t="s">
        <v>121</v>
      </c>
      <c r="J2967" t="s">
        <v>127</v>
      </c>
      <c r="K2967">
        <v>0</v>
      </c>
      <c r="L2967">
        <v>3</v>
      </c>
      <c r="M2967">
        <v>0</v>
      </c>
      <c r="N2967">
        <v>2</v>
      </c>
      <c r="O2967">
        <v>0</v>
      </c>
      <c r="P2967">
        <v>1</v>
      </c>
      <c r="Q2967">
        <v>0</v>
      </c>
      <c r="S2967" t="str">
        <f t="shared" ref="S2967:T2970" si="888">"22:22:38.000"</f>
        <v>22:22:38.000</v>
      </c>
      <c r="T2967" t="str">
        <f t="shared" si="888"/>
        <v>22:22:38.000</v>
      </c>
      <c r="U2967" t="str">
        <f t="shared" si="880"/>
        <v>A9D71F</v>
      </c>
      <c r="V2967">
        <v>0</v>
      </c>
      <c r="W2967">
        <v>0</v>
      </c>
      <c r="X2967">
        <v>2</v>
      </c>
      <c r="Z2967">
        <v>1</v>
      </c>
      <c r="AA2967">
        <v>8</v>
      </c>
      <c r="AB2967">
        <v>3</v>
      </c>
      <c r="AC2967">
        <v>0</v>
      </c>
      <c r="AD2967">
        <v>9</v>
      </c>
      <c r="AE2967">
        <v>0</v>
      </c>
      <c r="AF2967">
        <v>3</v>
      </c>
      <c r="AG2967">
        <v>1</v>
      </c>
      <c r="AH2967">
        <v>0</v>
      </c>
      <c r="AI2967" t="s">
        <v>1477</v>
      </c>
      <c r="AJ2967">
        <v>32.982115999999998</v>
      </c>
      <c r="AK2967" t="s">
        <v>1478</v>
      </c>
      <c r="AL2967">
        <v>-97.668006000000005</v>
      </c>
      <c r="AM2967">
        <v>25</v>
      </c>
      <c r="AN2967">
        <v>1000</v>
      </c>
      <c r="AO2967" t="s">
        <v>118</v>
      </c>
      <c r="AP2967">
        <v>-2</v>
      </c>
      <c r="AQ2967">
        <v>-83</v>
      </c>
      <c r="AR2967">
        <v>0</v>
      </c>
      <c r="AZ2967">
        <v>7700</v>
      </c>
      <c r="BA2967">
        <v>1</v>
      </c>
      <c r="BB2967" t="str">
        <f t="shared" si="887"/>
        <v xml:space="preserve">N733KP  </v>
      </c>
      <c r="BC2967">
        <v>1</v>
      </c>
      <c r="BE2967">
        <v>0</v>
      </c>
      <c r="BF2967">
        <v>0</v>
      </c>
      <c r="BG2967">
        <v>1</v>
      </c>
      <c r="BH2967">
        <v>900</v>
      </c>
      <c r="BI2967">
        <v>1</v>
      </c>
      <c r="BJ2967">
        <v>1</v>
      </c>
      <c r="BK2967">
        <v>0</v>
      </c>
      <c r="BL2967">
        <v>0</v>
      </c>
      <c r="BO2967">
        <v>0</v>
      </c>
      <c r="BP2967">
        <v>0</v>
      </c>
      <c r="BW2967" t="str">
        <f>"22:22:38.611"</f>
        <v>22:22:38.611</v>
      </c>
      <c r="CJ2967">
        <v>0</v>
      </c>
      <c r="CK2967">
        <v>2</v>
      </c>
      <c r="CL2967">
        <v>0</v>
      </c>
      <c r="CM2967">
        <v>2</v>
      </c>
      <c r="CN2967">
        <v>0</v>
      </c>
      <c r="CO2967">
        <v>5</v>
      </c>
      <c r="CP2967" t="s">
        <v>119</v>
      </c>
      <c r="CQ2967">
        <v>364</v>
      </c>
      <c r="CR2967">
        <v>0</v>
      </c>
      <c r="CW2967">
        <v>1481890</v>
      </c>
      <c r="CY2967">
        <v>1</v>
      </c>
      <c r="CZ2967">
        <v>0</v>
      </c>
      <c r="DA2967">
        <v>0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3">
      <c r="A2968" t="str">
        <f>"03/24/2022 22:22:38.809"</f>
        <v>03/24/2022 22:22:38.809</v>
      </c>
      <c r="C2968" t="str">
        <f t="shared" si="886"/>
        <v>FFDFD3C0</v>
      </c>
      <c r="D2968" t="s">
        <v>113</v>
      </c>
      <c r="E2968">
        <v>24</v>
      </c>
      <c r="F2968">
        <v>2024</v>
      </c>
      <c r="G2968" t="s">
        <v>114</v>
      </c>
      <c r="J2968" t="s">
        <v>115</v>
      </c>
      <c r="K2968">
        <v>0</v>
      </c>
      <c r="L2968">
        <v>3</v>
      </c>
      <c r="M2968">
        <v>0</v>
      </c>
      <c r="N2968">
        <v>2</v>
      </c>
      <c r="O2968">
        <v>0</v>
      </c>
      <c r="P2968">
        <v>1</v>
      </c>
      <c r="Q2968">
        <v>0</v>
      </c>
      <c r="S2968" t="str">
        <f t="shared" si="888"/>
        <v>22:22:38.000</v>
      </c>
      <c r="T2968" t="str">
        <f t="shared" si="888"/>
        <v>22:22:38.000</v>
      </c>
      <c r="U2968" t="str">
        <f t="shared" si="880"/>
        <v>A9D71F</v>
      </c>
      <c r="V2968">
        <v>0</v>
      </c>
      <c r="W2968">
        <v>0</v>
      </c>
      <c r="X2968">
        <v>2</v>
      </c>
      <c r="Z2968">
        <v>1</v>
      </c>
      <c r="AA2968">
        <v>8</v>
      </c>
      <c r="AB2968">
        <v>3</v>
      </c>
      <c r="AC2968">
        <v>0</v>
      </c>
      <c r="AD2968">
        <v>9</v>
      </c>
      <c r="AE2968">
        <v>0</v>
      </c>
      <c r="AF2968">
        <v>3</v>
      </c>
      <c r="AG2968">
        <v>1</v>
      </c>
      <c r="AH2968">
        <v>0</v>
      </c>
      <c r="AI2968" t="s">
        <v>1477</v>
      </c>
      <c r="AJ2968">
        <v>32.982115999999998</v>
      </c>
      <c r="AK2968" t="s">
        <v>1478</v>
      </c>
      <c r="AL2968">
        <v>-97.668006000000005</v>
      </c>
      <c r="AM2968">
        <v>25</v>
      </c>
      <c r="AN2968">
        <v>1000</v>
      </c>
      <c r="AO2968" t="s">
        <v>118</v>
      </c>
      <c r="AP2968">
        <v>-2</v>
      </c>
      <c r="AQ2968">
        <v>-83</v>
      </c>
      <c r="AR2968">
        <v>0</v>
      </c>
      <c r="AZ2968">
        <v>7700</v>
      </c>
      <c r="BA2968">
        <v>1</v>
      </c>
      <c r="BB2968" t="str">
        <f t="shared" si="887"/>
        <v xml:space="preserve">N733KP  </v>
      </c>
      <c r="BC2968">
        <v>1</v>
      </c>
      <c r="BE2968">
        <v>0</v>
      </c>
      <c r="BF2968">
        <v>0</v>
      </c>
      <c r="BG2968">
        <v>1</v>
      </c>
      <c r="BH2968">
        <v>900</v>
      </c>
      <c r="BI2968">
        <v>1</v>
      </c>
      <c r="BJ2968">
        <v>1</v>
      </c>
      <c r="BK2968">
        <v>0</v>
      </c>
      <c r="BL2968">
        <v>0</v>
      </c>
      <c r="BO2968">
        <v>0</v>
      </c>
      <c r="BP2968">
        <v>0</v>
      </c>
      <c r="BW2968" t="str">
        <f>"22:22:38.611"</f>
        <v>22:22:38.611</v>
      </c>
      <c r="CJ2968">
        <v>0</v>
      </c>
      <c r="CK2968">
        <v>2</v>
      </c>
      <c r="CL2968">
        <v>0</v>
      </c>
      <c r="CM2968">
        <v>2</v>
      </c>
      <c r="CN2968">
        <v>0</v>
      </c>
      <c r="CO2968">
        <v>5</v>
      </c>
      <c r="CP2968" t="s">
        <v>119</v>
      </c>
      <c r="CQ2968">
        <v>364</v>
      </c>
      <c r="CR2968">
        <v>0</v>
      </c>
      <c r="CW2968">
        <v>1481890</v>
      </c>
      <c r="CY2968">
        <v>1</v>
      </c>
      <c r="CZ2968">
        <v>0</v>
      </c>
      <c r="DA2968">
        <v>1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3">
      <c r="A2969" t="str">
        <f>"03/24/2022 22:22:38.809"</f>
        <v>03/24/2022 22:22:38.809</v>
      </c>
      <c r="C2969" t="str">
        <f t="shared" si="886"/>
        <v>FFDFD3C0</v>
      </c>
      <c r="D2969" t="s">
        <v>123</v>
      </c>
      <c r="E2969">
        <v>8</v>
      </c>
      <c r="H2969">
        <v>31</v>
      </c>
      <c r="I2969" t="s">
        <v>124</v>
      </c>
      <c r="J2969" t="s">
        <v>125</v>
      </c>
      <c r="K2969">
        <v>0</v>
      </c>
      <c r="L2969">
        <v>3</v>
      </c>
      <c r="M2969">
        <v>0</v>
      </c>
      <c r="N2969">
        <v>2</v>
      </c>
      <c r="O2969">
        <v>0</v>
      </c>
      <c r="P2969">
        <v>1</v>
      </c>
      <c r="Q2969">
        <v>0</v>
      </c>
      <c r="S2969" t="str">
        <f t="shared" si="888"/>
        <v>22:22:38.000</v>
      </c>
      <c r="T2969" t="str">
        <f t="shared" si="888"/>
        <v>22:22:38.000</v>
      </c>
      <c r="U2969" t="str">
        <f t="shared" si="880"/>
        <v>A9D71F</v>
      </c>
      <c r="V2969">
        <v>0</v>
      </c>
      <c r="W2969">
        <v>0</v>
      </c>
      <c r="X2969">
        <v>2</v>
      </c>
      <c r="Z2969">
        <v>1</v>
      </c>
      <c r="AA2969">
        <v>8</v>
      </c>
      <c r="AB2969">
        <v>3</v>
      </c>
      <c r="AC2969">
        <v>0</v>
      </c>
      <c r="AD2969">
        <v>9</v>
      </c>
      <c r="AE2969">
        <v>0</v>
      </c>
      <c r="AF2969">
        <v>3</v>
      </c>
      <c r="AG2969">
        <v>1</v>
      </c>
      <c r="AH2969">
        <v>0</v>
      </c>
      <c r="AI2969" t="s">
        <v>1477</v>
      </c>
      <c r="AJ2969">
        <v>32.982115999999998</v>
      </c>
      <c r="AK2969" t="s">
        <v>1478</v>
      </c>
      <c r="AL2969">
        <v>-97.668006000000005</v>
      </c>
      <c r="AM2969">
        <v>25</v>
      </c>
      <c r="AN2969">
        <v>1000</v>
      </c>
      <c r="AO2969" t="s">
        <v>118</v>
      </c>
      <c r="AP2969">
        <v>-2</v>
      </c>
      <c r="AQ2969">
        <v>-83</v>
      </c>
      <c r="AR2969">
        <v>0</v>
      </c>
      <c r="AZ2969">
        <v>7700</v>
      </c>
      <c r="BA2969">
        <v>1</v>
      </c>
      <c r="BB2969" t="str">
        <f t="shared" si="887"/>
        <v xml:space="preserve">N733KP  </v>
      </c>
      <c r="BC2969">
        <v>1</v>
      </c>
      <c r="BE2969">
        <v>0</v>
      </c>
      <c r="BF2969">
        <v>0</v>
      </c>
      <c r="BG2969">
        <v>1</v>
      </c>
      <c r="BH2969">
        <v>900</v>
      </c>
      <c r="BI2969">
        <v>1</v>
      </c>
      <c r="BJ2969">
        <v>1</v>
      </c>
      <c r="BK2969">
        <v>0</v>
      </c>
      <c r="BL2969">
        <v>0</v>
      </c>
      <c r="BO2969">
        <v>0</v>
      </c>
      <c r="BP2969">
        <v>0</v>
      </c>
      <c r="BW2969" t="str">
        <f>"22:22:38.611"</f>
        <v>22:22:38.611</v>
      </c>
      <c r="CJ2969">
        <v>0</v>
      </c>
      <c r="CK2969">
        <v>2</v>
      </c>
      <c r="CL2969">
        <v>0</v>
      </c>
      <c r="CM2969">
        <v>2</v>
      </c>
      <c r="CN2969">
        <v>0</v>
      </c>
      <c r="CO2969">
        <v>5</v>
      </c>
      <c r="CP2969" t="s">
        <v>119</v>
      </c>
      <c r="CQ2969">
        <v>364</v>
      </c>
      <c r="CR2969">
        <v>0</v>
      </c>
      <c r="CW2969">
        <v>1481890</v>
      </c>
      <c r="CY2969">
        <v>1</v>
      </c>
      <c r="CZ2969">
        <v>0</v>
      </c>
      <c r="DA2969">
        <v>1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3">
      <c r="A2970" t="str">
        <f>"03/24/2022 22:22:38.856"</f>
        <v>03/24/2022 22:22:38.856</v>
      </c>
      <c r="C2970" t="str">
        <f t="shared" si="886"/>
        <v>FFDFD3C0</v>
      </c>
      <c r="D2970" t="s">
        <v>120</v>
      </c>
      <c r="E2970">
        <v>14</v>
      </c>
      <c r="F2970">
        <v>1014</v>
      </c>
      <c r="G2970" t="s">
        <v>121</v>
      </c>
      <c r="J2970" t="s">
        <v>122</v>
      </c>
      <c r="K2970">
        <v>0</v>
      </c>
      <c r="L2970">
        <v>3</v>
      </c>
      <c r="M2970">
        <v>0</v>
      </c>
      <c r="N2970">
        <v>2</v>
      </c>
      <c r="O2970">
        <v>0</v>
      </c>
      <c r="P2970">
        <v>1</v>
      </c>
      <c r="Q2970">
        <v>0</v>
      </c>
      <c r="S2970" t="str">
        <f t="shared" si="888"/>
        <v>22:22:38.000</v>
      </c>
      <c r="T2970" t="str">
        <f t="shared" si="888"/>
        <v>22:22:38.000</v>
      </c>
      <c r="U2970" t="str">
        <f t="shared" si="880"/>
        <v>A9D71F</v>
      </c>
      <c r="V2970">
        <v>0</v>
      </c>
      <c r="W2970">
        <v>0</v>
      </c>
      <c r="X2970">
        <v>2</v>
      </c>
      <c r="Z2970">
        <v>1</v>
      </c>
      <c r="AA2970">
        <v>8</v>
      </c>
      <c r="AB2970">
        <v>3</v>
      </c>
      <c r="AC2970">
        <v>0</v>
      </c>
      <c r="AD2970">
        <v>9</v>
      </c>
      <c r="AE2970">
        <v>0</v>
      </c>
      <c r="AF2970">
        <v>3</v>
      </c>
      <c r="AG2970">
        <v>1</v>
      </c>
      <c r="AH2970">
        <v>0</v>
      </c>
      <c r="AI2970" t="s">
        <v>1477</v>
      </c>
      <c r="AJ2970">
        <v>32.982115999999998</v>
      </c>
      <c r="AK2970" t="s">
        <v>1478</v>
      </c>
      <c r="AL2970">
        <v>-97.668006000000005</v>
      </c>
      <c r="AM2970">
        <v>25</v>
      </c>
      <c r="AN2970">
        <v>1000</v>
      </c>
      <c r="AO2970" t="s">
        <v>118</v>
      </c>
      <c r="AP2970">
        <v>-2</v>
      </c>
      <c r="AQ2970">
        <v>-83</v>
      </c>
      <c r="AR2970">
        <v>0</v>
      </c>
      <c r="AZ2970">
        <v>7700</v>
      </c>
      <c r="BA2970">
        <v>1</v>
      </c>
      <c r="BB2970" t="str">
        <f t="shared" si="887"/>
        <v xml:space="preserve">N733KP  </v>
      </c>
      <c r="BC2970">
        <v>1</v>
      </c>
      <c r="BE2970">
        <v>0</v>
      </c>
      <c r="BF2970">
        <v>0</v>
      </c>
      <c r="BG2970">
        <v>1</v>
      </c>
      <c r="BH2970">
        <v>900</v>
      </c>
      <c r="BI2970">
        <v>1</v>
      </c>
      <c r="BJ2970">
        <v>1</v>
      </c>
      <c r="BK2970">
        <v>0</v>
      </c>
      <c r="BL2970">
        <v>0</v>
      </c>
      <c r="BO2970">
        <v>0</v>
      </c>
      <c r="BP2970">
        <v>0</v>
      </c>
      <c r="BW2970" t="str">
        <f>"22:22:38.611"</f>
        <v>22:22:38.611</v>
      </c>
      <c r="CJ2970">
        <v>0</v>
      </c>
      <c r="CK2970">
        <v>2</v>
      </c>
      <c r="CL2970">
        <v>0</v>
      </c>
      <c r="CM2970">
        <v>2</v>
      </c>
      <c r="CN2970">
        <v>0</v>
      </c>
      <c r="CO2970">
        <v>5</v>
      </c>
      <c r="CP2970" t="s">
        <v>119</v>
      </c>
      <c r="CQ2970">
        <v>364</v>
      </c>
      <c r="CR2970">
        <v>0</v>
      </c>
      <c r="CW2970">
        <v>1481890</v>
      </c>
      <c r="CY2970">
        <v>1</v>
      </c>
      <c r="CZ2970">
        <v>0</v>
      </c>
      <c r="DA2970">
        <v>1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3">
      <c r="A2971" t="str">
        <f>"03/24/2022 22:22:39.840"</f>
        <v>03/24/2022 22:22:39.840</v>
      </c>
      <c r="C2971" t="str">
        <f t="shared" si="886"/>
        <v>FFDFD3C0</v>
      </c>
      <c r="D2971" t="s">
        <v>123</v>
      </c>
      <c r="E2971">
        <v>8</v>
      </c>
      <c r="H2971">
        <v>31</v>
      </c>
      <c r="I2971" t="s">
        <v>124</v>
      </c>
      <c r="J2971" t="s">
        <v>125</v>
      </c>
      <c r="K2971">
        <v>0</v>
      </c>
      <c r="L2971">
        <v>3</v>
      </c>
      <c r="M2971">
        <v>0</v>
      </c>
      <c r="N2971">
        <v>2</v>
      </c>
      <c r="O2971">
        <v>0</v>
      </c>
      <c r="P2971">
        <v>1</v>
      </c>
      <c r="Q2971">
        <v>0</v>
      </c>
      <c r="S2971" t="str">
        <f t="shared" ref="S2971:T2974" si="889">"22:22:39.000"</f>
        <v>22:22:39.000</v>
      </c>
      <c r="T2971" t="str">
        <f t="shared" si="889"/>
        <v>22:22:39.000</v>
      </c>
      <c r="U2971" t="str">
        <f t="shared" si="880"/>
        <v>A9D71F</v>
      </c>
      <c r="V2971">
        <v>0</v>
      </c>
      <c r="W2971">
        <v>0</v>
      </c>
      <c r="X2971">
        <v>2</v>
      </c>
      <c r="Z2971">
        <v>1</v>
      </c>
      <c r="AA2971">
        <v>8</v>
      </c>
      <c r="AB2971">
        <v>3</v>
      </c>
      <c r="AC2971">
        <v>0</v>
      </c>
      <c r="AD2971">
        <v>9</v>
      </c>
      <c r="AE2971">
        <v>0</v>
      </c>
      <c r="AF2971">
        <v>3</v>
      </c>
      <c r="AG2971">
        <v>1</v>
      </c>
      <c r="AH2971">
        <v>0</v>
      </c>
      <c r="AI2971" t="s">
        <v>1479</v>
      </c>
      <c r="AJ2971">
        <v>32.981707999999998</v>
      </c>
      <c r="AK2971" t="s">
        <v>1480</v>
      </c>
      <c r="AL2971">
        <v>-97.668028000000007</v>
      </c>
      <c r="AM2971">
        <v>25</v>
      </c>
      <c r="AN2971">
        <v>1000</v>
      </c>
      <c r="AO2971" t="s">
        <v>118</v>
      </c>
      <c r="AP2971">
        <v>0</v>
      </c>
      <c r="AQ2971">
        <v>-83</v>
      </c>
      <c r="AR2971">
        <v>0</v>
      </c>
      <c r="AZ2971">
        <v>7700</v>
      </c>
      <c r="BA2971">
        <v>1</v>
      </c>
      <c r="BB2971" t="str">
        <f t="shared" si="887"/>
        <v xml:space="preserve">N733KP  </v>
      </c>
      <c r="BC2971">
        <v>1</v>
      </c>
      <c r="BE2971">
        <v>0</v>
      </c>
      <c r="BF2971">
        <v>0</v>
      </c>
      <c r="BG2971">
        <v>1</v>
      </c>
      <c r="BH2971">
        <v>900</v>
      </c>
      <c r="BI2971">
        <v>1</v>
      </c>
      <c r="BJ2971">
        <v>1</v>
      </c>
      <c r="BK2971">
        <v>0</v>
      </c>
      <c r="BL2971">
        <v>0</v>
      </c>
      <c r="BO2971">
        <v>0</v>
      </c>
      <c r="BP2971">
        <v>0</v>
      </c>
      <c r="BW2971" t="str">
        <f>"22:22:39.584"</f>
        <v>22:22:39.584</v>
      </c>
      <c r="CJ2971">
        <v>0</v>
      </c>
      <c r="CK2971">
        <v>2</v>
      </c>
      <c r="CL2971">
        <v>0</v>
      </c>
      <c r="CM2971">
        <v>2</v>
      </c>
      <c r="CN2971">
        <v>0</v>
      </c>
      <c r="CO2971">
        <v>5</v>
      </c>
      <c r="CP2971" t="s">
        <v>119</v>
      </c>
      <c r="CQ2971">
        <v>364</v>
      </c>
      <c r="CR2971">
        <v>0</v>
      </c>
      <c r="CW2971">
        <v>1482013</v>
      </c>
      <c r="CY2971">
        <v>1</v>
      </c>
      <c r="CZ2971">
        <v>0</v>
      </c>
      <c r="DA2971">
        <v>0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3">
      <c r="A2972" t="str">
        <f>"03/24/2022 22:22:39.840"</f>
        <v>03/24/2022 22:22:39.840</v>
      </c>
      <c r="C2972" t="str">
        <f t="shared" si="886"/>
        <v>FFDFD3C0</v>
      </c>
      <c r="D2972" t="s">
        <v>120</v>
      </c>
      <c r="E2972">
        <v>14</v>
      </c>
      <c r="F2972">
        <v>1014</v>
      </c>
      <c r="G2972" t="s">
        <v>121</v>
      </c>
      <c r="J2972" t="s">
        <v>122</v>
      </c>
      <c r="K2972">
        <v>0</v>
      </c>
      <c r="L2972">
        <v>3</v>
      </c>
      <c r="M2972">
        <v>0</v>
      </c>
      <c r="N2972">
        <v>2</v>
      </c>
      <c r="O2972">
        <v>0</v>
      </c>
      <c r="P2972">
        <v>1</v>
      </c>
      <c r="Q2972">
        <v>0</v>
      </c>
      <c r="S2972" t="str">
        <f t="shared" si="889"/>
        <v>22:22:39.000</v>
      </c>
      <c r="T2972" t="str">
        <f t="shared" si="889"/>
        <v>22:22:39.000</v>
      </c>
      <c r="U2972" t="str">
        <f t="shared" si="880"/>
        <v>A9D71F</v>
      </c>
      <c r="V2972">
        <v>0</v>
      </c>
      <c r="W2972">
        <v>0</v>
      </c>
      <c r="X2972">
        <v>2</v>
      </c>
      <c r="Z2972">
        <v>1</v>
      </c>
      <c r="AA2972">
        <v>8</v>
      </c>
      <c r="AB2972">
        <v>3</v>
      </c>
      <c r="AC2972">
        <v>0</v>
      </c>
      <c r="AD2972">
        <v>9</v>
      </c>
      <c r="AE2972">
        <v>0</v>
      </c>
      <c r="AF2972">
        <v>3</v>
      </c>
      <c r="AG2972">
        <v>1</v>
      </c>
      <c r="AH2972">
        <v>0</v>
      </c>
      <c r="AI2972" t="s">
        <v>1479</v>
      </c>
      <c r="AJ2972">
        <v>32.981707999999998</v>
      </c>
      <c r="AK2972" t="s">
        <v>1480</v>
      </c>
      <c r="AL2972">
        <v>-97.668028000000007</v>
      </c>
      <c r="AM2972">
        <v>25</v>
      </c>
      <c r="AN2972">
        <v>1000</v>
      </c>
      <c r="AO2972" t="s">
        <v>118</v>
      </c>
      <c r="AP2972">
        <v>0</v>
      </c>
      <c r="AQ2972">
        <v>-83</v>
      </c>
      <c r="AR2972">
        <v>0</v>
      </c>
      <c r="AZ2972">
        <v>7700</v>
      </c>
      <c r="BA2972">
        <v>1</v>
      </c>
      <c r="BB2972" t="str">
        <f t="shared" si="887"/>
        <v xml:space="preserve">N733KP  </v>
      </c>
      <c r="BC2972">
        <v>1</v>
      </c>
      <c r="BE2972">
        <v>0</v>
      </c>
      <c r="BF2972">
        <v>0</v>
      </c>
      <c r="BG2972">
        <v>1</v>
      </c>
      <c r="BH2972">
        <v>900</v>
      </c>
      <c r="BI2972">
        <v>1</v>
      </c>
      <c r="BJ2972">
        <v>1</v>
      </c>
      <c r="BK2972">
        <v>0</v>
      </c>
      <c r="BL2972">
        <v>0</v>
      </c>
      <c r="BO2972">
        <v>0</v>
      </c>
      <c r="BP2972">
        <v>0</v>
      </c>
      <c r="BW2972" t="str">
        <f>"22:22:39.584"</f>
        <v>22:22:39.584</v>
      </c>
      <c r="CJ2972">
        <v>0</v>
      </c>
      <c r="CK2972">
        <v>2</v>
      </c>
      <c r="CL2972">
        <v>0</v>
      </c>
      <c r="CM2972">
        <v>2</v>
      </c>
      <c r="CN2972">
        <v>0</v>
      </c>
      <c r="CO2972">
        <v>5</v>
      </c>
      <c r="CP2972" t="s">
        <v>119</v>
      </c>
      <c r="CQ2972">
        <v>364</v>
      </c>
      <c r="CR2972">
        <v>0</v>
      </c>
      <c r="CW2972">
        <v>1482013</v>
      </c>
      <c r="CY2972">
        <v>1</v>
      </c>
      <c r="CZ2972">
        <v>0</v>
      </c>
      <c r="DA2972">
        <v>1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3">
      <c r="A2973" t="str">
        <f>"03/24/2022 22:22:39.840"</f>
        <v>03/24/2022 22:22:39.840</v>
      </c>
      <c r="C2973" t="str">
        <f t="shared" si="886"/>
        <v>FFDFD3C0</v>
      </c>
      <c r="D2973" t="s">
        <v>113</v>
      </c>
      <c r="E2973">
        <v>24</v>
      </c>
      <c r="F2973">
        <v>2024</v>
      </c>
      <c r="G2973" t="s">
        <v>114</v>
      </c>
      <c r="J2973" t="s">
        <v>115</v>
      </c>
      <c r="K2973">
        <v>0</v>
      </c>
      <c r="L2973">
        <v>3</v>
      </c>
      <c r="M2973">
        <v>0</v>
      </c>
      <c r="N2973">
        <v>2</v>
      </c>
      <c r="O2973">
        <v>0</v>
      </c>
      <c r="P2973">
        <v>1</v>
      </c>
      <c r="Q2973">
        <v>0</v>
      </c>
      <c r="S2973" t="str">
        <f t="shared" si="889"/>
        <v>22:22:39.000</v>
      </c>
      <c r="T2973" t="str">
        <f t="shared" si="889"/>
        <v>22:22:39.000</v>
      </c>
      <c r="U2973" t="str">
        <f t="shared" si="880"/>
        <v>A9D71F</v>
      </c>
      <c r="V2973">
        <v>0</v>
      </c>
      <c r="W2973">
        <v>0</v>
      </c>
      <c r="X2973">
        <v>2</v>
      </c>
      <c r="Z2973">
        <v>1</v>
      </c>
      <c r="AA2973">
        <v>8</v>
      </c>
      <c r="AB2973">
        <v>3</v>
      </c>
      <c r="AC2973">
        <v>0</v>
      </c>
      <c r="AD2973">
        <v>9</v>
      </c>
      <c r="AE2973">
        <v>0</v>
      </c>
      <c r="AF2973">
        <v>3</v>
      </c>
      <c r="AG2973">
        <v>1</v>
      </c>
      <c r="AH2973">
        <v>0</v>
      </c>
      <c r="AI2973" t="s">
        <v>1479</v>
      </c>
      <c r="AJ2973">
        <v>32.981707999999998</v>
      </c>
      <c r="AK2973" t="s">
        <v>1480</v>
      </c>
      <c r="AL2973">
        <v>-97.668028000000007</v>
      </c>
      <c r="AM2973">
        <v>25</v>
      </c>
      <c r="AN2973">
        <v>1000</v>
      </c>
      <c r="AO2973" t="s">
        <v>118</v>
      </c>
      <c r="AP2973">
        <v>0</v>
      </c>
      <c r="AQ2973">
        <v>-83</v>
      </c>
      <c r="AR2973">
        <v>0</v>
      </c>
      <c r="AZ2973">
        <v>7700</v>
      </c>
      <c r="BA2973">
        <v>1</v>
      </c>
      <c r="BB2973" t="str">
        <f t="shared" si="887"/>
        <v xml:space="preserve">N733KP  </v>
      </c>
      <c r="BC2973">
        <v>1</v>
      </c>
      <c r="BE2973">
        <v>0</v>
      </c>
      <c r="BF2973">
        <v>0</v>
      </c>
      <c r="BG2973">
        <v>1</v>
      </c>
      <c r="BH2973">
        <v>900</v>
      </c>
      <c r="BI2973">
        <v>1</v>
      </c>
      <c r="BJ2973">
        <v>1</v>
      </c>
      <c r="BK2973">
        <v>0</v>
      </c>
      <c r="BL2973">
        <v>0</v>
      </c>
      <c r="BO2973">
        <v>0</v>
      </c>
      <c r="BP2973">
        <v>0</v>
      </c>
      <c r="BW2973" t="str">
        <f>"22:22:39.584"</f>
        <v>22:22:39.584</v>
      </c>
      <c r="CJ2973">
        <v>0</v>
      </c>
      <c r="CK2973">
        <v>2</v>
      </c>
      <c r="CL2973">
        <v>0</v>
      </c>
      <c r="CM2973">
        <v>2</v>
      </c>
      <c r="CN2973">
        <v>0</v>
      </c>
      <c r="CO2973">
        <v>5</v>
      </c>
      <c r="CP2973" t="s">
        <v>119</v>
      </c>
      <c r="CQ2973">
        <v>364</v>
      </c>
      <c r="CR2973">
        <v>0</v>
      </c>
      <c r="CW2973">
        <v>1482013</v>
      </c>
      <c r="CY2973">
        <v>1</v>
      </c>
      <c r="CZ2973">
        <v>0</v>
      </c>
      <c r="DA2973">
        <v>1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3">
      <c r="A2974" t="str">
        <f>"03/24/2022 22:22:39.840"</f>
        <v>03/24/2022 22:22:39.840</v>
      </c>
      <c r="C2974" t="str">
        <f t="shared" si="886"/>
        <v>FFDFD3C0</v>
      </c>
      <c r="D2974" t="s">
        <v>126</v>
      </c>
      <c r="E2974">
        <v>3</v>
      </c>
      <c r="H2974">
        <v>160</v>
      </c>
      <c r="I2974" t="s">
        <v>121</v>
      </c>
      <c r="J2974" t="s">
        <v>127</v>
      </c>
      <c r="K2974">
        <v>0</v>
      </c>
      <c r="L2974">
        <v>3</v>
      </c>
      <c r="M2974">
        <v>0</v>
      </c>
      <c r="N2974">
        <v>2</v>
      </c>
      <c r="O2974">
        <v>0</v>
      </c>
      <c r="P2974">
        <v>1</v>
      </c>
      <c r="Q2974">
        <v>0</v>
      </c>
      <c r="S2974" t="str">
        <f t="shared" si="889"/>
        <v>22:22:39.000</v>
      </c>
      <c r="T2974" t="str">
        <f t="shared" si="889"/>
        <v>22:22:39.000</v>
      </c>
      <c r="U2974" t="str">
        <f t="shared" si="880"/>
        <v>A9D71F</v>
      </c>
      <c r="V2974">
        <v>0</v>
      </c>
      <c r="W2974">
        <v>0</v>
      </c>
      <c r="X2974">
        <v>2</v>
      </c>
      <c r="Z2974">
        <v>1</v>
      </c>
      <c r="AA2974">
        <v>8</v>
      </c>
      <c r="AB2974">
        <v>3</v>
      </c>
      <c r="AC2974">
        <v>0</v>
      </c>
      <c r="AD2974">
        <v>9</v>
      </c>
      <c r="AE2974">
        <v>0</v>
      </c>
      <c r="AF2974">
        <v>3</v>
      </c>
      <c r="AG2974">
        <v>1</v>
      </c>
      <c r="AH2974">
        <v>0</v>
      </c>
      <c r="AI2974" t="s">
        <v>1479</v>
      </c>
      <c r="AJ2974">
        <v>32.981707999999998</v>
      </c>
      <c r="AK2974" t="s">
        <v>1480</v>
      </c>
      <c r="AL2974">
        <v>-97.668028000000007</v>
      </c>
      <c r="AM2974">
        <v>25</v>
      </c>
      <c r="AN2974">
        <v>1000</v>
      </c>
      <c r="AO2974" t="s">
        <v>118</v>
      </c>
      <c r="AP2974">
        <v>0</v>
      </c>
      <c r="AQ2974">
        <v>-83</v>
      </c>
      <c r="AR2974">
        <v>0</v>
      </c>
      <c r="AZ2974">
        <v>7700</v>
      </c>
      <c r="BA2974">
        <v>1</v>
      </c>
      <c r="BB2974" t="str">
        <f t="shared" si="887"/>
        <v xml:space="preserve">N733KP  </v>
      </c>
      <c r="BC2974">
        <v>1</v>
      </c>
      <c r="BE2974">
        <v>0</v>
      </c>
      <c r="BF2974">
        <v>0</v>
      </c>
      <c r="BG2974">
        <v>1</v>
      </c>
      <c r="BH2974">
        <v>900</v>
      </c>
      <c r="BI2974">
        <v>1</v>
      </c>
      <c r="BJ2974">
        <v>1</v>
      </c>
      <c r="BK2974">
        <v>0</v>
      </c>
      <c r="BL2974">
        <v>0</v>
      </c>
      <c r="BO2974">
        <v>0</v>
      </c>
      <c r="BP2974">
        <v>0</v>
      </c>
      <c r="BW2974" t="str">
        <f>"22:22:39.584"</f>
        <v>22:22:39.584</v>
      </c>
      <c r="CJ2974">
        <v>0</v>
      </c>
      <c r="CK2974">
        <v>2</v>
      </c>
      <c r="CL2974">
        <v>0</v>
      </c>
      <c r="CM2974">
        <v>2</v>
      </c>
      <c r="CN2974">
        <v>0</v>
      </c>
      <c r="CO2974">
        <v>5</v>
      </c>
      <c r="CP2974" t="s">
        <v>119</v>
      </c>
      <c r="CQ2974">
        <v>364</v>
      </c>
      <c r="CR2974">
        <v>0</v>
      </c>
      <c r="CW2974">
        <v>1482013</v>
      </c>
      <c r="CY2974">
        <v>1</v>
      </c>
      <c r="CZ2974">
        <v>0</v>
      </c>
      <c r="DA2974">
        <v>1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3">
      <c r="A2975" t="str">
        <f>"03/24/2022 22:22:41.028"</f>
        <v>03/24/2022 22:22:41.028</v>
      </c>
      <c r="C2975" t="str">
        <f t="shared" si="886"/>
        <v>FFDFD3C0</v>
      </c>
      <c r="D2975" t="s">
        <v>126</v>
      </c>
      <c r="E2975">
        <v>3</v>
      </c>
      <c r="H2975">
        <v>160</v>
      </c>
      <c r="I2975" t="s">
        <v>121</v>
      </c>
      <c r="J2975" t="s">
        <v>127</v>
      </c>
      <c r="K2975">
        <v>0</v>
      </c>
      <c r="L2975">
        <v>3</v>
      </c>
      <c r="M2975">
        <v>0</v>
      </c>
      <c r="N2975">
        <v>2</v>
      </c>
      <c r="O2975">
        <v>0</v>
      </c>
      <c r="P2975">
        <v>1</v>
      </c>
      <c r="Q2975">
        <v>0</v>
      </c>
      <c r="S2975" t="str">
        <f t="shared" ref="S2975:T2978" si="890">"22:22:40.000"</f>
        <v>22:22:40.000</v>
      </c>
      <c r="T2975" t="str">
        <f t="shared" si="890"/>
        <v>22:22:40.000</v>
      </c>
      <c r="U2975" t="str">
        <f t="shared" si="880"/>
        <v>A9D71F</v>
      </c>
      <c r="V2975">
        <v>0</v>
      </c>
      <c r="W2975">
        <v>0</v>
      </c>
      <c r="X2975">
        <v>2</v>
      </c>
      <c r="Z2975">
        <v>1</v>
      </c>
      <c r="AA2975">
        <v>8</v>
      </c>
      <c r="AB2975">
        <v>3</v>
      </c>
      <c r="AC2975">
        <v>0</v>
      </c>
      <c r="AD2975">
        <v>9</v>
      </c>
      <c r="AE2975">
        <v>0</v>
      </c>
      <c r="AF2975">
        <v>3</v>
      </c>
      <c r="AG2975">
        <v>1</v>
      </c>
      <c r="AH2975">
        <v>0</v>
      </c>
      <c r="AI2975" t="s">
        <v>1481</v>
      </c>
      <c r="AJ2975">
        <v>32.981279000000001</v>
      </c>
      <c r="AK2975" t="s">
        <v>1478</v>
      </c>
      <c r="AL2975">
        <v>-97.668006000000005</v>
      </c>
      <c r="AM2975">
        <v>25</v>
      </c>
      <c r="AN2975">
        <v>1000</v>
      </c>
      <c r="AO2975" t="s">
        <v>118</v>
      </c>
      <c r="AP2975">
        <v>0</v>
      </c>
      <c r="AQ2975">
        <v>-83</v>
      </c>
      <c r="AR2975">
        <v>0</v>
      </c>
      <c r="AZ2975">
        <v>7700</v>
      </c>
      <c r="BA2975">
        <v>1</v>
      </c>
      <c r="BB2975" t="str">
        <f t="shared" si="887"/>
        <v xml:space="preserve">N733KP  </v>
      </c>
      <c r="BC2975">
        <v>1</v>
      </c>
      <c r="BE2975">
        <v>0</v>
      </c>
      <c r="BF2975">
        <v>0</v>
      </c>
      <c r="BG2975">
        <v>1</v>
      </c>
      <c r="BH2975">
        <v>900</v>
      </c>
      <c r="BI2975">
        <v>1</v>
      </c>
      <c r="BJ2975">
        <v>1</v>
      </c>
      <c r="BK2975">
        <v>0</v>
      </c>
      <c r="BL2975">
        <v>0</v>
      </c>
      <c r="BO2975">
        <v>0</v>
      </c>
      <c r="BP2975">
        <v>0</v>
      </c>
      <c r="BW2975" t="str">
        <f>"22:22:40.844"</f>
        <v>22:22:40.844</v>
      </c>
      <c r="CJ2975">
        <v>0</v>
      </c>
      <c r="CK2975">
        <v>2</v>
      </c>
      <c r="CL2975">
        <v>0</v>
      </c>
      <c r="CM2975">
        <v>2</v>
      </c>
      <c r="CN2975">
        <v>0</v>
      </c>
      <c r="CO2975">
        <v>5</v>
      </c>
      <c r="CP2975" t="s">
        <v>119</v>
      </c>
      <c r="CQ2975">
        <v>364</v>
      </c>
      <c r="CR2975">
        <v>0</v>
      </c>
      <c r="CW2975">
        <v>1482180</v>
      </c>
      <c r="CY2975">
        <v>1</v>
      </c>
      <c r="CZ2975">
        <v>0</v>
      </c>
      <c r="DA2975">
        <v>0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3">
      <c r="A2976" t="str">
        <f>"03/24/2022 22:22:41.075"</f>
        <v>03/24/2022 22:22:41.075</v>
      </c>
      <c r="C2976" t="str">
        <f t="shared" si="886"/>
        <v>FFDFD3C0</v>
      </c>
      <c r="D2976" t="s">
        <v>113</v>
      </c>
      <c r="E2976">
        <v>24</v>
      </c>
      <c r="F2976">
        <v>2024</v>
      </c>
      <c r="G2976" t="s">
        <v>114</v>
      </c>
      <c r="J2976" t="s">
        <v>115</v>
      </c>
      <c r="K2976">
        <v>0</v>
      </c>
      <c r="L2976">
        <v>3</v>
      </c>
      <c r="M2976">
        <v>0</v>
      </c>
      <c r="N2976">
        <v>2</v>
      </c>
      <c r="O2976">
        <v>0</v>
      </c>
      <c r="P2976">
        <v>1</v>
      </c>
      <c r="Q2976">
        <v>0</v>
      </c>
      <c r="S2976" t="str">
        <f t="shared" si="890"/>
        <v>22:22:40.000</v>
      </c>
      <c r="T2976" t="str">
        <f t="shared" si="890"/>
        <v>22:22:40.000</v>
      </c>
      <c r="U2976" t="str">
        <f t="shared" si="880"/>
        <v>A9D71F</v>
      </c>
      <c r="V2976">
        <v>0</v>
      </c>
      <c r="W2976">
        <v>0</v>
      </c>
      <c r="X2976">
        <v>2</v>
      </c>
      <c r="Z2976">
        <v>1</v>
      </c>
      <c r="AA2976">
        <v>8</v>
      </c>
      <c r="AB2976">
        <v>3</v>
      </c>
      <c r="AC2976">
        <v>0</v>
      </c>
      <c r="AD2976">
        <v>9</v>
      </c>
      <c r="AE2976">
        <v>0</v>
      </c>
      <c r="AF2976">
        <v>3</v>
      </c>
      <c r="AG2976">
        <v>1</v>
      </c>
      <c r="AH2976">
        <v>0</v>
      </c>
      <c r="AI2976" t="s">
        <v>1481</v>
      </c>
      <c r="AJ2976">
        <v>32.981279000000001</v>
      </c>
      <c r="AK2976" t="s">
        <v>1478</v>
      </c>
      <c r="AL2976">
        <v>-97.668006000000005</v>
      </c>
      <c r="AM2976">
        <v>25</v>
      </c>
      <c r="AN2976">
        <v>1000</v>
      </c>
      <c r="AO2976" t="s">
        <v>118</v>
      </c>
      <c r="AP2976">
        <v>0</v>
      </c>
      <c r="AQ2976">
        <v>-83</v>
      </c>
      <c r="AR2976">
        <v>0</v>
      </c>
      <c r="AZ2976">
        <v>7700</v>
      </c>
      <c r="BA2976">
        <v>1</v>
      </c>
      <c r="BB2976" t="str">
        <f t="shared" si="887"/>
        <v xml:space="preserve">N733KP  </v>
      </c>
      <c r="BC2976">
        <v>1</v>
      </c>
      <c r="BE2976">
        <v>0</v>
      </c>
      <c r="BF2976">
        <v>0</v>
      </c>
      <c r="BG2976">
        <v>1</v>
      </c>
      <c r="BH2976">
        <v>900</v>
      </c>
      <c r="BI2976">
        <v>1</v>
      </c>
      <c r="BJ2976">
        <v>1</v>
      </c>
      <c r="BK2976">
        <v>0</v>
      </c>
      <c r="BL2976">
        <v>0</v>
      </c>
      <c r="BO2976">
        <v>0</v>
      </c>
      <c r="BP2976">
        <v>0</v>
      </c>
      <c r="BW2976" t="str">
        <f>"22:22:40.844"</f>
        <v>22:22:40.844</v>
      </c>
      <c r="CJ2976">
        <v>0</v>
      </c>
      <c r="CK2976">
        <v>2</v>
      </c>
      <c r="CL2976">
        <v>0</v>
      </c>
      <c r="CM2976">
        <v>2</v>
      </c>
      <c r="CN2976">
        <v>0</v>
      </c>
      <c r="CO2976">
        <v>5</v>
      </c>
      <c r="CP2976" t="s">
        <v>119</v>
      </c>
      <c r="CQ2976">
        <v>364</v>
      </c>
      <c r="CR2976">
        <v>0</v>
      </c>
      <c r="CW2976">
        <v>1482180</v>
      </c>
      <c r="CY2976">
        <v>1</v>
      </c>
      <c r="CZ2976">
        <v>0</v>
      </c>
      <c r="DA2976">
        <v>1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3">
      <c r="A2977" t="str">
        <f>"03/24/2022 22:22:41.075"</f>
        <v>03/24/2022 22:22:41.075</v>
      </c>
      <c r="C2977" t="str">
        <f t="shared" si="886"/>
        <v>FFDFD3C0</v>
      </c>
      <c r="D2977" t="s">
        <v>123</v>
      </c>
      <c r="E2977">
        <v>8</v>
      </c>
      <c r="H2977">
        <v>31</v>
      </c>
      <c r="I2977" t="s">
        <v>124</v>
      </c>
      <c r="J2977" t="s">
        <v>125</v>
      </c>
      <c r="K2977">
        <v>0</v>
      </c>
      <c r="L2977">
        <v>3</v>
      </c>
      <c r="M2977">
        <v>0</v>
      </c>
      <c r="N2977">
        <v>2</v>
      </c>
      <c r="O2977">
        <v>0</v>
      </c>
      <c r="P2977">
        <v>1</v>
      </c>
      <c r="Q2977">
        <v>0</v>
      </c>
      <c r="S2977" t="str">
        <f t="shared" si="890"/>
        <v>22:22:40.000</v>
      </c>
      <c r="T2977" t="str">
        <f t="shared" si="890"/>
        <v>22:22:40.000</v>
      </c>
      <c r="U2977" t="str">
        <f t="shared" si="880"/>
        <v>A9D71F</v>
      </c>
      <c r="V2977">
        <v>0</v>
      </c>
      <c r="W2977">
        <v>0</v>
      </c>
      <c r="X2977">
        <v>2</v>
      </c>
      <c r="Z2977">
        <v>1</v>
      </c>
      <c r="AA2977">
        <v>8</v>
      </c>
      <c r="AB2977">
        <v>3</v>
      </c>
      <c r="AC2977">
        <v>0</v>
      </c>
      <c r="AD2977">
        <v>9</v>
      </c>
      <c r="AE2977">
        <v>0</v>
      </c>
      <c r="AF2977">
        <v>3</v>
      </c>
      <c r="AG2977">
        <v>1</v>
      </c>
      <c r="AH2977">
        <v>0</v>
      </c>
      <c r="AI2977" t="s">
        <v>1481</v>
      </c>
      <c r="AJ2977">
        <v>32.981279000000001</v>
      </c>
      <c r="AK2977" t="s">
        <v>1478</v>
      </c>
      <c r="AL2977">
        <v>-97.668006000000005</v>
      </c>
      <c r="AM2977">
        <v>25</v>
      </c>
      <c r="AN2977">
        <v>1000</v>
      </c>
      <c r="AO2977" t="s">
        <v>118</v>
      </c>
      <c r="AP2977">
        <v>0</v>
      </c>
      <c r="AQ2977">
        <v>-83</v>
      </c>
      <c r="AR2977">
        <v>0</v>
      </c>
      <c r="AZ2977">
        <v>7700</v>
      </c>
      <c r="BA2977">
        <v>1</v>
      </c>
      <c r="BB2977" t="str">
        <f t="shared" si="887"/>
        <v xml:space="preserve">N733KP  </v>
      </c>
      <c r="BC2977">
        <v>1</v>
      </c>
      <c r="BE2977">
        <v>0</v>
      </c>
      <c r="BF2977">
        <v>0</v>
      </c>
      <c r="BG2977">
        <v>1</v>
      </c>
      <c r="BH2977">
        <v>900</v>
      </c>
      <c r="BI2977">
        <v>1</v>
      </c>
      <c r="BJ2977">
        <v>1</v>
      </c>
      <c r="BK2977">
        <v>0</v>
      </c>
      <c r="BL2977">
        <v>0</v>
      </c>
      <c r="BO2977">
        <v>0</v>
      </c>
      <c r="BP2977">
        <v>0</v>
      </c>
      <c r="BW2977" t="str">
        <f>"22:22:40.844"</f>
        <v>22:22:40.844</v>
      </c>
      <c r="CJ2977">
        <v>0</v>
      </c>
      <c r="CK2977">
        <v>2</v>
      </c>
      <c r="CL2977">
        <v>0</v>
      </c>
      <c r="CM2977">
        <v>2</v>
      </c>
      <c r="CN2977">
        <v>0</v>
      </c>
      <c r="CO2977">
        <v>5</v>
      </c>
      <c r="CP2977" t="s">
        <v>119</v>
      </c>
      <c r="CQ2977">
        <v>364</v>
      </c>
      <c r="CR2977">
        <v>0</v>
      </c>
      <c r="CW2977">
        <v>1482180</v>
      </c>
      <c r="CY2977">
        <v>1</v>
      </c>
      <c r="CZ2977">
        <v>0</v>
      </c>
      <c r="DA2977">
        <v>1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3">
      <c r="A2978" t="str">
        <f>"03/24/2022 22:22:41.090"</f>
        <v>03/24/2022 22:22:41.090</v>
      </c>
      <c r="C2978" t="str">
        <f t="shared" si="886"/>
        <v>FFDFD3C0</v>
      </c>
      <c r="D2978" t="s">
        <v>120</v>
      </c>
      <c r="E2978">
        <v>14</v>
      </c>
      <c r="F2978">
        <v>1014</v>
      </c>
      <c r="G2978" t="s">
        <v>121</v>
      </c>
      <c r="J2978" t="s">
        <v>122</v>
      </c>
      <c r="K2978">
        <v>0</v>
      </c>
      <c r="L2978">
        <v>3</v>
      </c>
      <c r="M2978">
        <v>0</v>
      </c>
      <c r="N2978">
        <v>2</v>
      </c>
      <c r="O2978">
        <v>0</v>
      </c>
      <c r="P2978">
        <v>1</v>
      </c>
      <c r="Q2978">
        <v>0</v>
      </c>
      <c r="S2978" t="str">
        <f t="shared" si="890"/>
        <v>22:22:40.000</v>
      </c>
      <c r="T2978" t="str">
        <f t="shared" si="890"/>
        <v>22:22:40.000</v>
      </c>
      <c r="U2978" t="str">
        <f t="shared" si="880"/>
        <v>A9D71F</v>
      </c>
      <c r="V2978">
        <v>0</v>
      </c>
      <c r="W2978">
        <v>0</v>
      </c>
      <c r="X2978">
        <v>2</v>
      </c>
      <c r="Z2978">
        <v>1</v>
      </c>
      <c r="AA2978">
        <v>8</v>
      </c>
      <c r="AB2978">
        <v>3</v>
      </c>
      <c r="AC2978">
        <v>0</v>
      </c>
      <c r="AD2978">
        <v>9</v>
      </c>
      <c r="AE2978">
        <v>0</v>
      </c>
      <c r="AF2978">
        <v>3</v>
      </c>
      <c r="AG2978">
        <v>1</v>
      </c>
      <c r="AH2978">
        <v>0</v>
      </c>
      <c r="AI2978" t="s">
        <v>1481</v>
      </c>
      <c r="AJ2978">
        <v>32.981279000000001</v>
      </c>
      <c r="AK2978" t="s">
        <v>1478</v>
      </c>
      <c r="AL2978">
        <v>-97.668006000000005</v>
      </c>
      <c r="AM2978">
        <v>25</v>
      </c>
      <c r="AN2978">
        <v>1000</v>
      </c>
      <c r="AO2978" t="s">
        <v>118</v>
      </c>
      <c r="AP2978">
        <v>0</v>
      </c>
      <c r="AQ2978">
        <v>-83</v>
      </c>
      <c r="AR2978">
        <v>0</v>
      </c>
      <c r="AZ2978">
        <v>7700</v>
      </c>
      <c r="BA2978">
        <v>1</v>
      </c>
      <c r="BB2978" t="str">
        <f t="shared" si="887"/>
        <v xml:space="preserve">N733KP  </v>
      </c>
      <c r="BC2978">
        <v>1</v>
      </c>
      <c r="BE2978">
        <v>0</v>
      </c>
      <c r="BF2978">
        <v>0</v>
      </c>
      <c r="BG2978">
        <v>1</v>
      </c>
      <c r="BH2978">
        <v>900</v>
      </c>
      <c r="BI2978">
        <v>1</v>
      </c>
      <c r="BJ2978">
        <v>1</v>
      </c>
      <c r="BK2978">
        <v>0</v>
      </c>
      <c r="BL2978">
        <v>0</v>
      </c>
      <c r="BO2978">
        <v>0</v>
      </c>
      <c r="BP2978">
        <v>0</v>
      </c>
      <c r="BW2978" t="str">
        <f>"22:22:40.844"</f>
        <v>22:22:40.844</v>
      </c>
      <c r="CJ2978">
        <v>0</v>
      </c>
      <c r="CK2978">
        <v>2</v>
      </c>
      <c r="CL2978">
        <v>0</v>
      </c>
      <c r="CM2978">
        <v>2</v>
      </c>
      <c r="CN2978">
        <v>0</v>
      </c>
      <c r="CO2978">
        <v>5</v>
      </c>
      <c r="CP2978" t="s">
        <v>119</v>
      </c>
      <c r="CQ2978">
        <v>364</v>
      </c>
      <c r="CR2978">
        <v>0</v>
      </c>
      <c r="CW2978">
        <v>1482180</v>
      </c>
      <c r="CY2978">
        <v>1</v>
      </c>
      <c r="CZ2978">
        <v>0</v>
      </c>
      <c r="DA2978">
        <v>1</v>
      </c>
      <c r="DB2978">
        <v>0</v>
      </c>
      <c r="DC2978">
        <v>0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3">
      <c r="A2979" t="str">
        <f>"03/24/2022 22:22:41.590"</f>
        <v>03/24/2022 22:22:41.590</v>
      </c>
      <c r="C2979" t="str">
        <f t="shared" si="886"/>
        <v>FFDFD3C0</v>
      </c>
      <c r="D2979" t="s">
        <v>123</v>
      </c>
      <c r="E2979">
        <v>8</v>
      </c>
      <c r="H2979">
        <v>31</v>
      </c>
      <c r="I2979" t="s">
        <v>124</v>
      </c>
      <c r="J2979" t="s">
        <v>125</v>
      </c>
      <c r="K2979">
        <v>0</v>
      </c>
      <c r="L2979">
        <v>3</v>
      </c>
      <c r="M2979">
        <v>0</v>
      </c>
      <c r="N2979">
        <v>2</v>
      </c>
      <c r="O2979">
        <v>0</v>
      </c>
      <c r="P2979">
        <v>1</v>
      </c>
      <c r="Q2979">
        <v>0</v>
      </c>
      <c r="S2979" t="str">
        <f t="shared" ref="S2979:T2982" si="891">"22:22:41.000"</f>
        <v>22:22:41.000</v>
      </c>
      <c r="T2979" t="str">
        <f t="shared" si="891"/>
        <v>22:22:41.000</v>
      </c>
      <c r="U2979" t="str">
        <f t="shared" si="880"/>
        <v>A9D71F</v>
      </c>
      <c r="V2979">
        <v>0</v>
      </c>
      <c r="W2979">
        <v>0</v>
      </c>
      <c r="X2979">
        <v>2</v>
      </c>
      <c r="Z2979">
        <v>1</v>
      </c>
      <c r="AA2979">
        <v>8</v>
      </c>
      <c r="AB2979">
        <v>3</v>
      </c>
      <c r="AC2979">
        <v>0</v>
      </c>
      <c r="AD2979">
        <v>9</v>
      </c>
      <c r="AE2979">
        <v>0</v>
      </c>
      <c r="AF2979">
        <v>3</v>
      </c>
      <c r="AG2979">
        <v>1</v>
      </c>
      <c r="AH2979">
        <v>0</v>
      </c>
      <c r="AI2979" t="s">
        <v>1482</v>
      </c>
      <c r="AJ2979">
        <v>32.980913999999999</v>
      </c>
      <c r="AK2979" t="s">
        <v>1480</v>
      </c>
      <c r="AL2979">
        <v>-97.668028000000007</v>
      </c>
      <c r="AM2979">
        <v>25</v>
      </c>
      <c r="AN2979">
        <v>1000</v>
      </c>
      <c r="AO2979" t="s">
        <v>118</v>
      </c>
      <c r="AP2979">
        <v>1</v>
      </c>
      <c r="AQ2979">
        <v>-81</v>
      </c>
      <c r="AR2979">
        <v>64</v>
      </c>
      <c r="AZ2979">
        <v>7700</v>
      </c>
      <c r="BA2979">
        <v>1</v>
      </c>
      <c r="BB2979" t="str">
        <f t="shared" si="887"/>
        <v xml:space="preserve">N733KP  </v>
      </c>
      <c r="BC2979">
        <v>1</v>
      </c>
      <c r="BE2979">
        <v>0</v>
      </c>
      <c r="BF2979">
        <v>0</v>
      </c>
      <c r="BG2979">
        <v>1</v>
      </c>
      <c r="BH2979">
        <v>900</v>
      </c>
      <c r="BI2979">
        <v>1</v>
      </c>
      <c r="BJ2979">
        <v>1</v>
      </c>
      <c r="BK2979">
        <v>0</v>
      </c>
      <c r="BL2979">
        <v>0</v>
      </c>
      <c r="BO2979">
        <v>0</v>
      </c>
      <c r="BP2979">
        <v>0</v>
      </c>
      <c r="BW2979" t="str">
        <f>"22:22:41.417"</f>
        <v>22:22:41.417</v>
      </c>
      <c r="CJ2979">
        <v>0</v>
      </c>
      <c r="CK2979">
        <v>2</v>
      </c>
      <c r="CL2979">
        <v>0</v>
      </c>
      <c r="CM2979">
        <v>2</v>
      </c>
      <c r="CN2979">
        <v>0</v>
      </c>
      <c r="CO2979">
        <v>5</v>
      </c>
      <c r="CP2979" t="s">
        <v>119</v>
      </c>
      <c r="CQ2979">
        <v>364</v>
      </c>
      <c r="CR2979">
        <v>0</v>
      </c>
      <c r="CW2979">
        <v>1482250</v>
      </c>
      <c r="CY2979">
        <v>1</v>
      </c>
      <c r="CZ2979">
        <v>0</v>
      </c>
      <c r="DA2979">
        <v>0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3">
      <c r="A2980" t="str">
        <f>"03/24/2022 22:22:41.590"</f>
        <v>03/24/2022 22:22:41.590</v>
      </c>
      <c r="C2980" t="str">
        <f t="shared" si="886"/>
        <v>FFDFD3C0</v>
      </c>
      <c r="D2980" t="s">
        <v>113</v>
      </c>
      <c r="E2980">
        <v>24</v>
      </c>
      <c r="F2980">
        <v>2024</v>
      </c>
      <c r="G2980" t="s">
        <v>114</v>
      </c>
      <c r="J2980" t="s">
        <v>115</v>
      </c>
      <c r="K2980">
        <v>0</v>
      </c>
      <c r="L2980">
        <v>3</v>
      </c>
      <c r="M2980">
        <v>0</v>
      </c>
      <c r="N2980">
        <v>2</v>
      </c>
      <c r="O2980">
        <v>0</v>
      </c>
      <c r="P2980">
        <v>1</v>
      </c>
      <c r="Q2980">
        <v>0</v>
      </c>
      <c r="S2980" t="str">
        <f t="shared" si="891"/>
        <v>22:22:41.000</v>
      </c>
      <c r="T2980" t="str">
        <f t="shared" si="891"/>
        <v>22:22:41.000</v>
      </c>
      <c r="U2980" t="str">
        <f t="shared" si="880"/>
        <v>A9D71F</v>
      </c>
      <c r="V2980">
        <v>0</v>
      </c>
      <c r="W2980">
        <v>0</v>
      </c>
      <c r="X2980">
        <v>2</v>
      </c>
      <c r="Z2980">
        <v>1</v>
      </c>
      <c r="AA2980">
        <v>8</v>
      </c>
      <c r="AB2980">
        <v>3</v>
      </c>
      <c r="AC2980">
        <v>0</v>
      </c>
      <c r="AD2980">
        <v>9</v>
      </c>
      <c r="AE2980">
        <v>0</v>
      </c>
      <c r="AF2980">
        <v>3</v>
      </c>
      <c r="AG2980">
        <v>1</v>
      </c>
      <c r="AH2980">
        <v>0</v>
      </c>
      <c r="AI2980" t="s">
        <v>1482</v>
      </c>
      <c r="AJ2980">
        <v>32.980913999999999</v>
      </c>
      <c r="AK2980" t="s">
        <v>1480</v>
      </c>
      <c r="AL2980">
        <v>-97.668028000000007</v>
      </c>
      <c r="AM2980">
        <v>25</v>
      </c>
      <c r="AN2980">
        <v>1000</v>
      </c>
      <c r="AO2980" t="s">
        <v>118</v>
      </c>
      <c r="AP2980">
        <v>1</v>
      </c>
      <c r="AQ2980">
        <v>-81</v>
      </c>
      <c r="AR2980">
        <v>64</v>
      </c>
      <c r="AZ2980">
        <v>7700</v>
      </c>
      <c r="BA2980">
        <v>1</v>
      </c>
      <c r="BB2980" t="str">
        <f t="shared" si="887"/>
        <v xml:space="preserve">N733KP  </v>
      </c>
      <c r="BC2980">
        <v>1</v>
      </c>
      <c r="BE2980">
        <v>0</v>
      </c>
      <c r="BF2980">
        <v>0</v>
      </c>
      <c r="BG2980">
        <v>1</v>
      </c>
      <c r="BH2980">
        <v>900</v>
      </c>
      <c r="BI2980">
        <v>1</v>
      </c>
      <c r="BJ2980">
        <v>1</v>
      </c>
      <c r="BK2980">
        <v>0</v>
      </c>
      <c r="BL2980">
        <v>0</v>
      </c>
      <c r="BO2980">
        <v>0</v>
      </c>
      <c r="BP2980">
        <v>0</v>
      </c>
      <c r="BW2980" t="str">
        <f>"22:22:41.417"</f>
        <v>22:22:41.417</v>
      </c>
      <c r="CJ2980">
        <v>0</v>
      </c>
      <c r="CK2980">
        <v>2</v>
      </c>
      <c r="CL2980">
        <v>0</v>
      </c>
      <c r="CM2980">
        <v>2</v>
      </c>
      <c r="CN2980">
        <v>0</v>
      </c>
      <c r="CO2980">
        <v>5</v>
      </c>
      <c r="CP2980" t="s">
        <v>119</v>
      </c>
      <c r="CQ2980">
        <v>364</v>
      </c>
      <c r="CR2980">
        <v>0</v>
      </c>
      <c r="CW2980">
        <v>1482250</v>
      </c>
      <c r="CY2980">
        <v>1</v>
      </c>
      <c r="CZ2980">
        <v>0</v>
      </c>
      <c r="DA2980">
        <v>1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3">
      <c r="A2981" t="str">
        <f>"03/24/2022 22:22:41.606"</f>
        <v>03/24/2022 22:22:41.606</v>
      </c>
      <c r="C2981" t="str">
        <f t="shared" si="886"/>
        <v>FFDFD3C0</v>
      </c>
      <c r="D2981" t="s">
        <v>120</v>
      </c>
      <c r="E2981">
        <v>14</v>
      </c>
      <c r="F2981">
        <v>1014</v>
      </c>
      <c r="G2981" t="s">
        <v>121</v>
      </c>
      <c r="J2981" t="s">
        <v>122</v>
      </c>
      <c r="K2981">
        <v>0</v>
      </c>
      <c r="L2981">
        <v>3</v>
      </c>
      <c r="M2981">
        <v>0</v>
      </c>
      <c r="N2981">
        <v>2</v>
      </c>
      <c r="O2981">
        <v>0</v>
      </c>
      <c r="P2981">
        <v>1</v>
      </c>
      <c r="Q2981">
        <v>0</v>
      </c>
      <c r="S2981" t="str">
        <f t="shared" si="891"/>
        <v>22:22:41.000</v>
      </c>
      <c r="T2981" t="str">
        <f t="shared" si="891"/>
        <v>22:22:41.000</v>
      </c>
      <c r="U2981" t="str">
        <f t="shared" si="880"/>
        <v>A9D71F</v>
      </c>
      <c r="V2981">
        <v>0</v>
      </c>
      <c r="W2981">
        <v>0</v>
      </c>
      <c r="X2981">
        <v>2</v>
      </c>
      <c r="Z2981">
        <v>1</v>
      </c>
      <c r="AA2981">
        <v>8</v>
      </c>
      <c r="AB2981">
        <v>3</v>
      </c>
      <c r="AC2981">
        <v>0</v>
      </c>
      <c r="AD2981">
        <v>9</v>
      </c>
      <c r="AE2981">
        <v>0</v>
      </c>
      <c r="AF2981">
        <v>3</v>
      </c>
      <c r="AG2981">
        <v>1</v>
      </c>
      <c r="AH2981">
        <v>0</v>
      </c>
      <c r="AI2981" t="s">
        <v>1482</v>
      </c>
      <c r="AJ2981">
        <v>32.980913999999999</v>
      </c>
      <c r="AK2981" t="s">
        <v>1480</v>
      </c>
      <c r="AL2981">
        <v>-97.668028000000007</v>
      </c>
      <c r="AM2981">
        <v>25</v>
      </c>
      <c r="AN2981">
        <v>1000</v>
      </c>
      <c r="AO2981" t="s">
        <v>118</v>
      </c>
      <c r="AP2981">
        <v>1</v>
      </c>
      <c r="AQ2981">
        <v>-81</v>
      </c>
      <c r="AR2981">
        <v>64</v>
      </c>
      <c r="AZ2981">
        <v>7700</v>
      </c>
      <c r="BA2981">
        <v>1</v>
      </c>
      <c r="BB2981" t="str">
        <f t="shared" si="887"/>
        <v xml:space="preserve">N733KP  </v>
      </c>
      <c r="BC2981">
        <v>1</v>
      </c>
      <c r="BE2981">
        <v>0</v>
      </c>
      <c r="BF2981">
        <v>0</v>
      </c>
      <c r="BG2981">
        <v>1</v>
      </c>
      <c r="BH2981">
        <v>900</v>
      </c>
      <c r="BI2981">
        <v>1</v>
      </c>
      <c r="BJ2981">
        <v>1</v>
      </c>
      <c r="BK2981">
        <v>0</v>
      </c>
      <c r="BL2981">
        <v>0</v>
      </c>
      <c r="BO2981">
        <v>0</v>
      </c>
      <c r="BP2981">
        <v>0</v>
      </c>
      <c r="BW2981" t="str">
        <f>"22:22:41.417"</f>
        <v>22:22:41.417</v>
      </c>
      <c r="CJ2981">
        <v>0</v>
      </c>
      <c r="CK2981">
        <v>2</v>
      </c>
      <c r="CL2981">
        <v>0</v>
      </c>
      <c r="CM2981">
        <v>2</v>
      </c>
      <c r="CN2981">
        <v>0</v>
      </c>
      <c r="CO2981">
        <v>5</v>
      </c>
      <c r="CP2981" t="s">
        <v>119</v>
      </c>
      <c r="CQ2981">
        <v>364</v>
      </c>
      <c r="CR2981">
        <v>0</v>
      </c>
      <c r="CW2981">
        <v>1482250</v>
      </c>
      <c r="CY2981">
        <v>1</v>
      </c>
      <c r="CZ2981">
        <v>0</v>
      </c>
      <c r="DA2981">
        <v>1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3">
      <c r="A2982" t="str">
        <f>"03/24/2022 22:22:41.606"</f>
        <v>03/24/2022 22:22:41.606</v>
      </c>
      <c r="C2982" t="str">
        <f t="shared" si="886"/>
        <v>FFDFD3C0</v>
      </c>
      <c r="D2982" t="s">
        <v>126</v>
      </c>
      <c r="E2982">
        <v>3</v>
      </c>
      <c r="H2982">
        <v>160</v>
      </c>
      <c r="I2982" t="s">
        <v>121</v>
      </c>
      <c r="J2982" t="s">
        <v>127</v>
      </c>
      <c r="K2982">
        <v>0</v>
      </c>
      <c r="L2982">
        <v>3</v>
      </c>
      <c r="M2982">
        <v>0</v>
      </c>
      <c r="N2982">
        <v>2</v>
      </c>
      <c r="O2982">
        <v>0</v>
      </c>
      <c r="P2982">
        <v>1</v>
      </c>
      <c r="Q2982">
        <v>0</v>
      </c>
      <c r="S2982" t="str">
        <f t="shared" si="891"/>
        <v>22:22:41.000</v>
      </c>
      <c r="T2982" t="str">
        <f t="shared" si="891"/>
        <v>22:22:41.000</v>
      </c>
      <c r="U2982" t="str">
        <f t="shared" si="880"/>
        <v>A9D71F</v>
      </c>
      <c r="V2982">
        <v>0</v>
      </c>
      <c r="W2982">
        <v>0</v>
      </c>
      <c r="X2982">
        <v>2</v>
      </c>
      <c r="Z2982">
        <v>1</v>
      </c>
      <c r="AA2982">
        <v>8</v>
      </c>
      <c r="AB2982">
        <v>3</v>
      </c>
      <c r="AC2982">
        <v>0</v>
      </c>
      <c r="AD2982">
        <v>9</v>
      </c>
      <c r="AE2982">
        <v>0</v>
      </c>
      <c r="AF2982">
        <v>3</v>
      </c>
      <c r="AG2982">
        <v>1</v>
      </c>
      <c r="AH2982">
        <v>0</v>
      </c>
      <c r="AI2982" t="s">
        <v>1482</v>
      </c>
      <c r="AJ2982">
        <v>32.980913999999999</v>
      </c>
      <c r="AK2982" t="s">
        <v>1480</v>
      </c>
      <c r="AL2982">
        <v>-97.668028000000007</v>
      </c>
      <c r="AM2982">
        <v>25</v>
      </c>
      <c r="AN2982">
        <v>1000</v>
      </c>
      <c r="AO2982" t="s">
        <v>118</v>
      </c>
      <c r="AP2982">
        <v>1</v>
      </c>
      <c r="AQ2982">
        <v>-81</v>
      </c>
      <c r="AR2982">
        <v>64</v>
      </c>
      <c r="AZ2982">
        <v>7700</v>
      </c>
      <c r="BA2982">
        <v>1</v>
      </c>
      <c r="BB2982" t="str">
        <f t="shared" si="887"/>
        <v xml:space="preserve">N733KP  </v>
      </c>
      <c r="BC2982">
        <v>1</v>
      </c>
      <c r="BE2982">
        <v>0</v>
      </c>
      <c r="BF2982">
        <v>0</v>
      </c>
      <c r="BG2982">
        <v>1</v>
      </c>
      <c r="BH2982">
        <v>900</v>
      </c>
      <c r="BI2982">
        <v>1</v>
      </c>
      <c r="BJ2982">
        <v>1</v>
      </c>
      <c r="BK2982">
        <v>0</v>
      </c>
      <c r="BL2982">
        <v>0</v>
      </c>
      <c r="BO2982">
        <v>0</v>
      </c>
      <c r="BP2982">
        <v>0</v>
      </c>
      <c r="BW2982" t="str">
        <f>"22:22:41.417"</f>
        <v>22:22:41.417</v>
      </c>
      <c r="CJ2982">
        <v>0</v>
      </c>
      <c r="CK2982">
        <v>2</v>
      </c>
      <c r="CL2982">
        <v>0</v>
      </c>
      <c r="CM2982">
        <v>2</v>
      </c>
      <c r="CN2982">
        <v>0</v>
      </c>
      <c r="CO2982">
        <v>5</v>
      </c>
      <c r="CP2982" t="s">
        <v>119</v>
      </c>
      <c r="CQ2982">
        <v>364</v>
      </c>
      <c r="CR2982">
        <v>0</v>
      </c>
      <c r="CW2982">
        <v>1482250</v>
      </c>
      <c r="CY2982">
        <v>1</v>
      </c>
      <c r="CZ2982">
        <v>0</v>
      </c>
      <c r="DA2982">
        <v>1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3">
      <c r="A2983" t="str">
        <f>"03/24/2022 22:22:42.498"</f>
        <v>03/24/2022 22:22:42.498</v>
      </c>
      <c r="C2983" t="str">
        <f t="shared" si="886"/>
        <v>FFDFD3C0</v>
      </c>
      <c r="D2983" t="s">
        <v>123</v>
      </c>
      <c r="E2983">
        <v>8</v>
      </c>
      <c r="H2983">
        <v>31</v>
      </c>
      <c r="I2983" t="s">
        <v>124</v>
      </c>
      <c r="J2983" t="s">
        <v>125</v>
      </c>
      <c r="K2983">
        <v>0</v>
      </c>
      <c r="L2983">
        <v>3</v>
      </c>
      <c r="M2983">
        <v>0</v>
      </c>
      <c r="N2983">
        <v>2</v>
      </c>
      <c r="O2983">
        <v>0</v>
      </c>
      <c r="P2983">
        <v>1</v>
      </c>
      <c r="Q2983">
        <v>0</v>
      </c>
      <c r="S2983" t="str">
        <f t="shared" ref="S2983:T2986" si="892">"22:22:42.000"</f>
        <v>22:22:42.000</v>
      </c>
      <c r="T2983" t="str">
        <f t="shared" si="892"/>
        <v>22:22:42.000</v>
      </c>
      <c r="U2983" t="str">
        <f t="shared" si="880"/>
        <v>A9D71F</v>
      </c>
      <c r="V2983">
        <v>0</v>
      </c>
      <c r="W2983">
        <v>0</v>
      </c>
      <c r="X2983">
        <v>2</v>
      </c>
      <c r="Z2983">
        <v>1</v>
      </c>
      <c r="AA2983">
        <v>8</v>
      </c>
      <c r="AB2983">
        <v>3</v>
      </c>
      <c r="AC2983">
        <v>0</v>
      </c>
      <c r="AD2983">
        <v>9</v>
      </c>
      <c r="AE2983">
        <v>0</v>
      </c>
      <c r="AF2983">
        <v>3</v>
      </c>
      <c r="AG2983">
        <v>1</v>
      </c>
      <c r="AH2983">
        <v>0</v>
      </c>
      <c r="AI2983" t="s">
        <v>1483</v>
      </c>
      <c r="AJ2983">
        <v>32.980505999999998</v>
      </c>
      <c r="AK2983" t="s">
        <v>1478</v>
      </c>
      <c r="AL2983">
        <v>-97.668006000000005</v>
      </c>
      <c r="AM2983">
        <v>25</v>
      </c>
      <c r="AN2983">
        <v>1000</v>
      </c>
      <c r="AO2983" t="s">
        <v>118</v>
      </c>
      <c r="AP2983">
        <v>2</v>
      </c>
      <c r="AQ2983">
        <v>-83</v>
      </c>
      <c r="AR2983">
        <v>64</v>
      </c>
      <c r="AZ2983">
        <v>7700</v>
      </c>
      <c r="BA2983">
        <v>1</v>
      </c>
      <c r="BB2983" t="str">
        <f t="shared" si="887"/>
        <v xml:space="preserve">N733KP  </v>
      </c>
      <c r="BC2983">
        <v>1</v>
      </c>
      <c r="BE2983">
        <v>0</v>
      </c>
      <c r="BF2983">
        <v>0</v>
      </c>
      <c r="BG2983">
        <v>1</v>
      </c>
      <c r="BH2983">
        <v>900</v>
      </c>
      <c r="BI2983">
        <v>1</v>
      </c>
      <c r="BJ2983">
        <v>1</v>
      </c>
      <c r="BK2983">
        <v>0</v>
      </c>
      <c r="BL2983">
        <v>0</v>
      </c>
      <c r="BO2983">
        <v>0</v>
      </c>
      <c r="BP2983">
        <v>0</v>
      </c>
      <c r="BW2983" t="str">
        <f>"22:22:42.267"</f>
        <v>22:22:42.267</v>
      </c>
      <c r="CJ2983">
        <v>0</v>
      </c>
      <c r="CK2983">
        <v>2</v>
      </c>
      <c r="CL2983">
        <v>0</v>
      </c>
      <c r="CM2983">
        <v>2</v>
      </c>
      <c r="CN2983">
        <v>0</v>
      </c>
      <c r="CO2983">
        <v>5</v>
      </c>
      <c r="CP2983" t="s">
        <v>119</v>
      </c>
      <c r="CQ2983">
        <v>364</v>
      </c>
      <c r="CR2983">
        <v>0</v>
      </c>
      <c r="CW2983">
        <v>1482355</v>
      </c>
      <c r="CY2983">
        <v>1</v>
      </c>
      <c r="CZ2983">
        <v>0</v>
      </c>
      <c r="DA2983">
        <v>0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3">
      <c r="A2984" t="str">
        <f>"03/24/2022 22:22:42.498"</f>
        <v>03/24/2022 22:22:42.498</v>
      </c>
      <c r="C2984" t="str">
        <f t="shared" si="886"/>
        <v>FFDFD3C0</v>
      </c>
      <c r="D2984" t="s">
        <v>113</v>
      </c>
      <c r="E2984">
        <v>24</v>
      </c>
      <c r="F2984">
        <v>2024</v>
      </c>
      <c r="G2984" t="s">
        <v>114</v>
      </c>
      <c r="J2984" t="s">
        <v>115</v>
      </c>
      <c r="K2984">
        <v>0</v>
      </c>
      <c r="L2984">
        <v>3</v>
      </c>
      <c r="M2984">
        <v>0</v>
      </c>
      <c r="N2984">
        <v>2</v>
      </c>
      <c r="O2984">
        <v>0</v>
      </c>
      <c r="P2984">
        <v>1</v>
      </c>
      <c r="Q2984">
        <v>0</v>
      </c>
      <c r="S2984" t="str">
        <f t="shared" si="892"/>
        <v>22:22:42.000</v>
      </c>
      <c r="T2984" t="str">
        <f t="shared" si="892"/>
        <v>22:22:42.000</v>
      </c>
      <c r="U2984" t="str">
        <f t="shared" si="880"/>
        <v>A9D71F</v>
      </c>
      <c r="V2984">
        <v>0</v>
      </c>
      <c r="W2984">
        <v>0</v>
      </c>
      <c r="X2984">
        <v>2</v>
      </c>
      <c r="Z2984">
        <v>1</v>
      </c>
      <c r="AA2984">
        <v>8</v>
      </c>
      <c r="AB2984">
        <v>3</v>
      </c>
      <c r="AC2984">
        <v>0</v>
      </c>
      <c r="AD2984">
        <v>9</v>
      </c>
      <c r="AE2984">
        <v>0</v>
      </c>
      <c r="AF2984">
        <v>3</v>
      </c>
      <c r="AG2984">
        <v>1</v>
      </c>
      <c r="AH2984">
        <v>0</v>
      </c>
      <c r="AI2984" t="s">
        <v>1483</v>
      </c>
      <c r="AJ2984">
        <v>32.980505999999998</v>
      </c>
      <c r="AK2984" t="s">
        <v>1478</v>
      </c>
      <c r="AL2984">
        <v>-97.668006000000005</v>
      </c>
      <c r="AM2984">
        <v>25</v>
      </c>
      <c r="AN2984">
        <v>1000</v>
      </c>
      <c r="AO2984" t="s">
        <v>118</v>
      </c>
      <c r="AP2984">
        <v>2</v>
      </c>
      <c r="AQ2984">
        <v>-83</v>
      </c>
      <c r="AR2984">
        <v>64</v>
      </c>
      <c r="AZ2984">
        <v>7700</v>
      </c>
      <c r="BA2984">
        <v>1</v>
      </c>
      <c r="BB2984" t="str">
        <f t="shared" si="887"/>
        <v xml:space="preserve">N733KP  </v>
      </c>
      <c r="BC2984">
        <v>1</v>
      </c>
      <c r="BE2984">
        <v>0</v>
      </c>
      <c r="BF2984">
        <v>0</v>
      </c>
      <c r="BG2984">
        <v>1</v>
      </c>
      <c r="BH2984">
        <v>900</v>
      </c>
      <c r="BI2984">
        <v>1</v>
      </c>
      <c r="BJ2984">
        <v>1</v>
      </c>
      <c r="BK2984">
        <v>0</v>
      </c>
      <c r="BL2984">
        <v>0</v>
      </c>
      <c r="BO2984">
        <v>0</v>
      </c>
      <c r="BP2984">
        <v>0</v>
      </c>
      <c r="BW2984" t="str">
        <f>"22:22:42.267"</f>
        <v>22:22:42.267</v>
      </c>
      <c r="CJ2984">
        <v>0</v>
      </c>
      <c r="CK2984">
        <v>2</v>
      </c>
      <c r="CL2984">
        <v>0</v>
      </c>
      <c r="CM2984">
        <v>2</v>
      </c>
      <c r="CN2984">
        <v>0</v>
      </c>
      <c r="CO2984">
        <v>5</v>
      </c>
      <c r="CP2984" t="s">
        <v>119</v>
      </c>
      <c r="CQ2984">
        <v>364</v>
      </c>
      <c r="CR2984">
        <v>0</v>
      </c>
      <c r="CW2984">
        <v>1482355</v>
      </c>
      <c r="CY2984">
        <v>1</v>
      </c>
      <c r="CZ2984">
        <v>0</v>
      </c>
      <c r="DA2984">
        <v>1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3">
      <c r="A2985" t="str">
        <f>"03/24/2022 22:22:42.498"</f>
        <v>03/24/2022 22:22:42.498</v>
      </c>
      <c r="C2985" t="str">
        <f t="shared" si="886"/>
        <v>FFDFD3C0</v>
      </c>
      <c r="D2985" t="s">
        <v>120</v>
      </c>
      <c r="E2985">
        <v>14</v>
      </c>
      <c r="F2985">
        <v>1014</v>
      </c>
      <c r="G2985" t="s">
        <v>121</v>
      </c>
      <c r="J2985" t="s">
        <v>122</v>
      </c>
      <c r="K2985">
        <v>0</v>
      </c>
      <c r="L2985">
        <v>3</v>
      </c>
      <c r="M2985">
        <v>0</v>
      </c>
      <c r="N2985">
        <v>2</v>
      </c>
      <c r="O2985">
        <v>0</v>
      </c>
      <c r="P2985">
        <v>1</v>
      </c>
      <c r="Q2985">
        <v>0</v>
      </c>
      <c r="S2985" t="str">
        <f t="shared" si="892"/>
        <v>22:22:42.000</v>
      </c>
      <c r="T2985" t="str">
        <f t="shared" si="892"/>
        <v>22:22:42.000</v>
      </c>
      <c r="U2985" t="str">
        <f t="shared" si="880"/>
        <v>A9D71F</v>
      </c>
      <c r="V2985">
        <v>0</v>
      </c>
      <c r="W2985">
        <v>0</v>
      </c>
      <c r="X2985">
        <v>2</v>
      </c>
      <c r="Z2985">
        <v>1</v>
      </c>
      <c r="AA2985">
        <v>8</v>
      </c>
      <c r="AB2985">
        <v>3</v>
      </c>
      <c r="AC2985">
        <v>0</v>
      </c>
      <c r="AD2985">
        <v>9</v>
      </c>
      <c r="AE2985">
        <v>0</v>
      </c>
      <c r="AF2985">
        <v>3</v>
      </c>
      <c r="AG2985">
        <v>1</v>
      </c>
      <c r="AH2985">
        <v>0</v>
      </c>
      <c r="AI2985" t="s">
        <v>1483</v>
      </c>
      <c r="AJ2985">
        <v>32.980505999999998</v>
      </c>
      <c r="AK2985" t="s">
        <v>1478</v>
      </c>
      <c r="AL2985">
        <v>-97.668006000000005</v>
      </c>
      <c r="AM2985">
        <v>25</v>
      </c>
      <c r="AN2985">
        <v>1000</v>
      </c>
      <c r="AO2985" t="s">
        <v>118</v>
      </c>
      <c r="AP2985">
        <v>2</v>
      </c>
      <c r="AQ2985">
        <v>-83</v>
      </c>
      <c r="AR2985">
        <v>64</v>
      </c>
      <c r="AZ2985">
        <v>7700</v>
      </c>
      <c r="BA2985">
        <v>1</v>
      </c>
      <c r="BB2985" t="str">
        <f t="shared" si="887"/>
        <v xml:space="preserve">N733KP  </v>
      </c>
      <c r="BC2985">
        <v>1</v>
      </c>
      <c r="BE2985">
        <v>0</v>
      </c>
      <c r="BF2985">
        <v>0</v>
      </c>
      <c r="BG2985">
        <v>1</v>
      </c>
      <c r="BH2985">
        <v>900</v>
      </c>
      <c r="BI2985">
        <v>1</v>
      </c>
      <c r="BJ2985">
        <v>1</v>
      </c>
      <c r="BK2985">
        <v>0</v>
      </c>
      <c r="BL2985">
        <v>0</v>
      </c>
      <c r="BO2985">
        <v>0</v>
      </c>
      <c r="BP2985">
        <v>0</v>
      </c>
      <c r="BW2985" t="str">
        <f>"22:22:42.267"</f>
        <v>22:22:42.267</v>
      </c>
      <c r="CJ2985">
        <v>0</v>
      </c>
      <c r="CK2985">
        <v>2</v>
      </c>
      <c r="CL2985">
        <v>0</v>
      </c>
      <c r="CM2985">
        <v>2</v>
      </c>
      <c r="CN2985">
        <v>0</v>
      </c>
      <c r="CO2985">
        <v>5</v>
      </c>
      <c r="CP2985" t="s">
        <v>119</v>
      </c>
      <c r="CQ2985">
        <v>364</v>
      </c>
      <c r="CR2985">
        <v>0</v>
      </c>
      <c r="CW2985">
        <v>1482355</v>
      </c>
      <c r="CY2985">
        <v>1</v>
      </c>
      <c r="CZ2985">
        <v>0</v>
      </c>
      <c r="DA2985">
        <v>1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3">
      <c r="A2986" t="str">
        <f>"03/24/2022 22:22:42.498"</f>
        <v>03/24/2022 22:22:42.498</v>
      </c>
      <c r="C2986" t="str">
        <f t="shared" si="886"/>
        <v>FFDFD3C0</v>
      </c>
      <c r="D2986" t="s">
        <v>126</v>
      </c>
      <c r="E2986">
        <v>3</v>
      </c>
      <c r="H2986">
        <v>160</v>
      </c>
      <c r="I2986" t="s">
        <v>121</v>
      </c>
      <c r="J2986" t="s">
        <v>127</v>
      </c>
      <c r="K2986">
        <v>0</v>
      </c>
      <c r="L2986">
        <v>3</v>
      </c>
      <c r="M2986">
        <v>0</v>
      </c>
      <c r="N2986">
        <v>2</v>
      </c>
      <c r="O2986">
        <v>0</v>
      </c>
      <c r="P2986">
        <v>1</v>
      </c>
      <c r="Q2986">
        <v>0</v>
      </c>
      <c r="S2986" t="str">
        <f t="shared" si="892"/>
        <v>22:22:42.000</v>
      </c>
      <c r="T2986" t="str">
        <f t="shared" si="892"/>
        <v>22:22:42.000</v>
      </c>
      <c r="U2986" t="str">
        <f t="shared" si="880"/>
        <v>A9D71F</v>
      </c>
      <c r="V2986">
        <v>0</v>
      </c>
      <c r="W2986">
        <v>0</v>
      </c>
      <c r="X2986">
        <v>2</v>
      </c>
      <c r="Z2986">
        <v>1</v>
      </c>
      <c r="AA2986">
        <v>8</v>
      </c>
      <c r="AB2986">
        <v>3</v>
      </c>
      <c r="AC2986">
        <v>0</v>
      </c>
      <c r="AD2986">
        <v>9</v>
      </c>
      <c r="AE2986">
        <v>0</v>
      </c>
      <c r="AF2986">
        <v>3</v>
      </c>
      <c r="AG2986">
        <v>1</v>
      </c>
      <c r="AH2986">
        <v>0</v>
      </c>
      <c r="AI2986" t="s">
        <v>1483</v>
      </c>
      <c r="AJ2986">
        <v>32.980505999999998</v>
      </c>
      <c r="AK2986" t="s">
        <v>1478</v>
      </c>
      <c r="AL2986">
        <v>-97.668006000000005</v>
      </c>
      <c r="AM2986">
        <v>25</v>
      </c>
      <c r="AN2986">
        <v>1000</v>
      </c>
      <c r="AO2986" t="s">
        <v>118</v>
      </c>
      <c r="AP2986">
        <v>2</v>
      </c>
      <c r="AQ2986">
        <v>-83</v>
      </c>
      <c r="AR2986">
        <v>64</v>
      </c>
      <c r="AZ2986">
        <v>7700</v>
      </c>
      <c r="BA2986">
        <v>1</v>
      </c>
      <c r="BB2986" t="str">
        <f t="shared" si="887"/>
        <v xml:space="preserve">N733KP  </v>
      </c>
      <c r="BC2986">
        <v>1</v>
      </c>
      <c r="BE2986">
        <v>0</v>
      </c>
      <c r="BF2986">
        <v>0</v>
      </c>
      <c r="BG2986">
        <v>1</v>
      </c>
      <c r="BH2986">
        <v>900</v>
      </c>
      <c r="BI2986">
        <v>1</v>
      </c>
      <c r="BJ2986">
        <v>1</v>
      </c>
      <c r="BK2986">
        <v>0</v>
      </c>
      <c r="BL2986">
        <v>0</v>
      </c>
      <c r="BO2986">
        <v>0</v>
      </c>
      <c r="BP2986">
        <v>0</v>
      </c>
      <c r="BW2986" t="str">
        <f>"22:22:42.267"</f>
        <v>22:22:42.267</v>
      </c>
      <c r="CJ2986">
        <v>0</v>
      </c>
      <c r="CK2986">
        <v>2</v>
      </c>
      <c r="CL2986">
        <v>0</v>
      </c>
      <c r="CM2986">
        <v>2</v>
      </c>
      <c r="CN2986">
        <v>0</v>
      </c>
      <c r="CO2986">
        <v>5</v>
      </c>
      <c r="CP2986" t="s">
        <v>119</v>
      </c>
      <c r="CQ2986">
        <v>364</v>
      </c>
      <c r="CR2986">
        <v>0</v>
      </c>
      <c r="CW2986">
        <v>1482355</v>
      </c>
      <c r="CY2986">
        <v>1</v>
      </c>
      <c r="CZ2986">
        <v>0</v>
      </c>
      <c r="DA2986">
        <v>1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3">
      <c r="A2987" t="str">
        <f>"03/24/2022 22:22:43.641"</f>
        <v>03/24/2022 22:22:43.641</v>
      </c>
      <c r="C2987" t="str">
        <f t="shared" si="886"/>
        <v>FFDFD3C0</v>
      </c>
      <c r="D2987" t="s">
        <v>113</v>
      </c>
      <c r="E2987">
        <v>24</v>
      </c>
      <c r="F2987">
        <v>2024</v>
      </c>
      <c r="G2987" t="s">
        <v>114</v>
      </c>
      <c r="J2987" t="s">
        <v>115</v>
      </c>
      <c r="K2987">
        <v>0</v>
      </c>
      <c r="L2987">
        <v>3</v>
      </c>
      <c r="M2987">
        <v>0</v>
      </c>
      <c r="N2987">
        <v>2</v>
      </c>
      <c r="O2987">
        <v>0</v>
      </c>
      <c r="P2987">
        <v>1</v>
      </c>
      <c r="Q2987">
        <v>0</v>
      </c>
      <c r="S2987" t="str">
        <f t="shared" ref="S2987:T2990" si="893">"22:22:43.000"</f>
        <v>22:22:43.000</v>
      </c>
      <c r="T2987" t="str">
        <f t="shared" si="893"/>
        <v>22:22:43.000</v>
      </c>
      <c r="U2987" t="str">
        <f t="shared" si="880"/>
        <v>A9D71F</v>
      </c>
      <c r="V2987">
        <v>0</v>
      </c>
      <c r="W2987">
        <v>0</v>
      </c>
      <c r="X2987">
        <v>2</v>
      </c>
      <c r="Z2987">
        <v>1</v>
      </c>
      <c r="AA2987">
        <v>8</v>
      </c>
      <c r="AB2987">
        <v>3</v>
      </c>
      <c r="AC2987">
        <v>0</v>
      </c>
      <c r="AD2987">
        <v>9</v>
      </c>
      <c r="AE2987">
        <v>0</v>
      </c>
      <c r="AF2987">
        <v>3</v>
      </c>
      <c r="AG2987">
        <v>1</v>
      </c>
      <c r="AH2987">
        <v>0</v>
      </c>
      <c r="AI2987" t="s">
        <v>1484</v>
      </c>
      <c r="AJ2987">
        <v>32.980099000000003</v>
      </c>
      <c r="AK2987" t="s">
        <v>935</v>
      </c>
      <c r="AL2987">
        <v>-97.667985000000002</v>
      </c>
      <c r="AM2987">
        <v>25</v>
      </c>
      <c r="AN2987">
        <v>1000</v>
      </c>
      <c r="AO2987" t="s">
        <v>118</v>
      </c>
      <c r="AP2987">
        <v>2</v>
      </c>
      <c r="AQ2987">
        <v>-81</v>
      </c>
      <c r="AR2987">
        <v>64</v>
      </c>
      <c r="AZ2987">
        <v>7700</v>
      </c>
      <c r="BA2987">
        <v>1</v>
      </c>
      <c r="BB2987" t="str">
        <f t="shared" si="887"/>
        <v xml:space="preserve">N733KP  </v>
      </c>
      <c r="BC2987">
        <v>1</v>
      </c>
      <c r="BE2987">
        <v>0</v>
      </c>
      <c r="BF2987">
        <v>0</v>
      </c>
      <c r="BG2987">
        <v>1</v>
      </c>
      <c r="BH2987">
        <v>900</v>
      </c>
      <c r="BI2987">
        <v>1</v>
      </c>
      <c r="BJ2987">
        <v>1</v>
      </c>
      <c r="BK2987">
        <v>0</v>
      </c>
      <c r="BL2987">
        <v>0</v>
      </c>
      <c r="BO2987">
        <v>0</v>
      </c>
      <c r="BP2987">
        <v>0</v>
      </c>
      <c r="BW2987" t="str">
        <f>"22:22:43.441"</f>
        <v>22:22:43.441</v>
      </c>
      <c r="CJ2987">
        <v>0</v>
      </c>
      <c r="CK2987">
        <v>2</v>
      </c>
      <c r="CL2987">
        <v>0</v>
      </c>
      <c r="CM2987">
        <v>2</v>
      </c>
      <c r="CN2987">
        <v>0</v>
      </c>
      <c r="CO2987">
        <v>6</v>
      </c>
      <c r="CP2987" t="s">
        <v>119</v>
      </c>
      <c r="CQ2987">
        <v>364</v>
      </c>
      <c r="CR2987">
        <v>0</v>
      </c>
      <c r="CW2987">
        <v>1482501</v>
      </c>
      <c r="CY2987">
        <v>1</v>
      </c>
      <c r="CZ2987">
        <v>0</v>
      </c>
      <c r="DA2987">
        <v>0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3">
      <c r="A2988" t="str">
        <f>"03/24/2022 22:22:43.641"</f>
        <v>03/24/2022 22:22:43.641</v>
      </c>
      <c r="C2988" t="str">
        <f t="shared" si="886"/>
        <v>FFDFD3C0</v>
      </c>
      <c r="D2988" t="s">
        <v>120</v>
      </c>
      <c r="E2988">
        <v>14</v>
      </c>
      <c r="F2988">
        <v>1014</v>
      </c>
      <c r="G2988" t="s">
        <v>121</v>
      </c>
      <c r="J2988" t="s">
        <v>122</v>
      </c>
      <c r="K2988">
        <v>0</v>
      </c>
      <c r="L2988">
        <v>3</v>
      </c>
      <c r="M2988">
        <v>0</v>
      </c>
      <c r="N2988">
        <v>2</v>
      </c>
      <c r="O2988">
        <v>0</v>
      </c>
      <c r="P2988">
        <v>1</v>
      </c>
      <c r="Q2988">
        <v>0</v>
      </c>
      <c r="S2988" t="str">
        <f t="shared" si="893"/>
        <v>22:22:43.000</v>
      </c>
      <c r="T2988" t="str">
        <f t="shared" si="893"/>
        <v>22:22:43.000</v>
      </c>
      <c r="U2988" t="str">
        <f t="shared" si="880"/>
        <v>A9D71F</v>
      </c>
      <c r="V2988">
        <v>0</v>
      </c>
      <c r="W2988">
        <v>0</v>
      </c>
      <c r="X2988">
        <v>2</v>
      </c>
      <c r="Z2988">
        <v>1</v>
      </c>
      <c r="AA2988">
        <v>8</v>
      </c>
      <c r="AB2988">
        <v>3</v>
      </c>
      <c r="AC2988">
        <v>0</v>
      </c>
      <c r="AD2988">
        <v>9</v>
      </c>
      <c r="AE2988">
        <v>0</v>
      </c>
      <c r="AF2988">
        <v>3</v>
      </c>
      <c r="AG2988">
        <v>1</v>
      </c>
      <c r="AH2988">
        <v>0</v>
      </c>
      <c r="AI2988" t="s">
        <v>1484</v>
      </c>
      <c r="AJ2988">
        <v>32.980099000000003</v>
      </c>
      <c r="AK2988" t="s">
        <v>935</v>
      </c>
      <c r="AL2988">
        <v>-97.667985000000002</v>
      </c>
      <c r="AM2988">
        <v>25</v>
      </c>
      <c r="AN2988">
        <v>1000</v>
      </c>
      <c r="AO2988" t="s">
        <v>118</v>
      </c>
      <c r="AP2988">
        <v>2</v>
      </c>
      <c r="AQ2988">
        <v>-81</v>
      </c>
      <c r="AR2988">
        <v>64</v>
      </c>
      <c r="AZ2988">
        <v>7700</v>
      </c>
      <c r="BA2988">
        <v>1</v>
      </c>
      <c r="BB2988" t="str">
        <f t="shared" si="887"/>
        <v xml:space="preserve">N733KP  </v>
      </c>
      <c r="BC2988">
        <v>1</v>
      </c>
      <c r="BE2988">
        <v>0</v>
      </c>
      <c r="BF2988">
        <v>0</v>
      </c>
      <c r="BG2988">
        <v>1</v>
      </c>
      <c r="BH2988">
        <v>900</v>
      </c>
      <c r="BI2988">
        <v>1</v>
      </c>
      <c r="BJ2988">
        <v>1</v>
      </c>
      <c r="BK2988">
        <v>0</v>
      </c>
      <c r="BL2988">
        <v>0</v>
      </c>
      <c r="BO2988">
        <v>0</v>
      </c>
      <c r="BP2988">
        <v>0</v>
      </c>
      <c r="BW2988" t="str">
        <f>"22:22:43.441"</f>
        <v>22:22:43.441</v>
      </c>
      <c r="CJ2988">
        <v>0</v>
      </c>
      <c r="CK2988">
        <v>2</v>
      </c>
      <c r="CL2988">
        <v>0</v>
      </c>
      <c r="CM2988">
        <v>2</v>
      </c>
      <c r="CN2988">
        <v>0</v>
      </c>
      <c r="CO2988">
        <v>6</v>
      </c>
      <c r="CP2988" t="s">
        <v>119</v>
      </c>
      <c r="CQ2988">
        <v>364</v>
      </c>
      <c r="CR2988">
        <v>0</v>
      </c>
      <c r="CW2988">
        <v>1482501</v>
      </c>
      <c r="CY2988">
        <v>1</v>
      </c>
      <c r="CZ2988">
        <v>0</v>
      </c>
      <c r="DA2988">
        <v>1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3">
      <c r="A2989" t="str">
        <f>"03/24/2022 22:22:43.641"</f>
        <v>03/24/2022 22:22:43.641</v>
      </c>
      <c r="C2989" t="str">
        <f t="shared" si="886"/>
        <v>FFDFD3C0</v>
      </c>
      <c r="D2989" t="s">
        <v>126</v>
      </c>
      <c r="E2989">
        <v>3</v>
      </c>
      <c r="H2989">
        <v>160</v>
      </c>
      <c r="I2989" t="s">
        <v>121</v>
      </c>
      <c r="J2989" t="s">
        <v>127</v>
      </c>
      <c r="K2989">
        <v>0</v>
      </c>
      <c r="L2989">
        <v>3</v>
      </c>
      <c r="M2989">
        <v>0</v>
      </c>
      <c r="N2989">
        <v>2</v>
      </c>
      <c r="O2989">
        <v>0</v>
      </c>
      <c r="P2989">
        <v>1</v>
      </c>
      <c r="Q2989">
        <v>0</v>
      </c>
      <c r="S2989" t="str">
        <f t="shared" si="893"/>
        <v>22:22:43.000</v>
      </c>
      <c r="T2989" t="str">
        <f t="shared" si="893"/>
        <v>22:22:43.000</v>
      </c>
      <c r="U2989" t="str">
        <f t="shared" si="880"/>
        <v>A9D71F</v>
      </c>
      <c r="V2989">
        <v>0</v>
      </c>
      <c r="W2989">
        <v>0</v>
      </c>
      <c r="X2989">
        <v>2</v>
      </c>
      <c r="Z2989">
        <v>1</v>
      </c>
      <c r="AA2989">
        <v>8</v>
      </c>
      <c r="AB2989">
        <v>3</v>
      </c>
      <c r="AC2989">
        <v>0</v>
      </c>
      <c r="AD2989">
        <v>9</v>
      </c>
      <c r="AE2989">
        <v>0</v>
      </c>
      <c r="AF2989">
        <v>3</v>
      </c>
      <c r="AG2989">
        <v>1</v>
      </c>
      <c r="AH2989">
        <v>0</v>
      </c>
      <c r="AI2989" t="s">
        <v>1484</v>
      </c>
      <c r="AJ2989">
        <v>32.980099000000003</v>
      </c>
      <c r="AK2989" t="s">
        <v>935</v>
      </c>
      <c r="AL2989">
        <v>-97.667985000000002</v>
      </c>
      <c r="AM2989">
        <v>25</v>
      </c>
      <c r="AN2989">
        <v>1000</v>
      </c>
      <c r="AO2989" t="s">
        <v>118</v>
      </c>
      <c r="AP2989">
        <v>2</v>
      </c>
      <c r="AQ2989">
        <v>-81</v>
      </c>
      <c r="AR2989">
        <v>64</v>
      </c>
      <c r="AZ2989">
        <v>7700</v>
      </c>
      <c r="BA2989">
        <v>1</v>
      </c>
      <c r="BB2989" t="str">
        <f t="shared" si="887"/>
        <v xml:space="preserve">N733KP  </v>
      </c>
      <c r="BC2989">
        <v>1</v>
      </c>
      <c r="BE2989">
        <v>0</v>
      </c>
      <c r="BF2989">
        <v>0</v>
      </c>
      <c r="BG2989">
        <v>1</v>
      </c>
      <c r="BH2989">
        <v>900</v>
      </c>
      <c r="BI2989">
        <v>1</v>
      </c>
      <c r="BJ2989">
        <v>1</v>
      </c>
      <c r="BK2989">
        <v>0</v>
      </c>
      <c r="BL2989">
        <v>0</v>
      </c>
      <c r="BO2989">
        <v>0</v>
      </c>
      <c r="BP2989">
        <v>0</v>
      </c>
      <c r="BW2989" t="str">
        <f>"22:22:43.441"</f>
        <v>22:22:43.441</v>
      </c>
      <c r="CJ2989">
        <v>0</v>
      </c>
      <c r="CK2989">
        <v>2</v>
      </c>
      <c r="CL2989">
        <v>0</v>
      </c>
      <c r="CM2989">
        <v>2</v>
      </c>
      <c r="CN2989">
        <v>0</v>
      </c>
      <c r="CO2989">
        <v>6</v>
      </c>
      <c r="CP2989" t="s">
        <v>119</v>
      </c>
      <c r="CQ2989">
        <v>364</v>
      </c>
      <c r="CR2989">
        <v>0</v>
      </c>
      <c r="CW2989">
        <v>1482501</v>
      </c>
      <c r="CY2989">
        <v>1</v>
      </c>
      <c r="CZ2989">
        <v>0</v>
      </c>
      <c r="DA2989">
        <v>1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3">
      <c r="A2990" t="str">
        <f>"03/24/2022 22:22:43.641"</f>
        <v>03/24/2022 22:22:43.641</v>
      </c>
      <c r="C2990" t="str">
        <f t="shared" si="886"/>
        <v>FFDFD3C0</v>
      </c>
      <c r="D2990" t="s">
        <v>123</v>
      </c>
      <c r="E2990">
        <v>8</v>
      </c>
      <c r="H2990">
        <v>31</v>
      </c>
      <c r="I2990" t="s">
        <v>124</v>
      </c>
      <c r="J2990" t="s">
        <v>125</v>
      </c>
      <c r="K2990">
        <v>0</v>
      </c>
      <c r="L2990">
        <v>3</v>
      </c>
      <c r="M2990">
        <v>0</v>
      </c>
      <c r="N2990">
        <v>2</v>
      </c>
      <c r="O2990">
        <v>0</v>
      </c>
      <c r="P2990">
        <v>1</v>
      </c>
      <c r="Q2990">
        <v>0</v>
      </c>
      <c r="S2990" t="str">
        <f t="shared" si="893"/>
        <v>22:22:43.000</v>
      </c>
      <c r="T2990" t="str">
        <f t="shared" si="893"/>
        <v>22:22:43.000</v>
      </c>
      <c r="U2990" t="str">
        <f t="shared" si="880"/>
        <v>A9D71F</v>
      </c>
      <c r="V2990">
        <v>0</v>
      </c>
      <c r="W2990">
        <v>0</v>
      </c>
      <c r="X2990">
        <v>2</v>
      </c>
      <c r="Z2990">
        <v>1</v>
      </c>
      <c r="AA2990">
        <v>8</v>
      </c>
      <c r="AB2990">
        <v>3</v>
      </c>
      <c r="AC2990">
        <v>0</v>
      </c>
      <c r="AD2990">
        <v>9</v>
      </c>
      <c r="AE2990">
        <v>0</v>
      </c>
      <c r="AF2990">
        <v>3</v>
      </c>
      <c r="AG2990">
        <v>1</v>
      </c>
      <c r="AH2990">
        <v>0</v>
      </c>
      <c r="AI2990" t="s">
        <v>1484</v>
      </c>
      <c r="AJ2990">
        <v>32.980099000000003</v>
      </c>
      <c r="AK2990" t="s">
        <v>935</v>
      </c>
      <c r="AL2990">
        <v>-97.667985000000002</v>
      </c>
      <c r="AM2990">
        <v>25</v>
      </c>
      <c r="AN2990">
        <v>1000</v>
      </c>
      <c r="AO2990" t="s">
        <v>118</v>
      </c>
      <c r="AP2990">
        <v>2</v>
      </c>
      <c r="AQ2990">
        <v>-81</v>
      </c>
      <c r="AR2990">
        <v>64</v>
      </c>
      <c r="AZ2990">
        <v>7700</v>
      </c>
      <c r="BA2990">
        <v>1</v>
      </c>
      <c r="BB2990" t="str">
        <f t="shared" si="887"/>
        <v xml:space="preserve">N733KP  </v>
      </c>
      <c r="BC2990">
        <v>1</v>
      </c>
      <c r="BE2990">
        <v>0</v>
      </c>
      <c r="BF2990">
        <v>0</v>
      </c>
      <c r="BG2990">
        <v>1</v>
      </c>
      <c r="BH2990">
        <v>900</v>
      </c>
      <c r="BI2990">
        <v>1</v>
      </c>
      <c r="BJ2990">
        <v>1</v>
      </c>
      <c r="BK2990">
        <v>0</v>
      </c>
      <c r="BL2990">
        <v>0</v>
      </c>
      <c r="BO2990">
        <v>0</v>
      </c>
      <c r="BP2990">
        <v>0</v>
      </c>
      <c r="BW2990" t="str">
        <f>"22:22:43.441"</f>
        <v>22:22:43.441</v>
      </c>
      <c r="CJ2990">
        <v>0</v>
      </c>
      <c r="CK2990">
        <v>2</v>
      </c>
      <c r="CL2990">
        <v>0</v>
      </c>
      <c r="CM2990">
        <v>2</v>
      </c>
      <c r="CN2990">
        <v>0</v>
      </c>
      <c r="CO2990">
        <v>6</v>
      </c>
      <c r="CP2990" t="s">
        <v>119</v>
      </c>
      <c r="CQ2990">
        <v>364</v>
      </c>
      <c r="CR2990">
        <v>0</v>
      </c>
      <c r="CW2990">
        <v>1482501</v>
      </c>
      <c r="CY2990">
        <v>1</v>
      </c>
      <c r="CZ2990">
        <v>0</v>
      </c>
      <c r="DA2990">
        <v>1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3">
      <c r="A2991" t="str">
        <f>"03/24/2022 22:22:44.642"</f>
        <v>03/24/2022 22:22:44.642</v>
      </c>
      <c r="C2991" t="str">
        <f t="shared" si="886"/>
        <v>FFDFD3C0</v>
      </c>
      <c r="D2991" t="s">
        <v>126</v>
      </c>
      <c r="E2991">
        <v>3</v>
      </c>
      <c r="H2991">
        <v>160</v>
      </c>
      <c r="I2991" t="s">
        <v>121</v>
      </c>
      <c r="J2991" t="s">
        <v>127</v>
      </c>
      <c r="K2991">
        <v>0</v>
      </c>
      <c r="L2991">
        <v>3</v>
      </c>
      <c r="M2991">
        <v>0</v>
      </c>
      <c r="N2991">
        <v>2</v>
      </c>
      <c r="O2991">
        <v>0</v>
      </c>
      <c r="P2991">
        <v>1</v>
      </c>
      <c r="Q2991">
        <v>0</v>
      </c>
      <c r="S2991" t="str">
        <f t="shared" ref="S2991:T2994" si="894">"22:22:44.000"</f>
        <v>22:22:44.000</v>
      </c>
      <c r="T2991" t="str">
        <f t="shared" si="894"/>
        <v>22:22:44.000</v>
      </c>
      <c r="U2991" t="str">
        <f t="shared" si="880"/>
        <v>A9D71F</v>
      </c>
      <c r="V2991">
        <v>0</v>
      </c>
      <c r="W2991">
        <v>0</v>
      </c>
      <c r="X2991">
        <v>2</v>
      </c>
      <c r="Z2991">
        <v>1</v>
      </c>
      <c r="AA2991">
        <v>8</v>
      </c>
      <c r="AB2991">
        <v>3</v>
      </c>
      <c r="AC2991">
        <v>0</v>
      </c>
      <c r="AD2991">
        <v>9</v>
      </c>
      <c r="AE2991">
        <v>0</v>
      </c>
      <c r="AF2991">
        <v>3</v>
      </c>
      <c r="AG2991">
        <v>1</v>
      </c>
      <c r="AH2991">
        <v>0</v>
      </c>
      <c r="AI2991" t="s">
        <v>1485</v>
      </c>
      <c r="AJ2991">
        <v>32.979734000000001</v>
      </c>
      <c r="AK2991" t="s">
        <v>1486</v>
      </c>
      <c r="AL2991">
        <v>-97.667963999999998</v>
      </c>
      <c r="AM2991">
        <v>25</v>
      </c>
      <c r="AN2991">
        <v>1000</v>
      </c>
      <c r="AO2991" t="s">
        <v>118</v>
      </c>
      <c r="AP2991">
        <v>3</v>
      </c>
      <c r="AQ2991">
        <v>-83</v>
      </c>
      <c r="AR2991">
        <v>256</v>
      </c>
      <c r="AZ2991">
        <v>7700</v>
      </c>
      <c r="BA2991">
        <v>1</v>
      </c>
      <c r="BB2991" t="str">
        <f t="shared" si="887"/>
        <v xml:space="preserve">N733KP  </v>
      </c>
      <c r="BC2991">
        <v>1</v>
      </c>
      <c r="BE2991">
        <v>0</v>
      </c>
      <c r="BF2991">
        <v>0</v>
      </c>
      <c r="BG2991">
        <v>1</v>
      </c>
      <c r="BH2991">
        <v>900</v>
      </c>
      <c r="BI2991">
        <v>1</v>
      </c>
      <c r="BJ2991">
        <v>1</v>
      </c>
      <c r="BK2991">
        <v>0</v>
      </c>
      <c r="BL2991">
        <v>0</v>
      </c>
      <c r="BO2991">
        <v>0</v>
      </c>
      <c r="BP2991">
        <v>0</v>
      </c>
      <c r="BW2991" t="str">
        <f>"22:22:44.483"</f>
        <v>22:22:44.483</v>
      </c>
      <c r="CJ2991">
        <v>0</v>
      </c>
      <c r="CK2991">
        <v>2</v>
      </c>
      <c r="CL2991">
        <v>0</v>
      </c>
      <c r="CM2991">
        <v>2</v>
      </c>
      <c r="CN2991">
        <v>0</v>
      </c>
      <c r="CO2991">
        <v>6</v>
      </c>
      <c r="CP2991" t="s">
        <v>119</v>
      </c>
      <c r="CQ2991">
        <v>364</v>
      </c>
      <c r="CR2991">
        <v>0</v>
      </c>
      <c r="CW2991">
        <v>1482611</v>
      </c>
      <c r="CY2991">
        <v>1</v>
      </c>
      <c r="CZ2991">
        <v>0</v>
      </c>
      <c r="DA2991">
        <v>0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3">
      <c r="A2992" t="str">
        <f>"03/24/2022 22:22:44.642"</f>
        <v>03/24/2022 22:22:44.642</v>
      </c>
      <c r="C2992" t="str">
        <f t="shared" si="886"/>
        <v>FFDFD3C0</v>
      </c>
      <c r="D2992" t="s">
        <v>120</v>
      </c>
      <c r="E2992">
        <v>14</v>
      </c>
      <c r="F2992">
        <v>1014</v>
      </c>
      <c r="G2992" t="s">
        <v>121</v>
      </c>
      <c r="J2992" t="s">
        <v>122</v>
      </c>
      <c r="K2992">
        <v>0</v>
      </c>
      <c r="L2992">
        <v>3</v>
      </c>
      <c r="M2992">
        <v>0</v>
      </c>
      <c r="N2992">
        <v>2</v>
      </c>
      <c r="O2992">
        <v>0</v>
      </c>
      <c r="P2992">
        <v>1</v>
      </c>
      <c r="Q2992">
        <v>0</v>
      </c>
      <c r="S2992" t="str">
        <f t="shared" si="894"/>
        <v>22:22:44.000</v>
      </c>
      <c r="T2992" t="str">
        <f t="shared" si="894"/>
        <v>22:22:44.000</v>
      </c>
      <c r="U2992" t="str">
        <f t="shared" si="880"/>
        <v>A9D71F</v>
      </c>
      <c r="V2992">
        <v>0</v>
      </c>
      <c r="W2992">
        <v>0</v>
      </c>
      <c r="X2992">
        <v>2</v>
      </c>
      <c r="Z2992">
        <v>1</v>
      </c>
      <c r="AA2992">
        <v>8</v>
      </c>
      <c r="AB2992">
        <v>3</v>
      </c>
      <c r="AC2992">
        <v>0</v>
      </c>
      <c r="AD2992">
        <v>9</v>
      </c>
      <c r="AE2992">
        <v>0</v>
      </c>
      <c r="AF2992">
        <v>3</v>
      </c>
      <c r="AG2992">
        <v>1</v>
      </c>
      <c r="AH2992">
        <v>0</v>
      </c>
      <c r="AI2992" t="s">
        <v>1485</v>
      </c>
      <c r="AJ2992">
        <v>32.979734000000001</v>
      </c>
      <c r="AK2992" t="s">
        <v>1486</v>
      </c>
      <c r="AL2992">
        <v>-97.667963999999998</v>
      </c>
      <c r="AM2992">
        <v>25</v>
      </c>
      <c r="AN2992">
        <v>1000</v>
      </c>
      <c r="AO2992" t="s">
        <v>118</v>
      </c>
      <c r="AP2992">
        <v>3</v>
      </c>
      <c r="AQ2992">
        <v>-83</v>
      </c>
      <c r="AR2992">
        <v>256</v>
      </c>
      <c r="AZ2992">
        <v>7700</v>
      </c>
      <c r="BA2992">
        <v>1</v>
      </c>
      <c r="BB2992" t="str">
        <f t="shared" si="887"/>
        <v xml:space="preserve">N733KP  </v>
      </c>
      <c r="BC2992">
        <v>1</v>
      </c>
      <c r="BE2992">
        <v>0</v>
      </c>
      <c r="BF2992">
        <v>0</v>
      </c>
      <c r="BG2992">
        <v>1</v>
      </c>
      <c r="BH2992">
        <v>900</v>
      </c>
      <c r="BI2992">
        <v>1</v>
      </c>
      <c r="BJ2992">
        <v>1</v>
      </c>
      <c r="BK2992">
        <v>0</v>
      </c>
      <c r="BL2992">
        <v>0</v>
      </c>
      <c r="BO2992">
        <v>0</v>
      </c>
      <c r="BP2992">
        <v>0</v>
      </c>
      <c r="BW2992" t="str">
        <f>"22:22:44.483"</f>
        <v>22:22:44.483</v>
      </c>
      <c r="CJ2992">
        <v>0</v>
      </c>
      <c r="CK2992">
        <v>2</v>
      </c>
      <c r="CL2992">
        <v>0</v>
      </c>
      <c r="CM2992">
        <v>2</v>
      </c>
      <c r="CN2992">
        <v>0</v>
      </c>
      <c r="CO2992">
        <v>6</v>
      </c>
      <c r="CP2992" t="s">
        <v>119</v>
      </c>
      <c r="CQ2992">
        <v>364</v>
      </c>
      <c r="CR2992">
        <v>0</v>
      </c>
      <c r="CW2992">
        <v>1482611</v>
      </c>
      <c r="CY2992">
        <v>1</v>
      </c>
      <c r="CZ2992">
        <v>0</v>
      </c>
      <c r="DA2992">
        <v>1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3">
      <c r="A2993" t="str">
        <f>"03/24/2022 22:22:44.674"</f>
        <v>03/24/2022 22:22:44.674</v>
      </c>
      <c r="C2993" t="str">
        <f t="shared" si="886"/>
        <v>FFDFD3C0</v>
      </c>
      <c r="D2993" t="s">
        <v>123</v>
      </c>
      <c r="E2993">
        <v>8</v>
      </c>
      <c r="H2993">
        <v>31</v>
      </c>
      <c r="I2993" t="s">
        <v>124</v>
      </c>
      <c r="J2993" t="s">
        <v>125</v>
      </c>
      <c r="K2993">
        <v>0</v>
      </c>
      <c r="L2993">
        <v>3</v>
      </c>
      <c r="M2993">
        <v>0</v>
      </c>
      <c r="N2993">
        <v>2</v>
      </c>
      <c r="O2993">
        <v>0</v>
      </c>
      <c r="P2993">
        <v>1</v>
      </c>
      <c r="Q2993">
        <v>0</v>
      </c>
      <c r="S2993" t="str">
        <f t="shared" si="894"/>
        <v>22:22:44.000</v>
      </c>
      <c r="T2993" t="str">
        <f t="shared" si="894"/>
        <v>22:22:44.000</v>
      </c>
      <c r="U2993" t="str">
        <f t="shared" si="880"/>
        <v>A9D71F</v>
      </c>
      <c r="V2993">
        <v>0</v>
      </c>
      <c r="W2993">
        <v>0</v>
      </c>
      <c r="X2993">
        <v>2</v>
      </c>
      <c r="Z2993">
        <v>1</v>
      </c>
      <c r="AA2993">
        <v>8</v>
      </c>
      <c r="AB2993">
        <v>3</v>
      </c>
      <c r="AC2993">
        <v>0</v>
      </c>
      <c r="AD2993">
        <v>9</v>
      </c>
      <c r="AE2993">
        <v>0</v>
      </c>
      <c r="AF2993">
        <v>3</v>
      </c>
      <c r="AG2993">
        <v>1</v>
      </c>
      <c r="AH2993">
        <v>0</v>
      </c>
      <c r="AI2993" t="s">
        <v>1485</v>
      </c>
      <c r="AJ2993">
        <v>32.979734000000001</v>
      </c>
      <c r="AK2993" t="s">
        <v>1486</v>
      </c>
      <c r="AL2993">
        <v>-97.667963999999998</v>
      </c>
      <c r="AM2993">
        <v>25</v>
      </c>
      <c r="AN2993">
        <v>1000</v>
      </c>
      <c r="AO2993" t="s">
        <v>118</v>
      </c>
      <c r="AP2993">
        <v>3</v>
      </c>
      <c r="AQ2993">
        <v>-83</v>
      </c>
      <c r="AR2993">
        <v>256</v>
      </c>
      <c r="AZ2993">
        <v>7700</v>
      </c>
      <c r="BA2993">
        <v>1</v>
      </c>
      <c r="BB2993" t="str">
        <f t="shared" si="887"/>
        <v xml:space="preserve">N733KP  </v>
      </c>
      <c r="BC2993">
        <v>1</v>
      </c>
      <c r="BE2993">
        <v>0</v>
      </c>
      <c r="BF2993">
        <v>0</v>
      </c>
      <c r="BG2993">
        <v>1</v>
      </c>
      <c r="BH2993">
        <v>900</v>
      </c>
      <c r="BI2993">
        <v>1</v>
      </c>
      <c r="BJ2993">
        <v>1</v>
      </c>
      <c r="BK2993">
        <v>0</v>
      </c>
      <c r="BL2993">
        <v>0</v>
      </c>
      <c r="BO2993">
        <v>0</v>
      </c>
      <c r="BP2993">
        <v>0</v>
      </c>
      <c r="BW2993" t="str">
        <f>"22:22:44.483"</f>
        <v>22:22:44.483</v>
      </c>
      <c r="CJ2993">
        <v>0</v>
      </c>
      <c r="CK2993">
        <v>2</v>
      </c>
      <c r="CL2993">
        <v>0</v>
      </c>
      <c r="CM2993">
        <v>2</v>
      </c>
      <c r="CN2993">
        <v>0</v>
      </c>
      <c r="CO2993">
        <v>6</v>
      </c>
      <c r="CP2993" t="s">
        <v>119</v>
      </c>
      <c r="CQ2993">
        <v>364</v>
      </c>
      <c r="CR2993">
        <v>0</v>
      </c>
      <c r="CW2993">
        <v>1482611</v>
      </c>
      <c r="CY2993">
        <v>1</v>
      </c>
      <c r="CZ2993">
        <v>0</v>
      </c>
      <c r="DA2993">
        <v>1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3">
      <c r="A2994" t="str">
        <f>"03/24/2022 22:22:44.689"</f>
        <v>03/24/2022 22:22:44.689</v>
      </c>
      <c r="C2994" t="str">
        <f t="shared" si="886"/>
        <v>FFDFD3C0</v>
      </c>
      <c r="D2994" t="s">
        <v>113</v>
      </c>
      <c r="E2994">
        <v>24</v>
      </c>
      <c r="F2994">
        <v>2024</v>
      </c>
      <c r="G2994" t="s">
        <v>114</v>
      </c>
      <c r="J2994" t="s">
        <v>115</v>
      </c>
      <c r="K2994">
        <v>0</v>
      </c>
      <c r="L2994">
        <v>3</v>
      </c>
      <c r="M2994">
        <v>0</v>
      </c>
      <c r="N2994">
        <v>2</v>
      </c>
      <c r="O2994">
        <v>0</v>
      </c>
      <c r="P2994">
        <v>1</v>
      </c>
      <c r="Q2994">
        <v>0</v>
      </c>
      <c r="S2994" t="str">
        <f t="shared" si="894"/>
        <v>22:22:44.000</v>
      </c>
      <c r="T2994" t="str">
        <f t="shared" si="894"/>
        <v>22:22:44.000</v>
      </c>
      <c r="U2994" t="str">
        <f t="shared" si="880"/>
        <v>A9D71F</v>
      </c>
      <c r="V2994">
        <v>0</v>
      </c>
      <c r="W2994">
        <v>0</v>
      </c>
      <c r="X2994">
        <v>2</v>
      </c>
      <c r="Z2994">
        <v>1</v>
      </c>
      <c r="AA2994">
        <v>8</v>
      </c>
      <c r="AB2994">
        <v>3</v>
      </c>
      <c r="AC2994">
        <v>0</v>
      </c>
      <c r="AD2994">
        <v>9</v>
      </c>
      <c r="AE2994">
        <v>0</v>
      </c>
      <c r="AF2994">
        <v>3</v>
      </c>
      <c r="AG2994">
        <v>1</v>
      </c>
      <c r="AH2994">
        <v>0</v>
      </c>
      <c r="AI2994" t="s">
        <v>1485</v>
      </c>
      <c r="AJ2994">
        <v>32.979734000000001</v>
      </c>
      <c r="AK2994" t="s">
        <v>1486</v>
      </c>
      <c r="AL2994">
        <v>-97.667963999999998</v>
      </c>
      <c r="AM2994">
        <v>25</v>
      </c>
      <c r="AN2994">
        <v>1000</v>
      </c>
      <c r="AO2994" t="s">
        <v>118</v>
      </c>
      <c r="AP2994">
        <v>3</v>
      </c>
      <c r="AQ2994">
        <v>-83</v>
      </c>
      <c r="AR2994">
        <v>256</v>
      </c>
      <c r="AZ2994">
        <v>7700</v>
      </c>
      <c r="BA2994">
        <v>1</v>
      </c>
      <c r="BB2994" t="str">
        <f t="shared" si="887"/>
        <v xml:space="preserve">N733KP  </v>
      </c>
      <c r="BC2994">
        <v>1</v>
      </c>
      <c r="BE2994">
        <v>0</v>
      </c>
      <c r="BF2994">
        <v>0</v>
      </c>
      <c r="BG2994">
        <v>1</v>
      </c>
      <c r="BH2994">
        <v>900</v>
      </c>
      <c r="BI2994">
        <v>1</v>
      </c>
      <c r="BJ2994">
        <v>1</v>
      </c>
      <c r="BK2994">
        <v>0</v>
      </c>
      <c r="BL2994">
        <v>0</v>
      </c>
      <c r="BO2994">
        <v>0</v>
      </c>
      <c r="BP2994">
        <v>0</v>
      </c>
      <c r="BW2994" t="str">
        <f>"22:22:44.483"</f>
        <v>22:22:44.483</v>
      </c>
      <c r="CJ2994">
        <v>0</v>
      </c>
      <c r="CK2994">
        <v>2</v>
      </c>
      <c r="CL2994">
        <v>0</v>
      </c>
      <c r="CM2994">
        <v>2</v>
      </c>
      <c r="CN2994">
        <v>0</v>
      </c>
      <c r="CO2994">
        <v>6</v>
      </c>
      <c r="CP2994" t="s">
        <v>119</v>
      </c>
      <c r="CQ2994">
        <v>364</v>
      </c>
      <c r="CR2994">
        <v>0</v>
      </c>
      <c r="CW2994">
        <v>1482611</v>
      </c>
      <c r="CY2994">
        <v>1</v>
      </c>
      <c r="CZ2994">
        <v>0</v>
      </c>
      <c r="DA2994">
        <v>1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3">
      <c r="A2995" t="str">
        <f>"03/24/2022 22:22:46.066"</f>
        <v>03/24/2022 22:22:46.066</v>
      </c>
      <c r="C2995" t="str">
        <f t="shared" si="886"/>
        <v>FFDFD3C0</v>
      </c>
      <c r="D2995" t="s">
        <v>123</v>
      </c>
      <c r="E2995">
        <v>8</v>
      </c>
      <c r="H2995">
        <v>31</v>
      </c>
      <c r="I2995" t="s">
        <v>124</v>
      </c>
      <c r="J2995" t="s">
        <v>125</v>
      </c>
      <c r="K2995">
        <v>0</v>
      </c>
      <c r="L2995">
        <v>3</v>
      </c>
      <c r="M2995">
        <v>0</v>
      </c>
      <c r="N2995">
        <v>2</v>
      </c>
      <c r="O2995">
        <v>0</v>
      </c>
      <c r="P2995">
        <v>1</v>
      </c>
      <c r="Q2995">
        <v>0</v>
      </c>
      <c r="S2995" t="str">
        <f t="shared" ref="S2995:T2998" si="895">"22:22:45.000"</f>
        <v>22:22:45.000</v>
      </c>
      <c r="T2995" t="str">
        <f t="shared" si="895"/>
        <v>22:22:45.000</v>
      </c>
      <c r="U2995" t="str">
        <f t="shared" si="880"/>
        <v>A9D71F</v>
      </c>
      <c r="V2995">
        <v>0</v>
      </c>
      <c r="W2995">
        <v>0</v>
      </c>
      <c r="X2995">
        <v>2</v>
      </c>
      <c r="Z2995">
        <v>1</v>
      </c>
      <c r="AA2995">
        <v>8</v>
      </c>
      <c r="AB2995">
        <v>3</v>
      </c>
      <c r="AC2995">
        <v>0</v>
      </c>
      <c r="AD2995">
        <v>9</v>
      </c>
      <c r="AE2995">
        <v>0</v>
      </c>
      <c r="AF2995">
        <v>3</v>
      </c>
      <c r="AG2995">
        <v>1</v>
      </c>
      <c r="AH2995">
        <v>0</v>
      </c>
      <c r="AI2995" t="s">
        <v>1487</v>
      </c>
      <c r="AJ2995">
        <v>32.979304999999997</v>
      </c>
      <c r="AK2995" t="s">
        <v>1470</v>
      </c>
      <c r="AL2995">
        <v>-97.667899000000006</v>
      </c>
      <c r="AM2995">
        <v>25</v>
      </c>
      <c r="AN2995">
        <v>1000</v>
      </c>
      <c r="AO2995" t="s">
        <v>118</v>
      </c>
      <c r="AP2995">
        <v>3</v>
      </c>
      <c r="AQ2995">
        <v>-84</v>
      </c>
      <c r="AR2995">
        <v>384</v>
      </c>
      <c r="AZ2995">
        <v>7700</v>
      </c>
      <c r="BA2995">
        <v>1</v>
      </c>
      <c r="BB2995" t="str">
        <f t="shared" si="887"/>
        <v xml:space="preserve">N733KP  </v>
      </c>
      <c r="BC2995">
        <v>1</v>
      </c>
      <c r="BE2995">
        <v>0</v>
      </c>
      <c r="BF2995">
        <v>0</v>
      </c>
      <c r="BG2995">
        <v>1</v>
      </c>
      <c r="BH2995">
        <v>900</v>
      </c>
      <c r="BI2995">
        <v>1</v>
      </c>
      <c r="BJ2995">
        <v>1</v>
      </c>
      <c r="BK2995">
        <v>0</v>
      </c>
      <c r="BL2995">
        <v>0</v>
      </c>
      <c r="BO2995">
        <v>0</v>
      </c>
      <c r="BP2995">
        <v>0</v>
      </c>
      <c r="BW2995" t="str">
        <f>"22:22:45.857"</f>
        <v>22:22:45.857</v>
      </c>
      <c r="CJ2995">
        <v>0</v>
      </c>
      <c r="CK2995">
        <v>2</v>
      </c>
      <c r="CL2995">
        <v>0</v>
      </c>
      <c r="CM2995">
        <v>2</v>
      </c>
      <c r="CN2995">
        <v>0</v>
      </c>
      <c r="CO2995">
        <v>6</v>
      </c>
      <c r="CP2995" t="s">
        <v>119</v>
      </c>
      <c r="CQ2995">
        <v>364</v>
      </c>
      <c r="CR2995">
        <v>0</v>
      </c>
      <c r="CW2995">
        <v>1482816</v>
      </c>
      <c r="CY2995">
        <v>1</v>
      </c>
      <c r="CZ2995">
        <v>0</v>
      </c>
      <c r="DA2995">
        <v>0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3">
      <c r="A2996" t="str">
        <f>"03/24/2022 22:22:46.066"</f>
        <v>03/24/2022 22:22:46.066</v>
      </c>
      <c r="C2996" t="str">
        <f t="shared" si="886"/>
        <v>FFDFD3C0</v>
      </c>
      <c r="D2996" t="s">
        <v>113</v>
      </c>
      <c r="E2996">
        <v>24</v>
      </c>
      <c r="F2996">
        <v>2024</v>
      </c>
      <c r="G2996" t="s">
        <v>114</v>
      </c>
      <c r="J2996" t="s">
        <v>115</v>
      </c>
      <c r="K2996">
        <v>0</v>
      </c>
      <c r="L2996">
        <v>3</v>
      </c>
      <c r="M2996">
        <v>0</v>
      </c>
      <c r="N2996">
        <v>2</v>
      </c>
      <c r="O2996">
        <v>0</v>
      </c>
      <c r="P2996">
        <v>1</v>
      </c>
      <c r="Q2996">
        <v>0</v>
      </c>
      <c r="S2996" t="str">
        <f t="shared" si="895"/>
        <v>22:22:45.000</v>
      </c>
      <c r="T2996" t="str">
        <f t="shared" si="895"/>
        <v>22:22:45.000</v>
      </c>
      <c r="U2996" t="str">
        <f t="shared" si="880"/>
        <v>A9D71F</v>
      </c>
      <c r="V2996">
        <v>0</v>
      </c>
      <c r="W2996">
        <v>0</v>
      </c>
      <c r="X2996">
        <v>2</v>
      </c>
      <c r="Z2996">
        <v>1</v>
      </c>
      <c r="AA2996">
        <v>8</v>
      </c>
      <c r="AB2996">
        <v>3</v>
      </c>
      <c r="AC2996">
        <v>0</v>
      </c>
      <c r="AD2996">
        <v>9</v>
      </c>
      <c r="AE2996">
        <v>0</v>
      </c>
      <c r="AF2996">
        <v>3</v>
      </c>
      <c r="AG2996">
        <v>1</v>
      </c>
      <c r="AH2996">
        <v>0</v>
      </c>
      <c r="AI2996" t="s">
        <v>1487</v>
      </c>
      <c r="AJ2996">
        <v>32.979304999999997</v>
      </c>
      <c r="AK2996" t="s">
        <v>1470</v>
      </c>
      <c r="AL2996">
        <v>-97.667899000000006</v>
      </c>
      <c r="AM2996">
        <v>25</v>
      </c>
      <c r="AN2996">
        <v>1000</v>
      </c>
      <c r="AO2996" t="s">
        <v>118</v>
      </c>
      <c r="AP2996">
        <v>3</v>
      </c>
      <c r="AQ2996">
        <v>-84</v>
      </c>
      <c r="AR2996">
        <v>384</v>
      </c>
      <c r="AZ2996">
        <v>7700</v>
      </c>
      <c r="BA2996">
        <v>1</v>
      </c>
      <c r="BB2996" t="str">
        <f t="shared" si="887"/>
        <v xml:space="preserve">N733KP  </v>
      </c>
      <c r="BC2996">
        <v>1</v>
      </c>
      <c r="BE2996">
        <v>0</v>
      </c>
      <c r="BF2996">
        <v>0</v>
      </c>
      <c r="BG2996">
        <v>1</v>
      </c>
      <c r="BH2996">
        <v>900</v>
      </c>
      <c r="BI2996">
        <v>1</v>
      </c>
      <c r="BJ2996">
        <v>1</v>
      </c>
      <c r="BK2996">
        <v>0</v>
      </c>
      <c r="BL2996">
        <v>0</v>
      </c>
      <c r="BO2996">
        <v>0</v>
      </c>
      <c r="BP2996">
        <v>0</v>
      </c>
      <c r="BW2996" t="str">
        <f>"22:22:45.857"</f>
        <v>22:22:45.857</v>
      </c>
      <c r="CJ2996">
        <v>0</v>
      </c>
      <c r="CK2996">
        <v>2</v>
      </c>
      <c r="CL2996">
        <v>0</v>
      </c>
      <c r="CM2996">
        <v>2</v>
      </c>
      <c r="CN2996">
        <v>0</v>
      </c>
      <c r="CO2996">
        <v>6</v>
      </c>
      <c r="CP2996" t="s">
        <v>119</v>
      </c>
      <c r="CQ2996">
        <v>364</v>
      </c>
      <c r="CR2996">
        <v>0</v>
      </c>
      <c r="CW2996">
        <v>1482816</v>
      </c>
      <c r="CY2996">
        <v>1</v>
      </c>
      <c r="CZ2996">
        <v>0</v>
      </c>
      <c r="DA2996">
        <v>1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3">
      <c r="A2997" t="str">
        <f>"03/24/2022 22:22:46.082"</f>
        <v>03/24/2022 22:22:46.082</v>
      </c>
      <c r="C2997" t="str">
        <f t="shared" si="886"/>
        <v>FFDFD3C0</v>
      </c>
      <c r="D2997" t="s">
        <v>126</v>
      </c>
      <c r="E2997">
        <v>3</v>
      </c>
      <c r="H2997">
        <v>160</v>
      </c>
      <c r="I2997" t="s">
        <v>121</v>
      </c>
      <c r="J2997" t="s">
        <v>127</v>
      </c>
      <c r="K2997">
        <v>0</v>
      </c>
      <c r="L2997">
        <v>3</v>
      </c>
      <c r="M2997">
        <v>0</v>
      </c>
      <c r="N2997">
        <v>2</v>
      </c>
      <c r="O2997">
        <v>0</v>
      </c>
      <c r="P2997">
        <v>1</v>
      </c>
      <c r="Q2997">
        <v>0</v>
      </c>
      <c r="S2997" t="str">
        <f t="shared" si="895"/>
        <v>22:22:45.000</v>
      </c>
      <c r="T2997" t="str">
        <f t="shared" si="895"/>
        <v>22:22:45.000</v>
      </c>
      <c r="U2997" t="str">
        <f t="shared" si="880"/>
        <v>A9D71F</v>
      </c>
      <c r="V2997">
        <v>0</v>
      </c>
      <c r="W2997">
        <v>0</v>
      </c>
      <c r="X2997">
        <v>2</v>
      </c>
      <c r="Z2997">
        <v>1</v>
      </c>
      <c r="AA2997">
        <v>8</v>
      </c>
      <c r="AB2997">
        <v>3</v>
      </c>
      <c r="AC2997">
        <v>0</v>
      </c>
      <c r="AD2997">
        <v>9</v>
      </c>
      <c r="AE2997">
        <v>0</v>
      </c>
      <c r="AF2997">
        <v>3</v>
      </c>
      <c r="AG2997">
        <v>1</v>
      </c>
      <c r="AH2997">
        <v>0</v>
      </c>
      <c r="AI2997" t="s">
        <v>1487</v>
      </c>
      <c r="AJ2997">
        <v>32.979304999999997</v>
      </c>
      <c r="AK2997" t="s">
        <v>1470</v>
      </c>
      <c r="AL2997">
        <v>-97.667899000000006</v>
      </c>
      <c r="AM2997">
        <v>25</v>
      </c>
      <c r="AN2997">
        <v>1000</v>
      </c>
      <c r="AO2997" t="s">
        <v>118</v>
      </c>
      <c r="AP2997">
        <v>3</v>
      </c>
      <c r="AQ2997">
        <v>-84</v>
      </c>
      <c r="AR2997">
        <v>384</v>
      </c>
      <c r="AZ2997">
        <v>7700</v>
      </c>
      <c r="BA2997">
        <v>1</v>
      </c>
      <c r="BB2997" t="str">
        <f t="shared" si="887"/>
        <v xml:space="preserve">N733KP  </v>
      </c>
      <c r="BC2997">
        <v>1</v>
      </c>
      <c r="BE2997">
        <v>0</v>
      </c>
      <c r="BF2997">
        <v>0</v>
      </c>
      <c r="BG2997">
        <v>1</v>
      </c>
      <c r="BH2997">
        <v>900</v>
      </c>
      <c r="BI2997">
        <v>1</v>
      </c>
      <c r="BJ2997">
        <v>1</v>
      </c>
      <c r="BK2997">
        <v>0</v>
      </c>
      <c r="BL2997">
        <v>0</v>
      </c>
      <c r="BO2997">
        <v>0</v>
      </c>
      <c r="BP2997">
        <v>0</v>
      </c>
      <c r="BW2997" t="str">
        <f>"22:22:45.857"</f>
        <v>22:22:45.857</v>
      </c>
      <c r="CJ2997">
        <v>0</v>
      </c>
      <c r="CK2997">
        <v>2</v>
      </c>
      <c r="CL2997">
        <v>0</v>
      </c>
      <c r="CM2997">
        <v>2</v>
      </c>
      <c r="CN2997">
        <v>0</v>
      </c>
      <c r="CO2997">
        <v>6</v>
      </c>
      <c r="CP2997" t="s">
        <v>119</v>
      </c>
      <c r="CQ2997">
        <v>364</v>
      </c>
      <c r="CR2997">
        <v>0</v>
      </c>
      <c r="CW2997">
        <v>1482816</v>
      </c>
      <c r="CY2997">
        <v>1</v>
      </c>
      <c r="CZ2997">
        <v>0</v>
      </c>
      <c r="DA2997">
        <v>1</v>
      </c>
      <c r="DB2997">
        <v>0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3">
      <c r="A2998" t="str">
        <f>"03/24/2022 22:22:46.082"</f>
        <v>03/24/2022 22:22:46.082</v>
      </c>
      <c r="C2998" t="str">
        <f t="shared" si="886"/>
        <v>FFDFD3C0</v>
      </c>
      <c r="D2998" t="s">
        <v>120</v>
      </c>
      <c r="E2998">
        <v>14</v>
      </c>
      <c r="F2998">
        <v>1014</v>
      </c>
      <c r="G2998" t="s">
        <v>121</v>
      </c>
      <c r="J2998" t="s">
        <v>122</v>
      </c>
      <c r="K2998">
        <v>0</v>
      </c>
      <c r="L2998">
        <v>3</v>
      </c>
      <c r="M2998">
        <v>0</v>
      </c>
      <c r="N2998">
        <v>2</v>
      </c>
      <c r="O2998">
        <v>0</v>
      </c>
      <c r="P2998">
        <v>1</v>
      </c>
      <c r="Q2998">
        <v>0</v>
      </c>
      <c r="S2998" t="str">
        <f t="shared" si="895"/>
        <v>22:22:45.000</v>
      </c>
      <c r="T2998" t="str">
        <f t="shared" si="895"/>
        <v>22:22:45.000</v>
      </c>
      <c r="U2998" t="str">
        <f t="shared" si="880"/>
        <v>A9D71F</v>
      </c>
      <c r="V2998">
        <v>0</v>
      </c>
      <c r="W2998">
        <v>0</v>
      </c>
      <c r="X2998">
        <v>2</v>
      </c>
      <c r="Z2998">
        <v>1</v>
      </c>
      <c r="AA2998">
        <v>8</v>
      </c>
      <c r="AB2998">
        <v>3</v>
      </c>
      <c r="AC2998">
        <v>0</v>
      </c>
      <c r="AD2998">
        <v>9</v>
      </c>
      <c r="AE2998">
        <v>0</v>
      </c>
      <c r="AF2998">
        <v>3</v>
      </c>
      <c r="AG2998">
        <v>1</v>
      </c>
      <c r="AH2998">
        <v>0</v>
      </c>
      <c r="AI2998" t="s">
        <v>1487</v>
      </c>
      <c r="AJ2998">
        <v>32.979304999999997</v>
      </c>
      <c r="AK2998" t="s">
        <v>1470</v>
      </c>
      <c r="AL2998">
        <v>-97.667899000000006</v>
      </c>
      <c r="AM2998">
        <v>25</v>
      </c>
      <c r="AN2998">
        <v>1000</v>
      </c>
      <c r="AO2998" t="s">
        <v>118</v>
      </c>
      <c r="AP2998">
        <v>3</v>
      </c>
      <c r="AQ2998">
        <v>-84</v>
      </c>
      <c r="AR2998">
        <v>384</v>
      </c>
      <c r="AZ2998">
        <v>7700</v>
      </c>
      <c r="BA2998">
        <v>1</v>
      </c>
      <c r="BB2998" t="str">
        <f t="shared" si="887"/>
        <v xml:space="preserve">N733KP  </v>
      </c>
      <c r="BC2998">
        <v>1</v>
      </c>
      <c r="BE2998">
        <v>0</v>
      </c>
      <c r="BF2998">
        <v>0</v>
      </c>
      <c r="BG2998">
        <v>1</v>
      </c>
      <c r="BH2998">
        <v>900</v>
      </c>
      <c r="BI2998">
        <v>1</v>
      </c>
      <c r="BJ2998">
        <v>1</v>
      </c>
      <c r="BK2998">
        <v>0</v>
      </c>
      <c r="BL2998">
        <v>0</v>
      </c>
      <c r="BO2998">
        <v>0</v>
      </c>
      <c r="BP2998">
        <v>0</v>
      </c>
      <c r="BW2998" t="str">
        <f>"22:22:45.857"</f>
        <v>22:22:45.857</v>
      </c>
      <c r="CJ2998">
        <v>0</v>
      </c>
      <c r="CK2998">
        <v>2</v>
      </c>
      <c r="CL2998">
        <v>0</v>
      </c>
      <c r="CM2998">
        <v>2</v>
      </c>
      <c r="CN2998">
        <v>0</v>
      </c>
      <c r="CO2998">
        <v>6</v>
      </c>
      <c r="CP2998" t="s">
        <v>119</v>
      </c>
      <c r="CQ2998">
        <v>364</v>
      </c>
      <c r="CR2998">
        <v>0</v>
      </c>
      <c r="CW2998">
        <v>1482816</v>
      </c>
      <c r="CY2998">
        <v>1</v>
      </c>
      <c r="CZ2998">
        <v>0</v>
      </c>
      <c r="DA2998">
        <v>1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3">
      <c r="A2999" t="str">
        <f>"03/24/2022 22:22:46.473"</f>
        <v>03/24/2022 22:22:46.473</v>
      </c>
      <c r="C2999" t="str">
        <f t="shared" si="886"/>
        <v>FFDFD3C0</v>
      </c>
      <c r="D2999" t="s">
        <v>123</v>
      </c>
      <c r="E2999">
        <v>8</v>
      </c>
      <c r="H2999">
        <v>31</v>
      </c>
      <c r="I2999" t="s">
        <v>124</v>
      </c>
      <c r="J2999" t="s">
        <v>125</v>
      </c>
      <c r="K2999">
        <v>0</v>
      </c>
      <c r="L2999">
        <v>3</v>
      </c>
      <c r="M2999">
        <v>0</v>
      </c>
      <c r="N2999">
        <v>2</v>
      </c>
      <c r="O2999">
        <v>0</v>
      </c>
      <c r="P2999">
        <v>1</v>
      </c>
      <c r="Q2999">
        <v>0</v>
      </c>
      <c r="S2999" t="str">
        <f t="shared" ref="S2999:T3002" si="896">"22:22:46.000"</f>
        <v>22:22:46.000</v>
      </c>
      <c r="T2999" t="str">
        <f t="shared" si="896"/>
        <v>22:22:46.000</v>
      </c>
      <c r="U2999" t="str">
        <f t="shared" si="880"/>
        <v>A9D71F</v>
      </c>
      <c r="V2999">
        <v>0</v>
      </c>
      <c r="W2999">
        <v>0</v>
      </c>
      <c r="X2999">
        <v>2</v>
      </c>
      <c r="Z2999">
        <v>1</v>
      </c>
      <c r="AA2999">
        <v>8</v>
      </c>
      <c r="AB2999">
        <v>3</v>
      </c>
      <c r="AC2999">
        <v>0</v>
      </c>
      <c r="AD2999">
        <v>9</v>
      </c>
      <c r="AE2999">
        <v>0</v>
      </c>
      <c r="AF2999">
        <v>3</v>
      </c>
      <c r="AG2999">
        <v>1</v>
      </c>
      <c r="AH2999">
        <v>0</v>
      </c>
      <c r="AI2999" t="s">
        <v>1488</v>
      </c>
      <c r="AJ2999">
        <v>32.978960999999998</v>
      </c>
      <c r="AK2999" t="s">
        <v>1470</v>
      </c>
      <c r="AL2999">
        <v>-97.667899000000006</v>
      </c>
      <c r="AM2999">
        <v>25</v>
      </c>
      <c r="AN2999">
        <v>1000</v>
      </c>
      <c r="AO2999" t="s">
        <v>118</v>
      </c>
      <c r="AP2999">
        <v>4</v>
      </c>
      <c r="AQ2999">
        <v>-86</v>
      </c>
      <c r="AR2999">
        <v>384</v>
      </c>
      <c r="AZ2999">
        <v>7700</v>
      </c>
      <c r="BA2999">
        <v>1</v>
      </c>
      <c r="BB2999" t="str">
        <f t="shared" si="887"/>
        <v xml:space="preserve">N733KP  </v>
      </c>
      <c r="BC2999">
        <v>1</v>
      </c>
      <c r="BE2999">
        <v>0</v>
      </c>
      <c r="BF2999">
        <v>0</v>
      </c>
      <c r="BG2999">
        <v>1</v>
      </c>
      <c r="BH2999">
        <v>900</v>
      </c>
      <c r="BI2999">
        <v>1</v>
      </c>
      <c r="BJ2999">
        <v>1</v>
      </c>
      <c r="BK2999">
        <v>0</v>
      </c>
      <c r="BL2999">
        <v>0</v>
      </c>
      <c r="BO2999">
        <v>0</v>
      </c>
      <c r="BP2999">
        <v>0</v>
      </c>
      <c r="BW2999" t="str">
        <f>"22:22:46.290"</f>
        <v>22:22:46.290</v>
      </c>
      <c r="CJ2999">
        <v>0</v>
      </c>
      <c r="CK2999">
        <v>2</v>
      </c>
      <c r="CL2999">
        <v>0</v>
      </c>
      <c r="CM2999">
        <v>2</v>
      </c>
      <c r="CN2999">
        <v>0</v>
      </c>
      <c r="CO2999">
        <v>5</v>
      </c>
      <c r="CP2999" t="s">
        <v>119</v>
      </c>
      <c r="CQ2999">
        <v>364</v>
      </c>
      <c r="CR2999">
        <v>0</v>
      </c>
      <c r="CW2999">
        <v>1482862</v>
      </c>
      <c r="CY2999">
        <v>1</v>
      </c>
      <c r="CZ2999">
        <v>0</v>
      </c>
      <c r="DA2999">
        <v>0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3">
      <c r="A3000" t="str">
        <f>"03/24/2022 22:22:46.488"</f>
        <v>03/24/2022 22:22:46.488</v>
      </c>
      <c r="C3000" t="str">
        <f t="shared" si="886"/>
        <v>FFDFD3C0</v>
      </c>
      <c r="D3000" t="s">
        <v>113</v>
      </c>
      <c r="E3000">
        <v>24</v>
      </c>
      <c r="F3000">
        <v>2024</v>
      </c>
      <c r="G3000" t="s">
        <v>114</v>
      </c>
      <c r="J3000" t="s">
        <v>115</v>
      </c>
      <c r="K3000">
        <v>0</v>
      </c>
      <c r="L3000">
        <v>3</v>
      </c>
      <c r="M3000">
        <v>0</v>
      </c>
      <c r="N3000">
        <v>2</v>
      </c>
      <c r="O3000">
        <v>0</v>
      </c>
      <c r="P3000">
        <v>1</v>
      </c>
      <c r="Q3000">
        <v>0</v>
      </c>
      <c r="S3000" t="str">
        <f t="shared" si="896"/>
        <v>22:22:46.000</v>
      </c>
      <c r="T3000" t="str">
        <f t="shared" si="896"/>
        <v>22:22:46.000</v>
      </c>
      <c r="U3000" t="str">
        <f t="shared" si="880"/>
        <v>A9D71F</v>
      </c>
      <c r="V3000">
        <v>0</v>
      </c>
      <c r="W3000">
        <v>0</v>
      </c>
      <c r="X3000">
        <v>2</v>
      </c>
      <c r="Z3000">
        <v>1</v>
      </c>
      <c r="AA3000">
        <v>8</v>
      </c>
      <c r="AB3000">
        <v>3</v>
      </c>
      <c r="AC3000">
        <v>0</v>
      </c>
      <c r="AD3000">
        <v>9</v>
      </c>
      <c r="AE3000">
        <v>0</v>
      </c>
      <c r="AF3000">
        <v>3</v>
      </c>
      <c r="AG3000">
        <v>1</v>
      </c>
      <c r="AH3000">
        <v>0</v>
      </c>
      <c r="AI3000" t="s">
        <v>1488</v>
      </c>
      <c r="AJ3000">
        <v>32.978960999999998</v>
      </c>
      <c r="AK3000" t="s">
        <v>1470</v>
      </c>
      <c r="AL3000">
        <v>-97.667899000000006</v>
      </c>
      <c r="AM3000">
        <v>25</v>
      </c>
      <c r="AN3000">
        <v>1000</v>
      </c>
      <c r="AO3000" t="s">
        <v>118</v>
      </c>
      <c r="AP3000">
        <v>4</v>
      </c>
      <c r="AQ3000">
        <v>-86</v>
      </c>
      <c r="AR3000">
        <v>384</v>
      </c>
      <c r="AZ3000">
        <v>7700</v>
      </c>
      <c r="BA3000">
        <v>1</v>
      </c>
      <c r="BB3000" t="str">
        <f t="shared" si="887"/>
        <v xml:space="preserve">N733KP  </v>
      </c>
      <c r="BC3000">
        <v>1</v>
      </c>
      <c r="BE3000">
        <v>0</v>
      </c>
      <c r="BF3000">
        <v>0</v>
      </c>
      <c r="BG3000">
        <v>1</v>
      </c>
      <c r="BH3000">
        <v>900</v>
      </c>
      <c r="BI3000">
        <v>1</v>
      </c>
      <c r="BJ3000">
        <v>1</v>
      </c>
      <c r="BK3000">
        <v>0</v>
      </c>
      <c r="BL3000">
        <v>0</v>
      </c>
      <c r="BO3000">
        <v>0</v>
      </c>
      <c r="BP3000">
        <v>0</v>
      </c>
      <c r="BW3000" t="str">
        <f>"22:22:46.290"</f>
        <v>22:22:46.290</v>
      </c>
      <c r="CJ3000">
        <v>0</v>
      </c>
      <c r="CK3000">
        <v>2</v>
      </c>
      <c r="CL3000">
        <v>0</v>
      </c>
      <c r="CM3000">
        <v>2</v>
      </c>
      <c r="CN3000">
        <v>0</v>
      </c>
      <c r="CO3000">
        <v>5</v>
      </c>
      <c r="CP3000" t="s">
        <v>119</v>
      </c>
      <c r="CQ3000">
        <v>364</v>
      </c>
      <c r="CR3000">
        <v>0</v>
      </c>
      <c r="CW3000">
        <v>1482862</v>
      </c>
      <c r="CY3000">
        <v>1</v>
      </c>
      <c r="CZ3000">
        <v>0</v>
      </c>
      <c r="DA3000">
        <v>1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3">
      <c r="A3001" t="str">
        <f>"03/24/2022 22:22:46.488"</f>
        <v>03/24/2022 22:22:46.488</v>
      </c>
      <c r="C3001" t="str">
        <f t="shared" si="886"/>
        <v>FFDFD3C0</v>
      </c>
      <c r="D3001" t="s">
        <v>126</v>
      </c>
      <c r="E3001">
        <v>3</v>
      </c>
      <c r="H3001">
        <v>160</v>
      </c>
      <c r="I3001" t="s">
        <v>121</v>
      </c>
      <c r="J3001" t="s">
        <v>127</v>
      </c>
      <c r="K3001">
        <v>0</v>
      </c>
      <c r="L3001">
        <v>3</v>
      </c>
      <c r="M3001">
        <v>0</v>
      </c>
      <c r="N3001">
        <v>2</v>
      </c>
      <c r="O3001">
        <v>0</v>
      </c>
      <c r="P3001">
        <v>1</v>
      </c>
      <c r="Q3001">
        <v>0</v>
      </c>
      <c r="S3001" t="str">
        <f t="shared" si="896"/>
        <v>22:22:46.000</v>
      </c>
      <c r="T3001" t="str">
        <f t="shared" si="896"/>
        <v>22:22:46.000</v>
      </c>
      <c r="U3001" t="str">
        <f t="shared" si="880"/>
        <v>A9D71F</v>
      </c>
      <c r="V3001">
        <v>0</v>
      </c>
      <c r="W3001">
        <v>0</v>
      </c>
      <c r="X3001">
        <v>2</v>
      </c>
      <c r="Z3001">
        <v>1</v>
      </c>
      <c r="AA3001">
        <v>8</v>
      </c>
      <c r="AB3001">
        <v>3</v>
      </c>
      <c r="AC3001">
        <v>0</v>
      </c>
      <c r="AD3001">
        <v>9</v>
      </c>
      <c r="AE3001">
        <v>0</v>
      </c>
      <c r="AF3001">
        <v>3</v>
      </c>
      <c r="AG3001">
        <v>1</v>
      </c>
      <c r="AH3001">
        <v>0</v>
      </c>
      <c r="AI3001" t="s">
        <v>1488</v>
      </c>
      <c r="AJ3001">
        <v>32.978960999999998</v>
      </c>
      <c r="AK3001" t="s">
        <v>1470</v>
      </c>
      <c r="AL3001">
        <v>-97.667899000000006</v>
      </c>
      <c r="AM3001">
        <v>25</v>
      </c>
      <c r="AN3001">
        <v>1000</v>
      </c>
      <c r="AO3001" t="s">
        <v>118</v>
      </c>
      <c r="AP3001">
        <v>4</v>
      </c>
      <c r="AQ3001">
        <v>-86</v>
      </c>
      <c r="AR3001">
        <v>384</v>
      </c>
      <c r="AZ3001">
        <v>7700</v>
      </c>
      <c r="BA3001">
        <v>1</v>
      </c>
      <c r="BB3001" t="str">
        <f t="shared" si="887"/>
        <v xml:space="preserve">N733KP  </v>
      </c>
      <c r="BC3001">
        <v>1</v>
      </c>
      <c r="BE3001">
        <v>0</v>
      </c>
      <c r="BF3001">
        <v>0</v>
      </c>
      <c r="BG3001">
        <v>1</v>
      </c>
      <c r="BH3001">
        <v>900</v>
      </c>
      <c r="BI3001">
        <v>1</v>
      </c>
      <c r="BJ3001">
        <v>1</v>
      </c>
      <c r="BK3001">
        <v>0</v>
      </c>
      <c r="BL3001">
        <v>0</v>
      </c>
      <c r="BO3001">
        <v>0</v>
      </c>
      <c r="BP3001">
        <v>0</v>
      </c>
      <c r="BW3001" t="str">
        <f>"22:22:46.290"</f>
        <v>22:22:46.290</v>
      </c>
      <c r="CJ3001">
        <v>0</v>
      </c>
      <c r="CK3001">
        <v>2</v>
      </c>
      <c r="CL3001">
        <v>0</v>
      </c>
      <c r="CM3001">
        <v>2</v>
      </c>
      <c r="CN3001">
        <v>0</v>
      </c>
      <c r="CO3001">
        <v>5</v>
      </c>
      <c r="CP3001" t="s">
        <v>119</v>
      </c>
      <c r="CQ3001">
        <v>364</v>
      </c>
      <c r="CR3001">
        <v>0</v>
      </c>
      <c r="CW3001">
        <v>1482862</v>
      </c>
      <c r="CY3001">
        <v>1</v>
      </c>
      <c r="CZ3001">
        <v>0</v>
      </c>
      <c r="DA3001">
        <v>1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3">
      <c r="A3002" t="str">
        <f>"03/24/2022 22:22:46.488"</f>
        <v>03/24/2022 22:22:46.488</v>
      </c>
      <c r="C3002" t="str">
        <f t="shared" si="886"/>
        <v>FFDFD3C0</v>
      </c>
      <c r="D3002" t="s">
        <v>120</v>
      </c>
      <c r="E3002">
        <v>14</v>
      </c>
      <c r="F3002">
        <v>1014</v>
      </c>
      <c r="G3002" t="s">
        <v>121</v>
      </c>
      <c r="J3002" t="s">
        <v>122</v>
      </c>
      <c r="K3002">
        <v>0</v>
      </c>
      <c r="L3002">
        <v>3</v>
      </c>
      <c r="M3002">
        <v>0</v>
      </c>
      <c r="N3002">
        <v>2</v>
      </c>
      <c r="O3002">
        <v>0</v>
      </c>
      <c r="P3002">
        <v>1</v>
      </c>
      <c r="Q3002">
        <v>0</v>
      </c>
      <c r="S3002" t="str">
        <f t="shared" si="896"/>
        <v>22:22:46.000</v>
      </c>
      <c r="T3002" t="str">
        <f t="shared" si="896"/>
        <v>22:22:46.000</v>
      </c>
      <c r="U3002" t="str">
        <f t="shared" si="880"/>
        <v>A9D71F</v>
      </c>
      <c r="V3002">
        <v>0</v>
      </c>
      <c r="W3002">
        <v>0</v>
      </c>
      <c r="X3002">
        <v>2</v>
      </c>
      <c r="Z3002">
        <v>1</v>
      </c>
      <c r="AA3002">
        <v>8</v>
      </c>
      <c r="AB3002">
        <v>3</v>
      </c>
      <c r="AC3002">
        <v>0</v>
      </c>
      <c r="AD3002">
        <v>9</v>
      </c>
      <c r="AE3002">
        <v>0</v>
      </c>
      <c r="AF3002">
        <v>3</v>
      </c>
      <c r="AG3002">
        <v>1</v>
      </c>
      <c r="AH3002">
        <v>0</v>
      </c>
      <c r="AI3002" t="s">
        <v>1488</v>
      </c>
      <c r="AJ3002">
        <v>32.978960999999998</v>
      </c>
      <c r="AK3002" t="s">
        <v>1470</v>
      </c>
      <c r="AL3002">
        <v>-97.667899000000006</v>
      </c>
      <c r="AM3002">
        <v>25</v>
      </c>
      <c r="AN3002">
        <v>1000</v>
      </c>
      <c r="AO3002" t="s">
        <v>118</v>
      </c>
      <c r="AP3002">
        <v>4</v>
      </c>
      <c r="AQ3002">
        <v>-86</v>
      </c>
      <c r="AR3002">
        <v>384</v>
      </c>
      <c r="AZ3002">
        <v>7700</v>
      </c>
      <c r="BA3002">
        <v>1</v>
      </c>
      <c r="BB3002" t="str">
        <f t="shared" si="887"/>
        <v xml:space="preserve">N733KP  </v>
      </c>
      <c r="BC3002">
        <v>1</v>
      </c>
      <c r="BE3002">
        <v>0</v>
      </c>
      <c r="BF3002">
        <v>0</v>
      </c>
      <c r="BG3002">
        <v>1</v>
      </c>
      <c r="BH3002">
        <v>900</v>
      </c>
      <c r="BI3002">
        <v>1</v>
      </c>
      <c r="BJ3002">
        <v>1</v>
      </c>
      <c r="BK3002">
        <v>0</v>
      </c>
      <c r="BL3002">
        <v>0</v>
      </c>
      <c r="BO3002">
        <v>0</v>
      </c>
      <c r="BP3002">
        <v>0</v>
      </c>
      <c r="BW3002" t="str">
        <f>"22:22:46.290"</f>
        <v>22:22:46.290</v>
      </c>
      <c r="CJ3002">
        <v>0</v>
      </c>
      <c r="CK3002">
        <v>2</v>
      </c>
      <c r="CL3002">
        <v>0</v>
      </c>
      <c r="CM3002">
        <v>2</v>
      </c>
      <c r="CN3002">
        <v>0</v>
      </c>
      <c r="CO3002">
        <v>5</v>
      </c>
      <c r="CP3002" t="s">
        <v>119</v>
      </c>
      <c r="CQ3002">
        <v>364</v>
      </c>
      <c r="CR3002">
        <v>0</v>
      </c>
      <c r="CW3002">
        <v>1482862</v>
      </c>
      <c r="CY3002">
        <v>1</v>
      </c>
      <c r="CZ3002">
        <v>0</v>
      </c>
      <c r="DA3002">
        <v>1</v>
      </c>
      <c r="DB3002">
        <v>0</v>
      </c>
      <c r="DC3002">
        <v>0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3">
      <c r="A3003" t="str">
        <f>"03/24/2022 22:22:47.896"</f>
        <v>03/24/2022 22:22:47.896</v>
      </c>
      <c r="C3003" t="str">
        <f t="shared" si="886"/>
        <v>FFDFD3C0</v>
      </c>
      <c r="D3003" t="s">
        <v>120</v>
      </c>
      <c r="E3003">
        <v>14</v>
      </c>
      <c r="F3003">
        <v>1014</v>
      </c>
      <c r="G3003" t="s">
        <v>121</v>
      </c>
      <c r="J3003" t="s">
        <v>122</v>
      </c>
      <c r="K3003">
        <v>0</v>
      </c>
      <c r="L3003">
        <v>3</v>
      </c>
      <c r="M3003">
        <v>0</v>
      </c>
      <c r="N3003">
        <v>2</v>
      </c>
      <c r="O3003">
        <v>0</v>
      </c>
      <c r="P3003">
        <v>1</v>
      </c>
      <c r="Q3003">
        <v>0</v>
      </c>
      <c r="S3003" t="str">
        <f t="shared" ref="S3003:T3006" si="897">"22:22:47.000"</f>
        <v>22:22:47.000</v>
      </c>
      <c r="T3003" t="str">
        <f t="shared" si="897"/>
        <v>22:22:47.000</v>
      </c>
      <c r="U3003" t="str">
        <f t="shared" si="880"/>
        <v>A9D71F</v>
      </c>
      <c r="V3003">
        <v>0</v>
      </c>
      <c r="W3003">
        <v>0</v>
      </c>
      <c r="X3003">
        <v>2</v>
      </c>
      <c r="Z3003">
        <v>1</v>
      </c>
      <c r="AA3003">
        <v>8</v>
      </c>
      <c r="AB3003">
        <v>3</v>
      </c>
      <c r="AC3003">
        <v>0</v>
      </c>
      <c r="AD3003">
        <v>9</v>
      </c>
      <c r="AE3003">
        <v>0</v>
      </c>
      <c r="AF3003">
        <v>3</v>
      </c>
      <c r="AG3003">
        <v>1</v>
      </c>
      <c r="AH3003">
        <v>0</v>
      </c>
      <c r="AI3003" t="s">
        <v>1489</v>
      </c>
      <c r="AJ3003">
        <v>32.978510999999997</v>
      </c>
      <c r="AK3003" t="s">
        <v>1460</v>
      </c>
      <c r="AL3003">
        <v>-97.667834999999997</v>
      </c>
      <c r="AM3003">
        <v>25</v>
      </c>
      <c r="AN3003">
        <v>1000</v>
      </c>
      <c r="AO3003" t="s">
        <v>118</v>
      </c>
      <c r="AP3003">
        <v>4</v>
      </c>
      <c r="AQ3003">
        <v>-85</v>
      </c>
      <c r="AR3003">
        <v>256</v>
      </c>
      <c r="AZ3003">
        <v>7700</v>
      </c>
      <c r="BA3003">
        <v>1</v>
      </c>
      <c r="BB3003" t="str">
        <f t="shared" si="887"/>
        <v xml:space="preserve">N733KP  </v>
      </c>
      <c r="BC3003">
        <v>1</v>
      </c>
      <c r="BE3003">
        <v>0</v>
      </c>
      <c r="BF3003">
        <v>0</v>
      </c>
      <c r="BG3003">
        <v>1</v>
      </c>
      <c r="BH3003">
        <v>925</v>
      </c>
      <c r="BI3003">
        <v>1</v>
      </c>
      <c r="BJ3003">
        <v>1</v>
      </c>
      <c r="BK3003">
        <v>0</v>
      </c>
      <c r="BL3003">
        <v>0</v>
      </c>
      <c r="BO3003">
        <v>0</v>
      </c>
      <c r="BP3003">
        <v>0</v>
      </c>
      <c r="BW3003" t="str">
        <f>"22:22:47.665"</f>
        <v>22:22:47.665</v>
      </c>
      <c r="CJ3003">
        <v>0</v>
      </c>
      <c r="CK3003">
        <v>2</v>
      </c>
      <c r="CL3003">
        <v>0</v>
      </c>
      <c r="CM3003">
        <v>2</v>
      </c>
      <c r="CN3003">
        <v>0</v>
      </c>
      <c r="CO3003">
        <v>5</v>
      </c>
      <c r="CP3003" t="s">
        <v>119</v>
      </c>
      <c r="CQ3003">
        <v>364</v>
      </c>
      <c r="CR3003">
        <v>0</v>
      </c>
      <c r="CW3003">
        <v>1483029</v>
      </c>
      <c r="CY3003">
        <v>1</v>
      </c>
      <c r="CZ3003">
        <v>0</v>
      </c>
      <c r="DA3003">
        <v>0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3">
      <c r="A3004" t="str">
        <f>"03/24/2022 22:22:47.896"</f>
        <v>03/24/2022 22:22:47.896</v>
      </c>
      <c r="C3004" t="str">
        <f t="shared" si="886"/>
        <v>FFDFD3C0</v>
      </c>
      <c r="D3004" t="s">
        <v>126</v>
      </c>
      <c r="E3004">
        <v>3</v>
      </c>
      <c r="H3004">
        <v>160</v>
      </c>
      <c r="I3004" t="s">
        <v>121</v>
      </c>
      <c r="J3004" t="s">
        <v>127</v>
      </c>
      <c r="K3004">
        <v>0</v>
      </c>
      <c r="L3004">
        <v>3</v>
      </c>
      <c r="M3004">
        <v>0</v>
      </c>
      <c r="N3004">
        <v>2</v>
      </c>
      <c r="O3004">
        <v>0</v>
      </c>
      <c r="P3004">
        <v>1</v>
      </c>
      <c r="Q3004">
        <v>0</v>
      </c>
      <c r="S3004" t="str">
        <f t="shared" si="897"/>
        <v>22:22:47.000</v>
      </c>
      <c r="T3004" t="str">
        <f t="shared" si="897"/>
        <v>22:22:47.000</v>
      </c>
      <c r="U3004" t="str">
        <f t="shared" si="880"/>
        <v>A9D71F</v>
      </c>
      <c r="V3004">
        <v>0</v>
      </c>
      <c r="W3004">
        <v>0</v>
      </c>
      <c r="X3004">
        <v>2</v>
      </c>
      <c r="Z3004">
        <v>1</v>
      </c>
      <c r="AA3004">
        <v>8</v>
      </c>
      <c r="AB3004">
        <v>3</v>
      </c>
      <c r="AC3004">
        <v>0</v>
      </c>
      <c r="AD3004">
        <v>9</v>
      </c>
      <c r="AE3004">
        <v>0</v>
      </c>
      <c r="AF3004">
        <v>3</v>
      </c>
      <c r="AG3004">
        <v>1</v>
      </c>
      <c r="AH3004">
        <v>0</v>
      </c>
      <c r="AI3004" t="s">
        <v>1489</v>
      </c>
      <c r="AJ3004">
        <v>32.978510999999997</v>
      </c>
      <c r="AK3004" t="s">
        <v>1460</v>
      </c>
      <c r="AL3004">
        <v>-97.667834999999997</v>
      </c>
      <c r="AM3004">
        <v>25</v>
      </c>
      <c r="AN3004">
        <v>1000</v>
      </c>
      <c r="AO3004" t="s">
        <v>118</v>
      </c>
      <c r="AP3004">
        <v>4</v>
      </c>
      <c r="AQ3004">
        <v>-85</v>
      </c>
      <c r="AR3004">
        <v>256</v>
      </c>
      <c r="AZ3004">
        <v>7700</v>
      </c>
      <c r="BA3004">
        <v>1</v>
      </c>
      <c r="BB3004" t="str">
        <f t="shared" si="887"/>
        <v xml:space="preserve">N733KP  </v>
      </c>
      <c r="BC3004">
        <v>1</v>
      </c>
      <c r="BE3004">
        <v>0</v>
      </c>
      <c r="BF3004">
        <v>0</v>
      </c>
      <c r="BG3004">
        <v>1</v>
      </c>
      <c r="BH3004">
        <v>925</v>
      </c>
      <c r="BI3004">
        <v>1</v>
      </c>
      <c r="BJ3004">
        <v>1</v>
      </c>
      <c r="BK3004">
        <v>0</v>
      </c>
      <c r="BL3004">
        <v>0</v>
      </c>
      <c r="BO3004">
        <v>0</v>
      </c>
      <c r="BP3004">
        <v>0</v>
      </c>
      <c r="BW3004" t="str">
        <f>"22:22:47.665"</f>
        <v>22:22:47.665</v>
      </c>
      <c r="CJ3004">
        <v>0</v>
      </c>
      <c r="CK3004">
        <v>2</v>
      </c>
      <c r="CL3004">
        <v>0</v>
      </c>
      <c r="CM3004">
        <v>2</v>
      </c>
      <c r="CN3004">
        <v>0</v>
      </c>
      <c r="CO3004">
        <v>5</v>
      </c>
      <c r="CP3004" t="s">
        <v>119</v>
      </c>
      <c r="CQ3004">
        <v>364</v>
      </c>
      <c r="CR3004">
        <v>0</v>
      </c>
      <c r="CW3004">
        <v>1483029</v>
      </c>
      <c r="CY3004">
        <v>1</v>
      </c>
      <c r="CZ3004">
        <v>0</v>
      </c>
      <c r="DA3004">
        <v>1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3">
      <c r="A3005" t="str">
        <f>"03/24/2022 22:22:47.896"</f>
        <v>03/24/2022 22:22:47.896</v>
      </c>
      <c r="C3005" t="str">
        <f t="shared" si="886"/>
        <v>FFDFD3C0</v>
      </c>
      <c r="D3005" t="s">
        <v>123</v>
      </c>
      <c r="E3005">
        <v>8</v>
      </c>
      <c r="H3005">
        <v>31</v>
      </c>
      <c r="I3005" t="s">
        <v>124</v>
      </c>
      <c r="J3005" t="s">
        <v>125</v>
      </c>
      <c r="K3005">
        <v>0</v>
      </c>
      <c r="L3005">
        <v>3</v>
      </c>
      <c r="M3005">
        <v>0</v>
      </c>
      <c r="N3005">
        <v>2</v>
      </c>
      <c r="O3005">
        <v>0</v>
      </c>
      <c r="P3005">
        <v>1</v>
      </c>
      <c r="Q3005">
        <v>0</v>
      </c>
      <c r="S3005" t="str">
        <f t="shared" si="897"/>
        <v>22:22:47.000</v>
      </c>
      <c r="T3005" t="str">
        <f t="shared" si="897"/>
        <v>22:22:47.000</v>
      </c>
      <c r="U3005" t="str">
        <f t="shared" si="880"/>
        <v>A9D71F</v>
      </c>
      <c r="V3005">
        <v>0</v>
      </c>
      <c r="W3005">
        <v>0</v>
      </c>
      <c r="X3005">
        <v>2</v>
      </c>
      <c r="Z3005">
        <v>1</v>
      </c>
      <c r="AA3005">
        <v>8</v>
      </c>
      <c r="AB3005">
        <v>3</v>
      </c>
      <c r="AC3005">
        <v>0</v>
      </c>
      <c r="AD3005">
        <v>9</v>
      </c>
      <c r="AE3005">
        <v>0</v>
      </c>
      <c r="AF3005">
        <v>3</v>
      </c>
      <c r="AG3005">
        <v>1</v>
      </c>
      <c r="AH3005">
        <v>0</v>
      </c>
      <c r="AI3005" t="s">
        <v>1489</v>
      </c>
      <c r="AJ3005">
        <v>32.978510999999997</v>
      </c>
      <c r="AK3005" t="s">
        <v>1460</v>
      </c>
      <c r="AL3005">
        <v>-97.667834999999997</v>
      </c>
      <c r="AM3005">
        <v>25</v>
      </c>
      <c r="AN3005">
        <v>1000</v>
      </c>
      <c r="AO3005" t="s">
        <v>118</v>
      </c>
      <c r="AP3005">
        <v>4</v>
      </c>
      <c r="AQ3005">
        <v>-85</v>
      </c>
      <c r="AR3005">
        <v>256</v>
      </c>
      <c r="AZ3005">
        <v>7700</v>
      </c>
      <c r="BA3005">
        <v>1</v>
      </c>
      <c r="BB3005" t="str">
        <f t="shared" si="887"/>
        <v xml:space="preserve">N733KP  </v>
      </c>
      <c r="BC3005">
        <v>1</v>
      </c>
      <c r="BE3005">
        <v>0</v>
      </c>
      <c r="BF3005">
        <v>0</v>
      </c>
      <c r="BG3005">
        <v>1</v>
      </c>
      <c r="BH3005">
        <v>925</v>
      </c>
      <c r="BI3005">
        <v>1</v>
      </c>
      <c r="BJ3005">
        <v>1</v>
      </c>
      <c r="BK3005">
        <v>0</v>
      </c>
      <c r="BL3005">
        <v>0</v>
      </c>
      <c r="BO3005">
        <v>0</v>
      </c>
      <c r="BP3005">
        <v>0</v>
      </c>
      <c r="BW3005" t="str">
        <f>"22:22:47.665"</f>
        <v>22:22:47.665</v>
      </c>
      <c r="CJ3005">
        <v>0</v>
      </c>
      <c r="CK3005">
        <v>2</v>
      </c>
      <c r="CL3005">
        <v>0</v>
      </c>
      <c r="CM3005">
        <v>2</v>
      </c>
      <c r="CN3005">
        <v>0</v>
      </c>
      <c r="CO3005">
        <v>5</v>
      </c>
      <c r="CP3005" t="s">
        <v>119</v>
      </c>
      <c r="CQ3005">
        <v>364</v>
      </c>
      <c r="CR3005">
        <v>0</v>
      </c>
      <c r="CW3005">
        <v>1483029</v>
      </c>
      <c r="CY3005">
        <v>1</v>
      </c>
      <c r="CZ3005">
        <v>0</v>
      </c>
      <c r="DA3005">
        <v>1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3">
      <c r="A3006" t="str">
        <f>"03/24/2022 22:22:47.911"</f>
        <v>03/24/2022 22:22:47.911</v>
      </c>
      <c r="C3006" t="str">
        <f t="shared" si="886"/>
        <v>FFDFD3C0</v>
      </c>
      <c r="D3006" t="s">
        <v>113</v>
      </c>
      <c r="E3006">
        <v>24</v>
      </c>
      <c r="F3006">
        <v>2024</v>
      </c>
      <c r="G3006" t="s">
        <v>114</v>
      </c>
      <c r="J3006" t="s">
        <v>115</v>
      </c>
      <c r="K3006">
        <v>0</v>
      </c>
      <c r="L3006">
        <v>3</v>
      </c>
      <c r="M3006">
        <v>0</v>
      </c>
      <c r="N3006">
        <v>2</v>
      </c>
      <c r="O3006">
        <v>0</v>
      </c>
      <c r="P3006">
        <v>1</v>
      </c>
      <c r="Q3006">
        <v>0</v>
      </c>
      <c r="S3006" t="str">
        <f t="shared" si="897"/>
        <v>22:22:47.000</v>
      </c>
      <c r="T3006" t="str">
        <f t="shared" si="897"/>
        <v>22:22:47.000</v>
      </c>
      <c r="U3006" t="str">
        <f t="shared" si="880"/>
        <v>A9D71F</v>
      </c>
      <c r="V3006">
        <v>0</v>
      </c>
      <c r="W3006">
        <v>0</v>
      </c>
      <c r="X3006">
        <v>2</v>
      </c>
      <c r="Z3006">
        <v>1</v>
      </c>
      <c r="AA3006">
        <v>8</v>
      </c>
      <c r="AB3006">
        <v>3</v>
      </c>
      <c r="AC3006">
        <v>0</v>
      </c>
      <c r="AD3006">
        <v>9</v>
      </c>
      <c r="AE3006">
        <v>0</v>
      </c>
      <c r="AF3006">
        <v>3</v>
      </c>
      <c r="AG3006">
        <v>1</v>
      </c>
      <c r="AH3006">
        <v>0</v>
      </c>
      <c r="AI3006" t="s">
        <v>1489</v>
      </c>
      <c r="AJ3006">
        <v>32.978510999999997</v>
      </c>
      <c r="AK3006" t="s">
        <v>1460</v>
      </c>
      <c r="AL3006">
        <v>-97.667834999999997</v>
      </c>
      <c r="AM3006">
        <v>25</v>
      </c>
      <c r="AN3006">
        <v>1000</v>
      </c>
      <c r="AO3006" t="s">
        <v>118</v>
      </c>
      <c r="AP3006">
        <v>4</v>
      </c>
      <c r="AQ3006">
        <v>-85</v>
      </c>
      <c r="AR3006">
        <v>256</v>
      </c>
      <c r="AZ3006">
        <v>7700</v>
      </c>
      <c r="BA3006">
        <v>1</v>
      </c>
      <c r="BB3006" t="str">
        <f t="shared" si="887"/>
        <v xml:space="preserve">N733KP  </v>
      </c>
      <c r="BC3006">
        <v>1</v>
      </c>
      <c r="BE3006">
        <v>0</v>
      </c>
      <c r="BF3006">
        <v>0</v>
      </c>
      <c r="BG3006">
        <v>1</v>
      </c>
      <c r="BH3006">
        <v>925</v>
      </c>
      <c r="BI3006">
        <v>1</v>
      </c>
      <c r="BJ3006">
        <v>1</v>
      </c>
      <c r="BK3006">
        <v>0</v>
      </c>
      <c r="BL3006">
        <v>0</v>
      </c>
      <c r="BO3006">
        <v>0</v>
      </c>
      <c r="BP3006">
        <v>0</v>
      </c>
      <c r="BW3006" t="str">
        <f>"22:22:47.665"</f>
        <v>22:22:47.665</v>
      </c>
      <c r="CJ3006">
        <v>0</v>
      </c>
      <c r="CK3006">
        <v>2</v>
      </c>
      <c r="CL3006">
        <v>0</v>
      </c>
      <c r="CM3006">
        <v>2</v>
      </c>
      <c r="CN3006">
        <v>0</v>
      </c>
      <c r="CO3006">
        <v>5</v>
      </c>
      <c r="CP3006" t="s">
        <v>119</v>
      </c>
      <c r="CQ3006">
        <v>364</v>
      </c>
      <c r="CR3006">
        <v>0</v>
      </c>
      <c r="CW3006">
        <v>1483029</v>
      </c>
      <c r="CY3006">
        <v>1</v>
      </c>
      <c r="CZ3006">
        <v>0</v>
      </c>
      <c r="DA3006">
        <v>1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3">
      <c r="A3007" t="str">
        <f>"03/24/2022 22:22:48.929"</f>
        <v>03/24/2022 22:22:48.929</v>
      </c>
      <c r="C3007" t="str">
        <f t="shared" si="886"/>
        <v>FFDFD3C0</v>
      </c>
      <c r="D3007" t="s">
        <v>126</v>
      </c>
      <c r="E3007">
        <v>3</v>
      </c>
      <c r="H3007">
        <v>160</v>
      </c>
      <c r="I3007" t="s">
        <v>121</v>
      </c>
      <c r="J3007" t="s">
        <v>127</v>
      </c>
      <c r="K3007">
        <v>0</v>
      </c>
      <c r="L3007">
        <v>3</v>
      </c>
      <c r="M3007">
        <v>0</v>
      </c>
      <c r="N3007">
        <v>2</v>
      </c>
      <c r="O3007">
        <v>0</v>
      </c>
      <c r="P3007">
        <v>1</v>
      </c>
      <c r="Q3007">
        <v>0</v>
      </c>
      <c r="S3007" t="str">
        <f t="shared" ref="S3007:T3010" si="898">"22:22:48.000"</f>
        <v>22:22:48.000</v>
      </c>
      <c r="T3007" t="str">
        <f t="shared" si="898"/>
        <v>22:22:48.000</v>
      </c>
      <c r="U3007" t="str">
        <f t="shared" si="880"/>
        <v>A9D71F</v>
      </c>
      <c r="V3007">
        <v>0</v>
      </c>
      <c r="W3007">
        <v>0</v>
      </c>
      <c r="X3007">
        <v>2</v>
      </c>
      <c r="Z3007">
        <v>1</v>
      </c>
      <c r="AA3007">
        <v>8</v>
      </c>
      <c r="AB3007">
        <v>3</v>
      </c>
      <c r="AC3007">
        <v>0</v>
      </c>
      <c r="AD3007">
        <v>9</v>
      </c>
      <c r="AE3007">
        <v>0</v>
      </c>
      <c r="AF3007">
        <v>3</v>
      </c>
      <c r="AG3007">
        <v>1</v>
      </c>
      <c r="AH3007">
        <v>0</v>
      </c>
      <c r="AI3007" t="s">
        <v>1490</v>
      </c>
      <c r="AJ3007">
        <v>32.978124999999999</v>
      </c>
      <c r="AK3007" t="s">
        <v>1460</v>
      </c>
      <c r="AL3007">
        <v>-97.667834999999997</v>
      </c>
      <c r="AM3007">
        <v>25</v>
      </c>
      <c r="AN3007">
        <v>1000</v>
      </c>
      <c r="AO3007" t="s">
        <v>118</v>
      </c>
      <c r="AP3007">
        <v>6</v>
      </c>
      <c r="AQ3007">
        <v>-86</v>
      </c>
      <c r="AR3007">
        <v>192</v>
      </c>
      <c r="AZ3007">
        <v>7700</v>
      </c>
      <c r="BA3007">
        <v>1</v>
      </c>
      <c r="BB3007" t="str">
        <f t="shared" si="887"/>
        <v xml:space="preserve">N733KP  </v>
      </c>
      <c r="BC3007">
        <v>1</v>
      </c>
      <c r="BE3007">
        <v>0</v>
      </c>
      <c r="BF3007">
        <v>0</v>
      </c>
      <c r="BG3007">
        <v>1</v>
      </c>
      <c r="BH3007">
        <v>925</v>
      </c>
      <c r="BI3007">
        <v>1</v>
      </c>
      <c r="BJ3007">
        <v>1</v>
      </c>
      <c r="BK3007">
        <v>0</v>
      </c>
      <c r="BL3007">
        <v>0</v>
      </c>
      <c r="BO3007">
        <v>0</v>
      </c>
      <c r="BP3007">
        <v>0</v>
      </c>
      <c r="BW3007" t="str">
        <f>"22:22:48.688"</f>
        <v>22:22:48.688</v>
      </c>
      <c r="CJ3007">
        <v>0</v>
      </c>
      <c r="CK3007">
        <v>2</v>
      </c>
      <c r="CL3007">
        <v>0</v>
      </c>
      <c r="CM3007">
        <v>2</v>
      </c>
      <c r="CN3007">
        <v>0</v>
      </c>
      <c r="CO3007">
        <v>6</v>
      </c>
      <c r="CP3007" t="s">
        <v>119</v>
      </c>
      <c r="CQ3007">
        <v>364</v>
      </c>
      <c r="CR3007">
        <v>0</v>
      </c>
      <c r="CW3007">
        <v>1483151</v>
      </c>
      <c r="CY3007">
        <v>1</v>
      </c>
      <c r="CZ3007">
        <v>0</v>
      </c>
      <c r="DA3007">
        <v>0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3">
      <c r="A3008" t="str">
        <f>"03/24/2022 22:22:48.929"</f>
        <v>03/24/2022 22:22:48.929</v>
      </c>
      <c r="C3008" t="str">
        <f t="shared" si="886"/>
        <v>FFDFD3C0</v>
      </c>
      <c r="D3008" t="s">
        <v>120</v>
      </c>
      <c r="E3008">
        <v>14</v>
      </c>
      <c r="F3008">
        <v>1014</v>
      </c>
      <c r="G3008" t="s">
        <v>121</v>
      </c>
      <c r="J3008" t="s">
        <v>122</v>
      </c>
      <c r="K3008">
        <v>0</v>
      </c>
      <c r="L3008">
        <v>3</v>
      </c>
      <c r="M3008">
        <v>0</v>
      </c>
      <c r="N3008">
        <v>2</v>
      </c>
      <c r="O3008">
        <v>0</v>
      </c>
      <c r="P3008">
        <v>1</v>
      </c>
      <c r="Q3008">
        <v>0</v>
      </c>
      <c r="S3008" t="str">
        <f t="shared" si="898"/>
        <v>22:22:48.000</v>
      </c>
      <c r="T3008" t="str">
        <f t="shared" si="898"/>
        <v>22:22:48.000</v>
      </c>
      <c r="U3008" t="str">
        <f t="shared" si="880"/>
        <v>A9D71F</v>
      </c>
      <c r="V3008">
        <v>0</v>
      </c>
      <c r="W3008">
        <v>0</v>
      </c>
      <c r="X3008">
        <v>2</v>
      </c>
      <c r="Z3008">
        <v>1</v>
      </c>
      <c r="AA3008">
        <v>8</v>
      </c>
      <c r="AB3008">
        <v>3</v>
      </c>
      <c r="AC3008">
        <v>0</v>
      </c>
      <c r="AD3008">
        <v>9</v>
      </c>
      <c r="AE3008">
        <v>0</v>
      </c>
      <c r="AF3008">
        <v>3</v>
      </c>
      <c r="AG3008">
        <v>1</v>
      </c>
      <c r="AH3008">
        <v>0</v>
      </c>
      <c r="AI3008" t="s">
        <v>1490</v>
      </c>
      <c r="AJ3008">
        <v>32.978124999999999</v>
      </c>
      <c r="AK3008" t="s">
        <v>1460</v>
      </c>
      <c r="AL3008">
        <v>-97.667834999999997</v>
      </c>
      <c r="AM3008">
        <v>25</v>
      </c>
      <c r="AN3008">
        <v>1000</v>
      </c>
      <c r="AO3008" t="s">
        <v>118</v>
      </c>
      <c r="AP3008">
        <v>6</v>
      </c>
      <c r="AQ3008">
        <v>-86</v>
      </c>
      <c r="AR3008">
        <v>192</v>
      </c>
      <c r="AZ3008">
        <v>7700</v>
      </c>
      <c r="BA3008">
        <v>1</v>
      </c>
      <c r="BB3008" t="str">
        <f t="shared" si="887"/>
        <v xml:space="preserve">N733KP  </v>
      </c>
      <c r="BC3008">
        <v>1</v>
      </c>
      <c r="BE3008">
        <v>0</v>
      </c>
      <c r="BF3008">
        <v>0</v>
      </c>
      <c r="BG3008">
        <v>1</v>
      </c>
      <c r="BH3008">
        <v>925</v>
      </c>
      <c r="BI3008">
        <v>1</v>
      </c>
      <c r="BJ3008">
        <v>1</v>
      </c>
      <c r="BK3008">
        <v>0</v>
      </c>
      <c r="BL3008">
        <v>0</v>
      </c>
      <c r="BO3008">
        <v>0</v>
      </c>
      <c r="BP3008">
        <v>0</v>
      </c>
      <c r="BW3008" t="str">
        <f>"22:22:48.688"</f>
        <v>22:22:48.688</v>
      </c>
      <c r="CJ3008">
        <v>0</v>
      </c>
      <c r="CK3008">
        <v>2</v>
      </c>
      <c r="CL3008">
        <v>0</v>
      </c>
      <c r="CM3008">
        <v>2</v>
      </c>
      <c r="CN3008">
        <v>0</v>
      </c>
      <c r="CO3008">
        <v>6</v>
      </c>
      <c r="CP3008" t="s">
        <v>119</v>
      </c>
      <c r="CQ3008">
        <v>364</v>
      </c>
      <c r="CR3008">
        <v>0</v>
      </c>
      <c r="CW3008">
        <v>1483151</v>
      </c>
      <c r="CY3008">
        <v>1</v>
      </c>
      <c r="CZ3008">
        <v>0</v>
      </c>
      <c r="DA3008">
        <v>1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3">
      <c r="A3009" t="str">
        <f>"03/24/2022 22:22:48.929"</f>
        <v>03/24/2022 22:22:48.929</v>
      </c>
      <c r="C3009" t="str">
        <f t="shared" si="886"/>
        <v>FFDFD3C0</v>
      </c>
      <c r="D3009" t="s">
        <v>123</v>
      </c>
      <c r="E3009">
        <v>8</v>
      </c>
      <c r="H3009">
        <v>31</v>
      </c>
      <c r="I3009" t="s">
        <v>124</v>
      </c>
      <c r="J3009" t="s">
        <v>125</v>
      </c>
      <c r="K3009">
        <v>0</v>
      </c>
      <c r="L3009">
        <v>3</v>
      </c>
      <c r="M3009">
        <v>0</v>
      </c>
      <c r="N3009">
        <v>2</v>
      </c>
      <c r="O3009">
        <v>0</v>
      </c>
      <c r="P3009">
        <v>1</v>
      </c>
      <c r="Q3009">
        <v>0</v>
      </c>
      <c r="S3009" t="str">
        <f t="shared" si="898"/>
        <v>22:22:48.000</v>
      </c>
      <c r="T3009" t="str">
        <f t="shared" si="898"/>
        <v>22:22:48.000</v>
      </c>
      <c r="U3009" t="str">
        <f t="shared" si="880"/>
        <v>A9D71F</v>
      </c>
      <c r="V3009">
        <v>0</v>
      </c>
      <c r="W3009">
        <v>0</v>
      </c>
      <c r="X3009">
        <v>2</v>
      </c>
      <c r="Z3009">
        <v>1</v>
      </c>
      <c r="AA3009">
        <v>8</v>
      </c>
      <c r="AB3009">
        <v>3</v>
      </c>
      <c r="AC3009">
        <v>0</v>
      </c>
      <c r="AD3009">
        <v>9</v>
      </c>
      <c r="AE3009">
        <v>0</v>
      </c>
      <c r="AF3009">
        <v>3</v>
      </c>
      <c r="AG3009">
        <v>1</v>
      </c>
      <c r="AH3009">
        <v>0</v>
      </c>
      <c r="AI3009" t="s">
        <v>1490</v>
      </c>
      <c r="AJ3009">
        <v>32.978124999999999</v>
      </c>
      <c r="AK3009" t="s">
        <v>1460</v>
      </c>
      <c r="AL3009">
        <v>-97.667834999999997</v>
      </c>
      <c r="AM3009">
        <v>25</v>
      </c>
      <c r="AN3009">
        <v>1000</v>
      </c>
      <c r="AO3009" t="s">
        <v>118</v>
      </c>
      <c r="AP3009">
        <v>6</v>
      </c>
      <c r="AQ3009">
        <v>-86</v>
      </c>
      <c r="AR3009">
        <v>192</v>
      </c>
      <c r="AZ3009">
        <v>7700</v>
      </c>
      <c r="BA3009">
        <v>1</v>
      </c>
      <c r="BB3009" t="str">
        <f t="shared" si="887"/>
        <v xml:space="preserve">N733KP  </v>
      </c>
      <c r="BC3009">
        <v>1</v>
      </c>
      <c r="BE3009">
        <v>0</v>
      </c>
      <c r="BF3009">
        <v>0</v>
      </c>
      <c r="BG3009">
        <v>1</v>
      </c>
      <c r="BH3009">
        <v>925</v>
      </c>
      <c r="BI3009">
        <v>1</v>
      </c>
      <c r="BJ3009">
        <v>1</v>
      </c>
      <c r="BK3009">
        <v>0</v>
      </c>
      <c r="BL3009">
        <v>0</v>
      </c>
      <c r="BO3009">
        <v>0</v>
      </c>
      <c r="BP3009">
        <v>0</v>
      </c>
      <c r="BW3009" t="str">
        <f>"22:22:48.688"</f>
        <v>22:22:48.688</v>
      </c>
      <c r="CJ3009">
        <v>0</v>
      </c>
      <c r="CK3009">
        <v>2</v>
      </c>
      <c r="CL3009">
        <v>0</v>
      </c>
      <c r="CM3009">
        <v>2</v>
      </c>
      <c r="CN3009">
        <v>0</v>
      </c>
      <c r="CO3009">
        <v>6</v>
      </c>
      <c r="CP3009" t="s">
        <v>119</v>
      </c>
      <c r="CQ3009">
        <v>364</v>
      </c>
      <c r="CR3009">
        <v>0</v>
      </c>
      <c r="CW3009">
        <v>1483151</v>
      </c>
      <c r="CY3009">
        <v>1</v>
      </c>
      <c r="CZ3009">
        <v>0</v>
      </c>
      <c r="DA3009">
        <v>1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3">
      <c r="A3010" t="str">
        <f>"03/24/2022 22:22:48.929"</f>
        <v>03/24/2022 22:22:48.929</v>
      </c>
      <c r="C3010" t="str">
        <f t="shared" si="886"/>
        <v>FFDFD3C0</v>
      </c>
      <c r="D3010" t="s">
        <v>113</v>
      </c>
      <c r="E3010">
        <v>24</v>
      </c>
      <c r="F3010">
        <v>2024</v>
      </c>
      <c r="G3010" t="s">
        <v>114</v>
      </c>
      <c r="J3010" t="s">
        <v>115</v>
      </c>
      <c r="K3010">
        <v>0</v>
      </c>
      <c r="L3010">
        <v>3</v>
      </c>
      <c r="M3010">
        <v>0</v>
      </c>
      <c r="N3010">
        <v>2</v>
      </c>
      <c r="O3010">
        <v>0</v>
      </c>
      <c r="P3010">
        <v>1</v>
      </c>
      <c r="Q3010">
        <v>0</v>
      </c>
      <c r="S3010" t="str">
        <f t="shared" si="898"/>
        <v>22:22:48.000</v>
      </c>
      <c r="T3010" t="str">
        <f t="shared" si="898"/>
        <v>22:22:48.000</v>
      </c>
      <c r="U3010" t="str">
        <f t="shared" ref="U3010:U3073" si="899">"A9D71F"</f>
        <v>A9D71F</v>
      </c>
      <c r="V3010">
        <v>0</v>
      </c>
      <c r="W3010">
        <v>0</v>
      </c>
      <c r="X3010">
        <v>2</v>
      </c>
      <c r="Z3010">
        <v>1</v>
      </c>
      <c r="AA3010">
        <v>8</v>
      </c>
      <c r="AB3010">
        <v>3</v>
      </c>
      <c r="AC3010">
        <v>0</v>
      </c>
      <c r="AD3010">
        <v>9</v>
      </c>
      <c r="AE3010">
        <v>0</v>
      </c>
      <c r="AF3010">
        <v>3</v>
      </c>
      <c r="AG3010">
        <v>1</v>
      </c>
      <c r="AH3010">
        <v>0</v>
      </c>
      <c r="AI3010" t="s">
        <v>1490</v>
      </c>
      <c r="AJ3010">
        <v>32.978124999999999</v>
      </c>
      <c r="AK3010" t="s">
        <v>1460</v>
      </c>
      <c r="AL3010">
        <v>-97.667834999999997</v>
      </c>
      <c r="AM3010">
        <v>25</v>
      </c>
      <c r="AN3010">
        <v>1000</v>
      </c>
      <c r="AO3010" t="s">
        <v>118</v>
      </c>
      <c r="AP3010">
        <v>6</v>
      </c>
      <c r="AQ3010">
        <v>-86</v>
      </c>
      <c r="AR3010">
        <v>192</v>
      </c>
      <c r="AZ3010">
        <v>7700</v>
      </c>
      <c r="BA3010">
        <v>1</v>
      </c>
      <c r="BB3010" t="str">
        <f t="shared" si="887"/>
        <v xml:space="preserve">N733KP  </v>
      </c>
      <c r="BC3010">
        <v>1</v>
      </c>
      <c r="BE3010">
        <v>0</v>
      </c>
      <c r="BF3010">
        <v>0</v>
      </c>
      <c r="BG3010">
        <v>1</v>
      </c>
      <c r="BH3010">
        <v>925</v>
      </c>
      <c r="BI3010">
        <v>1</v>
      </c>
      <c r="BJ3010">
        <v>1</v>
      </c>
      <c r="BK3010">
        <v>0</v>
      </c>
      <c r="BL3010">
        <v>0</v>
      </c>
      <c r="BO3010">
        <v>0</v>
      </c>
      <c r="BP3010">
        <v>0</v>
      </c>
      <c r="BW3010" t="str">
        <f>"22:22:48.688"</f>
        <v>22:22:48.688</v>
      </c>
      <c r="CJ3010">
        <v>0</v>
      </c>
      <c r="CK3010">
        <v>2</v>
      </c>
      <c r="CL3010">
        <v>0</v>
      </c>
      <c r="CM3010">
        <v>2</v>
      </c>
      <c r="CN3010">
        <v>0</v>
      </c>
      <c r="CO3010">
        <v>6</v>
      </c>
      <c r="CP3010" t="s">
        <v>119</v>
      </c>
      <c r="CQ3010">
        <v>364</v>
      </c>
      <c r="CR3010">
        <v>0</v>
      </c>
      <c r="CW3010">
        <v>1483151</v>
      </c>
      <c r="CY3010">
        <v>1</v>
      </c>
      <c r="CZ3010">
        <v>0</v>
      </c>
      <c r="DA3010">
        <v>1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3">
      <c r="A3011" t="str">
        <f>"03/24/2022 22:22:49.664"</f>
        <v>03/24/2022 22:22:49.664</v>
      </c>
      <c r="C3011" t="str">
        <f t="shared" si="886"/>
        <v>FFDFD3C0</v>
      </c>
      <c r="D3011" t="s">
        <v>123</v>
      </c>
      <c r="E3011">
        <v>8</v>
      </c>
      <c r="H3011">
        <v>31</v>
      </c>
      <c r="I3011" t="s">
        <v>124</v>
      </c>
      <c r="J3011" t="s">
        <v>125</v>
      </c>
      <c r="K3011">
        <v>0</v>
      </c>
      <c r="L3011">
        <v>3</v>
      </c>
      <c r="M3011">
        <v>0</v>
      </c>
      <c r="N3011">
        <v>2</v>
      </c>
      <c r="O3011">
        <v>0</v>
      </c>
      <c r="P3011">
        <v>1</v>
      </c>
      <c r="Q3011">
        <v>0</v>
      </c>
      <c r="S3011" t="str">
        <f t="shared" ref="S3011:T3014" si="900">"22:22:49.000"</f>
        <v>22:22:49.000</v>
      </c>
      <c r="T3011" t="str">
        <f t="shared" si="900"/>
        <v>22:22:49.000</v>
      </c>
      <c r="U3011" t="str">
        <f t="shared" si="899"/>
        <v>A9D71F</v>
      </c>
      <c r="V3011">
        <v>0</v>
      </c>
      <c r="W3011">
        <v>0</v>
      </c>
      <c r="X3011">
        <v>2</v>
      </c>
      <c r="Z3011">
        <v>1</v>
      </c>
      <c r="AA3011">
        <v>8</v>
      </c>
      <c r="AB3011">
        <v>3</v>
      </c>
      <c r="AC3011">
        <v>0</v>
      </c>
      <c r="AD3011">
        <v>9</v>
      </c>
      <c r="AE3011">
        <v>0</v>
      </c>
      <c r="AF3011">
        <v>3</v>
      </c>
      <c r="AG3011">
        <v>1</v>
      </c>
      <c r="AH3011">
        <v>0</v>
      </c>
      <c r="AI3011" t="s">
        <v>1491</v>
      </c>
      <c r="AJ3011">
        <v>32.977738000000002</v>
      </c>
      <c r="AK3011" t="s">
        <v>1492</v>
      </c>
      <c r="AL3011">
        <v>-97.667792000000006</v>
      </c>
      <c r="AM3011">
        <v>25</v>
      </c>
      <c r="AN3011">
        <v>1000</v>
      </c>
      <c r="AO3011" t="s">
        <v>118</v>
      </c>
      <c r="AP3011">
        <v>6</v>
      </c>
      <c r="AQ3011">
        <v>-86</v>
      </c>
      <c r="AR3011">
        <v>192</v>
      </c>
      <c r="AZ3011">
        <v>7700</v>
      </c>
      <c r="BA3011">
        <v>1</v>
      </c>
      <c r="BB3011" t="str">
        <f t="shared" si="887"/>
        <v xml:space="preserve">N733KP  </v>
      </c>
      <c r="BC3011">
        <v>1</v>
      </c>
      <c r="BE3011">
        <v>0</v>
      </c>
      <c r="BF3011">
        <v>0</v>
      </c>
      <c r="BG3011">
        <v>1</v>
      </c>
      <c r="BH3011">
        <v>925</v>
      </c>
      <c r="BI3011">
        <v>1</v>
      </c>
      <c r="BJ3011">
        <v>1</v>
      </c>
      <c r="BK3011">
        <v>0</v>
      </c>
      <c r="BL3011">
        <v>0</v>
      </c>
      <c r="BO3011">
        <v>0</v>
      </c>
      <c r="BP3011">
        <v>0</v>
      </c>
      <c r="BW3011" t="str">
        <f>"22:22:49.464"</f>
        <v>22:22:49.464</v>
      </c>
      <c r="CJ3011">
        <v>0</v>
      </c>
      <c r="CK3011">
        <v>2</v>
      </c>
      <c r="CL3011">
        <v>0</v>
      </c>
      <c r="CM3011">
        <v>2</v>
      </c>
      <c r="CN3011">
        <v>0</v>
      </c>
      <c r="CO3011">
        <v>5</v>
      </c>
      <c r="CP3011" t="s">
        <v>119</v>
      </c>
      <c r="CQ3011">
        <v>364</v>
      </c>
      <c r="CR3011">
        <v>0</v>
      </c>
      <c r="CW3011">
        <v>1483254</v>
      </c>
      <c r="CY3011">
        <v>1</v>
      </c>
      <c r="CZ3011">
        <v>0</v>
      </c>
      <c r="DA3011">
        <v>0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3">
      <c r="A3012" t="str">
        <f>"03/24/2022 22:22:49.664"</f>
        <v>03/24/2022 22:22:49.664</v>
      </c>
      <c r="C3012" t="str">
        <f t="shared" si="886"/>
        <v>FFDFD3C0</v>
      </c>
      <c r="D3012" t="s">
        <v>113</v>
      </c>
      <c r="E3012">
        <v>24</v>
      </c>
      <c r="F3012">
        <v>2024</v>
      </c>
      <c r="G3012" t="s">
        <v>114</v>
      </c>
      <c r="J3012" t="s">
        <v>115</v>
      </c>
      <c r="K3012">
        <v>0</v>
      </c>
      <c r="L3012">
        <v>3</v>
      </c>
      <c r="M3012">
        <v>0</v>
      </c>
      <c r="N3012">
        <v>2</v>
      </c>
      <c r="O3012">
        <v>0</v>
      </c>
      <c r="P3012">
        <v>1</v>
      </c>
      <c r="Q3012">
        <v>0</v>
      </c>
      <c r="S3012" t="str">
        <f t="shared" si="900"/>
        <v>22:22:49.000</v>
      </c>
      <c r="T3012" t="str">
        <f t="shared" si="900"/>
        <v>22:22:49.000</v>
      </c>
      <c r="U3012" t="str">
        <f t="shared" si="899"/>
        <v>A9D71F</v>
      </c>
      <c r="V3012">
        <v>0</v>
      </c>
      <c r="W3012">
        <v>0</v>
      </c>
      <c r="X3012">
        <v>2</v>
      </c>
      <c r="Z3012">
        <v>1</v>
      </c>
      <c r="AA3012">
        <v>8</v>
      </c>
      <c r="AB3012">
        <v>3</v>
      </c>
      <c r="AC3012">
        <v>0</v>
      </c>
      <c r="AD3012">
        <v>9</v>
      </c>
      <c r="AE3012">
        <v>0</v>
      </c>
      <c r="AF3012">
        <v>3</v>
      </c>
      <c r="AG3012">
        <v>1</v>
      </c>
      <c r="AH3012">
        <v>0</v>
      </c>
      <c r="AI3012" t="s">
        <v>1491</v>
      </c>
      <c r="AJ3012">
        <v>32.977738000000002</v>
      </c>
      <c r="AK3012" t="s">
        <v>1492</v>
      </c>
      <c r="AL3012">
        <v>-97.667792000000006</v>
      </c>
      <c r="AM3012">
        <v>25</v>
      </c>
      <c r="AN3012">
        <v>1000</v>
      </c>
      <c r="AO3012" t="s">
        <v>118</v>
      </c>
      <c r="AP3012">
        <v>6</v>
      </c>
      <c r="AQ3012">
        <v>-86</v>
      </c>
      <c r="AR3012">
        <v>192</v>
      </c>
      <c r="AZ3012">
        <v>7700</v>
      </c>
      <c r="BA3012">
        <v>1</v>
      </c>
      <c r="BB3012" t="str">
        <f t="shared" si="887"/>
        <v xml:space="preserve">N733KP  </v>
      </c>
      <c r="BC3012">
        <v>1</v>
      </c>
      <c r="BE3012">
        <v>0</v>
      </c>
      <c r="BF3012">
        <v>0</v>
      </c>
      <c r="BG3012">
        <v>1</v>
      </c>
      <c r="BH3012">
        <v>925</v>
      </c>
      <c r="BI3012">
        <v>1</v>
      </c>
      <c r="BJ3012">
        <v>1</v>
      </c>
      <c r="BK3012">
        <v>0</v>
      </c>
      <c r="BL3012">
        <v>0</v>
      </c>
      <c r="BO3012">
        <v>0</v>
      </c>
      <c r="BP3012">
        <v>0</v>
      </c>
      <c r="BW3012" t="str">
        <f>"22:22:49.464"</f>
        <v>22:22:49.464</v>
      </c>
      <c r="CJ3012">
        <v>0</v>
      </c>
      <c r="CK3012">
        <v>2</v>
      </c>
      <c r="CL3012">
        <v>0</v>
      </c>
      <c r="CM3012">
        <v>2</v>
      </c>
      <c r="CN3012">
        <v>0</v>
      </c>
      <c r="CO3012">
        <v>5</v>
      </c>
      <c r="CP3012" t="s">
        <v>119</v>
      </c>
      <c r="CQ3012">
        <v>364</v>
      </c>
      <c r="CR3012">
        <v>0</v>
      </c>
      <c r="CW3012">
        <v>1483254</v>
      </c>
      <c r="CY3012">
        <v>1</v>
      </c>
      <c r="CZ3012">
        <v>0</v>
      </c>
      <c r="DA3012">
        <v>1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3">
      <c r="A3013" t="str">
        <f>"03/24/2022 22:22:49.664"</f>
        <v>03/24/2022 22:22:49.664</v>
      </c>
      <c r="C3013" t="str">
        <f t="shared" si="886"/>
        <v>FFDFD3C0</v>
      </c>
      <c r="D3013" t="s">
        <v>126</v>
      </c>
      <c r="E3013">
        <v>3</v>
      </c>
      <c r="H3013">
        <v>160</v>
      </c>
      <c r="I3013" t="s">
        <v>121</v>
      </c>
      <c r="J3013" t="s">
        <v>127</v>
      </c>
      <c r="K3013">
        <v>0</v>
      </c>
      <c r="L3013">
        <v>3</v>
      </c>
      <c r="M3013">
        <v>0</v>
      </c>
      <c r="N3013">
        <v>2</v>
      </c>
      <c r="O3013">
        <v>0</v>
      </c>
      <c r="P3013">
        <v>1</v>
      </c>
      <c r="Q3013">
        <v>0</v>
      </c>
      <c r="S3013" t="str">
        <f t="shared" si="900"/>
        <v>22:22:49.000</v>
      </c>
      <c r="T3013" t="str">
        <f t="shared" si="900"/>
        <v>22:22:49.000</v>
      </c>
      <c r="U3013" t="str">
        <f t="shared" si="899"/>
        <v>A9D71F</v>
      </c>
      <c r="V3013">
        <v>0</v>
      </c>
      <c r="W3013">
        <v>0</v>
      </c>
      <c r="X3013">
        <v>2</v>
      </c>
      <c r="Z3013">
        <v>1</v>
      </c>
      <c r="AA3013">
        <v>8</v>
      </c>
      <c r="AB3013">
        <v>3</v>
      </c>
      <c r="AC3013">
        <v>0</v>
      </c>
      <c r="AD3013">
        <v>9</v>
      </c>
      <c r="AE3013">
        <v>0</v>
      </c>
      <c r="AF3013">
        <v>3</v>
      </c>
      <c r="AG3013">
        <v>1</v>
      </c>
      <c r="AH3013">
        <v>0</v>
      </c>
      <c r="AI3013" t="s">
        <v>1491</v>
      </c>
      <c r="AJ3013">
        <v>32.977738000000002</v>
      </c>
      <c r="AK3013" t="s">
        <v>1492</v>
      </c>
      <c r="AL3013">
        <v>-97.667792000000006</v>
      </c>
      <c r="AM3013">
        <v>25</v>
      </c>
      <c r="AN3013">
        <v>1000</v>
      </c>
      <c r="AO3013" t="s">
        <v>118</v>
      </c>
      <c r="AP3013">
        <v>6</v>
      </c>
      <c r="AQ3013">
        <v>-86</v>
      </c>
      <c r="AR3013">
        <v>192</v>
      </c>
      <c r="AZ3013">
        <v>7700</v>
      </c>
      <c r="BA3013">
        <v>1</v>
      </c>
      <c r="BB3013" t="str">
        <f t="shared" si="887"/>
        <v xml:space="preserve">N733KP  </v>
      </c>
      <c r="BC3013">
        <v>1</v>
      </c>
      <c r="BE3013">
        <v>0</v>
      </c>
      <c r="BF3013">
        <v>0</v>
      </c>
      <c r="BG3013">
        <v>1</v>
      </c>
      <c r="BH3013">
        <v>925</v>
      </c>
      <c r="BI3013">
        <v>1</v>
      </c>
      <c r="BJ3013">
        <v>1</v>
      </c>
      <c r="BK3013">
        <v>0</v>
      </c>
      <c r="BL3013">
        <v>0</v>
      </c>
      <c r="BO3013">
        <v>0</v>
      </c>
      <c r="BP3013">
        <v>0</v>
      </c>
      <c r="BW3013" t="str">
        <f>"22:22:49.464"</f>
        <v>22:22:49.464</v>
      </c>
      <c r="CJ3013">
        <v>0</v>
      </c>
      <c r="CK3013">
        <v>2</v>
      </c>
      <c r="CL3013">
        <v>0</v>
      </c>
      <c r="CM3013">
        <v>2</v>
      </c>
      <c r="CN3013">
        <v>0</v>
      </c>
      <c r="CO3013">
        <v>5</v>
      </c>
      <c r="CP3013" t="s">
        <v>119</v>
      </c>
      <c r="CQ3013">
        <v>364</v>
      </c>
      <c r="CR3013">
        <v>0</v>
      </c>
      <c r="CW3013">
        <v>1483254</v>
      </c>
      <c r="CY3013">
        <v>1</v>
      </c>
      <c r="CZ3013">
        <v>0</v>
      </c>
      <c r="DA3013">
        <v>1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3">
      <c r="A3014" t="str">
        <f>"03/24/2022 22:22:49.664"</f>
        <v>03/24/2022 22:22:49.664</v>
      </c>
      <c r="C3014" t="str">
        <f t="shared" si="886"/>
        <v>FFDFD3C0</v>
      </c>
      <c r="D3014" t="s">
        <v>120</v>
      </c>
      <c r="E3014">
        <v>14</v>
      </c>
      <c r="F3014">
        <v>1014</v>
      </c>
      <c r="G3014" t="s">
        <v>121</v>
      </c>
      <c r="J3014" t="s">
        <v>122</v>
      </c>
      <c r="K3014">
        <v>0</v>
      </c>
      <c r="L3014">
        <v>3</v>
      </c>
      <c r="M3014">
        <v>0</v>
      </c>
      <c r="N3014">
        <v>2</v>
      </c>
      <c r="O3014">
        <v>0</v>
      </c>
      <c r="P3014">
        <v>1</v>
      </c>
      <c r="Q3014">
        <v>0</v>
      </c>
      <c r="S3014" t="str">
        <f t="shared" si="900"/>
        <v>22:22:49.000</v>
      </c>
      <c r="T3014" t="str">
        <f t="shared" si="900"/>
        <v>22:22:49.000</v>
      </c>
      <c r="U3014" t="str">
        <f t="shared" si="899"/>
        <v>A9D71F</v>
      </c>
      <c r="V3014">
        <v>0</v>
      </c>
      <c r="W3014">
        <v>0</v>
      </c>
      <c r="X3014">
        <v>2</v>
      </c>
      <c r="Z3014">
        <v>1</v>
      </c>
      <c r="AA3014">
        <v>8</v>
      </c>
      <c r="AB3014">
        <v>3</v>
      </c>
      <c r="AC3014">
        <v>0</v>
      </c>
      <c r="AD3014">
        <v>9</v>
      </c>
      <c r="AE3014">
        <v>0</v>
      </c>
      <c r="AF3014">
        <v>3</v>
      </c>
      <c r="AG3014">
        <v>1</v>
      </c>
      <c r="AH3014">
        <v>0</v>
      </c>
      <c r="AI3014" t="s">
        <v>1491</v>
      </c>
      <c r="AJ3014">
        <v>32.977738000000002</v>
      </c>
      <c r="AK3014" t="s">
        <v>1492</v>
      </c>
      <c r="AL3014">
        <v>-97.667792000000006</v>
      </c>
      <c r="AM3014">
        <v>25</v>
      </c>
      <c r="AN3014">
        <v>1000</v>
      </c>
      <c r="AO3014" t="s">
        <v>118</v>
      </c>
      <c r="AP3014">
        <v>6</v>
      </c>
      <c r="AQ3014">
        <v>-86</v>
      </c>
      <c r="AR3014">
        <v>192</v>
      </c>
      <c r="AZ3014">
        <v>7700</v>
      </c>
      <c r="BA3014">
        <v>1</v>
      </c>
      <c r="BB3014" t="str">
        <f t="shared" si="887"/>
        <v xml:space="preserve">N733KP  </v>
      </c>
      <c r="BC3014">
        <v>1</v>
      </c>
      <c r="BE3014">
        <v>0</v>
      </c>
      <c r="BF3014">
        <v>0</v>
      </c>
      <c r="BG3014">
        <v>1</v>
      </c>
      <c r="BH3014">
        <v>925</v>
      </c>
      <c r="BI3014">
        <v>1</v>
      </c>
      <c r="BJ3014">
        <v>1</v>
      </c>
      <c r="BK3014">
        <v>0</v>
      </c>
      <c r="BL3014">
        <v>0</v>
      </c>
      <c r="BO3014">
        <v>0</v>
      </c>
      <c r="BP3014">
        <v>0</v>
      </c>
      <c r="BW3014" t="str">
        <f>"22:22:49.464"</f>
        <v>22:22:49.464</v>
      </c>
      <c r="CJ3014">
        <v>0</v>
      </c>
      <c r="CK3014">
        <v>2</v>
      </c>
      <c r="CL3014">
        <v>0</v>
      </c>
      <c r="CM3014">
        <v>2</v>
      </c>
      <c r="CN3014">
        <v>0</v>
      </c>
      <c r="CO3014">
        <v>5</v>
      </c>
      <c r="CP3014" t="s">
        <v>119</v>
      </c>
      <c r="CQ3014">
        <v>364</v>
      </c>
      <c r="CR3014">
        <v>0</v>
      </c>
      <c r="CW3014">
        <v>1483254</v>
      </c>
      <c r="CY3014">
        <v>1</v>
      </c>
      <c r="CZ3014">
        <v>0</v>
      </c>
      <c r="DA3014">
        <v>1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3">
      <c r="A3015" t="str">
        <f>"03/24/2022 22:22:50.429"</f>
        <v>03/24/2022 22:22:50.429</v>
      </c>
      <c r="C3015" t="str">
        <f t="shared" si="886"/>
        <v>FFDFD3C0</v>
      </c>
      <c r="D3015" t="s">
        <v>123</v>
      </c>
      <c r="E3015">
        <v>8</v>
      </c>
      <c r="H3015">
        <v>31</v>
      </c>
      <c r="I3015" t="s">
        <v>124</v>
      </c>
      <c r="J3015" t="s">
        <v>125</v>
      </c>
      <c r="K3015">
        <v>0</v>
      </c>
      <c r="L3015">
        <v>3</v>
      </c>
      <c r="M3015">
        <v>0</v>
      </c>
      <c r="N3015">
        <v>2</v>
      </c>
      <c r="O3015">
        <v>0</v>
      </c>
      <c r="P3015">
        <v>1</v>
      </c>
      <c r="Q3015">
        <v>0</v>
      </c>
      <c r="S3015" t="str">
        <f t="shared" ref="S3015:T3018" si="901">"22:22:50.000"</f>
        <v>22:22:50.000</v>
      </c>
      <c r="T3015" t="str">
        <f t="shared" si="901"/>
        <v>22:22:50.000</v>
      </c>
      <c r="U3015" t="str">
        <f t="shared" si="899"/>
        <v>A9D71F</v>
      </c>
      <c r="V3015">
        <v>0</v>
      </c>
      <c r="W3015">
        <v>0</v>
      </c>
      <c r="X3015">
        <v>2</v>
      </c>
      <c r="Z3015">
        <v>1</v>
      </c>
      <c r="AA3015">
        <v>8</v>
      </c>
      <c r="AB3015">
        <v>3</v>
      </c>
      <c r="AC3015">
        <v>0</v>
      </c>
      <c r="AD3015">
        <v>9</v>
      </c>
      <c r="AE3015">
        <v>0</v>
      </c>
      <c r="AF3015">
        <v>3</v>
      </c>
      <c r="AG3015">
        <v>1</v>
      </c>
      <c r="AH3015">
        <v>0</v>
      </c>
      <c r="AI3015" t="s">
        <v>1493</v>
      </c>
      <c r="AJ3015">
        <v>32.977331</v>
      </c>
      <c r="AK3015" t="s">
        <v>1494</v>
      </c>
      <c r="AL3015">
        <v>-97.667749000000001</v>
      </c>
      <c r="AM3015">
        <v>25</v>
      </c>
      <c r="AN3015">
        <v>1000</v>
      </c>
      <c r="AO3015" t="s">
        <v>118</v>
      </c>
      <c r="AP3015">
        <v>8</v>
      </c>
      <c r="AQ3015">
        <v>-87</v>
      </c>
      <c r="AR3015">
        <v>192</v>
      </c>
      <c r="AZ3015">
        <v>7700</v>
      </c>
      <c r="BA3015">
        <v>1</v>
      </c>
      <c r="BB3015" t="str">
        <f t="shared" si="887"/>
        <v xml:space="preserve">N733KP  </v>
      </c>
      <c r="BC3015">
        <v>1</v>
      </c>
      <c r="BE3015">
        <v>0</v>
      </c>
      <c r="BF3015">
        <v>0</v>
      </c>
      <c r="BG3015">
        <v>1</v>
      </c>
      <c r="BH3015">
        <v>925</v>
      </c>
      <c r="BI3015">
        <v>1</v>
      </c>
      <c r="BJ3015">
        <v>1</v>
      </c>
      <c r="BK3015">
        <v>0</v>
      </c>
      <c r="BL3015">
        <v>0</v>
      </c>
      <c r="BO3015">
        <v>0</v>
      </c>
      <c r="BP3015">
        <v>0</v>
      </c>
      <c r="BW3015" t="str">
        <f>"22:22:50.277"</f>
        <v>22:22:50.277</v>
      </c>
      <c r="CJ3015">
        <v>0</v>
      </c>
      <c r="CK3015">
        <v>2</v>
      </c>
      <c r="CL3015">
        <v>0</v>
      </c>
      <c r="CM3015">
        <v>2</v>
      </c>
      <c r="CN3015">
        <v>0</v>
      </c>
      <c r="CO3015">
        <v>5</v>
      </c>
      <c r="CP3015" t="s">
        <v>119</v>
      </c>
      <c r="CQ3015">
        <v>364</v>
      </c>
      <c r="CR3015">
        <v>0</v>
      </c>
      <c r="CW3015">
        <v>1483358</v>
      </c>
      <c r="CY3015">
        <v>1</v>
      </c>
      <c r="CZ3015">
        <v>0</v>
      </c>
      <c r="DA3015">
        <v>0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3">
      <c r="A3016" t="str">
        <f>"03/24/2022 22:22:50.461"</f>
        <v>03/24/2022 22:22:50.461</v>
      </c>
      <c r="C3016" t="str">
        <f t="shared" si="886"/>
        <v>FFDFD3C0</v>
      </c>
      <c r="D3016" t="s">
        <v>113</v>
      </c>
      <c r="E3016">
        <v>24</v>
      </c>
      <c r="F3016">
        <v>2024</v>
      </c>
      <c r="G3016" t="s">
        <v>114</v>
      </c>
      <c r="J3016" t="s">
        <v>115</v>
      </c>
      <c r="K3016">
        <v>0</v>
      </c>
      <c r="L3016">
        <v>3</v>
      </c>
      <c r="M3016">
        <v>0</v>
      </c>
      <c r="N3016">
        <v>2</v>
      </c>
      <c r="O3016">
        <v>0</v>
      </c>
      <c r="P3016">
        <v>1</v>
      </c>
      <c r="Q3016">
        <v>0</v>
      </c>
      <c r="S3016" t="str">
        <f t="shared" si="901"/>
        <v>22:22:50.000</v>
      </c>
      <c r="T3016" t="str">
        <f t="shared" si="901"/>
        <v>22:22:50.000</v>
      </c>
      <c r="U3016" t="str">
        <f t="shared" si="899"/>
        <v>A9D71F</v>
      </c>
      <c r="V3016">
        <v>0</v>
      </c>
      <c r="W3016">
        <v>0</v>
      </c>
      <c r="X3016">
        <v>2</v>
      </c>
      <c r="Z3016">
        <v>1</v>
      </c>
      <c r="AA3016">
        <v>8</v>
      </c>
      <c r="AB3016">
        <v>3</v>
      </c>
      <c r="AC3016">
        <v>0</v>
      </c>
      <c r="AD3016">
        <v>9</v>
      </c>
      <c r="AE3016">
        <v>0</v>
      </c>
      <c r="AF3016">
        <v>3</v>
      </c>
      <c r="AG3016">
        <v>1</v>
      </c>
      <c r="AH3016">
        <v>0</v>
      </c>
      <c r="AI3016" t="s">
        <v>1493</v>
      </c>
      <c r="AJ3016">
        <v>32.977331</v>
      </c>
      <c r="AK3016" t="s">
        <v>1494</v>
      </c>
      <c r="AL3016">
        <v>-97.667749000000001</v>
      </c>
      <c r="AM3016">
        <v>25</v>
      </c>
      <c r="AN3016">
        <v>1000</v>
      </c>
      <c r="AO3016" t="s">
        <v>118</v>
      </c>
      <c r="AP3016">
        <v>8</v>
      </c>
      <c r="AQ3016">
        <v>-87</v>
      </c>
      <c r="AR3016">
        <v>192</v>
      </c>
      <c r="AZ3016">
        <v>7700</v>
      </c>
      <c r="BA3016">
        <v>1</v>
      </c>
      <c r="BB3016" t="str">
        <f t="shared" si="887"/>
        <v xml:space="preserve">N733KP  </v>
      </c>
      <c r="BC3016">
        <v>1</v>
      </c>
      <c r="BE3016">
        <v>0</v>
      </c>
      <c r="BF3016">
        <v>0</v>
      </c>
      <c r="BG3016">
        <v>1</v>
      </c>
      <c r="BH3016">
        <v>925</v>
      </c>
      <c r="BI3016">
        <v>1</v>
      </c>
      <c r="BJ3016">
        <v>1</v>
      </c>
      <c r="BK3016">
        <v>0</v>
      </c>
      <c r="BL3016">
        <v>0</v>
      </c>
      <c r="BO3016">
        <v>0</v>
      </c>
      <c r="BP3016">
        <v>0</v>
      </c>
      <c r="BW3016" t="str">
        <f>"22:22:50.277"</f>
        <v>22:22:50.277</v>
      </c>
      <c r="CJ3016">
        <v>0</v>
      </c>
      <c r="CK3016">
        <v>2</v>
      </c>
      <c r="CL3016">
        <v>0</v>
      </c>
      <c r="CM3016">
        <v>2</v>
      </c>
      <c r="CN3016">
        <v>0</v>
      </c>
      <c r="CO3016">
        <v>5</v>
      </c>
      <c r="CP3016" t="s">
        <v>119</v>
      </c>
      <c r="CQ3016">
        <v>364</v>
      </c>
      <c r="CR3016">
        <v>0</v>
      </c>
      <c r="CW3016">
        <v>1483358</v>
      </c>
      <c r="CY3016">
        <v>1</v>
      </c>
      <c r="CZ3016">
        <v>0</v>
      </c>
      <c r="DA3016">
        <v>1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3">
      <c r="A3017" t="str">
        <f>"03/24/2022 22:22:50.461"</f>
        <v>03/24/2022 22:22:50.461</v>
      </c>
      <c r="C3017" t="str">
        <f t="shared" si="886"/>
        <v>FFDFD3C0</v>
      </c>
      <c r="D3017" t="s">
        <v>126</v>
      </c>
      <c r="E3017">
        <v>3</v>
      </c>
      <c r="H3017">
        <v>160</v>
      </c>
      <c r="I3017" t="s">
        <v>121</v>
      </c>
      <c r="J3017" t="s">
        <v>127</v>
      </c>
      <c r="K3017">
        <v>0</v>
      </c>
      <c r="L3017">
        <v>3</v>
      </c>
      <c r="M3017">
        <v>0</v>
      </c>
      <c r="N3017">
        <v>2</v>
      </c>
      <c r="O3017">
        <v>0</v>
      </c>
      <c r="P3017">
        <v>1</v>
      </c>
      <c r="Q3017">
        <v>0</v>
      </c>
      <c r="S3017" t="str">
        <f t="shared" si="901"/>
        <v>22:22:50.000</v>
      </c>
      <c r="T3017" t="str">
        <f t="shared" si="901"/>
        <v>22:22:50.000</v>
      </c>
      <c r="U3017" t="str">
        <f t="shared" si="899"/>
        <v>A9D71F</v>
      </c>
      <c r="V3017">
        <v>0</v>
      </c>
      <c r="W3017">
        <v>0</v>
      </c>
      <c r="X3017">
        <v>2</v>
      </c>
      <c r="Z3017">
        <v>1</v>
      </c>
      <c r="AA3017">
        <v>8</v>
      </c>
      <c r="AB3017">
        <v>3</v>
      </c>
      <c r="AC3017">
        <v>0</v>
      </c>
      <c r="AD3017">
        <v>9</v>
      </c>
      <c r="AE3017">
        <v>0</v>
      </c>
      <c r="AF3017">
        <v>3</v>
      </c>
      <c r="AG3017">
        <v>1</v>
      </c>
      <c r="AH3017">
        <v>0</v>
      </c>
      <c r="AI3017" t="s">
        <v>1493</v>
      </c>
      <c r="AJ3017">
        <v>32.977331</v>
      </c>
      <c r="AK3017" t="s">
        <v>1494</v>
      </c>
      <c r="AL3017">
        <v>-97.667749000000001</v>
      </c>
      <c r="AM3017">
        <v>25</v>
      </c>
      <c r="AN3017">
        <v>1000</v>
      </c>
      <c r="AO3017" t="s">
        <v>118</v>
      </c>
      <c r="AP3017">
        <v>8</v>
      </c>
      <c r="AQ3017">
        <v>-87</v>
      </c>
      <c r="AR3017">
        <v>192</v>
      </c>
      <c r="AZ3017">
        <v>7700</v>
      </c>
      <c r="BA3017">
        <v>1</v>
      </c>
      <c r="BB3017" t="str">
        <f t="shared" si="887"/>
        <v xml:space="preserve">N733KP  </v>
      </c>
      <c r="BC3017">
        <v>1</v>
      </c>
      <c r="BE3017">
        <v>0</v>
      </c>
      <c r="BF3017">
        <v>0</v>
      </c>
      <c r="BG3017">
        <v>1</v>
      </c>
      <c r="BH3017">
        <v>925</v>
      </c>
      <c r="BI3017">
        <v>1</v>
      </c>
      <c r="BJ3017">
        <v>1</v>
      </c>
      <c r="BK3017">
        <v>0</v>
      </c>
      <c r="BL3017">
        <v>0</v>
      </c>
      <c r="BO3017">
        <v>0</v>
      </c>
      <c r="BP3017">
        <v>0</v>
      </c>
      <c r="BW3017" t="str">
        <f>"22:22:50.277"</f>
        <v>22:22:50.277</v>
      </c>
      <c r="CJ3017">
        <v>0</v>
      </c>
      <c r="CK3017">
        <v>2</v>
      </c>
      <c r="CL3017">
        <v>0</v>
      </c>
      <c r="CM3017">
        <v>2</v>
      </c>
      <c r="CN3017">
        <v>0</v>
      </c>
      <c r="CO3017">
        <v>5</v>
      </c>
      <c r="CP3017" t="s">
        <v>119</v>
      </c>
      <c r="CQ3017">
        <v>364</v>
      </c>
      <c r="CR3017">
        <v>0</v>
      </c>
      <c r="CW3017">
        <v>1483358</v>
      </c>
      <c r="CY3017">
        <v>1</v>
      </c>
      <c r="CZ3017">
        <v>0</v>
      </c>
      <c r="DA3017">
        <v>1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3">
      <c r="A3018" t="str">
        <f>"03/24/2022 22:22:50.476"</f>
        <v>03/24/2022 22:22:50.476</v>
      </c>
      <c r="C3018" t="str">
        <f t="shared" si="886"/>
        <v>FFDFD3C0</v>
      </c>
      <c r="D3018" t="s">
        <v>120</v>
      </c>
      <c r="E3018">
        <v>14</v>
      </c>
      <c r="F3018">
        <v>1014</v>
      </c>
      <c r="G3018" t="s">
        <v>121</v>
      </c>
      <c r="J3018" t="s">
        <v>122</v>
      </c>
      <c r="K3018">
        <v>0</v>
      </c>
      <c r="L3018">
        <v>3</v>
      </c>
      <c r="M3018">
        <v>0</v>
      </c>
      <c r="N3018">
        <v>2</v>
      </c>
      <c r="O3018">
        <v>0</v>
      </c>
      <c r="P3018">
        <v>1</v>
      </c>
      <c r="Q3018">
        <v>0</v>
      </c>
      <c r="S3018" t="str">
        <f t="shared" si="901"/>
        <v>22:22:50.000</v>
      </c>
      <c r="T3018" t="str">
        <f t="shared" si="901"/>
        <v>22:22:50.000</v>
      </c>
      <c r="U3018" t="str">
        <f t="shared" si="899"/>
        <v>A9D71F</v>
      </c>
      <c r="V3018">
        <v>0</v>
      </c>
      <c r="W3018">
        <v>0</v>
      </c>
      <c r="X3018">
        <v>2</v>
      </c>
      <c r="Z3018">
        <v>1</v>
      </c>
      <c r="AA3018">
        <v>8</v>
      </c>
      <c r="AB3018">
        <v>3</v>
      </c>
      <c r="AC3018">
        <v>0</v>
      </c>
      <c r="AD3018">
        <v>9</v>
      </c>
      <c r="AE3018">
        <v>0</v>
      </c>
      <c r="AF3018">
        <v>3</v>
      </c>
      <c r="AG3018">
        <v>1</v>
      </c>
      <c r="AH3018">
        <v>0</v>
      </c>
      <c r="AI3018" t="s">
        <v>1493</v>
      </c>
      <c r="AJ3018">
        <v>32.977331</v>
      </c>
      <c r="AK3018" t="s">
        <v>1494</v>
      </c>
      <c r="AL3018">
        <v>-97.667749000000001</v>
      </c>
      <c r="AM3018">
        <v>25</v>
      </c>
      <c r="AN3018">
        <v>1000</v>
      </c>
      <c r="AO3018" t="s">
        <v>118</v>
      </c>
      <c r="AP3018">
        <v>8</v>
      </c>
      <c r="AQ3018">
        <v>-87</v>
      </c>
      <c r="AR3018">
        <v>192</v>
      </c>
      <c r="AZ3018">
        <v>7700</v>
      </c>
      <c r="BA3018">
        <v>1</v>
      </c>
      <c r="BB3018" t="str">
        <f t="shared" si="887"/>
        <v xml:space="preserve">N733KP  </v>
      </c>
      <c r="BC3018">
        <v>1</v>
      </c>
      <c r="BE3018">
        <v>0</v>
      </c>
      <c r="BF3018">
        <v>0</v>
      </c>
      <c r="BG3018">
        <v>1</v>
      </c>
      <c r="BH3018">
        <v>925</v>
      </c>
      <c r="BI3018">
        <v>1</v>
      </c>
      <c r="BJ3018">
        <v>1</v>
      </c>
      <c r="BK3018">
        <v>0</v>
      </c>
      <c r="BL3018">
        <v>0</v>
      </c>
      <c r="BO3018">
        <v>0</v>
      </c>
      <c r="BP3018">
        <v>0</v>
      </c>
      <c r="BW3018" t="str">
        <f>"22:22:50.277"</f>
        <v>22:22:50.277</v>
      </c>
      <c r="CJ3018">
        <v>0</v>
      </c>
      <c r="CK3018">
        <v>2</v>
      </c>
      <c r="CL3018">
        <v>0</v>
      </c>
      <c r="CM3018">
        <v>2</v>
      </c>
      <c r="CN3018">
        <v>0</v>
      </c>
      <c r="CO3018">
        <v>5</v>
      </c>
      <c r="CP3018" t="s">
        <v>119</v>
      </c>
      <c r="CQ3018">
        <v>364</v>
      </c>
      <c r="CR3018">
        <v>0</v>
      </c>
      <c r="CW3018">
        <v>1483358</v>
      </c>
      <c r="CY3018">
        <v>1</v>
      </c>
      <c r="CZ3018">
        <v>0</v>
      </c>
      <c r="DA3018">
        <v>1</v>
      </c>
      <c r="DB3018">
        <v>0</v>
      </c>
      <c r="DC3018">
        <v>0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3">
      <c r="A3019" t="str">
        <f>"03/24/2022 22:22:51.648"</f>
        <v>03/24/2022 22:22:51.648</v>
      </c>
      <c r="C3019" t="str">
        <f t="shared" si="886"/>
        <v>FFDFD3C0</v>
      </c>
      <c r="D3019" t="s">
        <v>113</v>
      </c>
      <c r="E3019">
        <v>24</v>
      </c>
      <c r="F3019">
        <v>2024</v>
      </c>
      <c r="G3019" t="s">
        <v>114</v>
      </c>
      <c r="J3019" t="s">
        <v>115</v>
      </c>
      <c r="K3019">
        <v>0</v>
      </c>
      <c r="L3019">
        <v>3</v>
      </c>
      <c r="M3019">
        <v>0</v>
      </c>
      <c r="N3019">
        <v>2</v>
      </c>
      <c r="O3019">
        <v>0</v>
      </c>
      <c r="P3019">
        <v>1</v>
      </c>
      <c r="Q3019">
        <v>0</v>
      </c>
      <c r="S3019" t="str">
        <f t="shared" ref="S3019:T3022" si="902">"22:22:51.000"</f>
        <v>22:22:51.000</v>
      </c>
      <c r="T3019" t="str">
        <f t="shared" si="902"/>
        <v>22:22:51.000</v>
      </c>
      <c r="U3019" t="str">
        <f t="shared" si="899"/>
        <v>A9D71F</v>
      </c>
      <c r="V3019">
        <v>0</v>
      </c>
      <c r="W3019">
        <v>0</v>
      </c>
      <c r="X3019">
        <v>2</v>
      </c>
      <c r="Z3019">
        <v>1</v>
      </c>
      <c r="AA3019">
        <v>8</v>
      </c>
      <c r="AB3019">
        <v>3</v>
      </c>
      <c r="AC3019">
        <v>0</v>
      </c>
      <c r="AD3019">
        <v>9</v>
      </c>
      <c r="AE3019">
        <v>0</v>
      </c>
      <c r="AF3019">
        <v>3</v>
      </c>
      <c r="AG3019">
        <v>1</v>
      </c>
      <c r="AH3019">
        <v>0</v>
      </c>
      <c r="AI3019" t="s">
        <v>1495</v>
      </c>
      <c r="AJ3019">
        <v>32.976880000000001</v>
      </c>
      <c r="AK3019" t="s">
        <v>1496</v>
      </c>
      <c r="AL3019">
        <v>-97.667663000000005</v>
      </c>
      <c r="AM3019">
        <v>25</v>
      </c>
      <c r="AN3019">
        <v>1000</v>
      </c>
      <c r="AO3019" t="s">
        <v>118</v>
      </c>
      <c r="AP3019">
        <v>8</v>
      </c>
      <c r="AQ3019">
        <v>-85</v>
      </c>
      <c r="AR3019">
        <v>256</v>
      </c>
      <c r="AZ3019">
        <v>7700</v>
      </c>
      <c r="BA3019">
        <v>1</v>
      </c>
      <c r="BB3019" t="str">
        <f t="shared" si="887"/>
        <v xml:space="preserve">N733KP  </v>
      </c>
      <c r="BC3019">
        <v>1</v>
      </c>
      <c r="BE3019">
        <v>0</v>
      </c>
      <c r="BF3019">
        <v>0</v>
      </c>
      <c r="BG3019">
        <v>1</v>
      </c>
      <c r="BH3019">
        <v>925</v>
      </c>
      <c r="BI3019">
        <v>1</v>
      </c>
      <c r="BJ3019">
        <v>1</v>
      </c>
      <c r="BK3019">
        <v>0</v>
      </c>
      <c r="BL3019">
        <v>0</v>
      </c>
      <c r="BO3019">
        <v>0</v>
      </c>
      <c r="BP3019">
        <v>0</v>
      </c>
      <c r="BW3019" t="str">
        <f>"22:22:51.455"</f>
        <v>22:22:51.455</v>
      </c>
      <c r="CJ3019">
        <v>0</v>
      </c>
      <c r="CK3019">
        <v>2</v>
      </c>
      <c r="CL3019">
        <v>0</v>
      </c>
      <c r="CM3019">
        <v>2</v>
      </c>
      <c r="CN3019">
        <v>0</v>
      </c>
      <c r="CO3019">
        <v>6</v>
      </c>
      <c r="CP3019" t="s">
        <v>119</v>
      </c>
      <c r="CQ3019">
        <v>364</v>
      </c>
      <c r="CR3019">
        <v>0</v>
      </c>
      <c r="CW3019">
        <v>1483509</v>
      </c>
      <c r="CY3019">
        <v>1</v>
      </c>
      <c r="CZ3019">
        <v>0</v>
      </c>
      <c r="DA3019">
        <v>0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3">
      <c r="A3020" t="str">
        <f>"03/24/2022 22:22:51.648"</f>
        <v>03/24/2022 22:22:51.648</v>
      </c>
      <c r="C3020" t="str">
        <f t="shared" si="886"/>
        <v>FFDFD3C0</v>
      </c>
      <c r="D3020" t="s">
        <v>126</v>
      </c>
      <c r="E3020">
        <v>3</v>
      </c>
      <c r="H3020">
        <v>160</v>
      </c>
      <c r="I3020" t="s">
        <v>121</v>
      </c>
      <c r="J3020" t="s">
        <v>127</v>
      </c>
      <c r="K3020">
        <v>0</v>
      </c>
      <c r="L3020">
        <v>3</v>
      </c>
      <c r="M3020">
        <v>0</v>
      </c>
      <c r="N3020">
        <v>2</v>
      </c>
      <c r="O3020">
        <v>0</v>
      </c>
      <c r="P3020">
        <v>1</v>
      </c>
      <c r="Q3020">
        <v>0</v>
      </c>
      <c r="S3020" t="str">
        <f t="shared" si="902"/>
        <v>22:22:51.000</v>
      </c>
      <c r="T3020" t="str">
        <f t="shared" si="902"/>
        <v>22:22:51.000</v>
      </c>
      <c r="U3020" t="str">
        <f t="shared" si="899"/>
        <v>A9D71F</v>
      </c>
      <c r="V3020">
        <v>0</v>
      </c>
      <c r="W3020">
        <v>0</v>
      </c>
      <c r="X3020">
        <v>2</v>
      </c>
      <c r="Z3020">
        <v>1</v>
      </c>
      <c r="AA3020">
        <v>8</v>
      </c>
      <c r="AB3020">
        <v>3</v>
      </c>
      <c r="AC3020">
        <v>0</v>
      </c>
      <c r="AD3020">
        <v>9</v>
      </c>
      <c r="AE3020">
        <v>0</v>
      </c>
      <c r="AF3020">
        <v>3</v>
      </c>
      <c r="AG3020">
        <v>1</v>
      </c>
      <c r="AH3020">
        <v>0</v>
      </c>
      <c r="AI3020" t="s">
        <v>1495</v>
      </c>
      <c r="AJ3020">
        <v>32.976880000000001</v>
      </c>
      <c r="AK3020" t="s">
        <v>1496</v>
      </c>
      <c r="AL3020">
        <v>-97.667663000000005</v>
      </c>
      <c r="AM3020">
        <v>25</v>
      </c>
      <c r="AN3020">
        <v>1000</v>
      </c>
      <c r="AO3020" t="s">
        <v>118</v>
      </c>
      <c r="AP3020">
        <v>8</v>
      </c>
      <c r="AQ3020">
        <v>-85</v>
      </c>
      <c r="AR3020">
        <v>256</v>
      </c>
      <c r="AZ3020">
        <v>7700</v>
      </c>
      <c r="BA3020">
        <v>1</v>
      </c>
      <c r="BB3020" t="str">
        <f t="shared" si="887"/>
        <v xml:space="preserve">N733KP  </v>
      </c>
      <c r="BC3020">
        <v>1</v>
      </c>
      <c r="BE3020">
        <v>0</v>
      </c>
      <c r="BF3020">
        <v>0</v>
      </c>
      <c r="BG3020">
        <v>1</v>
      </c>
      <c r="BH3020">
        <v>925</v>
      </c>
      <c r="BI3020">
        <v>1</v>
      </c>
      <c r="BJ3020">
        <v>1</v>
      </c>
      <c r="BK3020">
        <v>0</v>
      </c>
      <c r="BL3020">
        <v>0</v>
      </c>
      <c r="BO3020">
        <v>0</v>
      </c>
      <c r="BP3020">
        <v>0</v>
      </c>
      <c r="BW3020" t="str">
        <f>"22:22:51.455"</f>
        <v>22:22:51.455</v>
      </c>
      <c r="CJ3020">
        <v>0</v>
      </c>
      <c r="CK3020">
        <v>2</v>
      </c>
      <c r="CL3020">
        <v>0</v>
      </c>
      <c r="CM3020">
        <v>2</v>
      </c>
      <c r="CN3020">
        <v>0</v>
      </c>
      <c r="CO3020">
        <v>6</v>
      </c>
      <c r="CP3020" t="s">
        <v>119</v>
      </c>
      <c r="CQ3020">
        <v>364</v>
      </c>
      <c r="CR3020">
        <v>0</v>
      </c>
      <c r="CW3020">
        <v>1483509</v>
      </c>
      <c r="CY3020">
        <v>1</v>
      </c>
      <c r="CZ3020">
        <v>0</v>
      </c>
      <c r="DA3020">
        <v>1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3">
      <c r="A3021" t="str">
        <f>"03/24/2022 22:22:51.648"</f>
        <v>03/24/2022 22:22:51.648</v>
      </c>
      <c r="C3021" t="str">
        <f t="shared" si="886"/>
        <v>FFDFD3C0</v>
      </c>
      <c r="D3021" t="s">
        <v>120</v>
      </c>
      <c r="E3021">
        <v>14</v>
      </c>
      <c r="F3021">
        <v>1014</v>
      </c>
      <c r="G3021" t="s">
        <v>121</v>
      </c>
      <c r="J3021" t="s">
        <v>122</v>
      </c>
      <c r="K3021">
        <v>0</v>
      </c>
      <c r="L3021">
        <v>3</v>
      </c>
      <c r="M3021">
        <v>0</v>
      </c>
      <c r="N3021">
        <v>2</v>
      </c>
      <c r="O3021">
        <v>0</v>
      </c>
      <c r="P3021">
        <v>1</v>
      </c>
      <c r="Q3021">
        <v>0</v>
      </c>
      <c r="S3021" t="str">
        <f t="shared" si="902"/>
        <v>22:22:51.000</v>
      </c>
      <c r="T3021" t="str">
        <f t="shared" si="902"/>
        <v>22:22:51.000</v>
      </c>
      <c r="U3021" t="str">
        <f t="shared" si="899"/>
        <v>A9D71F</v>
      </c>
      <c r="V3021">
        <v>0</v>
      </c>
      <c r="W3021">
        <v>0</v>
      </c>
      <c r="X3021">
        <v>2</v>
      </c>
      <c r="Z3021">
        <v>1</v>
      </c>
      <c r="AA3021">
        <v>8</v>
      </c>
      <c r="AB3021">
        <v>3</v>
      </c>
      <c r="AC3021">
        <v>0</v>
      </c>
      <c r="AD3021">
        <v>9</v>
      </c>
      <c r="AE3021">
        <v>0</v>
      </c>
      <c r="AF3021">
        <v>3</v>
      </c>
      <c r="AG3021">
        <v>1</v>
      </c>
      <c r="AH3021">
        <v>0</v>
      </c>
      <c r="AI3021" t="s">
        <v>1495</v>
      </c>
      <c r="AJ3021">
        <v>32.976880000000001</v>
      </c>
      <c r="AK3021" t="s">
        <v>1496</v>
      </c>
      <c r="AL3021">
        <v>-97.667663000000005</v>
      </c>
      <c r="AM3021">
        <v>25</v>
      </c>
      <c r="AN3021">
        <v>1000</v>
      </c>
      <c r="AO3021" t="s">
        <v>118</v>
      </c>
      <c r="AP3021">
        <v>8</v>
      </c>
      <c r="AQ3021">
        <v>-85</v>
      </c>
      <c r="AR3021">
        <v>256</v>
      </c>
      <c r="AZ3021">
        <v>7700</v>
      </c>
      <c r="BA3021">
        <v>1</v>
      </c>
      <c r="BB3021" t="str">
        <f t="shared" si="887"/>
        <v xml:space="preserve">N733KP  </v>
      </c>
      <c r="BC3021">
        <v>1</v>
      </c>
      <c r="BE3021">
        <v>0</v>
      </c>
      <c r="BF3021">
        <v>0</v>
      </c>
      <c r="BG3021">
        <v>1</v>
      </c>
      <c r="BH3021">
        <v>925</v>
      </c>
      <c r="BI3021">
        <v>1</v>
      </c>
      <c r="BJ3021">
        <v>1</v>
      </c>
      <c r="BK3021">
        <v>0</v>
      </c>
      <c r="BL3021">
        <v>0</v>
      </c>
      <c r="BO3021">
        <v>0</v>
      </c>
      <c r="BP3021">
        <v>0</v>
      </c>
      <c r="BW3021" t="str">
        <f>"22:22:51.455"</f>
        <v>22:22:51.455</v>
      </c>
      <c r="CJ3021">
        <v>0</v>
      </c>
      <c r="CK3021">
        <v>2</v>
      </c>
      <c r="CL3021">
        <v>0</v>
      </c>
      <c r="CM3021">
        <v>2</v>
      </c>
      <c r="CN3021">
        <v>0</v>
      </c>
      <c r="CO3021">
        <v>6</v>
      </c>
      <c r="CP3021" t="s">
        <v>119</v>
      </c>
      <c r="CQ3021">
        <v>364</v>
      </c>
      <c r="CR3021">
        <v>0</v>
      </c>
      <c r="CW3021">
        <v>1483509</v>
      </c>
      <c r="CY3021">
        <v>1</v>
      </c>
      <c r="CZ3021">
        <v>0</v>
      </c>
      <c r="DA3021">
        <v>1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3">
      <c r="A3022" t="str">
        <f>"03/24/2022 22:22:51.648"</f>
        <v>03/24/2022 22:22:51.648</v>
      </c>
      <c r="C3022" t="str">
        <f t="shared" si="886"/>
        <v>FFDFD3C0</v>
      </c>
      <c r="D3022" t="s">
        <v>123</v>
      </c>
      <c r="E3022">
        <v>8</v>
      </c>
      <c r="H3022">
        <v>31</v>
      </c>
      <c r="I3022" t="s">
        <v>124</v>
      </c>
      <c r="J3022" t="s">
        <v>125</v>
      </c>
      <c r="K3022">
        <v>0</v>
      </c>
      <c r="L3022">
        <v>3</v>
      </c>
      <c r="M3022">
        <v>0</v>
      </c>
      <c r="N3022">
        <v>2</v>
      </c>
      <c r="O3022">
        <v>0</v>
      </c>
      <c r="P3022">
        <v>1</v>
      </c>
      <c r="Q3022">
        <v>0</v>
      </c>
      <c r="S3022" t="str">
        <f t="shared" si="902"/>
        <v>22:22:51.000</v>
      </c>
      <c r="T3022" t="str">
        <f t="shared" si="902"/>
        <v>22:22:51.000</v>
      </c>
      <c r="U3022" t="str">
        <f t="shared" si="899"/>
        <v>A9D71F</v>
      </c>
      <c r="V3022">
        <v>0</v>
      </c>
      <c r="W3022">
        <v>0</v>
      </c>
      <c r="X3022">
        <v>2</v>
      </c>
      <c r="Z3022">
        <v>1</v>
      </c>
      <c r="AA3022">
        <v>8</v>
      </c>
      <c r="AB3022">
        <v>3</v>
      </c>
      <c r="AC3022">
        <v>0</v>
      </c>
      <c r="AD3022">
        <v>9</v>
      </c>
      <c r="AE3022">
        <v>0</v>
      </c>
      <c r="AF3022">
        <v>3</v>
      </c>
      <c r="AG3022">
        <v>1</v>
      </c>
      <c r="AH3022">
        <v>0</v>
      </c>
      <c r="AI3022" t="s">
        <v>1495</v>
      </c>
      <c r="AJ3022">
        <v>32.976880000000001</v>
      </c>
      <c r="AK3022" t="s">
        <v>1496</v>
      </c>
      <c r="AL3022">
        <v>-97.667663000000005</v>
      </c>
      <c r="AM3022">
        <v>25</v>
      </c>
      <c r="AN3022">
        <v>1000</v>
      </c>
      <c r="AO3022" t="s">
        <v>118</v>
      </c>
      <c r="AP3022">
        <v>8</v>
      </c>
      <c r="AQ3022">
        <v>-85</v>
      </c>
      <c r="AR3022">
        <v>256</v>
      </c>
      <c r="AZ3022">
        <v>7700</v>
      </c>
      <c r="BA3022">
        <v>1</v>
      </c>
      <c r="BB3022" t="str">
        <f t="shared" si="887"/>
        <v xml:space="preserve">N733KP  </v>
      </c>
      <c r="BC3022">
        <v>1</v>
      </c>
      <c r="BE3022">
        <v>0</v>
      </c>
      <c r="BF3022">
        <v>0</v>
      </c>
      <c r="BG3022">
        <v>1</v>
      </c>
      <c r="BH3022">
        <v>925</v>
      </c>
      <c r="BI3022">
        <v>1</v>
      </c>
      <c r="BJ3022">
        <v>1</v>
      </c>
      <c r="BK3022">
        <v>0</v>
      </c>
      <c r="BL3022">
        <v>0</v>
      </c>
      <c r="BO3022">
        <v>0</v>
      </c>
      <c r="BP3022">
        <v>0</v>
      </c>
      <c r="BW3022" t="str">
        <f>"22:22:51.455"</f>
        <v>22:22:51.455</v>
      </c>
      <c r="CJ3022">
        <v>0</v>
      </c>
      <c r="CK3022">
        <v>2</v>
      </c>
      <c r="CL3022">
        <v>0</v>
      </c>
      <c r="CM3022">
        <v>2</v>
      </c>
      <c r="CN3022">
        <v>0</v>
      </c>
      <c r="CO3022">
        <v>6</v>
      </c>
      <c r="CP3022" t="s">
        <v>119</v>
      </c>
      <c r="CQ3022">
        <v>364</v>
      </c>
      <c r="CR3022">
        <v>0</v>
      </c>
      <c r="CW3022">
        <v>1483509</v>
      </c>
      <c r="CY3022">
        <v>1</v>
      </c>
      <c r="CZ3022">
        <v>0</v>
      </c>
      <c r="DA3022">
        <v>1</v>
      </c>
      <c r="DB3022">
        <v>0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3">
      <c r="A3023" t="str">
        <f>"03/24/2022 22:22:52.477"</f>
        <v>03/24/2022 22:22:52.477</v>
      </c>
      <c r="C3023" t="str">
        <f t="shared" si="886"/>
        <v>FFDFD3C0</v>
      </c>
      <c r="D3023" t="s">
        <v>120</v>
      </c>
      <c r="E3023">
        <v>14</v>
      </c>
      <c r="F3023">
        <v>1014</v>
      </c>
      <c r="G3023" t="s">
        <v>121</v>
      </c>
      <c r="J3023" t="s">
        <v>122</v>
      </c>
      <c r="K3023">
        <v>0</v>
      </c>
      <c r="L3023">
        <v>3</v>
      </c>
      <c r="M3023">
        <v>0</v>
      </c>
      <c r="N3023">
        <v>2</v>
      </c>
      <c r="O3023">
        <v>0</v>
      </c>
      <c r="P3023">
        <v>1</v>
      </c>
      <c r="Q3023">
        <v>0</v>
      </c>
      <c r="S3023" t="str">
        <f t="shared" ref="S3023:T3026" si="903">"22:22:52.000"</f>
        <v>22:22:52.000</v>
      </c>
      <c r="T3023" t="str">
        <f t="shared" si="903"/>
        <v>22:22:52.000</v>
      </c>
      <c r="U3023" t="str">
        <f t="shared" si="899"/>
        <v>A9D71F</v>
      </c>
      <c r="V3023">
        <v>0</v>
      </c>
      <c r="W3023">
        <v>0</v>
      </c>
      <c r="X3023">
        <v>2</v>
      </c>
      <c r="Z3023">
        <v>1</v>
      </c>
      <c r="AA3023">
        <v>8</v>
      </c>
      <c r="AB3023">
        <v>3</v>
      </c>
      <c r="AC3023">
        <v>0</v>
      </c>
      <c r="AD3023">
        <v>9</v>
      </c>
      <c r="AE3023">
        <v>0</v>
      </c>
      <c r="AF3023">
        <v>3</v>
      </c>
      <c r="AG3023">
        <v>1</v>
      </c>
      <c r="AH3023">
        <v>0</v>
      </c>
      <c r="AI3023" t="s">
        <v>1497</v>
      </c>
      <c r="AJ3023">
        <v>32.976514999999999</v>
      </c>
      <c r="AK3023" t="s">
        <v>939</v>
      </c>
      <c r="AL3023">
        <v>-97.667642000000001</v>
      </c>
      <c r="AM3023">
        <v>25</v>
      </c>
      <c r="AN3023">
        <v>1000</v>
      </c>
      <c r="AO3023" t="s">
        <v>118</v>
      </c>
      <c r="AP3023">
        <v>8</v>
      </c>
      <c r="AQ3023">
        <v>-84</v>
      </c>
      <c r="AR3023">
        <v>256</v>
      </c>
      <c r="AZ3023">
        <v>7700</v>
      </c>
      <c r="BA3023">
        <v>1</v>
      </c>
      <c r="BB3023" t="str">
        <f t="shared" si="887"/>
        <v xml:space="preserve">N733KP  </v>
      </c>
      <c r="BC3023">
        <v>1</v>
      </c>
      <c r="BE3023">
        <v>0</v>
      </c>
      <c r="BF3023">
        <v>0</v>
      </c>
      <c r="BG3023">
        <v>1</v>
      </c>
      <c r="BH3023">
        <v>925</v>
      </c>
      <c r="BI3023">
        <v>1</v>
      </c>
      <c r="BJ3023">
        <v>1</v>
      </c>
      <c r="BK3023">
        <v>0</v>
      </c>
      <c r="BL3023">
        <v>0</v>
      </c>
      <c r="BO3023">
        <v>0</v>
      </c>
      <c r="BP3023">
        <v>0</v>
      </c>
      <c r="BW3023" t="str">
        <f>"22:22:52.259"</f>
        <v>22:22:52.259</v>
      </c>
      <c r="CJ3023">
        <v>0</v>
      </c>
      <c r="CK3023">
        <v>2</v>
      </c>
      <c r="CL3023">
        <v>0</v>
      </c>
      <c r="CM3023">
        <v>2</v>
      </c>
      <c r="CN3023">
        <v>0</v>
      </c>
      <c r="CO3023">
        <v>5</v>
      </c>
      <c r="CP3023" t="s">
        <v>119</v>
      </c>
      <c r="CQ3023">
        <v>364</v>
      </c>
      <c r="CR3023">
        <v>0</v>
      </c>
      <c r="CW3023">
        <v>1483616</v>
      </c>
      <c r="CY3023">
        <v>1</v>
      </c>
      <c r="CZ3023">
        <v>0</v>
      </c>
      <c r="DA3023">
        <v>0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3">
      <c r="A3024" t="str">
        <f>"03/24/2022 22:22:52.477"</f>
        <v>03/24/2022 22:22:52.477</v>
      </c>
      <c r="C3024" t="str">
        <f t="shared" si="886"/>
        <v>FFDFD3C0</v>
      </c>
      <c r="D3024" t="s">
        <v>123</v>
      </c>
      <c r="E3024">
        <v>8</v>
      </c>
      <c r="H3024">
        <v>31</v>
      </c>
      <c r="I3024" t="s">
        <v>124</v>
      </c>
      <c r="J3024" t="s">
        <v>125</v>
      </c>
      <c r="K3024">
        <v>0</v>
      </c>
      <c r="L3024">
        <v>3</v>
      </c>
      <c r="M3024">
        <v>0</v>
      </c>
      <c r="N3024">
        <v>2</v>
      </c>
      <c r="O3024">
        <v>0</v>
      </c>
      <c r="P3024">
        <v>1</v>
      </c>
      <c r="Q3024">
        <v>0</v>
      </c>
      <c r="S3024" t="str">
        <f t="shared" si="903"/>
        <v>22:22:52.000</v>
      </c>
      <c r="T3024" t="str">
        <f t="shared" si="903"/>
        <v>22:22:52.000</v>
      </c>
      <c r="U3024" t="str">
        <f t="shared" si="899"/>
        <v>A9D71F</v>
      </c>
      <c r="V3024">
        <v>0</v>
      </c>
      <c r="W3024">
        <v>0</v>
      </c>
      <c r="X3024">
        <v>2</v>
      </c>
      <c r="Z3024">
        <v>1</v>
      </c>
      <c r="AA3024">
        <v>8</v>
      </c>
      <c r="AB3024">
        <v>3</v>
      </c>
      <c r="AC3024">
        <v>0</v>
      </c>
      <c r="AD3024">
        <v>9</v>
      </c>
      <c r="AE3024">
        <v>0</v>
      </c>
      <c r="AF3024">
        <v>3</v>
      </c>
      <c r="AG3024">
        <v>1</v>
      </c>
      <c r="AH3024">
        <v>0</v>
      </c>
      <c r="AI3024" t="s">
        <v>1497</v>
      </c>
      <c r="AJ3024">
        <v>32.976514999999999</v>
      </c>
      <c r="AK3024" t="s">
        <v>939</v>
      </c>
      <c r="AL3024">
        <v>-97.667642000000001</v>
      </c>
      <c r="AM3024">
        <v>25</v>
      </c>
      <c r="AN3024">
        <v>1000</v>
      </c>
      <c r="AO3024" t="s">
        <v>118</v>
      </c>
      <c r="AP3024">
        <v>8</v>
      </c>
      <c r="AQ3024">
        <v>-84</v>
      </c>
      <c r="AR3024">
        <v>256</v>
      </c>
      <c r="AZ3024">
        <v>7700</v>
      </c>
      <c r="BA3024">
        <v>1</v>
      </c>
      <c r="BB3024" t="str">
        <f t="shared" si="887"/>
        <v xml:space="preserve">N733KP  </v>
      </c>
      <c r="BC3024">
        <v>1</v>
      </c>
      <c r="BE3024">
        <v>0</v>
      </c>
      <c r="BF3024">
        <v>0</v>
      </c>
      <c r="BG3024">
        <v>1</v>
      </c>
      <c r="BH3024">
        <v>925</v>
      </c>
      <c r="BI3024">
        <v>1</v>
      </c>
      <c r="BJ3024">
        <v>1</v>
      </c>
      <c r="BK3024">
        <v>0</v>
      </c>
      <c r="BL3024">
        <v>0</v>
      </c>
      <c r="BO3024">
        <v>0</v>
      </c>
      <c r="BP3024">
        <v>0</v>
      </c>
      <c r="BW3024" t="str">
        <f>"22:22:52.259"</f>
        <v>22:22:52.259</v>
      </c>
      <c r="CJ3024">
        <v>0</v>
      </c>
      <c r="CK3024">
        <v>2</v>
      </c>
      <c r="CL3024">
        <v>0</v>
      </c>
      <c r="CM3024">
        <v>2</v>
      </c>
      <c r="CN3024">
        <v>0</v>
      </c>
      <c r="CO3024">
        <v>5</v>
      </c>
      <c r="CP3024" t="s">
        <v>119</v>
      </c>
      <c r="CQ3024">
        <v>364</v>
      </c>
      <c r="CR3024">
        <v>0</v>
      </c>
      <c r="CW3024">
        <v>1483616</v>
      </c>
      <c r="CY3024">
        <v>1</v>
      </c>
      <c r="CZ3024">
        <v>0</v>
      </c>
      <c r="DA3024">
        <v>1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3">
      <c r="A3025" t="str">
        <f>"03/24/2022 22:22:52.493"</f>
        <v>03/24/2022 22:22:52.493</v>
      </c>
      <c r="C3025" t="str">
        <f t="shared" si="886"/>
        <v>FFDFD3C0</v>
      </c>
      <c r="D3025" t="s">
        <v>126</v>
      </c>
      <c r="E3025">
        <v>3</v>
      </c>
      <c r="H3025">
        <v>160</v>
      </c>
      <c r="I3025" t="s">
        <v>121</v>
      </c>
      <c r="J3025" t="s">
        <v>127</v>
      </c>
      <c r="K3025">
        <v>0</v>
      </c>
      <c r="L3025">
        <v>3</v>
      </c>
      <c r="M3025">
        <v>0</v>
      </c>
      <c r="N3025">
        <v>2</v>
      </c>
      <c r="O3025">
        <v>0</v>
      </c>
      <c r="P3025">
        <v>1</v>
      </c>
      <c r="Q3025">
        <v>0</v>
      </c>
      <c r="S3025" t="str">
        <f t="shared" si="903"/>
        <v>22:22:52.000</v>
      </c>
      <c r="T3025" t="str">
        <f t="shared" si="903"/>
        <v>22:22:52.000</v>
      </c>
      <c r="U3025" t="str">
        <f t="shared" si="899"/>
        <v>A9D71F</v>
      </c>
      <c r="V3025">
        <v>0</v>
      </c>
      <c r="W3025">
        <v>0</v>
      </c>
      <c r="X3025">
        <v>2</v>
      </c>
      <c r="Z3025">
        <v>1</v>
      </c>
      <c r="AA3025">
        <v>8</v>
      </c>
      <c r="AB3025">
        <v>3</v>
      </c>
      <c r="AC3025">
        <v>0</v>
      </c>
      <c r="AD3025">
        <v>9</v>
      </c>
      <c r="AE3025">
        <v>0</v>
      </c>
      <c r="AF3025">
        <v>3</v>
      </c>
      <c r="AG3025">
        <v>1</v>
      </c>
      <c r="AH3025">
        <v>0</v>
      </c>
      <c r="AI3025" t="s">
        <v>1497</v>
      </c>
      <c r="AJ3025">
        <v>32.976514999999999</v>
      </c>
      <c r="AK3025" t="s">
        <v>939</v>
      </c>
      <c r="AL3025">
        <v>-97.667642000000001</v>
      </c>
      <c r="AM3025">
        <v>25</v>
      </c>
      <c r="AN3025">
        <v>1000</v>
      </c>
      <c r="AO3025" t="s">
        <v>118</v>
      </c>
      <c r="AP3025">
        <v>8</v>
      </c>
      <c r="AQ3025">
        <v>-84</v>
      </c>
      <c r="AR3025">
        <v>256</v>
      </c>
      <c r="AZ3025">
        <v>7700</v>
      </c>
      <c r="BA3025">
        <v>1</v>
      </c>
      <c r="BB3025" t="str">
        <f t="shared" si="887"/>
        <v xml:space="preserve">N733KP  </v>
      </c>
      <c r="BC3025">
        <v>1</v>
      </c>
      <c r="BE3025">
        <v>0</v>
      </c>
      <c r="BF3025">
        <v>0</v>
      </c>
      <c r="BG3025">
        <v>1</v>
      </c>
      <c r="BH3025">
        <v>925</v>
      </c>
      <c r="BI3025">
        <v>1</v>
      </c>
      <c r="BJ3025">
        <v>1</v>
      </c>
      <c r="BK3025">
        <v>0</v>
      </c>
      <c r="BL3025">
        <v>0</v>
      </c>
      <c r="BO3025">
        <v>0</v>
      </c>
      <c r="BP3025">
        <v>0</v>
      </c>
      <c r="BW3025" t="str">
        <f>"22:22:52.259"</f>
        <v>22:22:52.259</v>
      </c>
      <c r="CJ3025">
        <v>0</v>
      </c>
      <c r="CK3025">
        <v>2</v>
      </c>
      <c r="CL3025">
        <v>0</v>
      </c>
      <c r="CM3025">
        <v>2</v>
      </c>
      <c r="CN3025">
        <v>0</v>
      </c>
      <c r="CO3025">
        <v>5</v>
      </c>
      <c r="CP3025" t="s">
        <v>119</v>
      </c>
      <c r="CQ3025">
        <v>364</v>
      </c>
      <c r="CR3025">
        <v>0</v>
      </c>
      <c r="CW3025">
        <v>1483616</v>
      </c>
      <c r="CY3025">
        <v>1</v>
      </c>
      <c r="CZ3025">
        <v>0</v>
      </c>
      <c r="DA3025">
        <v>1</v>
      </c>
      <c r="DB3025">
        <v>0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3">
      <c r="A3026" t="str">
        <f>"03/24/2022 22:22:52.493"</f>
        <v>03/24/2022 22:22:52.493</v>
      </c>
      <c r="C3026" t="str">
        <f t="shared" si="886"/>
        <v>FFDFD3C0</v>
      </c>
      <c r="D3026" t="s">
        <v>113</v>
      </c>
      <c r="E3026">
        <v>24</v>
      </c>
      <c r="F3026">
        <v>2024</v>
      </c>
      <c r="G3026" t="s">
        <v>114</v>
      </c>
      <c r="J3026" t="s">
        <v>115</v>
      </c>
      <c r="K3026">
        <v>0</v>
      </c>
      <c r="L3026">
        <v>3</v>
      </c>
      <c r="M3026">
        <v>0</v>
      </c>
      <c r="N3026">
        <v>2</v>
      </c>
      <c r="O3026">
        <v>0</v>
      </c>
      <c r="P3026">
        <v>1</v>
      </c>
      <c r="Q3026">
        <v>0</v>
      </c>
      <c r="S3026" t="str">
        <f t="shared" si="903"/>
        <v>22:22:52.000</v>
      </c>
      <c r="T3026" t="str">
        <f t="shared" si="903"/>
        <v>22:22:52.000</v>
      </c>
      <c r="U3026" t="str">
        <f t="shared" si="899"/>
        <v>A9D71F</v>
      </c>
      <c r="V3026">
        <v>0</v>
      </c>
      <c r="W3026">
        <v>0</v>
      </c>
      <c r="X3026">
        <v>2</v>
      </c>
      <c r="Z3026">
        <v>1</v>
      </c>
      <c r="AA3026">
        <v>8</v>
      </c>
      <c r="AB3026">
        <v>3</v>
      </c>
      <c r="AC3026">
        <v>0</v>
      </c>
      <c r="AD3026">
        <v>9</v>
      </c>
      <c r="AE3026">
        <v>0</v>
      </c>
      <c r="AF3026">
        <v>3</v>
      </c>
      <c r="AG3026">
        <v>1</v>
      </c>
      <c r="AH3026">
        <v>0</v>
      </c>
      <c r="AI3026" t="s">
        <v>1497</v>
      </c>
      <c r="AJ3026">
        <v>32.976514999999999</v>
      </c>
      <c r="AK3026" t="s">
        <v>939</v>
      </c>
      <c r="AL3026">
        <v>-97.667642000000001</v>
      </c>
      <c r="AM3026">
        <v>25</v>
      </c>
      <c r="AN3026">
        <v>1000</v>
      </c>
      <c r="AO3026" t="s">
        <v>118</v>
      </c>
      <c r="AP3026">
        <v>8</v>
      </c>
      <c r="AQ3026">
        <v>-84</v>
      </c>
      <c r="AR3026">
        <v>256</v>
      </c>
      <c r="AZ3026">
        <v>7700</v>
      </c>
      <c r="BA3026">
        <v>1</v>
      </c>
      <c r="BB3026" t="str">
        <f t="shared" si="887"/>
        <v xml:space="preserve">N733KP  </v>
      </c>
      <c r="BC3026">
        <v>1</v>
      </c>
      <c r="BE3026">
        <v>0</v>
      </c>
      <c r="BF3026">
        <v>0</v>
      </c>
      <c r="BG3026">
        <v>1</v>
      </c>
      <c r="BH3026">
        <v>925</v>
      </c>
      <c r="BI3026">
        <v>1</v>
      </c>
      <c r="BJ3026">
        <v>1</v>
      </c>
      <c r="BK3026">
        <v>0</v>
      </c>
      <c r="BL3026">
        <v>0</v>
      </c>
      <c r="BO3026">
        <v>0</v>
      </c>
      <c r="BP3026">
        <v>0</v>
      </c>
      <c r="BW3026" t="str">
        <f>"22:22:52.259"</f>
        <v>22:22:52.259</v>
      </c>
      <c r="CJ3026">
        <v>0</v>
      </c>
      <c r="CK3026">
        <v>2</v>
      </c>
      <c r="CL3026">
        <v>0</v>
      </c>
      <c r="CM3026">
        <v>2</v>
      </c>
      <c r="CN3026">
        <v>0</v>
      </c>
      <c r="CO3026">
        <v>5</v>
      </c>
      <c r="CP3026" t="s">
        <v>119</v>
      </c>
      <c r="CQ3026">
        <v>364</v>
      </c>
      <c r="CR3026">
        <v>0</v>
      </c>
      <c r="CW3026">
        <v>1483616</v>
      </c>
      <c r="CY3026">
        <v>1</v>
      </c>
      <c r="CZ3026">
        <v>0</v>
      </c>
      <c r="DA3026">
        <v>1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3">
      <c r="A3027" t="str">
        <f>"03/24/2022 22:22:54.042"</f>
        <v>03/24/2022 22:22:54.042</v>
      </c>
      <c r="C3027" t="str">
        <f t="shared" si="886"/>
        <v>FFDFD3C0</v>
      </c>
      <c r="D3027" t="s">
        <v>126</v>
      </c>
      <c r="E3027">
        <v>3</v>
      </c>
      <c r="H3027">
        <v>160</v>
      </c>
      <c r="I3027" t="s">
        <v>121</v>
      </c>
      <c r="J3027" t="s">
        <v>127</v>
      </c>
      <c r="K3027">
        <v>0</v>
      </c>
      <c r="L3027">
        <v>3</v>
      </c>
      <c r="M3027">
        <v>0</v>
      </c>
      <c r="N3027">
        <v>2</v>
      </c>
      <c r="O3027">
        <v>0</v>
      </c>
      <c r="P3027">
        <v>1</v>
      </c>
      <c r="Q3027">
        <v>0</v>
      </c>
      <c r="S3027" t="str">
        <f t="shared" ref="S3027:T3030" si="904">"22:22:53.000"</f>
        <v>22:22:53.000</v>
      </c>
      <c r="T3027" t="str">
        <f t="shared" si="904"/>
        <v>22:22:53.000</v>
      </c>
      <c r="U3027" t="str">
        <f t="shared" si="899"/>
        <v>A9D71F</v>
      </c>
      <c r="V3027">
        <v>0</v>
      </c>
      <c r="W3027">
        <v>0</v>
      </c>
      <c r="X3027">
        <v>2</v>
      </c>
      <c r="Z3027">
        <v>1</v>
      </c>
      <c r="AA3027">
        <v>8</v>
      </c>
      <c r="AB3027">
        <v>3</v>
      </c>
      <c r="AC3027">
        <v>0</v>
      </c>
      <c r="AD3027">
        <v>9</v>
      </c>
      <c r="AE3027">
        <v>0</v>
      </c>
      <c r="AF3027">
        <v>3</v>
      </c>
      <c r="AG3027">
        <v>1</v>
      </c>
      <c r="AH3027">
        <v>0</v>
      </c>
      <c r="AI3027" t="s">
        <v>1498</v>
      </c>
      <c r="AJ3027">
        <v>32.976171999999998</v>
      </c>
      <c r="AK3027" t="s">
        <v>1499</v>
      </c>
      <c r="AL3027">
        <v>-97.667598999999996</v>
      </c>
      <c r="AM3027">
        <v>25</v>
      </c>
      <c r="AN3027">
        <v>1000</v>
      </c>
      <c r="AO3027" t="s">
        <v>118</v>
      </c>
      <c r="AP3027">
        <v>5</v>
      </c>
      <c r="AQ3027">
        <v>-82</v>
      </c>
      <c r="AR3027">
        <v>256</v>
      </c>
      <c r="AZ3027">
        <v>7700</v>
      </c>
      <c r="BA3027">
        <v>1</v>
      </c>
      <c r="BB3027" t="str">
        <f t="shared" si="887"/>
        <v xml:space="preserve">N733KP  </v>
      </c>
      <c r="BC3027">
        <v>1</v>
      </c>
      <c r="BE3027">
        <v>0</v>
      </c>
      <c r="BF3027">
        <v>0</v>
      </c>
      <c r="BG3027">
        <v>1</v>
      </c>
      <c r="BH3027">
        <v>925</v>
      </c>
      <c r="BI3027">
        <v>1</v>
      </c>
      <c r="BJ3027">
        <v>1</v>
      </c>
      <c r="BK3027">
        <v>0</v>
      </c>
      <c r="BL3027">
        <v>0</v>
      </c>
      <c r="BO3027">
        <v>0</v>
      </c>
      <c r="BP3027">
        <v>0</v>
      </c>
      <c r="BW3027" t="str">
        <f>"22:22:53.837"</f>
        <v>22:22:53.837</v>
      </c>
      <c r="CJ3027">
        <v>0</v>
      </c>
      <c r="CK3027">
        <v>2</v>
      </c>
      <c r="CL3027">
        <v>0</v>
      </c>
      <c r="CM3027">
        <v>2</v>
      </c>
      <c r="CN3027">
        <v>0</v>
      </c>
      <c r="CO3027">
        <v>5</v>
      </c>
      <c r="CP3027" t="s">
        <v>119</v>
      </c>
      <c r="CQ3027">
        <v>364</v>
      </c>
      <c r="CR3027">
        <v>0</v>
      </c>
      <c r="CW3027">
        <v>1483843</v>
      </c>
      <c r="CY3027">
        <v>1</v>
      </c>
      <c r="CZ3027">
        <v>0</v>
      </c>
      <c r="DA3027">
        <v>0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3">
      <c r="A3028" t="str">
        <f>"03/24/2022 22:22:54.042"</f>
        <v>03/24/2022 22:22:54.042</v>
      </c>
      <c r="C3028" t="str">
        <f t="shared" si="886"/>
        <v>FFDFD3C0</v>
      </c>
      <c r="D3028" t="s">
        <v>113</v>
      </c>
      <c r="E3028">
        <v>24</v>
      </c>
      <c r="F3028">
        <v>2024</v>
      </c>
      <c r="G3028" t="s">
        <v>114</v>
      </c>
      <c r="J3028" t="s">
        <v>115</v>
      </c>
      <c r="K3028">
        <v>0</v>
      </c>
      <c r="L3028">
        <v>3</v>
      </c>
      <c r="M3028">
        <v>0</v>
      </c>
      <c r="N3028">
        <v>2</v>
      </c>
      <c r="O3028">
        <v>0</v>
      </c>
      <c r="P3028">
        <v>1</v>
      </c>
      <c r="Q3028">
        <v>0</v>
      </c>
      <c r="S3028" t="str">
        <f t="shared" si="904"/>
        <v>22:22:53.000</v>
      </c>
      <c r="T3028" t="str">
        <f t="shared" si="904"/>
        <v>22:22:53.000</v>
      </c>
      <c r="U3028" t="str">
        <f t="shared" si="899"/>
        <v>A9D71F</v>
      </c>
      <c r="V3028">
        <v>0</v>
      </c>
      <c r="W3028">
        <v>0</v>
      </c>
      <c r="X3028">
        <v>2</v>
      </c>
      <c r="Z3028">
        <v>1</v>
      </c>
      <c r="AA3028">
        <v>8</v>
      </c>
      <c r="AB3028">
        <v>3</v>
      </c>
      <c r="AC3028">
        <v>0</v>
      </c>
      <c r="AD3028">
        <v>9</v>
      </c>
      <c r="AE3028">
        <v>0</v>
      </c>
      <c r="AF3028">
        <v>3</v>
      </c>
      <c r="AG3028">
        <v>1</v>
      </c>
      <c r="AH3028">
        <v>0</v>
      </c>
      <c r="AI3028" t="s">
        <v>1498</v>
      </c>
      <c r="AJ3028">
        <v>32.976171999999998</v>
      </c>
      <c r="AK3028" t="s">
        <v>1499</v>
      </c>
      <c r="AL3028">
        <v>-97.667598999999996</v>
      </c>
      <c r="AM3028">
        <v>25</v>
      </c>
      <c r="AN3028">
        <v>1000</v>
      </c>
      <c r="AO3028" t="s">
        <v>118</v>
      </c>
      <c r="AP3028">
        <v>5</v>
      </c>
      <c r="AQ3028">
        <v>-82</v>
      </c>
      <c r="AR3028">
        <v>256</v>
      </c>
      <c r="AZ3028">
        <v>7700</v>
      </c>
      <c r="BA3028">
        <v>1</v>
      </c>
      <c r="BB3028" t="str">
        <f t="shared" si="887"/>
        <v xml:space="preserve">N733KP  </v>
      </c>
      <c r="BC3028">
        <v>1</v>
      </c>
      <c r="BE3028">
        <v>0</v>
      </c>
      <c r="BF3028">
        <v>0</v>
      </c>
      <c r="BG3028">
        <v>1</v>
      </c>
      <c r="BH3028">
        <v>925</v>
      </c>
      <c r="BI3028">
        <v>1</v>
      </c>
      <c r="BJ3028">
        <v>1</v>
      </c>
      <c r="BK3028">
        <v>0</v>
      </c>
      <c r="BL3028">
        <v>0</v>
      </c>
      <c r="BO3028">
        <v>0</v>
      </c>
      <c r="BP3028">
        <v>0</v>
      </c>
      <c r="BW3028" t="str">
        <f>"22:22:53.837"</f>
        <v>22:22:53.837</v>
      </c>
      <c r="CJ3028">
        <v>0</v>
      </c>
      <c r="CK3028">
        <v>2</v>
      </c>
      <c r="CL3028">
        <v>0</v>
      </c>
      <c r="CM3028">
        <v>2</v>
      </c>
      <c r="CN3028">
        <v>0</v>
      </c>
      <c r="CO3028">
        <v>5</v>
      </c>
      <c r="CP3028" t="s">
        <v>119</v>
      </c>
      <c r="CQ3028">
        <v>364</v>
      </c>
      <c r="CR3028">
        <v>0</v>
      </c>
      <c r="CW3028">
        <v>1483843</v>
      </c>
      <c r="CY3028">
        <v>1</v>
      </c>
      <c r="CZ3028">
        <v>0</v>
      </c>
      <c r="DA3028">
        <v>1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3">
      <c r="A3029" t="str">
        <f>"03/24/2022 22:22:54.042"</f>
        <v>03/24/2022 22:22:54.042</v>
      </c>
      <c r="C3029" t="str">
        <f t="shared" si="886"/>
        <v>FFDFD3C0</v>
      </c>
      <c r="D3029" t="s">
        <v>120</v>
      </c>
      <c r="E3029">
        <v>14</v>
      </c>
      <c r="F3029">
        <v>1014</v>
      </c>
      <c r="G3029" t="s">
        <v>121</v>
      </c>
      <c r="J3029" t="s">
        <v>122</v>
      </c>
      <c r="K3029">
        <v>0</v>
      </c>
      <c r="L3029">
        <v>3</v>
      </c>
      <c r="M3029">
        <v>0</v>
      </c>
      <c r="N3029">
        <v>2</v>
      </c>
      <c r="O3029">
        <v>0</v>
      </c>
      <c r="P3029">
        <v>1</v>
      </c>
      <c r="Q3029">
        <v>0</v>
      </c>
      <c r="S3029" t="str">
        <f t="shared" si="904"/>
        <v>22:22:53.000</v>
      </c>
      <c r="T3029" t="str">
        <f t="shared" si="904"/>
        <v>22:22:53.000</v>
      </c>
      <c r="U3029" t="str">
        <f t="shared" si="899"/>
        <v>A9D71F</v>
      </c>
      <c r="V3029">
        <v>0</v>
      </c>
      <c r="W3029">
        <v>0</v>
      </c>
      <c r="X3029">
        <v>2</v>
      </c>
      <c r="Z3029">
        <v>1</v>
      </c>
      <c r="AA3029">
        <v>8</v>
      </c>
      <c r="AB3029">
        <v>3</v>
      </c>
      <c r="AC3029">
        <v>0</v>
      </c>
      <c r="AD3029">
        <v>9</v>
      </c>
      <c r="AE3029">
        <v>0</v>
      </c>
      <c r="AF3029">
        <v>3</v>
      </c>
      <c r="AG3029">
        <v>1</v>
      </c>
      <c r="AH3029">
        <v>0</v>
      </c>
      <c r="AI3029" t="s">
        <v>1498</v>
      </c>
      <c r="AJ3029">
        <v>32.976171999999998</v>
      </c>
      <c r="AK3029" t="s">
        <v>1499</v>
      </c>
      <c r="AL3029">
        <v>-97.667598999999996</v>
      </c>
      <c r="AM3029">
        <v>25</v>
      </c>
      <c r="AN3029">
        <v>1000</v>
      </c>
      <c r="AO3029" t="s">
        <v>118</v>
      </c>
      <c r="AP3029">
        <v>5</v>
      </c>
      <c r="AQ3029">
        <v>-82</v>
      </c>
      <c r="AR3029">
        <v>256</v>
      </c>
      <c r="AZ3029">
        <v>7700</v>
      </c>
      <c r="BA3029">
        <v>1</v>
      </c>
      <c r="BB3029" t="str">
        <f t="shared" si="887"/>
        <v xml:space="preserve">N733KP  </v>
      </c>
      <c r="BC3029">
        <v>1</v>
      </c>
      <c r="BE3029">
        <v>0</v>
      </c>
      <c r="BF3029">
        <v>0</v>
      </c>
      <c r="BG3029">
        <v>1</v>
      </c>
      <c r="BH3029">
        <v>925</v>
      </c>
      <c r="BI3029">
        <v>1</v>
      </c>
      <c r="BJ3029">
        <v>1</v>
      </c>
      <c r="BK3029">
        <v>0</v>
      </c>
      <c r="BL3029">
        <v>0</v>
      </c>
      <c r="BO3029">
        <v>0</v>
      </c>
      <c r="BP3029">
        <v>0</v>
      </c>
      <c r="BW3029" t="str">
        <f>"22:22:53.837"</f>
        <v>22:22:53.837</v>
      </c>
      <c r="CJ3029">
        <v>0</v>
      </c>
      <c r="CK3029">
        <v>2</v>
      </c>
      <c r="CL3029">
        <v>0</v>
      </c>
      <c r="CM3029">
        <v>2</v>
      </c>
      <c r="CN3029">
        <v>0</v>
      </c>
      <c r="CO3029">
        <v>5</v>
      </c>
      <c r="CP3029" t="s">
        <v>119</v>
      </c>
      <c r="CQ3029">
        <v>364</v>
      </c>
      <c r="CR3029">
        <v>0</v>
      </c>
      <c r="CW3029">
        <v>1483843</v>
      </c>
      <c r="CY3029">
        <v>1</v>
      </c>
      <c r="CZ3029">
        <v>0</v>
      </c>
      <c r="DA3029">
        <v>1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3">
      <c r="A3030" t="str">
        <f>"03/24/2022 22:22:54.058"</f>
        <v>03/24/2022 22:22:54.058</v>
      </c>
      <c r="C3030" t="str">
        <f t="shared" ref="C3030:C3093" si="905">"FFDFD3C0"</f>
        <v>FFDFD3C0</v>
      </c>
      <c r="D3030" t="s">
        <v>123</v>
      </c>
      <c r="E3030">
        <v>8</v>
      </c>
      <c r="H3030">
        <v>31</v>
      </c>
      <c r="I3030" t="s">
        <v>124</v>
      </c>
      <c r="J3030" t="s">
        <v>125</v>
      </c>
      <c r="K3030">
        <v>0</v>
      </c>
      <c r="L3030">
        <v>3</v>
      </c>
      <c r="M3030">
        <v>0</v>
      </c>
      <c r="N3030">
        <v>2</v>
      </c>
      <c r="O3030">
        <v>0</v>
      </c>
      <c r="P3030">
        <v>1</v>
      </c>
      <c r="Q3030">
        <v>0</v>
      </c>
      <c r="S3030" t="str">
        <f t="shared" si="904"/>
        <v>22:22:53.000</v>
      </c>
      <c r="T3030" t="str">
        <f t="shared" si="904"/>
        <v>22:22:53.000</v>
      </c>
      <c r="U3030" t="str">
        <f t="shared" si="899"/>
        <v>A9D71F</v>
      </c>
      <c r="V3030">
        <v>0</v>
      </c>
      <c r="W3030">
        <v>0</v>
      </c>
      <c r="X3030">
        <v>2</v>
      </c>
      <c r="Z3030">
        <v>1</v>
      </c>
      <c r="AA3030">
        <v>8</v>
      </c>
      <c r="AB3030">
        <v>3</v>
      </c>
      <c r="AC3030">
        <v>0</v>
      </c>
      <c r="AD3030">
        <v>9</v>
      </c>
      <c r="AE3030">
        <v>0</v>
      </c>
      <c r="AF3030">
        <v>3</v>
      </c>
      <c r="AG3030">
        <v>1</v>
      </c>
      <c r="AH3030">
        <v>0</v>
      </c>
      <c r="AI3030" t="s">
        <v>1498</v>
      </c>
      <c r="AJ3030">
        <v>32.976171999999998</v>
      </c>
      <c r="AK3030" t="s">
        <v>1499</v>
      </c>
      <c r="AL3030">
        <v>-97.667598999999996</v>
      </c>
      <c r="AM3030">
        <v>25</v>
      </c>
      <c r="AN3030">
        <v>1000</v>
      </c>
      <c r="AO3030" t="s">
        <v>118</v>
      </c>
      <c r="AP3030">
        <v>5</v>
      </c>
      <c r="AQ3030">
        <v>-82</v>
      </c>
      <c r="AR3030">
        <v>256</v>
      </c>
      <c r="AZ3030">
        <v>7700</v>
      </c>
      <c r="BA3030">
        <v>1</v>
      </c>
      <c r="BB3030" t="str">
        <f t="shared" ref="BB3030:BB3093" si="906">"N733KP  "</f>
        <v xml:space="preserve">N733KP  </v>
      </c>
      <c r="BC3030">
        <v>1</v>
      </c>
      <c r="BE3030">
        <v>0</v>
      </c>
      <c r="BF3030">
        <v>0</v>
      </c>
      <c r="BG3030">
        <v>1</v>
      </c>
      <c r="BH3030">
        <v>925</v>
      </c>
      <c r="BI3030">
        <v>1</v>
      </c>
      <c r="BJ3030">
        <v>1</v>
      </c>
      <c r="BK3030">
        <v>0</v>
      </c>
      <c r="BL3030">
        <v>0</v>
      </c>
      <c r="BO3030">
        <v>0</v>
      </c>
      <c r="BP3030">
        <v>0</v>
      </c>
      <c r="BW3030" t="str">
        <f>"22:22:53.837"</f>
        <v>22:22:53.837</v>
      </c>
      <c r="CJ3030">
        <v>0</v>
      </c>
      <c r="CK3030">
        <v>2</v>
      </c>
      <c r="CL3030">
        <v>0</v>
      </c>
      <c r="CM3030">
        <v>2</v>
      </c>
      <c r="CN3030">
        <v>0</v>
      </c>
      <c r="CO3030">
        <v>5</v>
      </c>
      <c r="CP3030" t="s">
        <v>119</v>
      </c>
      <c r="CQ3030">
        <v>364</v>
      </c>
      <c r="CR3030">
        <v>0</v>
      </c>
      <c r="CW3030">
        <v>1483843</v>
      </c>
      <c r="CY3030">
        <v>1</v>
      </c>
      <c r="CZ3030">
        <v>0</v>
      </c>
      <c r="DA3030">
        <v>1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3">
      <c r="A3031" t="str">
        <f>"03/24/2022 22:22:54.995"</f>
        <v>03/24/2022 22:22:54.995</v>
      </c>
      <c r="C3031" t="str">
        <f t="shared" si="905"/>
        <v>FFDFD3C0</v>
      </c>
      <c r="D3031" t="s">
        <v>123</v>
      </c>
      <c r="E3031">
        <v>8</v>
      </c>
      <c r="H3031">
        <v>31</v>
      </c>
      <c r="I3031" t="s">
        <v>124</v>
      </c>
      <c r="J3031" t="s">
        <v>125</v>
      </c>
      <c r="K3031">
        <v>0</v>
      </c>
      <c r="L3031">
        <v>3</v>
      </c>
      <c r="M3031">
        <v>0</v>
      </c>
      <c r="N3031">
        <v>2</v>
      </c>
      <c r="O3031">
        <v>0</v>
      </c>
      <c r="P3031">
        <v>1</v>
      </c>
      <c r="Q3031">
        <v>0</v>
      </c>
      <c r="S3031" t="str">
        <f t="shared" ref="S3031:T3034" si="907">"22:22:54.000"</f>
        <v>22:22:54.000</v>
      </c>
      <c r="T3031" t="str">
        <f t="shared" si="907"/>
        <v>22:22:54.000</v>
      </c>
      <c r="U3031" t="str">
        <f t="shared" si="899"/>
        <v>A9D71F</v>
      </c>
      <c r="V3031">
        <v>0</v>
      </c>
      <c r="W3031">
        <v>0</v>
      </c>
      <c r="X3031">
        <v>2</v>
      </c>
      <c r="Z3031">
        <v>1</v>
      </c>
      <c r="AA3031">
        <v>8</v>
      </c>
      <c r="AB3031">
        <v>3</v>
      </c>
      <c r="AC3031">
        <v>0</v>
      </c>
      <c r="AD3031">
        <v>9</v>
      </c>
      <c r="AE3031">
        <v>0</v>
      </c>
      <c r="AF3031">
        <v>3</v>
      </c>
      <c r="AG3031">
        <v>1</v>
      </c>
      <c r="AH3031">
        <v>0</v>
      </c>
      <c r="AI3031" t="s">
        <v>1500</v>
      </c>
      <c r="AJ3031">
        <v>32.975785999999999</v>
      </c>
      <c r="AK3031" t="s">
        <v>1499</v>
      </c>
      <c r="AL3031">
        <v>-97.667598999999996</v>
      </c>
      <c r="AM3031">
        <v>25</v>
      </c>
      <c r="AN3031">
        <v>1000</v>
      </c>
      <c r="AO3031" t="s">
        <v>118</v>
      </c>
      <c r="AP3031">
        <v>2</v>
      </c>
      <c r="AQ3031">
        <v>-79</v>
      </c>
      <c r="AR3031">
        <v>192</v>
      </c>
      <c r="AZ3031">
        <v>7700</v>
      </c>
      <c r="BA3031">
        <v>1</v>
      </c>
      <c r="BB3031" t="str">
        <f t="shared" si="906"/>
        <v xml:space="preserve">N733KP  </v>
      </c>
      <c r="BC3031">
        <v>1</v>
      </c>
      <c r="BE3031">
        <v>0</v>
      </c>
      <c r="BF3031">
        <v>0</v>
      </c>
      <c r="BG3031">
        <v>1</v>
      </c>
      <c r="BH3031">
        <v>925</v>
      </c>
      <c r="BI3031">
        <v>1</v>
      </c>
      <c r="BJ3031">
        <v>1</v>
      </c>
      <c r="BK3031">
        <v>0</v>
      </c>
      <c r="BL3031">
        <v>0</v>
      </c>
      <c r="BO3031">
        <v>0</v>
      </c>
      <c r="BP3031">
        <v>0</v>
      </c>
      <c r="BW3031" t="str">
        <f>"22:22:54.833"</f>
        <v>22:22:54.833</v>
      </c>
      <c r="CJ3031">
        <v>0</v>
      </c>
      <c r="CK3031">
        <v>2</v>
      </c>
      <c r="CL3031">
        <v>0</v>
      </c>
      <c r="CM3031">
        <v>2</v>
      </c>
      <c r="CN3031">
        <v>0</v>
      </c>
      <c r="CO3031">
        <v>5</v>
      </c>
      <c r="CP3031" t="s">
        <v>119</v>
      </c>
      <c r="CQ3031">
        <v>364</v>
      </c>
      <c r="CR3031">
        <v>0</v>
      </c>
      <c r="CW3031">
        <v>1483976</v>
      </c>
      <c r="CY3031">
        <v>1</v>
      </c>
      <c r="CZ3031">
        <v>0</v>
      </c>
      <c r="DA3031">
        <v>0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3">
      <c r="A3032" t="str">
        <f>"03/24/2022 22:22:55.058"</f>
        <v>03/24/2022 22:22:55.058</v>
      </c>
      <c r="C3032" t="str">
        <f t="shared" si="905"/>
        <v>FFDFD3C0</v>
      </c>
      <c r="D3032" t="s">
        <v>126</v>
      </c>
      <c r="E3032">
        <v>3</v>
      </c>
      <c r="H3032">
        <v>160</v>
      </c>
      <c r="I3032" t="s">
        <v>121</v>
      </c>
      <c r="J3032" t="s">
        <v>127</v>
      </c>
      <c r="K3032">
        <v>0</v>
      </c>
      <c r="L3032">
        <v>3</v>
      </c>
      <c r="M3032">
        <v>0</v>
      </c>
      <c r="N3032">
        <v>2</v>
      </c>
      <c r="O3032">
        <v>0</v>
      </c>
      <c r="P3032">
        <v>1</v>
      </c>
      <c r="Q3032">
        <v>0</v>
      </c>
      <c r="S3032" t="str">
        <f t="shared" si="907"/>
        <v>22:22:54.000</v>
      </c>
      <c r="T3032" t="str">
        <f t="shared" si="907"/>
        <v>22:22:54.000</v>
      </c>
      <c r="U3032" t="str">
        <f t="shared" si="899"/>
        <v>A9D71F</v>
      </c>
      <c r="V3032">
        <v>0</v>
      </c>
      <c r="W3032">
        <v>0</v>
      </c>
      <c r="X3032">
        <v>2</v>
      </c>
      <c r="Z3032">
        <v>1</v>
      </c>
      <c r="AA3032">
        <v>8</v>
      </c>
      <c r="AB3032">
        <v>3</v>
      </c>
      <c r="AC3032">
        <v>0</v>
      </c>
      <c r="AD3032">
        <v>9</v>
      </c>
      <c r="AE3032">
        <v>0</v>
      </c>
      <c r="AF3032">
        <v>3</v>
      </c>
      <c r="AG3032">
        <v>1</v>
      </c>
      <c r="AH3032">
        <v>0</v>
      </c>
      <c r="AI3032" t="s">
        <v>1500</v>
      </c>
      <c r="AJ3032">
        <v>32.975785999999999</v>
      </c>
      <c r="AK3032" t="s">
        <v>1499</v>
      </c>
      <c r="AL3032">
        <v>-97.667598999999996</v>
      </c>
      <c r="AM3032">
        <v>25</v>
      </c>
      <c r="AN3032">
        <v>1000</v>
      </c>
      <c r="AO3032" t="s">
        <v>118</v>
      </c>
      <c r="AP3032">
        <v>2</v>
      </c>
      <c r="AQ3032">
        <v>-79</v>
      </c>
      <c r="AR3032">
        <v>192</v>
      </c>
      <c r="AZ3032">
        <v>7700</v>
      </c>
      <c r="BA3032">
        <v>1</v>
      </c>
      <c r="BB3032" t="str">
        <f t="shared" si="906"/>
        <v xml:space="preserve">N733KP  </v>
      </c>
      <c r="BC3032">
        <v>1</v>
      </c>
      <c r="BE3032">
        <v>0</v>
      </c>
      <c r="BF3032">
        <v>0</v>
      </c>
      <c r="BG3032">
        <v>1</v>
      </c>
      <c r="BH3032">
        <v>925</v>
      </c>
      <c r="BI3032">
        <v>1</v>
      </c>
      <c r="BJ3032">
        <v>1</v>
      </c>
      <c r="BK3032">
        <v>0</v>
      </c>
      <c r="BL3032">
        <v>0</v>
      </c>
      <c r="BO3032">
        <v>0</v>
      </c>
      <c r="BP3032">
        <v>0</v>
      </c>
      <c r="BW3032" t="str">
        <f>"22:22:54.833"</f>
        <v>22:22:54.833</v>
      </c>
      <c r="CJ3032">
        <v>0</v>
      </c>
      <c r="CK3032">
        <v>2</v>
      </c>
      <c r="CL3032">
        <v>0</v>
      </c>
      <c r="CM3032">
        <v>2</v>
      </c>
      <c r="CN3032">
        <v>0</v>
      </c>
      <c r="CO3032">
        <v>5</v>
      </c>
      <c r="CP3032" t="s">
        <v>119</v>
      </c>
      <c r="CQ3032">
        <v>364</v>
      </c>
      <c r="CR3032">
        <v>0</v>
      </c>
      <c r="CW3032">
        <v>1483976</v>
      </c>
      <c r="CY3032">
        <v>1</v>
      </c>
      <c r="CZ3032">
        <v>0</v>
      </c>
      <c r="DA3032">
        <v>1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3">
      <c r="A3033" t="str">
        <f>"03/24/2022 22:22:55.058"</f>
        <v>03/24/2022 22:22:55.058</v>
      </c>
      <c r="C3033" t="str">
        <f t="shared" si="905"/>
        <v>FFDFD3C0</v>
      </c>
      <c r="D3033" t="s">
        <v>113</v>
      </c>
      <c r="E3033">
        <v>24</v>
      </c>
      <c r="F3033">
        <v>2024</v>
      </c>
      <c r="G3033" t="s">
        <v>114</v>
      </c>
      <c r="J3033" t="s">
        <v>115</v>
      </c>
      <c r="K3033">
        <v>0</v>
      </c>
      <c r="L3033">
        <v>3</v>
      </c>
      <c r="M3033">
        <v>0</v>
      </c>
      <c r="N3033">
        <v>2</v>
      </c>
      <c r="O3033">
        <v>0</v>
      </c>
      <c r="P3033">
        <v>1</v>
      </c>
      <c r="Q3033">
        <v>0</v>
      </c>
      <c r="S3033" t="str">
        <f t="shared" si="907"/>
        <v>22:22:54.000</v>
      </c>
      <c r="T3033" t="str">
        <f t="shared" si="907"/>
        <v>22:22:54.000</v>
      </c>
      <c r="U3033" t="str">
        <f t="shared" si="899"/>
        <v>A9D71F</v>
      </c>
      <c r="V3033">
        <v>0</v>
      </c>
      <c r="W3033">
        <v>0</v>
      </c>
      <c r="X3033">
        <v>2</v>
      </c>
      <c r="Z3033">
        <v>1</v>
      </c>
      <c r="AA3033">
        <v>8</v>
      </c>
      <c r="AB3033">
        <v>3</v>
      </c>
      <c r="AC3033">
        <v>0</v>
      </c>
      <c r="AD3033">
        <v>9</v>
      </c>
      <c r="AE3033">
        <v>0</v>
      </c>
      <c r="AF3033">
        <v>3</v>
      </c>
      <c r="AG3033">
        <v>1</v>
      </c>
      <c r="AH3033">
        <v>0</v>
      </c>
      <c r="AI3033" t="s">
        <v>1500</v>
      </c>
      <c r="AJ3033">
        <v>32.975785999999999</v>
      </c>
      <c r="AK3033" t="s">
        <v>1499</v>
      </c>
      <c r="AL3033">
        <v>-97.667598999999996</v>
      </c>
      <c r="AM3033">
        <v>25</v>
      </c>
      <c r="AN3033">
        <v>1000</v>
      </c>
      <c r="AO3033" t="s">
        <v>118</v>
      </c>
      <c r="AP3033">
        <v>2</v>
      </c>
      <c r="AQ3033">
        <v>-79</v>
      </c>
      <c r="AR3033">
        <v>192</v>
      </c>
      <c r="AZ3033">
        <v>7700</v>
      </c>
      <c r="BA3033">
        <v>1</v>
      </c>
      <c r="BB3033" t="str">
        <f t="shared" si="906"/>
        <v xml:space="preserve">N733KP  </v>
      </c>
      <c r="BC3033">
        <v>1</v>
      </c>
      <c r="BE3033">
        <v>0</v>
      </c>
      <c r="BF3033">
        <v>0</v>
      </c>
      <c r="BG3033">
        <v>1</v>
      </c>
      <c r="BH3033">
        <v>925</v>
      </c>
      <c r="BI3033">
        <v>1</v>
      </c>
      <c r="BJ3033">
        <v>1</v>
      </c>
      <c r="BK3033">
        <v>0</v>
      </c>
      <c r="BL3033">
        <v>0</v>
      </c>
      <c r="BO3033">
        <v>0</v>
      </c>
      <c r="BP3033">
        <v>0</v>
      </c>
      <c r="BW3033" t="str">
        <f>"22:22:54.833"</f>
        <v>22:22:54.833</v>
      </c>
      <c r="CJ3033">
        <v>0</v>
      </c>
      <c r="CK3033">
        <v>2</v>
      </c>
      <c r="CL3033">
        <v>0</v>
      </c>
      <c r="CM3033">
        <v>2</v>
      </c>
      <c r="CN3033">
        <v>0</v>
      </c>
      <c r="CO3033">
        <v>5</v>
      </c>
      <c r="CP3033" t="s">
        <v>119</v>
      </c>
      <c r="CQ3033">
        <v>364</v>
      </c>
      <c r="CR3033">
        <v>0</v>
      </c>
      <c r="CW3033">
        <v>1483976</v>
      </c>
      <c r="CY3033">
        <v>1</v>
      </c>
      <c r="CZ3033">
        <v>0</v>
      </c>
      <c r="DA3033">
        <v>1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3">
      <c r="A3034" t="str">
        <f>"03/24/2022 22:22:55.058"</f>
        <v>03/24/2022 22:22:55.058</v>
      </c>
      <c r="C3034" t="str">
        <f t="shared" si="905"/>
        <v>FFDFD3C0</v>
      </c>
      <c r="D3034" t="s">
        <v>120</v>
      </c>
      <c r="E3034">
        <v>14</v>
      </c>
      <c r="F3034">
        <v>1014</v>
      </c>
      <c r="G3034" t="s">
        <v>121</v>
      </c>
      <c r="J3034" t="s">
        <v>122</v>
      </c>
      <c r="K3034">
        <v>0</v>
      </c>
      <c r="L3034">
        <v>3</v>
      </c>
      <c r="M3034">
        <v>0</v>
      </c>
      <c r="N3034">
        <v>2</v>
      </c>
      <c r="O3034">
        <v>0</v>
      </c>
      <c r="P3034">
        <v>1</v>
      </c>
      <c r="Q3034">
        <v>0</v>
      </c>
      <c r="S3034" t="str">
        <f t="shared" si="907"/>
        <v>22:22:54.000</v>
      </c>
      <c r="T3034" t="str">
        <f t="shared" si="907"/>
        <v>22:22:54.000</v>
      </c>
      <c r="U3034" t="str">
        <f t="shared" si="899"/>
        <v>A9D71F</v>
      </c>
      <c r="V3034">
        <v>0</v>
      </c>
      <c r="W3034">
        <v>0</v>
      </c>
      <c r="X3034">
        <v>2</v>
      </c>
      <c r="Z3034">
        <v>1</v>
      </c>
      <c r="AA3034">
        <v>8</v>
      </c>
      <c r="AB3034">
        <v>3</v>
      </c>
      <c r="AC3034">
        <v>0</v>
      </c>
      <c r="AD3034">
        <v>9</v>
      </c>
      <c r="AE3034">
        <v>0</v>
      </c>
      <c r="AF3034">
        <v>3</v>
      </c>
      <c r="AG3034">
        <v>1</v>
      </c>
      <c r="AH3034">
        <v>0</v>
      </c>
      <c r="AI3034" t="s">
        <v>1500</v>
      </c>
      <c r="AJ3034">
        <v>32.975785999999999</v>
      </c>
      <c r="AK3034" t="s">
        <v>1499</v>
      </c>
      <c r="AL3034">
        <v>-97.667598999999996</v>
      </c>
      <c r="AM3034">
        <v>25</v>
      </c>
      <c r="AN3034">
        <v>1000</v>
      </c>
      <c r="AO3034" t="s">
        <v>118</v>
      </c>
      <c r="AP3034">
        <v>2</v>
      </c>
      <c r="AQ3034">
        <v>-79</v>
      </c>
      <c r="AR3034">
        <v>192</v>
      </c>
      <c r="AZ3034">
        <v>7700</v>
      </c>
      <c r="BA3034">
        <v>1</v>
      </c>
      <c r="BB3034" t="str">
        <f t="shared" si="906"/>
        <v xml:space="preserve">N733KP  </v>
      </c>
      <c r="BC3034">
        <v>1</v>
      </c>
      <c r="BE3034">
        <v>0</v>
      </c>
      <c r="BF3034">
        <v>0</v>
      </c>
      <c r="BG3034">
        <v>1</v>
      </c>
      <c r="BH3034">
        <v>925</v>
      </c>
      <c r="BI3034">
        <v>1</v>
      </c>
      <c r="BJ3034">
        <v>1</v>
      </c>
      <c r="BK3034">
        <v>0</v>
      </c>
      <c r="BL3034">
        <v>0</v>
      </c>
      <c r="BO3034">
        <v>0</v>
      </c>
      <c r="BP3034">
        <v>0</v>
      </c>
      <c r="BW3034" t="str">
        <f>"22:22:54.833"</f>
        <v>22:22:54.833</v>
      </c>
      <c r="CJ3034">
        <v>0</v>
      </c>
      <c r="CK3034">
        <v>2</v>
      </c>
      <c r="CL3034">
        <v>0</v>
      </c>
      <c r="CM3034">
        <v>2</v>
      </c>
      <c r="CN3034">
        <v>0</v>
      </c>
      <c r="CO3034">
        <v>5</v>
      </c>
      <c r="CP3034" t="s">
        <v>119</v>
      </c>
      <c r="CQ3034">
        <v>364</v>
      </c>
      <c r="CR3034">
        <v>0</v>
      </c>
      <c r="CW3034">
        <v>1483976</v>
      </c>
      <c r="CY3034">
        <v>1</v>
      </c>
      <c r="CZ3034">
        <v>0</v>
      </c>
      <c r="DA3034">
        <v>1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3">
      <c r="A3035" t="str">
        <f>"03/24/2022 22:22:55.589"</f>
        <v>03/24/2022 22:22:55.589</v>
      </c>
      <c r="C3035" t="str">
        <f t="shared" si="905"/>
        <v>FFDFD3C0</v>
      </c>
      <c r="D3035" t="s">
        <v>126</v>
      </c>
      <c r="E3035">
        <v>3</v>
      </c>
      <c r="H3035">
        <v>160</v>
      </c>
      <c r="I3035" t="s">
        <v>121</v>
      </c>
      <c r="J3035" t="s">
        <v>127</v>
      </c>
      <c r="K3035">
        <v>0</v>
      </c>
      <c r="L3035">
        <v>3</v>
      </c>
      <c r="M3035">
        <v>0</v>
      </c>
      <c r="N3035">
        <v>2</v>
      </c>
      <c r="O3035">
        <v>0</v>
      </c>
      <c r="P3035">
        <v>1</v>
      </c>
      <c r="Q3035">
        <v>0</v>
      </c>
      <c r="S3035" t="str">
        <f t="shared" ref="S3035:T3038" si="908">"22:22:55.000"</f>
        <v>22:22:55.000</v>
      </c>
      <c r="T3035" t="str">
        <f t="shared" si="908"/>
        <v>22:22:55.000</v>
      </c>
      <c r="U3035" t="str">
        <f t="shared" si="899"/>
        <v>A9D71F</v>
      </c>
      <c r="V3035">
        <v>0</v>
      </c>
      <c r="W3035">
        <v>0</v>
      </c>
      <c r="X3035">
        <v>2</v>
      </c>
      <c r="Z3035">
        <v>1</v>
      </c>
      <c r="AA3035">
        <v>8</v>
      </c>
      <c r="AB3035">
        <v>3</v>
      </c>
      <c r="AC3035">
        <v>0</v>
      </c>
      <c r="AD3035">
        <v>9</v>
      </c>
      <c r="AE3035">
        <v>0</v>
      </c>
      <c r="AF3035">
        <v>3</v>
      </c>
      <c r="AG3035">
        <v>1</v>
      </c>
      <c r="AH3035">
        <v>0</v>
      </c>
      <c r="AI3035" t="s">
        <v>1501</v>
      </c>
      <c r="AJ3035">
        <v>32.975420999999997</v>
      </c>
      <c r="AK3035" t="s">
        <v>1499</v>
      </c>
      <c r="AL3035">
        <v>-97.667598999999996</v>
      </c>
      <c r="AM3035">
        <v>25</v>
      </c>
      <c r="AN3035">
        <v>1000</v>
      </c>
      <c r="AO3035" t="s">
        <v>118</v>
      </c>
      <c r="AP3035">
        <v>1</v>
      </c>
      <c r="AQ3035">
        <v>-77</v>
      </c>
      <c r="AR3035">
        <v>128</v>
      </c>
      <c r="AZ3035">
        <v>7700</v>
      </c>
      <c r="BA3035">
        <v>1</v>
      </c>
      <c r="BB3035" t="str">
        <f t="shared" si="906"/>
        <v xml:space="preserve">N733KP  </v>
      </c>
      <c r="BC3035">
        <v>1</v>
      </c>
      <c r="BE3035">
        <v>0</v>
      </c>
      <c r="BF3035">
        <v>0</v>
      </c>
      <c r="BG3035">
        <v>1</v>
      </c>
      <c r="BH3035">
        <v>975</v>
      </c>
      <c r="BI3035">
        <v>1</v>
      </c>
      <c r="BJ3035">
        <v>1</v>
      </c>
      <c r="BK3035">
        <v>0</v>
      </c>
      <c r="BL3035">
        <v>0</v>
      </c>
      <c r="BO3035">
        <v>0</v>
      </c>
      <c r="BP3035">
        <v>0</v>
      </c>
      <c r="BW3035" t="str">
        <f>"22:22:55.411"</f>
        <v>22:22:55.411</v>
      </c>
      <c r="CJ3035">
        <v>0</v>
      </c>
      <c r="CK3035">
        <v>2</v>
      </c>
      <c r="CL3035">
        <v>0</v>
      </c>
      <c r="CM3035">
        <v>2</v>
      </c>
      <c r="CN3035">
        <v>0</v>
      </c>
      <c r="CO3035">
        <v>4</v>
      </c>
      <c r="CP3035" t="s">
        <v>119</v>
      </c>
      <c r="CQ3035">
        <v>364</v>
      </c>
      <c r="CR3035">
        <v>0</v>
      </c>
      <c r="CW3035">
        <v>1484057</v>
      </c>
      <c r="CY3035">
        <v>1</v>
      </c>
      <c r="CZ3035">
        <v>0</v>
      </c>
      <c r="DA3035">
        <v>0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3">
      <c r="A3036" t="str">
        <f>"03/24/2022 22:22:55.589"</f>
        <v>03/24/2022 22:22:55.589</v>
      </c>
      <c r="C3036" t="str">
        <f t="shared" si="905"/>
        <v>FFDFD3C0</v>
      </c>
      <c r="D3036" t="s">
        <v>113</v>
      </c>
      <c r="E3036">
        <v>24</v>
      </c>
      <c r="F3036">
        <v>2024</v>
      </c>
      <c r="G3036" t="s">
        <v>114</v>
      </c>
      <c r="J3036" t="s">
        <v>115</v>
      </c>
      <c r="K3036">
        <v>0</v>
      </c>
      <c r="L3036">
        <v>3</v>
      </c>
      <c r="M3036">
        <v>0</v>
      </c>
      <c r="N3036">
        <v>2</v>
      </c>
      <c r="O3036">
        <v>0</v>
      </c>
      <c r="P3036">
        <v>1</v>
      </c>
      <c r="Q3036">
        <v>0</v>
      </c>
      <c r="S3036" t="str">
        <f t="shared" si="908"/>
        <v>22:22:55.000</v>
      </c>
      <c r="T3036" t="str">
        <f t="shared" si="908"/>
        <v>22:22:55.000</v>
      </c>
      <c r="U3036" t="str">
        <f t="shared" si="899"/>
        <v>A9D71F</v>
      </c>
      <c r="V3036">
        <v>0</v>
      </c>
      <c r="W3036">
        <v>0</v>
      </c>
      <c r="X3036">
        <v>2</v>
      </c>
      <c r="Z3036">
        <v>1</v>
      </c>
      <c r="AA3036">
        <v>8</v>
      </c>
      <c r="AB3036">
        <v>3</v>
      </c>
      <c r="AC3036">
        <v>0</v>
      </c>
      <c r="AD3036">
        <v>9</v>
      </c>
      <c r="AE3036">
        <v>0</v>
      </c>
      <c r="AF3036">
        <v>3</v>
      </c>
      <c r="AG3036">
        <v>1</v>
      </c>
      <c r="AH3036">
        <v>0</v>
      </c>
      <c r="AI3036" t="s">
        <v>1501</v>
      </c>
      <c r="AJ3036">
        <v>32.975420999999997</v>
      </c>
      <c r="AK3036" t="s">
        <v>1499</v>
      </c>
      <c r="AL3036">
        <v>-97.667598999999996</v>
      </c>
      <c r="AM3036">
        <v>25</v>
      </c>
      <c r="AN3036">
        <v>1000</v>
      </c>
      <c r="AO3036" t="s">
        <v>118</v>
      </c>
      <c r="AP3036">
        <v>1</v>
      </c>
      <c r="AQ3036">
        <v>-77</v>
      </c>
      <c r="AR3036">
        <v>128</v>
      </c>
      <c r="AZ3036">
        <v>7700</v>
      </c>
      <c r="BA3036">
        <v>1</v>
      </c>
      <c r="BB3036" t="str">
        <f t="shared" si="906"/>
        <v xml:space="preserve">N733KP  </v>
      </c>
      <c r="BC3036">
        <v>1</v>
      </c>
      <c r="BE3036">
        <v>0</v>
      </c>
      <c r="BF3036">
        <v>0</v>
      </c>
      <c r="BG3036">
        <v>1</v>
      </c>
      <c r="BH3036">
        <v>975</v>
      </c>
      <c r="BI3036">
        <v>1</v>
      </c>
      <c r="BJ3036">
        <v>1</v>
      </c>
      <c r="BK3036">
        <v>0</v>
      </c>
      <c r="BL3036">
        <v>0</v>
      </c>
      <c r="BO3036">
        <v>0</v>
      </c>
      <c r="BP3036">
        <v>0</v>
      </c>
      <c r="BW3036" t="str">
        <f>"22:22:55.411"</f>
        <v>22:22:55.411</v>
      </c>
      <c r="CJ3036">
        <v>0</v>
      </c>
      <c r="CK3036">
        <v>2</v>
      </c>
      <c r="CL3036">
        <v>0</v>
      </c>
      <c r="CM3036">
        <v>2</v>
      </c>
      <c r="CN3036">
        <v>0</v>
      </c>
      <c r="CO3036">
        <v>4</v>
      </c>
      <c r="CP3036" t="s">
        <v>119</v>
      </c>
      <c r="CQ3036">
        <v>364</v>
      </c>
      <c r="CR3036">
        <v>0</v>
      </c>
      <c r="CW3036">
        <v>1484057</v>
      </c>
      <c r="CY3036">
        <v>1</v>
      </c>
      <c r="CZ3036">
        <v>0</v>
      </c>
      <c r="DA3036">
        <v>1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3">
      <c r="A3037" t="str">
        <f>"03/24/2022 22:22:55.589"</f>
        <v>03/24/2022 22:22:55.589</v>
      </c>
      <c r="C3037" t="str">
        <f t="shared" si="905"/>
        <v>FFDFD3C0</v>
      </c>
      <c r="D3037" t="s">
        <v>120</v>
      </c>
      <c r="E3037">
        <v>14</v>
      </c>
      <c r="F3037">
        <v>1014</v>
      </c>
      <c r="G3037" t="s">
        <v>121</v>
      </c>
      <c r="J3037" t="s">
        <v>122</v>
      </c>
      <c r="K3037">
        <v>0</v>
      </c>
      <c r="L3037">
        <v>3</v>
      </c>
      <c r="M3037">
        <v>0</v>
      </c>
      <c r="N3037">
        <v>2</v>
      </c>
      <c r="O3037">
        <v>0</v>
      </c>
      <c r="P3037">
        <v>1</v>
      </c>
      <c r="Q3037">
        <v>0</v>
      </c>
      <c r="S3037" t="str">
        <f t="shared" si="908"/>
        <v>22:22:55.000</v>
      </c>
      <c r="T3037" t="str">
        <f t="shared" si="908"/>
        <v>22:22:55.000</v>
      </c>
      <c r="U3037" t="str">
        <f t="shared" si="899"/>
        <v>A9D71F</v>
      </c>
      <c r="V3037">
        <v>0</v>
      </c>
      <c r="W3037">
        <v>0</v>
      </c>
      <c r="X3037">
        <v>2</v>
      </c>
      <c r="Z3037">
        <v>1</v>
      </c>
      <c r="AA3037">
        <v>8</v>
      </c>
      <c r="AB3037">
        <v>3</v>
      </c>
      <c r="AC3037">
        <v>0</v>
      </c>
      <c r="AD3037">
        <v>9</v>
      </c>
      <c r="AE3037">
        <v>0</v>
      </c>
      <c r="AF3037">
        <v>3</v>
      </c>
      <c r="AG3037">
        <v>1</v>
      </c>
      <c r="AH3037">
        <v>0</v>
      </c>
      <c r="AI3037" t="s">
        <v>1501</v>
      </c>
      <c r="AJ3037">
        <v>32.975420999999997</v>
      </c>
      <c r="AK3037" t="s">
        <v>1499</v>
      </c>
      <c r="AL3037">
        <v>-97.667598999999996</v>
      </c>
      <c r="AM3037">
        <v>25</v>
      </c>
      <c r="AN3037">
        <v>1000</v>
      </c>
      <c r="AO3037" t="s">
        <v>118</v>
      </c>
      <c r="AP3037">
        <v>1</v>
      </c>
      <c r="AQ3037">
        <v>-77</v>
      </c>
      <c r="AR3037">
        <v>128</v>
      </c>
      <c r="AZ3037">
        <v>7700</v>
      </c>
      <c r="BA3037">
        <v>1</v>
      </c>
      <c r="BB3037" t="str">
        <f t="shared" si="906"/>
        <v xml:space="preserve">N733KP  </v>
      </c>
      <c r="BC3037">
        <v>1</v>
      </c>
      <c r="BE3037">
        <v>0</v>
      </c>
      <c r="BF3037">
        <v>0</v>
      </c>
      <c r="BG3037">
        <v>1</v>
      </c>
      <c r="BH3037">
        <v>975</v>
      </c>
      <c r="BI3037">
        <v>1</v>
      </c>
      <c r="BJ3037">
        <v>1</v>
      </c>
      <c r="BK3037">
        <v>0</v>
      </c>
      <c r="BL3037">
        <v>0</v>
      </c>
      <c r="BO3037">
        <v>0</v>
      </c>
      <c r="BP3037">
        <v>0</v>
      </c>
      <c r="BW3037" t="str">
        <f>"22:22:55.411"</f>
        <v>22:22:55.411</v>
      </c>
      <c r="CJ3037">
        <v>0</v>
      </c>
      <c r="CK3037">
        <v>2</v>
      </c>
      <c r="CL3037">
        <v>0</v>
      </c>
      <c r="CM3037">
        <v>2</v>
      </c>
      <c r="CN3037">
        <v>0</v>
      </c>
      <c r="CO3037">
        <v>4</v>
      </c>
      <c r="CP3037" t="s">
        <v>119</v>
      </c>
      <c r="CQ3037">
        <v>364</v>
      </c>
      <c r="CR3037">
        <v>0</v>
      </c>
      <c r="CW3037">
        <v>1484057</v>
      </c>
      <c r="CY3037">
        <v>1</v>
      </c>
      <c r="CZ3037">
        <v>0</v>
      </c>
      <c r="DA3037">
        <v>1</v>
      </c>
      <c r="DB3037">
        <v>0</v>
      </c>
      <c r="DC3037">
        <v>0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3">
      <c r="A3038" t="str">
        <f>"03/24/2022 22:22:55.605"</f>
        <v>03/24/2022 22:22:55.605</v>
      </c>
      <c r="C3038" t="str">
        <f t="shared" si="905"/>
        <v>FFDFD3C0</v>
      </c>
      <c r="D3038" t="s">
        <v>123</v>
      </c>
      <c r="E3038">
        <v>8</v>
      </c>
      <c r="H3038">
        <v>31</v>
      </c>
      <c r="I3038" t="s">
        <v>124</v>
      </c>
      <c r="J3038" t="s">
        <v>125</v>
      </c>
      <c r="K3038">
        <v>0</v>
      </c>
      <c r="L3038">
        <v>3</v>
      </c>
      <c r="M3038">
        <v>0</v>
      </c>
      <c r="N3038">
        <v>2</v>
      </c>
      <c r="O3038">
        <v>0</v>
      </c>
      <c r="P3038">
        <v>1</v>
      </c>
      <c r="Q3038">
        <v>0</v>
      </c>
      <c r="S3038" t="str">
        <f t="shared" si="908"/>
        <v>22:22:55.000</v>
      </c>
      <c r="T3038" t="str">
        <f t="shared" si="908"/>
        <v>22:22:55.000</v>
      </c>
      <c r="U3038" t="str">
        <f t="shared" si="899"/>
        <v>A9D71F</v>
      </c>
      <c r="V3038">
        <v>0</v>
      </c>
      <c r="W3038">
        <v>0</v>
      </c>
      <c r="X3038">
        <v>2</v>
      </c>
      <c r="Z3038">
        <v>1</v>
      </c>
      <c r="AA3038">
        <v>8</v>
      </c>
      <c r="AB3038">
        <v>3</v>
      </c>
      <c r="AC3038">
        <v>0</v>
      </c>
      <c r="AD3038">
        <v>9</v>
      </c>
      <c r="AE3038">
        <v>0</v>
      </c>
      <c r="AF3038">
        <v>3</v>
      </c>
      <c r="AG3038">
        <v>1</v>
      </c>
      <c r="AH3038">
        <v>0</v>
      </c>
      <c r="AI3038" t="s">
        <v>1501</v>
      </c>
      <c r="AJ3038">
        <v>32.975420999999997</v>
      </c>
      <c r="AK3038" t="s">
        <v>1499</v>
      </c>
      <c r="AL3038">
        <v>-97.667598999999996</v>
      </c>
      <c r="AM3038">
        <v>25</v>
      </c>
      <c r="AN3038">
        <v>1000</v>
      </c>
      <c r="AO3038" t="s">
        <v>118</v>
      </c>
      <c r="AP3038">
        <v>1</v>
      </c>
      <c r="AQ3038">
        <v>-77</v>
      </c>
      <c r="AR3038">
        <v>128</v>
      </c>
      <c r="AZ3038">
        <v>7700</v>
      </c>
      <c r="BA3038">
        <v>1</v>
      </c>
      <c r="BB3038" t="str">
        <f t="shared" si="906"/>
        <v xml:space="preserve">N733KP  </v>
      </c>
      <c r="BC3038">
        <v>1</v>
      </c>
      <c r="BE3038">
        <v>0</v>
      </c>
      <c r="BF3038">
        <v>0</v>
      </c>
      <c r="BG3038">
        <v>1</v>
      </c>
      <c r="BH3038">
        <v>975</v>
      </c>
      <c r="BI3038">
        <v>1</v>
      </c>
      <c r="BJ3038">
        <v>1</v>
      </c>
      <c r="BK3038">
        <v>0</v>
      </c>
      <c r="BL3038">
        <v>0</v>
      </c>
      <c r="BO3038">
        <v>0</v>
      </c>
      <c r="BP3038">
        <v>0</v>
      </c>
      <c r="BW3038" t="str">
        <f>"22:22:55.411"</f>
        <v>22:22:55.411</v>
      </c>
      <c r="CJ3038">
        <v>0</v>
      </c>
      <c r="CK3038">
        <v>2</v>
      </c>
      <c r="CL3038">
        <v>0</v>
      </c>
      <c r="CM3038">
        <v>2</v>
      </c>
      <c r="CN3038">
        <v>0</v>
      </c>
      <c r="CO3038">
        <v>4</v>
      </c>
      <c r="CP3038" t="s">
        <v>119</v>
      </c>
      <c r="CQ3038">
        <v>364</v>
      </c>
      <c r="CR3038">
        <v>0</v>
      </c>
      <c r="CW3038">
        <v>1484057</v>
      </c>
      <c r="CY3038">
        <v>1</v>
      </c>
      <c r="CZ3038">
        <v>0</v>
      </c>
      <c r="DA3038">
        <v>1</v>
      </c>
      <c r="DB3038">
        <v>0</v>
      </c>
      <c r="DC3038">
        <v>0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3">
      <c r="A3039" t="str">
        <f>"03/24/2022 22:22:56.355"</f>
        <v>03/24/2022 22:22:56.355</v>
      </c>
      <c r="C3039" t="str">
        <f t="shared" si="905"/>
        <v>FFDFD3C0</v>
      </c>
      <c r="D3039" t="s">
        <v>120</v>
      </c>
      <c r="E3039">
        <v>14</v>
      </c>
      <c r="F3039">
        <v>1014</v>
      </c>
      <c r="G3039" t="s">
        <v>121</v>
      </c>
      <c r="J3039" t="s">
        <v>122</v>
      </c>
      <c r="K3039">
        <v>0</v>
      </c>
      <c r="L3039">
        <v>3</v>
      </c>
      <c r="M3039">
        <v>0</v>
      </c>
      <c r="N3039">
        <v>2</v>
      </c>
      <c r="O3039">
        <v>0</v>
      </c>
      <c r="P3039">
        <v>1</v>
      </c>
      <c r="Q3039">
        <v>0</v>
      </c>
      <c r="S3039" t="str">
        <f t="shared" ref="S3039:T3042" si="909">"22:22:56.000"</f>
        <v>22:22:56.000</v>
      </c>
      <c r="T3039" t="str">
        <f t="shared" si="909"/>
        <v>22:22:56.000</v>
      </c>
      <c r="U3039" t="str">
        <f t="shared" si="899"/>
        <v>A9D71F</v>
      </c>
      <c r="V3039">
        <v>0</v>
      </c>
      <c r="W3039">
        <v>0</v>
      </c>
      <c r="X3039">
        <v>2</v>
      </c>
      <c r="Z3039">
        <v>1</v>
      </c>
      <c r="AA3039">
        <v>8</v>
      </c>
      <c r="AB3039">
        <v>3</v>
      </c>
      <c r="AC3039">
        <v>0</v>
      </c>
      <c r="AD3039">
        <v>9</v>
      </c>
      <c r="AE3039">
        <v>0</v>
      </c>
      <c r="AF3039">
        <v>3</v>
      </c>
      <c r="AG3039">
        <v>1</v>
      </c>
      <c r="AH3039">
        <v>0</v>
      </c>
      <c r="AI3039" t="s">
        <v>1502</v>
      </c>
      <c r="AJ3039">
        <v>32.975078000000003</v>
      </c>
      <c r="AK3039" t="s">
        <v>1453</v>
      </c>
      <c r="AL3039">
        <v>-97.667576999999994</v>
      </c>
      <c r="AM3039">
        <v>25</v>
      </c>
      <c r="AN3039">
        <v>1000</v>
      </c>
      <c r="AO3039" t="s">
        <v>118</v>
      </c>
      <c r="AP3039">
        <v>0</v>
      </c>
      <c r="AQ3039">
        <v>-75</v>
      </c>
      <c r="AR3039">
        <v>128</v>
      </c>
      <c r="AZ3039">
        <v>7700</v>
      </c>
      <c r="BA3039">
        <v>1</v>
      </c>
      <c r="BB3039" t="str">
        <f t="shared" si="906"/>
        <v xml:space="preserve">N733KP  </v>
      </c>
      <c r="BC3039">
        <v>1</v>
      </c>
      <c r="BE3039">
        <v>0</v>
      </c>
      <c r="BF3039">
        <v>0</v>
      </c>
      <c r="BG3039">
        <v>1</v>
      </c>
      <c r="BH3039">
        <v>975</v>
      </c>
      <c r="BI3039">
        <v>1</v>
      </c>
      <c r="BJ3039">
        <v>1</v>
      </c>
      <c r="BK3039">
        <v>0</v>
      </c>
      <c r="BL3039">
        <v>0</v>
      </c>
      <c r="BO3039">
        <v>0</v>
      </c>
      <c r="BP3039">
        <v>0</v>
      </c>
      <c r="BW3039" t="str">
        <f>"22:22:56.198"</f>
        <v>22:22:56.198</v>
      </c>
      <c r="CJ3039">
        <v>0</v>
      </c>
      <c r="CK3039">
        <v>2</v>
      </c>
      <c r="CL3039">
        <v>0</v>
      </c>
      <c r="CM3039">
        <v>2</v>
      </c>
      <c r="CN3039">
        <v>0</v>
      </c>
      <c r="CO3039">
        <v>3</v>
      </c>
      <c r="CP3039" t="s">
        <v>119</v>
      </c>
      <c r="CQ3039">
        <v>364</v>
      </c>
      <c r="CR3039">
        <v>0</v>
      </c>
      <c r="CW3039">
        <v>1484151</v>
      </c>
      <c r="CY3039">
        <v>1</v>
      </c>
      <c r="CZ3039">
        <v>0</v>
      </c>
      <c r="DA3039">
        <v>0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3">
      <c r="A3040" t="str">
        <f>"03/24/2022 22:22:56.355"</f>
        <v>03/24/2022 22:22:56.355</v>
      </c>
      <c r="C3040" t="str">
        <f t="shared" si="905"/>
        <v>FFDFD3C0</v>
      </c>
      <c r="D3040" t="s">
        <v>123</v>
      </c>
      <c r="E3040">
        <v>8</v>
      </c>
      <c r="H3040">
        <v>31</v>
      </c>
      <c r="I3040" t="s">
        <v>124</v>
      </c>
      <c r="J3040" t="s">
        <v>125</v>
      </c>
      <c r="K3040">
        <v>0</v>
      </c>
      <c r="L3040">
        <v>3</v>
      </c>
      <c r="M3040">
        <v>0</v>
      </c>
      <c r="N3040">
        <v>2</v>
      </c>
      <c r="O3040">
        <v>0</v>
      </c>
      <c r="P3040">
        <v>1</v>
      </c>
      <c r="Q3040">
        <v>0</v>
      </c>
      <c r="S3040" t="str">
        <f t="shared" si="909"/>
        <v>22:22:56.000</v>
      </c>
      <c r="T3040" t="str">
        <f t="shared" si="909"/>
        <v>22:22:56.000</v>
      </c>
      <c r="U3040" t="str">
        <f t="shared" si="899"/>
        <v>A9D71F</v>
      </c>
      <c r="V3040">
        <v>0</v>
      </c>
      <c r="W3040">
        <v>0</v>
      </c>
      <c r="X3040">
        <v>2</v>
      </c>
      <c r="Z3040">
        <v>1</v>
      </c>
      <c r="AA3040">
        <v>8</v>
      </c>
      <c r="AB3040">
        <v>3</v>
      </c>
      <c r="AC3040">
        <v>0</v>
      </c>
      <c r="AD3040">
        <v>9</v>
      </c>
      <c r="AE3040">
        <v>0</v>
      </c>
      <c r="AF3040">
        <v>3</v>
      </c>
      <c r="AG3040">
        <v>1</v>
      </c>
      <c r="AH3040">
        <v>0</v>
      </c>
      <c r="AI3040" t="s">
        <v>1502</v>
      </c>
      <c r="AJ3040">
        <v>32.975078000000003</v>
      </c>
      <c r="AK3040" t="s">
        <v>1453</v>
      </c>
      <c r="AL3040">
        <v>-97.667576999999994</v>
      </c>
      <c r="AM3040">
        <v>25</v>
      </c>
      <c r="AN3040">
        <v>1000</v>
      </c>
      <c r="AO3040" t="s">
        <v>118</v>
      </c>
      <c r="AP3040">
        <v>0</v>
      </c>
      <c r="AQ3040">
        <v>-75</v>
      </c>
      <c r="AR3040">
        <v>128</v>
      </c>
      <c r="AZ3040">
        <v>7700</v>
      </c>
      <c r="BA3040">
        <v>1</v>
      </c>
      <c r="BB3040" t="str">
        <f t="shared" si="906"/>
        <v xml:space="preserve">N733KP  </v>
      </c>
      <c r="BC3040">
        <v>1</v>
      </c>
      <c r="BE3040">
        <v>0</v>
      </c>
      <c r="BF3040">
        <v>0</v>
      </c>
      <c r="BG3040">
        <v>1</v>
      </c>
      <c r="BH3040">
        <v>975</v>
      </c>
      <c r="BI3040">
        <v>1</v>
      </c>
      <c r="BJ3040">
        <v>1</v>
      </c>
      <c r="BK3040">
        <v>0</v>
      </c>
      <c r="BL3040">
        <v>0</v>
      </c>
      <c r="BO3040">
        <v>0</v>
      </c>
      <c r="BP3040">
        <v>0</v>
      </c>
      <c r="BW3040" t="str">
        <f>"22:22:56.198"</f>
        <v>22:22:56.198</v>
      </c>
      <c r="CJ3040">
        <v>0</v>
      </c>
      <c r="CK3040">
        <v>2</v>
      </c>
      <c r="CL3040">
        <v>0</v>
      </c>
      <c r="CM3040">
        <v>2</v>
      </c>
      <c r="CN3040">
        <v>0</v>
      </c>
      <c r="CO3040">
        <v>3</v>
      </c>
      <c r="CP3040" t="s">
        <v>119</v>
      </c>
      <c r="CQ3040">
        <v>364</v>
      </c>
      <c r="CR3040">
        <v>0</v>
      </c>
      <c r="CW3040">
        <v>1484151</v>
      </c>
      <c r="CY3040">
        <v>1</v>
      </c>
      <c r="CZ3040">
        <v>0</v>
      </c>
      <c r="DA3040">
        <v>1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3">
      <c r="A3041" t="str">
        <f>"03/24/2022 22:22:56.433"</f>
        <v>03/24/2022 22:22:56.433</v>
      </c>
      <c r="C3041" t="str">
        <f t="shared" si="905"/>
        <v>FFDFD3C0</v>
      </c>
      <c r="D3041" t="s">
        <v>126</v>
      </c>
      <c r="E3041">
        <v>3</v>
      </c>
      <c r="H3041">
        <v>160</v>
      </c>
      <c r="I3041" t="s">
        <v>121</v>
      </c>
      <c r="J3041" t="s">
        <v>127</v>
      </c>
      <c r="K3041">
        <v>0</v>
      </c>
      <c r="L3041">
        <v>3</v>
      </c>
      <c r="M3041">
        <v>0</v>
      </c>
      <c r="N3041">
        <v>2</v>
      </c>
      <c r="O3041">
        <v>0</v>
      </c>
      <c r="P3041">
        <v>1</v>
      </c>
      <c r="Q3041">
        <v>0</v>
      </c>
      <c r="S3041" t="str">
        <f t="shared" si="909"/>
        <v>22:22:56.000</v>
      </c>
      <c r="T3041" t="str">
        <f t="shared" si="909"/>
        <v>22:22:56.000</v>
      </c>
      <c r="U3041" t="str">
        <f t="shared" si="899"/>
        <v>A9D71F</v>
      </c>
      <c r="V3041">
        <v>0</v>
      </c>
      <c r="W3041">
        <v>0</v>
      </c>
      <c r="X3041">
        <v>2</v>
      </c>
      <c r="Z3041">
        <v>1</v>
      </c>
      <c r="AA3041">
        <v>8</v>
      </c>
      <c r="AB3041">
        <v>3</v>
      </c>
      <c r="AC3041">
        <v>0</v>
      </c>
      <c r="AD3041">
        <v>9</v>
      </c>
      <c r="AE3041">
        <v>0</v>
      </c>
      <c r="AF3041">
        <v>3</v>
      </c>
      <c r="AG3041">
        <v>1</v>
      </c>
      <c r="AH3041">
        <v>0</v>
      </c>
      <c r="AI3041" t="s">
        <v>1502</v>
      </c>
      <c r="AJ3041">
        <v>32.975078000000003</v>
      </c>
      <c r="AK3041" t="s">
        <v>1453</v>
      </c>
      <c r="AL3041">
        <v>-97.667576999999994</v>
      </c>
      <c r="AM3041">
        <v>25</v>
      </c>
      <c r="AN3041">
        <v>1000</v>
      </c>
      <c r="AO3041" t="s">
        <v>118</v>
      </c>
      <c r="AP3041">
        <v>0</v>
      </c>
      <c r="AQ3041">
        <v>-75</v>
      </c>
      <c r="AR3041">
        <v>128</v>
      </c>
      <c r="AZ3041">
        <v>7700</v>
      </c>
      <c r="BA3041">
        <v>1</v>
      </c>
      <c r="BB3041" t="str">
        <f t="shared" si="906"/>
        <v xml:space="preserve">N733KP  </v>
      </c>
      <c r="BC3041">
        <v>1</v>
      </c>
      <c r="BE3041">
        <v>0</v>
      </c>
      <c r="BF3041">
        <v>0</v>
      </c>
      <c r="BG3041">
        <v>1</v>
      </c>
      <c r="BH3041">
        <v>975</v>
      </c>
      <c r="BI3041">
        <v>1</v>
      </c>
      <c r="BJ3041">
        <v>1</v>
      </c>
      <c r="BK3041">
        <v>0</v>
      </c>
      <c r="BL3041">
        <v>0</v>
      </c>
      <c r="BO3041">
        <v>0</v>
      </c>
      <c r="BP3041">
        <v>0</v>
      </c>
      <c r="BW3041" t="str">
        <f>"22:22:56.198"</f>
        <v>22:22:56.198</v>
      </c>
      <c r="CJ3041">
        <v>0</v>
      </c>
      <c r="CK3041">
        <v>2</v>
      </c>
      <c r="CL3041">
        <v>0</v>
      </c>
      <c r="CM3041">
        <v>2</v>
      </c>
      <c r="CN3041">
        <v>0</v>
      </c>
      <c r="CO3041">
        <v>3</v>
      </c>
      <c r="CP3041" t="s">
        <v>119</v>
      </c>
      <c r="CQ3041">
        <v>364</v>
      </c>
      <c r="CR3041">
        <v>0</v>
      </c>
      <c r="CW3041">
        <v>1484151</v>
      </c>
      <c r="CY3041">
        <v>1</v>
      </c>
      <c r="CZ3041">
        <v>0</v>
      </c>
      <c r="DA3041">
        <v>1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3">
      <c r="A3042" t="str">
        <f>"03/24/2022 22:22:56.449"</f>
        <v>03/24/2022 22:22:56.449</v>
      </c>
      <c r="C3042" t="str">
        <f t="shared" si="905"/>
        <v>FFDFD3C0</v>
      </c>
      <c r="D3042" t="s">
        <v>113</v>
      </c>
      <c r="E3042">
        <v>24</v>
      </c>
      <c r="F3042">
        <v>2024</v>
      </c>
      <c r="G3042" t="s">
        <v>114</v>
      </c>
      <c r="J3042" t="s">
        <v>115</v>
      </c>
      <c r="K3042">
        <v>0</v>
      </c>
      <c r="L3042">
        <v>3</v>
      </c>
      <c r="M3042">
        <v>0</v>
      </c>
      <c r="N3042">
        <v>2</v>
      </c>
      <c r="O3042">
        <v>0</v>
      </c>
      <c r="P3042">
        <v>1</v>
      </c>
      <c r="Q3042">
        <v>0</v>
      </c>
      <c r="S3042" t="str">
        <f t="shared" si="909"/>
        <v>22:22:56.000</v>
      </c>
      <c r="T3042" t="str">
        <f t="shared" si="909"/>
        <v>22:22:56.000</v>
      </c>
      <c r="U3042" t="str">
        <f t="shared" si="899"/>
        <v>A9D71F</v>
      </c>
      <c r="V3042">
        <v>0</v>
      </c>
      <c r="W3042">
        <v>0</v>
      </c>
      <c r="X3042">
        <v>2</v>
      </c>
      <c r="Z3042">
        <v>1</v>
      </c>
      <c r="AA3042">
        <v>8</v>
      </c>
      <c r="AB3042">
        <v>3</v>
      </c>
      <c r="AC3042">
        <v>0</v>
      </c>
      <c r="AD3042">
        <v>9</v>
      </c>
      <c r="AE3042">
        <v>0</v>
      </c>
      <c r="AF3042">
        <v>3</v>
      </c>
      <c r="AG3042">
        <v>1</v>
      </c>
      <c r="AH3042">
        <v>0</v>
      </c>
      <c r="AI3042" t="s">
        <v>1502</v>
      </c>
      <c r="AJ3042">
        <v>32.975078000000003</v>
      </c>
      <c r="AK3042" t="s">
        <v>1453</v>
      </c>
      <c r="AL3042">
        <v>-97.667576999999994</v>
      </c>
      <c r="AM3042">
        <v>25</v>
      </c>
      <c r="AN3042">
        <v>1000</v>
      </c>
      <c r="AO3042" t="s">
        <v>118</v>
      </c>
      <c r="AP3042">
        <v>0</v>
      </c>
      <c r="AQ3042">
        <v>-75</v>
      </c>
      <c r="AR3042">
        <v>128</v>
      </c>
      <c r="AZ3042">
        <v>7700</v>
      </c>
      <c r="BA3042">
        <v>1</v>
      </c>
      <c r="BB3042" t="str">
        <f t="shared" si="906"/>
        <v xml:space="preserve">N733KP  </v>
      </c>
      <c r="BC3042">
        <v>1</v>
      </c>
      <c r="BE3042">
        <v>0</v>
      </c>
      <c r="BF3042">
        <v>0</v>
      </c>
      <c r="BG3042">
        <v>1</v>
      </c>
      <c r="BH3042">
        <v>975</v>
      </c>
      <c r="BI3042">
        <v>1</v>
      </c>
      <c r="BJ3042">
        <v>1</v>
      </c>
      <c r="BK3042">
        <v>0</v>
      </c>
      <c r="BL3042">
        <v>0</v>
      </c>
      <c r="BO3042">
        <v>0</v>
      </c>
      <c r="BP3042">
        <v>0</v>
      </c>
      <c r="BW3042" t="str">
        <f>"22:22:56.198"</f>
        <v>22:22:56.198</v>
      </c>
      <c r="CJ3042">
        <v>0</v>
      </c>
      <c r="CK3042">
        <v>2</v>
      </c>
      <c r="CL3042">
        <v>0</v>
      </c>
      <c r="CM3042">
        <v>2</v>
      </c>
      <c r="CN3042">
        <v>0</v>
      </c>
      <c r="CO3042">
        <v>3</v>
      </c>
      <c r="CP3042" t="s">
        <v>119</v>
      </c>
      <c r="CQ3042">
        <v>364</v>
      </c>
      <c r="CR3042">
        <v>0</v>
      </c>
      <c r="CW3042">
        <v>1484151</v>
      </c>
      <c r="CY3042">
        <v>1</v>
      </c>
      <c r="CZ3042">
        <v>0</v>
      </c>
      <c r="DA3042">
        <v>1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3">
      <c r="A3043" t="str">
        <f>"03/24/2022 22:22:58.184"</f>
        <v>03/24/2022 22:22:58.184</v>
      </c>
      <c r="C3043" t="str">
        <f t="shared" si="905"/>
        <v>FFDFD3C0</v>
      </c>
      <c r="D3043" t="s">
        <v>126</v>
      </c>
      <c r="E3043">
        <v>3</v>
      </c>
      <c r="H3043">
        <v>160</v>
      </c>
      <c r="I3043" t="s">
        <v>121</v>
      </c>
      <c r="J3043" t="s">
        <v>127</v>
      </c>
      <c r="K3043">
        <v>0</v>
      </c>
      <c r="L3043">
        <v>3</v>
      </c>
      <c r="M3043">
        <v>0</v>
      </c>
      <c r="N3043">
        <v>2</v>
      </c>
      <c r="O3043">
        <v>0</v>
      </c>
      <c r="P3043">
        <v>1</v>
      </c>
      <c r="Q3043">
        <v>0</v>
      </c>
      <c r="S3043" t="str">
        <f t="shared" ref="S3043:T3046" si="910">"22:22:57.000"</f>
        <v>22:22:57.000</v>
      </c>
      <c r="T3043" t="str">
        <f t="shared" si="910"/>
        <v>22:22:57.000</v>
      </c>
      <c r="U3043" t="str">
        <f t="shared" si="899"/>
        <v>A9D71F</v>
      </c>
      <c r="V3043">
        <v>0</v>
      </c>
      <c r="W3043">
        <v>0</v>
      </c>
      <c r="X3043">
        <v>2</v>
      </c>
      <c r="Z3043">
        <v>1</v>
      </c>
      <c r="AA3043">
        <v>8</v>
      </c>
      <c r="AB3043">
        <v>3</v>
      </c>
      <c r="AC3043">
        <v>0</v>
      </c>
      <c r="AD3043">
        <v>9</v>
      </c>
      <c r="AE3043">
        <v>0</v>
      </c>
      <c r="AF3043">
        <v>3</v>
      </c>
      <c r="AG3043">
        <v>1</v>
      </c>
      <c r="AH3043">
        <v>0</v>
      </c>
      <c r="AI3043" t="s">
        <v>1503</v>
      </c>
      <c r="AJ3043">
        <v>32.974798999999997</v>
      </c>
      <c r="AK3043" t="s">
        <v>1453</v>
      </c>
      <c r="AL3043">
        <v>-97.667576999999994</v>
      </c>
      <c r="AM3043">
        <v>25</v>
      </c>
      <c r="AN3043">
        <v>1000</v>
      </c>
      <c r="AO3043" t="s">
        <v>118</v>
      </c>
      <c r="AP3043">
        <v>-1</v>
      </c>
      <c r="AQ3043">
        <v>-75</v>
      </c>
      <c r="AR3043">
        <v>0</v>
      </c>
      <c r="AZ3043">
        <v>7700</v>
      </c>
      <c r="BA3043">
        <v>1</v>
      </c>
      <c r="BB3043" t="str">
        <f t="shared" si="906"/>
        <v xml:space="preserve">N733KP  </v>
      </c>
      <c r="BC3043">
        <v>1</v>
      </c>
      <c r="BE3043">
        <v>0</v>
      </c>
      <c r="BF3043">
        <v>0</v>
      </c>
      <c r="BG3043">
        <v>1</v>
      </c>
      <c r="BH3043">
        <v>975</v>
      </c>
      <c r="BI3043">
        <v>1</v>
      </c>
      <c r="BJ3043">
        <v>1</v>
      </c>
      <c r="BK3043">
        <v>0</v>
      </c>
      <c r="BL3043">
        <v>0</v>
      </c>
      <c r="BO3043">
        <v>0</v>
      </c>
      <c r="BP3043">
        <v>0</v>
      </c>
      <c r="BW3043" t="str">
        <f>"22:22:57.976"</f>
        <v>22:22:57.976</v>
      </c>
      <c r="CJ3043">
        <v>0</v>
      </c>
      <c r="CK3043">
        <v>2</v>
      </c>
      <c r="CL3043">
        <v>0</v>
      </c>
      <c r="CM3043">
        <v>2</v>
      </c>
      <c r="CN3043">
        <v>0</v>
      </c>
      <c r="CO3043">
        <v>5</v>
      </c>
      <c r="CP3043" t="s">
        <v>119</v>
      </c>
      <c r="CQ3043">
        <v>364</v>
      </c>
      <c r="CR3043">
        <v>0</v>
      </c>
      <c r="CW3043">
        <v>1484392</v>
      </c>
      <c r="CY3043">
        <v>1</v>
      </c>
      <c r="CZ3043">
        <v>0</v>
      </c>
      <c r="DA3043">
        <v>0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3">
      <c r="A3044" t="str">
        <f>"03/24/2022 22:22:58.184"</f>
        <v>03/24/2022 22:22:58.184</v>
      </c>
      <c r="C3044" t="str">
        <f t="shared" si="905"/>
        <v>FFDFD3C0</v>
      </c>
      <c r="D3044" t="s">
        <v>113</v>
      </c>
      <c r="E3044">
        <v>24</v>
      </c>
      <c r="F3044">
        <v>2024</v>
      </c>
      <c r="G3044" t="s">
        <v>114</v>
      </c>
      <c r="J3044" t="s">
        <v>115</v>
      </c>
      <c r="K3044">
        <v>0</v>
      </c>
      <c r="L3044">
        <v>3</v>
      </c>
      <c r="M3044">
        <v>0</v>
      </c>
      <c r="N3044">
        <v>2</v>
      </c>
      <c r="O3044">
        <v>0</v>
      </c>
      <c r="P3044">
        <v>1</v>
      </c>
      <c r="Q3044">
        <v>0</v>
      </c>
      <c r="S3044" t="str">
        <f t="shared" si="910"/>
        <v>22:22:57.000</v>
      </c>
      <c r="T3044" t="str">
        <f t="shared" si="910"/>
        <v>22:22:57.000</v>
      </c>
      <c r="U3044" t="str">
        <f t="shared" si="899"/>
        <v>A9D71F</v>
      </c>
      <c r="V3044">
        <v>0</v>
      </c>
      <c r="W3044">
        <v>0</v>
      </c>
      <c r="X3044">
        <v>2</v>
      </c>
      <c r="Z3044">
        <v>1</v>
      </c>
      <c r="AA3044">
        <v>8</v>
      </c>
      <c r="AB3044">
        <v>3</v>
      </c>
      <c r="AC3044">
        <v>0</v>
      </c>
      <c r="AD3044">
        <v>9</v>
      </c>
      <c r="AE3044">
        <v>0</v>
      </c>
      <c r="AF3044">
        <v>3</v>
      </c>
      <c r="AG3044">
        <v>1</v>
      </c>
      <c r="AH3044">
        <v>0</v>
      </c>
      <c r="AI3044" t="s">
        <v>1503</v>
      </c>
      <c r="AJ3044">
        <v>32.974798999999997</v>
      </c>
      <c r="AK3044" t="s">
        <v>1453</v>
      </c>
      <c r="AL3044">
        <v>-97.667576999999994</v>
      </c>
      <c r="AM3044">
        <v>25</v>
      </c>
      <c r="AN3044">
        <v>1000</v>
      </c>
      <c r="AO3044" t="s">
        <v>118</v>
      </c>
      <c r="AP3044">
        <v>-1</v>
      </c>
      <c r="AQ3044">
        <v>-75</v>
      </c>
      <c r="AR3044">
        <v>0</v>
      </c>
      <c r="AZ3044">
        <v>7700</v>
      </c>
      <c r="BA3044">
        <v>1</v>
      </c>
      <c r="BB3044" t="str">
        <f t="shared" si="906"/>
        <v xml:space="preserve">N733KP  </v>
      </c>
      <c r="BC3044">
        <v>1</v>
      </c>
      <c r="BE3044">
        <v>0</v>
      </c>
      <c r="BF3044">
        <v>0</v>
      </c>
      <c r="BG3044">
        <v>1</v>
      </c>
      <c r="BH3044">
        <v>975</v>
      </c>
      <c r="BI3044">
        <v>1</v>
      </c>
      <c r="BJ3044">
        <v>1</v>
      </c>
      <c r="BK3044">
        <v>0</v>
      </c>
      <c r="BL3044">
        <v>0</v>
      </c>
      <c r="BO3044">
        <v>0</v>
      </c>
      <c r="BP3044">
        <v>0</v>
      </c>
      <c r="BW3044" t="str">
        <f>"22:22:57.976"</f>
        <v>22:22:57.976</v>
      </c>
      <c r="CJ3044">
        <v>0</v>
      </c>
      <c r="CK3044">
        <v>2</v>
      </c>
      <c r="CL3044">
        <v>0</v>
      </c>
      <c r="CM3044">
        <v>2</v>
      </c>
      <c r="CN3044">
        <v>0</v>
      </c>
      <c r="CO3044">
        <v>5</v>
      </c>
      <c r="CP3044" t="s">
        <v>119</v>
      </c>
      <c r="CQ3044">
        <v>364</v>
      </c>
      <c r="CR3044">
        <v>0</v>
      </c>
      <c r="CW3044">
        <v>1484392</v>
      </c>
      <c r="CY3044">
        <v>1</v>
      </c>
      <c r="CZ3044">
        <v>0</v>
      </c>
      <c r="DA3044">
        <v>1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3">
      <c r="A3045" t="str">
        <f>"03/24/2022 22:22:58.184"</f>
        <v>03/24/2022 22:22:58.184</v>
      </c>
      <c r="C3045" t="str">
        <f t="shared" si="905"/>
        <v>FFDFD3C0</v>
      </c>
      <c r="D3045" t="s">
        <v>120</v>
      </c>
      <c r="E3045">
        <v>14</v>
      </c>
      <c r="F3045">
        <v>1014</v>
      </c>
      <c r="G3045" t="s">
        <v>121</v>
      </c>
      <c r="J3045" t="s">
        <v>122</v>
      </c>
      <c r="K3045">
        <v>0</v>
      </c>
      <c r="L3045">
        <v>3</v>
      </c>
      <c r="M3045">
        <v>0</v>
      </c>
      <c r="N3045">
        <v>2</v>
      </c>
      <c r="O3045">
        <v>0</v>
      </c>
      <c r="P3045">
        <v>1</v>
      </c>
      <c r="Q3045">
        <v>0</v>
      </c>
      <c r="S3045" t="str">
        <f t="shared" si="910"/>
        <v>22:22:57.000</v>
      </c>
      <c r="T3045" t="str">
        <f t="shared" si="910"/>
        <v>22:22:57.000</v>
      </c>
      <c r="U3045" t="str">
        <f t="shared" si="899"/>
        <v>A9D71F</v>
      </c>
      <c r="V3045">
        <v>0</v>
      </c>
      <c r="W3045">
        <v>0</v>
      </c>
      <c r="X3045">
        <v>2</v>
      </c>
      <c r="Z3045">
        <v>1</v>
      </c>
      <c r="AA3045">
        <v>8</v>
      </c>
      <c r="AB3045">
        <v>3</v>
      </c>
      <c r="AC3045">
        <v>0</v>
      </c>
      <c r="AD3045">
        <v>9</v>
      </c>
      <c r="AE3045">
        <v>0</v>
      </c>
      <c r="AF3045">
        <v>3</v>
      </c>
      <c r="AG3045">
        <v>1</v>
      </c>
      <c r="AH3045">
        <v>0</v>
      </c>
      <c r="AI3045" t="s">
        <v>1503</v>
      </c>
      <c r="AJ3045">
        <v>32.974798999999997</v>
      </c>
      <c r="AK3045" t="s">
        <v>1453</v>
      </c>
      <c r="AL3045">
        <v>-97.667576999999994</v>
      </c>
      <c r="AM3045">
        <v>25</v>
      </c>
      <c r="AN3045">
        <v>1000</v>
      </c>
      <c r="AO3045" t="s">
        <v>118</v>
      </c>
      <c r="AP3045">
        <v>-1</v>
      </c>
      <c r="AQ3045">
        <v>-75</v>
      </c>
      <c r="AR3045">
        <v>0</v>
      </c>
      <c r="AZ3045">
        <v>7700</v>
      </c>
      <c r="BA3045">
        <v>1</v>
      </c>
      <c r="BB3045" t="str">
        <f t="shared" si="906"/>
        <v xml:space="preserve">N733KP  </v>
      </c>
      <c r="BC3045">
        <v>1</v>
      </c>
      <c r="BE3045">
        <v>0</v>
      </c>
      <c r="BF3045">
        <v>0</v>
      </c>
      <c r="BG3045">
        <v>1</v>
      </c>
      <c r="BH3045">
        <v>975</v>
      </c>
      <c r="BI3045">
        <v>1</v>
      </c>
      <c r="BJ3045">
        <v>1</v>
      </c>
      <c r="BK3045">
        <v>0</v>
      </c>
      <c r="BL3045">
        <v>0</v>
      </c>
      <c r="BO3045">
        <v>0</v>
      </c>
      <c r="BP3045">
        <v>0</v>
      </c>
      <c r="BW3045" t="str">
        <f>"22:22:57.976"</f>
        <v>22:22:57.976</v>
      </c>
      <c r="CJ3045">
        <v>0</v>
      </c>
      <c r="CK3045">
        <v>2</v>
      </c>
      <c r="CL3045">
        <v>0</v>
      </c>
      <c r="CM3045">
        <v>2</v>
      </c>
      <c r="CN3045">
        <v>0</v>
      </c>
      <c r="CO3045">
        <v>5</v>
      </c>
      <c r="CP3045" t="s">
        <v>119</v>
      </c>
      <c r="CQ3045">
        <v>364</v>
      </c>
      <c r="CR3045">
        <v>0</v>
      </c>
      <c r="CW3045">
        <v>1484392</v>
      </c>
      <c r="CY3045">
        <v>1</v>
      </c>
      <c r="CZ3045">
        <v>0</v>
      </c>
      <c r="DA3045">
        <v>1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3">
      <c r="A3046" t="str">
        <f>"03/24/2022 22:22:58.184"</f>
        <v>03/24/2022 22:22:58.184</v>
      </c>
      <c r="C3046" t="str">
        <f t="shared" si="905"/>
        <v>FFDFD3C0</v>
      </c>
      <c r="D3046" t="s">
        <v>123</v>
      </c>
      <c r="E3046">
        <v>8</v>
      </c>
      <c r="H3046">
        <v>31</v>
      </c>
      <c r="I3046" t="s">
        <v>124</v>
      </c>
      <c r="J3046" t="s">
        <v>125</v>
      </c>
      <c r="K3046">
        <v>0</v>
      </c>
      <c r="L3046">
        <v>3</v>
      </c>
      <c r="M3046">
        <v>0</v>
      </c>
      <c r="N3046">
        <v>2</v>
      </c>
      <c r="O3046">
        <v>0</v>
      </c>
      <c r="P3046">
        <v>1</v>
      </c>
      <c r="Q3046">
        <v>0</v>
      </c>
      <c r="S3046" t="str">
        <f t="shared" si="910"/>
        <v>22:22:57.000</v>
      </c>
      <c r="T3046" t="str">
        <f t="shared" si="910"/>
        <v>22:22:57.000</v>
      </c>
      <c r="U3046" t="str">
        <f t="shared" si="899"/>
        <v>A9D71F</v>
      </c>
      <c r="V3046">
        <v>0</v>
      </c>
      <c r="W3046">
        <v>0</v>
      </c>
      <c r="X3046">
        <v>2</v>
      </c>
      <c r="Z3046">
        <v>1</v>
      </c>
      <c r="AA3046">
        <v>8</v>
      </c>
      <c r="AB3046">
        <v>3</v>
      </c>
      <c r="AC3046">
        <v>0</v>
      </c>
      <c r="AD3046">
        <v>9</v>
      </c>
      <c r="AE3046">
        <v>0</v>
      </c>
      <c r="AF3046">
        <v>3</v>
      </c>
      <c r="AG3046">
        <v>1</v>
      </c>
      <c r="AH3046">
        <v>0</v>
      </c>
      <c r="AI3046" t="s">
        <v>1503</v>
      </c>
      <c r="AJ3046">
        <v>32.974798999999997</v>
      </c>
      <c r="AK3046" t="s">
        <v>1453</v>
      </c>
      <c r="AL3046">
        <v>-97.667576999999994</v>
      </c>
      <c r="AM3046">
        <v>25</v>
      </c>
      <c r="AN3046">
        <v>1000</v>
      </c>
      <c r="AO3046" t="s">
        <v>118</v>
      </c>
      <c r="AP3046">
        <v>-1</v>
      </c>
      <c r="AQ3046">
        <v>-75</v>
      </c>
      <c r="AR3046">
        <v>0</v>
      </c>
      <c r="AZ3046">
        <v>7700</v>
      </c>
      <c r="BA3046">
        <v>1</v>
      </c>
      <c r="BB3046" t="str">
        <f t="shared" si="906"/>
        <v xml:space="preserve">N733KP  </v>
      </c>
      <c r="BC3046">
        <v>1</v>
      </c>
      <c r="BE3046">
        <v>0</v>
      </c>
      <c r="BF3046">
        <v>0</v>
      </c>
      <c r="BG3046">
        <v>1</v>
      </c>
      <c r="BH3046">
        <v>975</v>
      </c>
      <c r="BI3046">
        <v>1</v>
      </c>
      <c r="BJ3046">
        <v>1</v>
      </c>
      <c r="BK3046">
        <v>0</v>
      </c>
      <c r="BL3046">
        <v>0</v>
      </c>
      <c r="BO3046">
        <v>0</v>
      </c>
      <c r="BP3046">
        <v>0</v>
      </c>
      <c r="BW3046" t="str">
        <f>"22:22:57.976"</f>
        <v>22:22:57.976</v>
      </c>
      <c r="CJ3046">
        <v>0</v>
      </c>
      <c r="CK3046">
        <v>2</v>
      </c>
      <c r="CL3046">
        <v>0</v>
      </c>
      <c r="CM3046">
        <v>2</v>
      </c>
      <c r="CN3046">
        <v>0</v>
      </c>
      <c r="CO3046">
        <v>5</v>
      </c>
      <c r="CP3046" t="s">
        <v>119</v>
      </c>
      <c r="CQ3046">
        <v>364</v>
      </c>
      <c r="CR3046">
        <v>0</v>
      </c>
      <c r="CW3046">
        <v>1484392</v>
      </c>
      <c r="CY3046">
        <v>1</v>
      </c>
      <c r="CZ3046">
        <v>0</v>
      </c>
      <c r="DA3046">
        <v>1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3">
      <c r="A3047" t="str">
        <f>"03/24/2022 22:22:58.733"</f>
        <v>03/24/2022 22:22:58.733</v>
      </c>
      <c r="C3047" t="str">
        <f t="shared" si="905"/>
        <v>FFDFD3C0</v>
      </c>
      <c r="D3047" t="s">
        <v>113</v>
      </c>
      <c r="E3047">
        <v>24</v>
      </c>
      <c r="F3047">
        <v>2024</v>
      </c>
      <c r="G3047" t="s">
        <v>114</v>
      </c>
      <c r="J3047" t="s">
        <v>115</v>
      </c>
      <c r="K3047">
        <v>0</v>
      </c>
      <c r="L3047">
        <v>3</v>
      </c>
      <c r="M3047">
        <v>0</v>
      </c>
      <c r="N3047">
        <v>2</v>
      </c>
      <c r="O3047">
        <v>0</v>
      </c>
      <c r="P3047">
        <v>1</v>
      </c>
      <c r="Q3047">
        <v>0</v>
      </c>
      <c r="S3047" t="str">
        <f t="shared" ref="S3047:T3050" si="911">"22:22:58.000"</f>
        <v>22:22:58.000</v>
      </c>
      <c r="T3047" t="str">
        <f t="shared" si="911"/>
        <v>22:22:58.000</v>
      </c>
      <c r="U3047" t="str">
        <f t="shared" si="899"/>
        <v>A9D71F</v>
      </c>
      <c r="V3047">
        <v>0</v>
      </c>
      <c r="W3047">
        <v>0</v>
      </c>
      <c r="X3047">
        <v>2</v>
      </c>
      <c r="Z3047">
        <v>1</v>
      </c>
      <c r="AA3047">
        <v>8</v>
      </c>
      <c r="AB3047">
        <v>3</v>
      </c>
      <c r="AC3047">
        <v>0</v>
      </c>
      <c r="AD3047">
        <v>9</v>
      </c>
      <c r="AE3047">
        <v>0</v>
      </c>
      <c r="AF3047">
        <v>3</v>
      </c>
      <c r="AG3047">
        <v>1</v>
      </c>
      <c r="AH3047">
        <v>0</v>
      </c>
      <c r="AI3047" t="s">
        <v>1504</v>
      </c>
      <c r="AJ3047">
        <v>32.974434000000002</v>
      </c>
      <c r="AK3047" t="s">
        <v>1499</v>
      </c>
      <c r="AL3047">
        <v>-97.667598999999996</v>
      </c>
      <c r="AM3047">
        <v>25</v>
      </c>
      <c r="AN3047">
        <v>1000</v>
      </c>
      <c r="AO3047" t="s">
        <v>118</v>
      </c>
      <c r="AP3047">
        <v>0</v>
      </c>
      <c r="AQ3047">
        <v>-76</v>
      </c>
      <c r="AR3047">
        <v>0</v>
      </c>
      <c r="AZ3047">
        <v>7700</v>
      </c>
      <c r="BA3047">
        <v>1</v>
      </c>
      <c r="BB3047" t="str">
        <f t="shared" si="906"/>
        <v xml:space="preserve">N733KP  </v>
      </c>
      <c r="BC3047">
        <v>1</v>
      </c>
      <c r="BE3047">
        <v>0</v>
      </c>
      <c r="BF3047">
        <v>0</v>
      </c>
      <c r="BG3047">
        <v>1</v>
      </c>
      <c r="BH3047">
        <v>1025</v>
      </c>
      <c r="BI3047">
        <v>1</v>
      </c>
      <c r="BJ3047">
        <v>1</v>
      </c>
      <c r="BK3047">
        <v>0</v>
      </c>
      <c r="BL3047">
        <v>0</v>
      </c>
      <c r="BO3047">
        <v>0</v>
      </c>
      <c r="BP3047">
        <v>0</v>
      </c>
      <c r="BW3047" t="str">
        <f>"22:22:58.556"</f>
        <v>22:22:58.556</v>
      </c>
      <c r="CJ3047">
        <v>0</v>
      </c>
      <c r="CK3047">
        <v>2</v>
      </c>
      <c r="CL3047">
        <v>0</v>
      </c>
      <c r="CM3047">
        <v>2</v>
      </c>
      <c r="CN3047">
        <v>0</v>
      </c>
      <c r="CO3047">
        <v>5</v>
      </c>
      <c r="CP3047" t="s">
        <v>119</v>
      </c>
      <c r="CQ3047">
        <v>364</v>
      </c>
      <c r="CR3047">
        <v>0</v>
      </c>
      <c r="CW3047">
        <v>1484454</v>
      </c>
      <c r="CY3047">
        <v>1</v>
      </c>
      <c r="CZ3047">
        <v>0</v>
      </c>
      <c r="DA3047">
        <v>0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3">
      <c r="A3048" t="str">
        <f>"03/24/2022 22:22:58.733"</f>
        <v>03/24/2022 22:22:58.733</v>
      </c>
      <c r="C3048" t="str">
        <f t="shared" si="905"/>
        <v>FFDFD3C0</v>
      </c>
      <c r="D3048" t="s">
        <v>120</v>
      </c>
      <c r="E3048">
        <v>14</v>
      </c>
      <c r="F3048">
        <v>1014</v>
      </c>
      <c r="G3048" t="s">
        <v>121</v>
      </c>
      <c r="J3048" t="s">
        <v>122</v>
      </c>
      <c r="K3048">
        <v>0</v>
      </c>
      <c r="L3048">
        <v>3</v>
      </c>
      <c r="M3048">
        <v>0</v>
      </c>
      <c r="N3048">
        <v>2</v>
      </c>
      <c r="O3048">
        <v>0</v>
      </c>
      <c r="P3048">
        <v>1</v>
      </c>
      <c r="Q3048">
        <v>0</v>
      </c>
      <c r="S3048" t="str">
        <f t="shared" si="911"/>
        <v>22:22:58.000</v>
      </c>
      <c r="T3048" t="str">
        <f t="shared" si="911"/>
        <v>22:22:58.000</v>
      </c>
      <c r="U3048" t="str">
        <f t="shared" si="899"/>
        <v>A9D71F</v>
      </c>
      <c r="V3048">
        <v>0</v>
      </c>
      <c r="W3048">
        <v>0</v>
      </c>
      <c r="X3048">
        <v>2</v>
      </c>
      <c r="Z3048">
        <v>1</v>
      </c>
      <c r="AA3048">
        <v>8</v>
      </c>
      <c r="AB3048">
        <v>3</v>
      </c>
      <c r="AC3048">
        <v>0</v>
      </c>
      <c r="AD3048">
        <v>9</v>
      </c>
      <c r="AE3048">
        <v>0</v>
      </c>
      <c r="AF3048">
        <v>3</v>
      </c>
      <c r="AG3048">
        <v>1</v>
      </c>
      <c r="AH3048">
        <v>0</v>
      </c>
      <c r="AI3048" t="s">
        <v>1504</v>
      </c>
      <c r="AJ3048">
        <v>32.974434000000002</v>
      </c>
      <c r="AK3048" t="s">
        <v>1499</v>
      </c>
      <c r="AL3048">
        <v>-97.667598999999996</v>
      </c>
      <c r="AM3048">
        <v>25</v>
      </c>
      <c r="AN3048">
        <v>1000</v>
      </c>
      <c r="AO3048" t="s">
        <v>118</v>
      </c>
      <c r="AP3048">
        <v>0</v>
      </c>
      <c r="AQ3048">
        <v>-76</v>
      </c>
      <c r="AR3048">
        <v>0</v>
      </c>
      <c r="AZ3048">
        <v>7700</v>
      </c>
      <c r="BA3048">
        <v>1</v>
      </c>
      <c r="BB3048" t="str">
        <f t="shared" si="906"/>
        <v xml:space="preserve">N733KP  </v>
      </c>
      <c r="BC3048">
        <v>1</v>
      </c>
      <c r="BE3048">
        <v>0</v>
      </c>
      <c r="BF3048">
        <v>0</v>
      </c>
      <c r="BG3048">
        <v>1</v>
      </c>
      <c r="BH3048">
        <v>1025</v>
      </c>
      <c r="BI3048">
        <v>1</v>
      </c>
      <c r="BJ3048">
        <v>1</v>
      </c>
      <c r="BK3048">
        <v>0</v>
      </c>
      <c r="BL3048">
        <v>0</v>
      </c>
      <c r="BO3048">
        <v>0</v>
      </c>
      <c r="BP3048">
        <v>0</v>
      </c>
      <c r="BW3048" t="str">
        <f>"22:22:58.556"</f>
        <v>22:22:58.556</v>
      </c>
      <c r="CJ3048">
        <v>0</v>
      </c>
      <c r="CK3048">
        <v>2</v>
      </c>
      <c r="CL3048">
        <v>0</v>
      </c>
      <c r="CM3048">
        <v>2</v>
      </c>
      <c r="CN3048">
        <v>0</v>
      </c>
      <c r="CO3048">
        <v>5</v>
      </c>
      <c r="CP3048" t="s">
        <v>119</v>
      </c>
      <c r="CQ3048">
        <v>364</v>
      </c>
      <c r="CR3048">
        <v>0</v>
      </c>
      <c r="CW3048">
        <v>1484454</v>
      </c>
      <c r="CY3048">
        <v>1</v>
      </c>
      <c r="CZ3048">
        <v>0</v>
      </c>
      <c r="DA3048">
        <v>1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3">
      <c r="A3049" t="str">
        <f>"03/24/2022 22:22:58.733"</f>
        <v>03/24/2022 22:22:58.733</v>
      </c>
      <c r="C3049" t="str">
        <f t="shared" si="905"/>
        <v>FFDFD3C0</v>
      </c>
      <c r="D3049" t="s">
        <v>123</v>
      </c>
      <c r="E3049">
        <v>8</v>
      </c>
      <c r="H3049">
        <v>31</v>
      </c>
      <c r="I3049" t="s">
        <v>124</v>
      </c>
      <c r="J3049" t="s">
        <v>125</v>
      </c>
      <c r="K3049">
        <v>0</v>
      </c>
      <c r="L3049">
        <v>3</v>
      </c>
      <c r="M3049">
        <v>0</v>
      </c>
      <c r="N3049">
        <v>2</v>
      </c>
      <c r="O3049">
        <v>0</v>
      </c>
      <c r="P3049">
        <v>1</v>
      </c>
      <c r="Q3049">
        <v>0</v>
      </c>
      <c r="S3049" t="str">
        <f t="shared" si="911"/>
        <v>22:22:58.000</v>
      </c>
      <c r="T3049" t="str">
        <f t="shared" si="911"/>
        <v>22:22:58.000</v>
      </c>
      <c r="U3049" t="str">
        <f t="shared" si="899"/>
        <v>A9D71F</v>
      </c>
      <c r="V3049">
        <v>0</v>
      </c>
      <c r="W3049">
        <v>0</v>
      </c>
      <c r="X3049">
        <v>2</v>
      </c>
      <c r="Z3049">
        <v>1</v>
      </c>
      <c r="AA3049">
        <v>8</v>
      </c>
      <c r="AB3049">
        <v>3</v>
      </c>
      <c r="AC3049">
        <v>0</v>
      </c>
      <c r="AD3049">
        <v>9</v>
      </c>
      <c r="AE3049">
        <v>0</v>
      </c>
      <c r="AF3049">
        <v>3</v>
      </c>
      <c r="AG3049">
        <v>1</v>
      </c>
      <c r="AH3049">
        <v>0</v>
      </c>
      <c r="AI3049" t="s">
        <v>1504</v>
      </c>
      <c r="AJ3049">
        <v>32.974434000000002</v>
      </c>
      <c r="AK3049" t="s">
        <v>1499</v>
      </c>
      <c r="AL3049">
        <v>-97.667598999999996</v>
      </c>
      <c r="AM3049">
        <v>25</v>
      </c>
      <c r="AN3049">
        <v>1000</v>
      </c>
      <c r="AO3049" t="s">
        <v>118</v>
      </c>
      <c r="AP3049">
        <v>0</v>
      </c>
      <c r="AQ3049">
        <v>-76</v>
      </c>
      <c r="AR3049">
        <v>0</v>
      </c>
      <c r="AZ3049">
        <v>7700</v>
      </c>
      <c r="BA3049">
        <v>1</v>
      </c>
      <c r="BB3049" t="str">
        <f t="shared" si="906"/>
        <v xml:space="preserve">N733KP  </v>
      </c>
      <c r="BC3049">
        <v>1</v>
      </c>
      <c r="BE3049">
        <v>0</v>
      </c>
      <c r="BF3049">
        <v>0</v>
      </c>
      <c r="BG3049">
        <v>1</v>
      </c>
      <c r="BH3049">
        <v>1025</v>
      </c>
      <c r="BI3049">
        <v>1</v>
      </c>
      <c r="BJ3049">
        <v>1</v>
      </c>
      <c r="BK3049">
        <v>0</v>
      </c>
      <c r="BL3049">
        <v>0</v>
      </c>
      <c r="BO3049">
        <v>0</v>
      </c>
      <c r="BP3049">
        <v>0</v>
      </c>
      <c r="BW3049" t="str">
        <f>"22:22:58.556"</f>
        <v>22:22:58.556</v>
      </c>
      <c r="CJ3049">
        <v>0</v>
      </c>
      <c r="CK3049">
        <v>2</v>
      </c>
      <c r="CL3049">
        <v>0</v>
      </c>
      <c r="CM3049">
        <v>2</v>
      </c>
      <c r="CN3049">
        <v>0</v>
      </c>
      <c r="CO3049">
        <v>5</v>
      </c>
      <c r="CP3049" t="s">
        <v>119</v>
      </c>
      <c r="CQ3049">
        <v>364</v>
      </c>
      <c r="CR3049">
        <v>0</v>
      </c>
      <c r="CW3049">
        <v>1484454</v>
      </c>
      <c r="CY3049">
        <v>1</v>
      </c>
      <c r="CZ3049">
        <v>0</v>
      </c>
      <c r="DA3049">
        <v>1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3">
      <c r="A3050" t="str">
        <f>"03/24/2022 22:22:58.780"</f>
        <v>03/24/2022 22:22:58.780</v>
      </c>
      <c r="C3050" t="str">
        <f t="shared" si="905"/>
        <v>FFDFD3C0</v>
      </c>
      <c r="D3050" t="s">
        <v>126</v>
      </c>
      <c r="E3050">
        <v>3</v>
      </c>
      <c r="H3050">
        <v>160</v>
      </c>
      <c r="I3050" t="s">
        <v>121</v>
      </c>
      <c r="J3050" t="s">
        <v>127</v>
      </c>
      <c r="K3050">
        <v>0</v>
      </c>
      <c r="L3050">
        <v>3</v>
      </c>
      <c r="M3050">
        <v>0</v>
      </c>
      <c r="N3050">
        <v>2</v>
      </c>
      <c r="O3050">
        <v>0</v>
      </c>
      <c r="P3050">
        <v>1</v>
      </c>
      <c r="Q3050">
        <v>0</v>
      </c>
      <c r="S3050" t="str">
        <f t="shared" si="911"/>
        <v>22:22:58.000</v>
      </c>
      <c r="T3050" t="str">
        <f t="shared" si="911"/>
        <v>22:22:58.000</v>
      </c>
      <c r="U3050" t="str">
        <f t="shared" si="899"/>
        <v>A9D71F</v>
      </c>
      <c r="V3050">
        <v>0</v>
      </c>
      <c r="W3050">
        <v>0</v>
      </c>
      <c r="X3050">
        <v>2</v>
      </c>
      <c r="Z3050">
        <v>1</v>
      </c>
      <c r="AA3050">
        <v>8</v>
      </c>
      <c r="AB3050">
        <v>3</v>
      </c>
      <c r="AC3050">
        <v>0</v>
      </c>
      <c r="AD3050">
        <v>9</v>
      </c>
      <c r="AE3050">
        <v>0</v>
      </c>
      <c r="AF3050">
        <v>3</v>
      </c>
      <c r="AG3050">
        <v>1</v>
      </c>
      <c r="AH3050">
        <v>0</v>
      </c>
      <c r="AI3050" t="s">
        <v>1504</v>
      </c>
      <c r="AJ3050">
        <v>32.974434000000002</v>
      </c>
      <c r="AK3050" t="s">
        <v>1499</v>
      </c>
      <c r="AL3050">
        <v>-97.667598999999996</v>
      </c>
      <c r="AM3050">
        <v>25</v>
      </c>
      <c r="AN3050">
        <v>1000</v>
      </c>
      <c r="AO3050" t="s">
        <v>118</v>
      </c>
      <c r="AP3050">
        <v>0</v>
      </c>
      <c r="AQ3050">
        <v>-76</v>
      </c>
      <c r="AR3050">
        <v>0</v>
      </c>
      <c r="AZ3050">
        <v>7700</v>
      </c>
      <c r="BA3050">
        <v>1</v>
      </c>
      <c r="BB3050" t="str">
        <f t="shared" si="906"/>
        <v xml:space="preserve">N733KP  </v>
      </c>
      <c r="BC3050">
        <v>1</v>
      </c>
      <c r="BE3050">
        <v>0</v>
      </c>
      <c r="BF3050">
        <v>0</v>
      </c>
      <c r="BG3050">
        <v>1</v>
      </c>
      <c r="BH3050">
        <v>1025</v>
      </c>
      <c r="BI3050">
        <v>1</v>
      </c>
      <c r="BJ3050">
        <v>1</v>
      </c>
      <c r="BK3050">
        <v>0</v>
      </c>
      <c r="BL3050">
        <v>0</v>
      </c>
      <c r="BO3050">
        <v>0</v>
      </c>
      <c r="BP3050">
        <v>0</v>
      </c>
      <c r="BW3050" t="str">
        <f>"22:22:58.556"</f>
        <v>22:22:58.556</v>
      </c>
      <c r="CJ3050">
        <v>0</v>
      </c>
      <c r="CK3050">
        <v>2</v>
      </c>
      <c r="CL3050">
        <v>0</v>
      </c>
      <c r="CM3050">
        <v>2</v>
      </c>
      <c r="CN3050">
        <v>0</v>
      </c>
      <c r="CO3050">
        <v>5</v>
      </c>
      <c r="CP3050" t="s">
        <v>119</v>
      </c>
      <c r="CQ3050">
        <v>364</v>
      </c>
      <c r="CR3050">
        <v>0</v>
      </c>
      <c r="CW3050">
        <v>1484454</v>
      </c>
      <c r="CY3050">
        <v>1</v>
      </c>
      <c r="CZ3050">
        <v>0</v>
      </c>
      <c r="DA3050">
        <v>1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3">
      <c r="A3051" t="str">
        <f>"03/24/2022 22:22:59.968"</f>
        <v>03/24/2022 22:22:59.968</v>
      </c>
      <c r="C3051" t="str">
        <f t="shared" si="905"/>
        <v>FFDFD3C0</v>
      </c>
      <c r="D3051" t="s">
        <v>126</v>
      </c>
      <c r="E3051">
        <v>3</v>
      </c>
      <c r="H3051">
        <v>160</v>
      </c>
      <c r="I3051" t="s">
        <v>121</v>
      </c>
      <c r="J3051" t="s">
        <v>127</v>
      </c>
      <c r="K3051">
        <v>0</v>
      </c>
      <c r="L3051">
        <v>3</v>
      </c>
      <c r="M3051">
        <v>0</v>
      </c>
      <c r="N3051">
        <v>2</v>
      </c>
      <c r="O3051">
        <v>0</v>
      </c>
      <c r="P3051">
        <v>1</v>
      </c>
      <c r="Q3051">
        <v>0</v>
      </c>
      <c r="S3051" t="str">
        <f t="shared" ref="S3051:T3054" si="912">"22:22:59.000"</f>
        <v>22:22:59.000</v>
      </c>
      <c r="T3051" t="str">
        <f t="shared" si="912"/>
        <v>22:22:59.000</v>
      </c>
      <c r="U3051" t="str">
        <f t="shared" si="899"/>
        <v>A9D71F</v>
      </c>
      <c r="V3051">
        <v>0</v>
      </c>
      <c r="W3051">
        <v>0</v>
      </c>
      <c r="X3051">
        <v>2</v>
      </c>
      <c r="Z3051">
        <v>1</v>
      </c>
      <c r="AA3051">
        <v>8</v>
      </c>
      <c r="AB3051">
        <v>3</v>
      </c>
      <c r="AC3051">
        <v>0</v>
      </c>
      <c r="AD3051">
        <v>9</v>
      </c>
      <c r="AE3051">
        <v>0</v>
      </c>
      <c r="AF3051">
        <v>3</v>
      </c>
      <c r="AG3051">
        <v>1</v>
      </c>
      <c r="AH3051">
        <v>0</v>
      </c>
      <c r="AI3051" t="s">
        <v>1505</v>
      </c>
      <c r="AJ3051">
        <v>32.974048000000003</v>
      </c>
      <c r="AK3051" t="s">
        <v>1499</v>
      </c>
      <c r="AL3051">
        <v>-97.667598999999996</v>
      </c>
      <c r="AM3051">
        <v>25</v>
      </c>
      <c r="AN3051">
        <v>1100</v>
      </c>
      <c r="AO3051" t="s">
        <v>118</v>
      </c>
      <c r="AP3051">
        <v>3</v>
      </c>
      <c r="AQ3051">
        <v>-77</v>
      </c>
      <c r="AR3051">
        <v>64</v>
      </c>
      <c r="AZ3051">
        <v>7700</v>
      </c>
      <c r="BA3051">
        <v>1</v>
      </c>
      <c r="BB3051" t="str">
        <f t="shared" si="906"/>
        <v xml:space="preserve">N733KP  </v>
      </c>
      <c r="BC3051">
        <v>1</v>
      </c>
      <c r="BE3051">
        <v>0</v>
      </c>
      <c r="BF3051">
        <v>0</v>
      </c>
      <c r="BG3051">
        <v>1</v>
      </c>
      <c r="BH3051">
        <v>1025</v>
      </c>
      <c r="BI3051">
        <v>1</v>
      </c>
      <c r="BJ3051">
        <v>1</v>
      </c>
      <c r="BK3051">
        <v>0</v>
      </c>
      <c r="BL3051">
        <v>0</v>
      </c>
      <c r="BO3051">
        <v>0</v>
      </c>
      <c r="BP3051">
        <v>0</v>
      </c>
      <c r="BW3051" t="str">
        <f>"22:22:59.734"</f>
        <v>22:22:59.734</v>
      </c>
      <c r="CJ3051">
        <v>0</v>
      </c>
      <c r="CK3051">
        <v>2</v>
      </c>
      <c r="CL3051">
        <v>0</v>
      </c>
      <c r="CM3051">
        <v>2</v>
      </c>
      <c r="CN3051">
        <v>0</v>
      </c>
      <c r="CO3051">
        <v>3</v>
      </c>
      <c r="CP3051" t="s">
        <v>119</v>
      </c>
      <c r="CQ3051">
        <v>364</v>
      </c>
      <c r="CR3051">
        <v>0</v>
      </c>
      <c r="CW3051">
        <v>1484615</v>
      </c>
      <c r="CY3051">
        <v>1</v>
      </c>
      <c r="CZ3051">
        <v>0</v>
      </c>
      <c r="DA3051">
        <v>0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3">
      <c r="A3052" t="str">
        <f>"03/24/2022 22:22:59.968"</f>
        <v>03/24/2022 22:22:59.968</v>
      </c>
      <c r="C3052" t="str">
        <f t="shared" si="905"/>
        <v>FFDFD3C0</v>
      </c>
      <c r="D3052" t="s">
        <v>113</v>
      </c>
      <c r="E3052">
        <v>24</v>
      </c>
      <c r="F3052">
        <v>2024</v>
      </c>
      <c r="G3052" t="s">
        <v>114</v>
      </c>
      <c r="J3052" t="s">
        <v>115</v>
      </c>
      <c r="K3052">
        <v>0</v>
      </c>
      <c r="L3052">
        <v>3</v>
      </c>
      <c r="M3052">
        <v>0</v>
      </c>
      <c r="N3052">
        <v>2</v>
      </c>
      <c r="O3052">
        <v>0</v>
      </c>
      <c r="P3052">
        <v>1</v>
      </c>
      <c r="Q3052">
        <v>0</v>
      </c>
      <c r="S3052" t="str">
        <f t="shared" si="912"/>
        <v>22:22:59.000</v>
      </c>
      <c r="T3052" t="str">
        <f t="shared" si="912"/>
        <v>22:22:59.000</v>
      </c>
      <c r="U3052" t="str">
        <f t="shared" si="899"/>
        <v>A9D71F</v>
      </c>
      <c r="V3052">
        <v>0</v>
      </c>
      <c r="W3052">
        <v>0</v>
      </c>
      <c r="X3052">
        <v>2</v>
      </c>
      <c r="Z3052">
        <v>1</v>
      </c>
      <c r="AA3052">
        <v>8</v>
      </c>
      <c r="AB3052">
        <v>3</v>
      </c>
      <c r="AC3052">
        <v>0</v>
      </c>
      <c r="AD3052">
        <v>9</v>
      </c>
      <c r="AE3052">
        <v>0</v>
      </c>
      <c r="AF3052">
        <v>3</v>
      </c>
      <c r="AG3052">
        <v>1</v>
      </c>
      <c r="AH3052">
        <v>0</v>
      </c>
      <c r="AI3052" t="s">
        <v>1505</v>
      </c>
      <c r="AJ3052">
        <v>32.974048000000003</v>
      </c>
      <c r="AK3052" t="s">
        <v>1499</v>
      </c>
      <c r="AL3052">
        <v>-97.667598999999996</v>
      </c>
      <c r="AM3052">
        <v>25</v>
      </c>
      <c r="AN3052">
        <v>1100</v>
      </c>
      <c r="AO3052" t="s">
        <v>118</v>
      </c>
      <c r="AP3052">
        <v>3</v>
      </c>
      <c r="AQ3052">
        <v>-77</v>
      </c>
      <c r="AR3052">
        <v>64</v>
      </c>
      <c r="AZ3052">
        <v>7700</v>
      </c>
      <c r="BA3052">
        <v>1</v>
      </c>
      <c r="BB3052" t="str">
        <f t="shared" si="906"/>
        <v xml:space="preserve">N733KP  </v>
      </c>
      <c r="BC3052">
        <v>1</v>
      </c>
      <c r="BE3052">
        <v>0</v>
      </c>
      <c r="BF3052">
        <v>0</v>
      </c>
      <c r="BG3052">
        <v>1</v>
      </c>
      <c r="BH3052">
        <v>1025</v>
      </c>
      <c r="BI3052">
        <v>1</v>
      </c>
      <c r="BJ3052">
        <v>1</v>
      </c>
      <c r="BK3052">
        <v>0</v>
      </c>
      <c r="BL3052">
        <v>0</v>
      </c>
      <c r="BO3052">
        <v>0</v>
      </c>
      <c r="BP3052">
        <v>0</v>
      </c>
      <c r="BW3052" t="str">
        <f>"22:22:59.734"</f>
        <v>22:22:59.734</v>
      </c>
      <c r="CJ3052">
        <v>0</v>
      </c>
      <c r="CK3052">
        <v>2</v>
      </c>
      <c r="CL3052">
        <v>0</v>
      </c>
      <c r="CM3052">
        <v>2</v>
      </c>
      <c r="CN3052">
        <v>0</v>
      </c>
      <c r="CO3052">
        <v>3</v>
      </c>
      <c r="CP3052" t="s">
        <v>119</v>
      </c>
      <c r="CQ3052">
        <v>364</v>
      </c>
      <c r="CR3052">
        <v>0</v>
      </c>
      <c r="CW3052">
        <v>1484615</v>
      </c>
      <c r="CY3052">
        <v>1</v>
      </c>
      <c r="CZ3052">
        <v>0</v>
      </c>
      <c r="DA3052">
        <v>1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3">
      <c r="A3053" t="str">
        <f>"03/24/2022 22:23:00.046"</f>
        <v>03/24/2022 22:23:00.046</v>
      </c>
      <c r="C3053" t="str">
        <f t="shared" si="905"/>
        <v>FFDFD3C0</v>
      </c>
      <c r="D3053" t="s">
        <v>123</v>
      </c>
      <c r="E3053">
        <v>8</v>
      </c>
      <c r="H3053">
        <v>31</v>
      </c>
      <c r="I3053" t="s">
        <v>124</v>
      </c>
      <c r="J3053" t="s">
        <v>125</v>
      </c>
      <c r="K3053">
        <v>0</v>
      </c>
      <c r="L3053">
        <v>3</v>
      </c>
      <c r="M3053">
        <v>0</v>
      </c>
      <c r="N3053">
        <v>2</v>
      </c>
      <c r="O3053">
        <v>0</v>
      </c>
      <c r="P3053">
        <v>1</v>
      </c>
      <c r="Q3053">
        <v>0</v>
      </c>
      <c r="S3053" t="str">
        <f t="shared" si="912"/>
        <v>22:22:59.000</v>
      </c>
      <c r="T3053" t="str">
        <f t="shared" si="912"/>
        <v>22:22:59.000</v>
      </c>
      <c r="U3053" t="str">
        <f t="shared" si="899"/>
        <v>A9D71F</v>
      </c>
      <c r="V3053">
        <v>0</v>
      </c>
      <c r="W3053">
        <v>0</v>
      </c>
      <c r="X3053">
        <v>2</v>
      </c>
      <c r="Z3053">
        <v>1</v>
      </c>
      <c r="AA3053">
        <v>8</v>
      </c>
      <c r="AB3053">
        <v>3</v>
      </c>
      <c r="AC3053">
        <v>0</v>
      </c>
      <c r="AD3053">
        <v>9</v>
      </c>
      <c r="AE3053">
        <v>0</v>
      </c>
      <c r="AF3053">
        <v>3</v>
      </c>
      <c r="AG3053">
        <v>1</v>
      </c>
      <c r="AH3053">
        <v>0</v>
      </c>
      <c r="AI3053" t="s">
        <v>1505</v>
      </c>
      <c r="AJ3053">
        <v>32.974048000000003</v>
      </c>
      <c r="AK3053" t="s">
        <v>1499</v>
      </c>
      <c r="AL3053">
        <v>-97.667598999999996</v>
      </c>
      <c r="AM3053">
        <v>25</v>
      </c>
      <c r="AN3053">
        <v>1100</v>
      </c>
      <c r="AO3053" t="s">
        <v>118</v>
      </c>
      <c r="AP3053">
        <v>3</v>
      </c>
      <c r="AQ3053">
        <v>-77</v>
      </c>
      <c r="AR3053">
        <v>64</v>
      </c>
      <c r="AZ3053">
        <v>7700</v>
      </c>
      <c r="BA3053">
        <v>1</v>
      </c>
      <c r="BB3053" t="str">
        <f t="shared" si="906"/>
        <v xml:space="preserve">N733KP  </v>
      </c>
      <c r="BC3053">
        <v>1</v>
      </c>
      <c r="BE3053">
        <v>0</v>
      </c>
      <c r="BF3053">
        <v>0</v>
      </c>
      <c r="BG3053">
        <v>1</v>
      </c>
      <c r="BH3053">
        <v>1025</v>
      </c>
      <c r="BI3053">
        <v>1</v>
      </c>
      <c r="BJ3053">
        <v>1</v>
      </c>
      <c r="BK3053">
        <v>0</v>
      </c>
      <c r="BL3053">
        <v>0</v>
      </c>
      <c r="BO3053">
        <v>0</v>
      </c>
      <c r="BP3053">
        <v>0</v>
      </c>
      <c r="BW3053" t="str">
        <f>"22:22:59.734"</f>
        <v>22:22:59.734</v>
      </c>
      <c r="CJ3053">
        <v>0</v>
      </c>
      <c r="CK3053">
        <v>2</v>
      </c>
      <c r="CL3053">
        <v>0</v>
      </c>
      <c r="CM3053">
        <v>2</v>
      </c>
      <c r="CN3053">
        <v>0</v>
      </c>
      <c r="CO3053">
        <v>3</v>
      </c>
      <c r="CP3053" t="s">
        <v>119</v>
      </c>
      <c r="CQ3053">
        <v>364</v>
      </c>
      <c r="CR3053">
        <v>0</v>
      </c>
      <c r="CW3053">
        <v>1484615</v>
      </c>
      <c r="CY3053">
        <v>1</v>
      </c>
      <c r="CZ3053">
        <v>0</v>
      </c>
      <c r="DA3053">
        <v>1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3">
      <c r="A3054" t="str">
        <f>"03/24/2022 22:23:00.046"</f>
        <v>03/24/2022 22:23:00.046</v>
      </c>
      <c r="C3054" t="str">
        <f t="shared" si="905"/>
        <v>FFDFD3C0</v>
      </c>
      <c r="D3054" t="s">
        <v>120</v>
      </c>
      <c r="E3054">
        <v>14</v>
      </c>
      <c r="F3054">
        <v>1014</v>
      </c>
      <c r="G3054" t="s">
        <v>121</v>
      </c>
      <c r="J3054" t="s">
        <v>122</v>
      </c>
      <c r="K3054">
        <v>0</v>
      </c>
      <c r="L3054">
        <v>3</v>
      </c>
      <c r="M3054">
        <v>0</v>
      </c>
      <c r="N3054">
        <v>2</v>
      </c>
      <c r="O3054">
        <v>0</v>
      </c>
      <c r="P3054">
        <v>1</v>
      </c>
      <c r="Q3054">
        <v>0</v>
      </c>
      <c r="S3054" t="str">
        <f t="shared" si="912"/>
        <v>22:22:59.000</v>
      </c>
      <c r="T3054" t="str">
        <f t="shared" si="912"/>
        <v>22:22:59.000</v>
      </c>
      <c r="U3054" t="str">
        <f t="shared" si="899"/>
        <v>A9D71F</v>
      </c>
      <c r="V3054">
        <v>0</v>
      </c>
      <c r="W3054">
        <v>0</v>
      </c>
      <c r="X3054">
        <v>2</v>
      </c>
      <c r="Z3054">
        <v>1</v>
      </c>
      <c r="AA3054">
        <v>8</v>
      </c>
      <c r="AB3054">
        <v>3</v>
      </c>
      <c r="AC3054">
        <v>0</v>
      </c>
      <c r="AD3054">
        <v>9</v>
      </c>
      <c r="AE3054">
        <v>0</v>
      </c>
      <c r="AF3054">
        <v>3</v>
      </c>
      <c r="AG3054">
        <v>1</v>
      </c>
      <c r="AH3054">
        <v>0</v>
      </c>
      <c r="AI3054" t="s">
        <v>1505</v>
      </c>
      <c r="AJ3054">
        <v>32.974048000000003</v>
      </c>
      <c r="AK3054" t="s">
        <v>1499</v>
      </c>
      <c r="AL3054">
        <v>-97.667598999999996</v>
      </c>
      <c r="AM3054">
        <v>25</v>
      </c>
      <c r="AN3054">
        <v>1100</v>
      </c>
      <c r="AO3054" t="s">
        <v>118</v>
      </c>
      <c r="AP3054">
        <v>3</v>
      </c>
      <c r="AQ3054">
        <v>-77</v>
      </c>
      <c r="AR3054">
        <v>64</v>
      </c>
      <c r="AZ3054">
        <v>7700</v>
      </c>
      <c r="BA3054">
        <v>1</v>
      </c>
      <c r="BB3054" t="str">
        <f t="shared" si="906"/>
        <v xml:space="preserve">N733KP  </v>
      </c>
      <c r="BC3054">
        <v>1</v>
      </c>
      <c r="BE3054">
        <v>0</v>
      </c>
      <c r="BF3054">
        <v>0</v>
      </c>
      <c r="BG3054">
        <v>1</v>
      </c>
      <c r="BH3054">
        <v>1025</v>
      </c>
      <c r="BI3054">
        <v>1</v>
      </c>
      <c r="BJ3054">
        <v>1</v>
      </c>
      <c r="BK3054">
        <v>0</v>
      </c>
      <c r="BL3054">
        <v>0</v>
      </c>
      <c r="BO3054">
        <v>0</v>
      </c>
      <c r="BP3054">
        <v>0</v>
      </c>
      <c r="BW3054" t="str">
        <f>"22:22:59.734"</f>
        <v>22:22:59.734</v>
      </c>
      <c r="CJ3054">
        <v>0</v>
      </c>
      <c r="CK3054">
        <v>2</v>
      </c>
      <c r="CL3054">
        <v>0</v>
      </c>
      <c r="CM3054">
        <v>2</v>
      </c>
      <c r="CN3054">
        <v>0</v>
      </c>
      <c r="CO3054">
        <v>3</v>
      </c>
      <c r="CP3054" t="s">
        <v>119</v>
      </c>
      <c r="CQ3054">
        <v>364</v>
      </c>
      <c r="CR3054">
        <v>0</v>
      </c>
      <c r="CW3054">
        <v>1484615</v>
      </c>
      <c r="CY3054">
        <v>1</v>
      </c>
      <c r="CZ3054">
        <v>0</v>
      </c>
      <c r="DA3054">
        <v>1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3">
      <c r="A3055" t="str">
        <f>"03/24/2022 22:23:00.515"</f>
        <v>03/24/2022 22:23:00.515</v>
      </c>
      <c r="C3055" t="str">
        <f t="shared" si="905"/>
        <v>FFDFD3C0</v>
      </c>
      <c r="D3055" t="s">
        <v>126</v>
      </c>
      <c r="E3055">
        <v>3</v>
      </c>
      <c r="H3055">
        <v>160</v>
      </c>
      <c r="I3055" t="s">
        <v>121</v>
      </c>
      <c r="J3055" t="s">
        <v>127</v>
      </c>
      <c r="K3055">
        <v>0</v>
      </c>
      <c r="L3055">
        <v>3</v>
      </c>
      <c r="M3055">
        <v>0</v>
      </c>
      <c r="N3055">
        <v>2</v>
      </c>
      <c r="O3055">
        <v>0</v>
      </c>
      <c r="P3055">
        <v>1</v>
      </c>
      <c r="Q3055">
        <v>0</v>
      </c>
      <c r="S3055" t="str">
        <f t="shared" ref="S3055:T3058" si="913">"22:23:00.000"</f>
        <v>22:23:00.000</v>
      </c>
      <c r="T3055" t="str">
        <f t="shared" si="913"/>
        <v>22:23:00.000</v>
      </c>
      <c r="U3055" t="str">
        <f t="shared" si="899"/>
        <v>A9D71F</v>
      </c>
      <c r="V3055">
        <v>0</v>
      </c>
      <c r="W3055">
        <v>0</v>
      </c>
      <c r="X3055">
        <v>2</v>
      </c>
      <c r="Z3055">
        <v>1</v>
      </c>
      <c r="AA3055">
        <v>8</v>
      </c>
      <c r="AB3055">
        <v>3</v>
      </c>
      <c r="AC3055">
        <v>0</v>
      </c>
      <c r="AD3055">
        <v>9</v>
      </c>
      <c r="AE3055">
        <v>0</v>
      </c>
      <c r="AF3055">
        <v>3</v>
      </c>
      <c r="AG3055">
        <v>1</v>
      </c>
      <c r="AH3055">
        <v>0</v>
      </c>
      <c r="AI3055" t="s">
        <v>1506</v>
      </c>
      <c r="AJ3055">
        <v>32.973640000000003</v>
      </c>
      <c r="AK3055" t="s">
        <v>1507</v>
      </c>
      <c r="AL3055">
        <v>-97.667556000000005</v>
      </c>
      <c r="AM3055">
        <v>25</v>
      </c>
      <c r="AN3055">
        <v>1100</v>
      </c>
      <c r="AO3055" t="s">
        <v>118</v>
      </c>
      <c r="AP3055">
        <v>4</v>
      </c>
      <c r="AQ3055">
        <v>-75</v>
      </c>
      <c r="AR3055">
        <v>192</v>
      </c>
      <c r="AZ3055">
        <v>7700</v>
      </c>
      <c r="BA3055">
        <v>1</v>
      </c>
      <c r="BB3055" t="str">
        <f t="shared" si="906"/>
        <v xml:space="preserve">N733KP  </v>
      </c>
      <c r="BC3055">
        <v>1</v>
      </c>
      <c r="BE3055">
        <v>0</v>
      </c>
      <c r="BF3055">
        <v>0</v>
      </c>
      <c r="BG3055">
        <v>1</v>
      </c>
      <c r="BH3055">
        <v>1025</v>
      </c>
      <c r="BI3055">
        <v>1</v>
      </c>
      <c r="BJ3055">
        <v>1</v>
      </c>
      <c r="BK3055">
        <v>0</v>
      </c>
      <c r="BL3055">
        <v>0</v>
      </c>
      <c r="BO3055">
        <v>0</v>
      </c>
      <c r="BP3055">
        <v>0</v>
      </c>
      <c r="BW3055" t="str">
        <f>"22:23:00.305"</f>
        <v>22:23:00.305</v>
      </c>
      <c r="CJ3055">
        <v>0</v>
      </c>
      <c r="CK3055">
        <v>2</v>
      </c>
      <c r="CL3055">
        <v>0</v>
      </c>
      <c r="CM3055">
        <v>2</v>
      </c>
      <c r="CN3055">
        <v>0</v>
      </c>
      <c r="CO3055">
        <v>4</v>
      </c>
      <c r="CP3055" t="s">
        <v>119</v>
      </c>
      <c r="CQ3055">
        <v>364</v>
      </c>
      <c r="CR3055">
        <v>0</v>
      </c>
      <c r="CW3055">
        <v>1484696</v>
      </c>
      <c r="CY3055">
        <v>1</v>
      </c>
      <c r="CZ3055">
        <v>0</v>
      </c>
      <c r="DA3055">
        <v>0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3">
      <c r="A3056" t="str">
        <f>"03/24/2022 22:23:00.515"</f>
        <v>03/24/2022 22:23:00.515</v>
      </c>
      <c r="C3056" t="str">
        <f t="shared" si="905"/>
        <v>FFDFD3C0</v>
      </c>
      <c r="D3056" t="s">
        <v>113</v>
      </c>
      <c r="E3056">
        <v>24</v>
      </c>
      <c r="F3056">
        <v>2024</v>
      </c>
      <c r="G3056" t="s">
        <v>114</v>
      </c>
      <c r="J3056" t="s">
        <v>115</v>
      </c>
      <c r="K3056">
        <v>0</v>
      </c>
      <c r="L3056">
        <v>3</v>
      </c>
      <c r="M3056">
        <v>0</v>
      </c>
      <c r="N3056">
        <v>2</v>
      </c>
      <c r="O3056">
        <v>0</v>
      </c>
      <c r="P3056">
        <v>1</v>
      </c>
      <c r="Q3056">
        <v>0</v>
      </c>
      <c r="S3056" t="str">
        <f t="shared" si="913"/>
        <v>22:23:00.000</v>
      </c>
      <c r="T3056" t="str">
        <f t="shared" si="913"/>
        <v>22:23:00.000</v>
      </c>
      <c r="U3056" t="str">
        <f t="shared" si="899"/>
        <v>A9D71F</v>
      </c>
      <c r="V3056">
        <v>0</v>
      </c>
      <c r="W3056">
        <v>0</v>
      </c>
      <c r="X3056">
        <v>2</v>
      </c>
      <c r="Z3056">
        <v>1</v>
      </c>
      <c r="AA3056">
        <v>8</v>
      </c>
      <c r="AB3056">
        <v>3</v>
      </c>
      <c r="AC3056">
        <v>0</v>
      </c>
      <c r="AD3056">
        <v>9</v>
      </c>
      <c r="AE3056">
        <v>0</v>
      </c>
      <c r="AF3056">
        <v>3</v>
      </c>
      <c r="AG3056">
        <v>1</v>
      </c>
      <c r="AH3056">
        <v>0</v>
      </c>
      <c r="AI3056" t="s">
        <v>1506</v>
      </c>
      <c r="AJ3056">
        <v>32.973640000000003</v>
      </c>
      <c r="AK3056" t="s">
        <v>1507</v>
      </c>
      <c r="AL3056">
        <v>-97.667556000000005</v>
      </c>
      <c r="AM3056">
        <v>25</v>
      </c>
      <c r="AN3056">
        <v>1100</v>
      </c>
      <c r="AO3056" t="s">
        <v>118</v>
      </c>
      <c r="AP3056">
        <v>4</v>
      </c>
      <c r="AQ3056">
        <v>-75</v>
      </c>
      <c r="AR3056">
        <v>192</v>
      </c>
      <c r="AZ3056">
        <v>7700</v>
      </c>
      <c r="BA3056">
        <v>1</v>
      </c>
      <c r="BB3056" t="str">
        <f t="shared" si="906"/>
        <v xml:space="preserve">N733KP  </v>
      </c>
      <c r="BC3056">
        <v>1</v>
      </c>
      <c r="BE3056">
        <v>0</v>
      </c>
      <c r="BF3056">
        <v>0</v>
      </c>
      <c r="BG3056">
        <v>1</v>
      </c>
      <c r="BH3056">
        <v>1025</v>
      </c>
      <c r="BI3056">
        <v>1</v>
      </c>
      <c r="BJ3056">
        <v>1</v>
      </c>
      <c r="BK3056">
        <v>0</v>
      </c>
      <c r="BL3056">
        <v>0</v>
      </c>
      <c r="BO3056">
        <v>0</v>
      </c>
      <c r="BP3056">
        <v>0</v>
      </c>
      <c r="BW3056" t="str">
        <f>"22:23:00.305"</f>
        <v>22:23:00.305</v>
      </c>
      <c r="CJ3056">
        <v>0</v>
      </c>
      <c r="CK3056">
        <v>2</v>
      </c>
      <c r="CL3056">
        <v>0</v>
      </c>
      <c r="CM3056">
        <v>2</v>
      </c>
      <c r="CN3056">
        <v>0</v>
      </c>
      <c r="CO3056">
        <v>4</v>
      </c>
      <c r="CP3056" t="s">
        <v>119</v>
      </c>
      <c r="CQ3056">
        <v>364</v>
      </c>
      <c r="CR3056">
        <v>0</v>
      </c>
      <c r="CW3056">
        <v>1484696</v>
      </c>
      <c r="CY3056">
        <v>1</v>
      </c>
      <c r="CZ3056">
        <v>0</v>
      </c>
      <c r="DA3056">
        <v>1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3">
      <c r="A3057" t="str">
        <f>"03/24/2022 22:23:00.530"</f>
        <v>03/24/2022 22:23:00.530</v>
      </c>
      <c r="C3057" t="str">
        <f t="shared" si="905"/>
        <v>FFDFD3C0</v>
      </c>
      <c r="D3057" t="s">
        <v>120</v>
      </c>
      <c r="E3057">
        <v>14</v>
      </c>
      <c r="F3057">
        <v>1014</v>
      </c>
      <c r="G3057" t="s">
        <v>121</v>
      </c>
      <c r="J3057" t="s">
        <v>122</v>
      </c>
      <c r="K3057">
        <v>0</v>
      </c>
      <c r="L3057">
        <v>3</v>
      </c>
      <c r="M3057">
        <v>0</v>
      </c>
      <c r="N3057">
        <v>2</v>
      </c>
      <c r="O3057">
        <v>0</v>
      </c>
      <c r="P3057">
        <v>1</v>
      </c>
      <c r="Q3057">
        <v>0</v>
      </c>
      <c r="S3057" t="str">
        <f t="shared" si="913"/>
        <v>22:23:00.000</v>
      </c>
      <c r="T3057" t="str">
        <f t="shared" si="913"/>
        <v>22:23:00.000</v>
      </c>
      <c r="U3057" t="str">
        <f t="shared" si="899"/>
        <v>A9D71F</v>
      </c>
      <c r="V3057">
        <v>0</v>
      </c>
      <c r="W3057">
        <v>0</v>
      </c>
      <c r="X3057">
        <v>2</v>
      </c>
      <c r="Z3057">
        <v>1</v>
      </c>
      <c r="AA3057">
        <v>8</v>
      </c>
      <c r="AB3057">
        <v>3</v>
      </c>
      <c r="AC3057">
        <v>0</v>
      </c>
      <c r="AD3057">
        <v>9</v>
      </c>
      <c r="AE3057">
        <v>0</v>
      </c>
      <c r="AF3057">
        <v>3</v>
      </c>
      <c r="AG3057">
        <v>1</v>
      </c>
      <c r="AH3057">
        <v>0</v>
      </c>
      <c r="AI3057" t="s">
        <v>1506</v>
      </c>
      <c r="AJ3057">
        <v>32.973640000000003</v>
      </c>
      <c r="AK3057" t="s">
        <v>1507</v>
      </c>
      <c r="AL3057">
        <v>-97.667556000000005</v>
      </c>
      <c r="AM3057">
        <v>25</v>
      </c>
      <c r="AN3057">
        <v>1100</v>
      </c>
      <c r="AO3057" t="s">
        <v>118</v>
      </c>
      <c r="AP3057">
        <v>4</v>
      </c>
      <c r="AQ3057">
        <v>-75</v>
      </c>
      <c r="AR3057">
        <v>192</v>
      </c>
      <c r="AZ3057">
        <v>7700</v>
      </c>
      <c r="BA3057">
        <v>1</v>
      </c>
      <c r="BB3057" t="str">
        <f t="shared" si="906"/>
        <v xml:space="preserve">N733KP  </v>
      </c>
      <c r="BC3057">
        <v>1</v>
      </c>
      <c r="BE3057">
        <v>0</v>
      </c>
      <c r="BF3057">
        <v>0</v>
      </c>
      <c r="BG3057">
        <v>1</v>
      </c>
      <c r="BH3057">
        <v>1025</v>
      </c>
      <c r="BI3057">
        <v>1</v>
      </c>
      <c r="BJ3057">
        <v>1</v>
      </c>
      <c r="BK3057">
        <v>0</v>
      </c>
      <c r="BL3057">
        <v>0</v>
      </c>
      <c r="BO3057">
        <v>0</v>
      </c>
      <c r="BP3057">
        <v>0</v>
      </c>
      <c r="BW3057" t="str">
        <f>"22:23:00.305"</f>
        <v>22:23:00.305</v>
      </c>
      <c r="CJ3057">
        <v>0</v>
      </c>
      <c r="CK3057">
        <v>2</v>
      </c>
      <c r="CL3057">
        <v>0</v>
      </c>
      <c r="CM3057">
        <v>2</v>
      </c>
      <c r="CN3057">
        <v>0</v>
      </c>
      <c r="CO3057">
        <v>4</v>
      </c>
      <c r="CP3057" t="s">
        <v>119</v>
      </c>
      <c r="CQ3057">
        <v>364</v>
      </c>
      <c r="CR3057">
        <v>0</v>
      </c>
      <c r="CW3057">
        <v>1484696</v>
      </c>
      <c r="CY3057">
        <v>1</v>
      </c>
      <c r="CZ3057">
        <v>0</v>
      </c>
      <c r="DA3057">
        <v>1</v>
      </c>
      <c r="DB3057">
        <v>0</v>
      </c>
      <c r="DC3057">
        <v>0</v>
      </c>
      <c r="DD3057">
        <v>0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3">
      <c r="A3058" t="str">
        <f>"03/24/2022 22:23:00.530"</f>
        <v>03/24/2022 22:23:00.530</v>
      </c>
      <c r="C3058" t="str">
        <f t="shared" si="905"/>
        <v>FFDFD3C0</v>
      </c>
      <c r="D3058" t="s">
        <v>123</v>
      </c>
      <c r="E3058">
        <v>8</v>
      </c>
      <c r="H3058">
        <v>31</v>
      </c>
      <c r="I3058" t="s">
        <v>124</v>
      </c>
      <c r="J3058" t="s">
        <v>125</v>
      </c>
      <c r="K3058">
        <v>0</v>
      </c>
      <c r="L3058">
        <v>3</v>
      </c>
      <c r="M3058">
        <v>0</v>
      </c>
      <c r="N3058">
        <v>2</v>
      </c>
      <c r="O3058">
        <v>0</v>
      </c>
      <c r="P3058">
        <v>1</v>
      </c>
      <c r="Q3058">
        <v>0</v>
      </c>
      <c r="S3058" t="str">
        <f t="shared" si="913"/>
        <v>22:23:00.000</v>
      </c>
      <c r="T3058" t="str">
        <f t="shared" si="913"/>
        <v>22:23:00.000</v>
      </c>
      <c r="U3058" t="str">
        <f t="shared" si="899"/>
        <v>A9D71F</v>
      </c>
      <c r="V3058">
        <v>0</v>
      </c>
      <c r="W3058">
        <v>0</v>
      </c>
      <c r="X3058">
        <v>2</v>
      </c>
      <c r="Z3058">
        <v>1</v>
      </c>
      <c r="AA3058">
        <v>8</v>
      </c>
      <c r="AB3058">
        <v>3</v>
      </c>
      <c r="AC3058">
        <v>0</v>
      </c>
      <c r="AD3058">
        <v>9</v>
      </c>
      <c r="AE3058">
        <v>0</v>
      </c>
      <c r="AF3058">
        <v>3</v>
      </c>
      <c r="AG3058">
        <v>1</v>
      </c>
      <c r="AH3058">
        <v>0</v>
      </c>
      <c r="AI3058" t="s">
        <v>1506</v>
      </c>
      <c r="AJ3058">
        <v>32.973640000000003</v>
      </c>
      <c r="AK3058" t="s">
        <v>1507</v>
      </c>
      <c r="AL3058">
        <v>-97.667556000000005</v>
      </c>
      <c r="AM3058">
        <v>25</v>
      </c>
      <c r="AN3058">
        <v>1100</v>
      </c>
      <c r="AO3058" t="s">
        <v>118</v>
      </c>
      <c r="AP3058">
        <v>4</v>
      </c>
      <c r="AQ3058">
        <v>-75</v>
      </c>
      <c r="AR3058">
        <v>192</v>
      </c>
      <c r="AZ3058">
        <v>7700</v>
      </c>
      <c r="BA3058">
        <v>1</v>
      </c>
      <c r="BB3058" t="str">
        <f t="shared" si="906"/>
        <v xml:space="preserve">N733KP  </v>
      </c>
      <c r="BC3058">
        <v>1</v>
      </c>
      <c r="BE3058">
        <v>0</v>
      </c>
      <c r="BF3058">
        <v>0</v>
      </c>
      <c r="BG3058">
        <v>1</v>
      </c>
      <c r="BH3058">
        <v>1025</v>
      </c>
      <c r="BI3058">
        <v>1</v>
      </c>
      <c r="BJ3058">
        <v>1</v>
      </c>
      <c r="BK3058">
        <v>0</v>
      </c>
      <c r="BL3058">
        <v>0</v>
      </c>
      <c r="BO3058">
        <v>0</v>
      </c>
      <c r="BP3058">
        <v>0</v>
      </c>
      <c r="BW3058" t="str">
        <f>"22:23:00.305"</f>
        <v>22:23:00.305</v>
      </c>
      <c r="CJ3058">
        <v>0</v>
      </c>
      <c r="CK3058">
        <v>2</v>
      </c>
      <c r="CL3058">
        <v>0</v>
      </c>
      <c r="CM3058">
        <v>2</v>
      </c>
      <c r="CN3058">
        <v>0</v>
      </c>
      <c r="CO3058">
        <v>4</v>
      </c>
      <c r="CP3058" t="s">
        <v>119</v>
      </c>
      <c r="CQ3058">
        <v>364</v>
      </c>
      <c r="CR3058">
        <v>0</v>
      </c>
      <c r="CW3058">
        <v>1484696</v>
      </c>
      <c r="CY3058">
        <v>1</v>
      </c>
      <c r="CZ3058">
        <v>0</v>
      </c>
      <c r="DA3058">
        <v>1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3">
      <c r="A3059" t="str">
        <f>"03/24/2022 22:23:01.499"</f>
        <v>03/24/2022 22:23:01.499</v>
      </c>
      <c r="C3059" t="str">
        <f t="shared" si="905"/>
        <v>FFDFD3C0</v>
      </c>
      <c r="D3059" t="s">
        <v>126</v>
      </c>
      <c r="E3059">
        <v>3</v>
      </c>
      <c r="H3059">
        <v>160</v>
      </c>
      <c r="I3059" t="s">
        <v>121</v>
      </c>
      <c r="J3059" t="s">
        <v>127</v>
      </c>
      <c r="K3059">
        <v>0</v>
      </c>
      <c r="L3059">
        <v>3</v>
      </c>
      <c r="M3059">
        <v>0</v>
      </c>
      <c r="N3059">
        <v>2</v>
      </c>
      <c r="O3059">
        <v>0</v>
      </c>
      <c r="P3059">
        <v>1</v>
      </c>
      <c r="Q3059">
        <v>0</v>
      </c>
      <c r="S3059" t="str">
        <f t="shared" ref="S3059:T3062" si="914">"22:23:01.000"</f>
        <v>22:23:01.000</v>
      </c>
      <c r="T3059" t="str">
        <f t="shared" si="914"/>
        <v>22:23:01.000</v>
      </c>
      <c r="U3059" t="str">
        <f t="shared" si="899"/>
        <v>A9D71F</v>
      </c>
      <c r="V3059">
        <v>0</v>
      </c>
      <c r="W3059">
        <v>0</v>
      </c>
      <c r="X3059">
        <v>2</v>
      </c>
      <c r="Z3059">
        <v>1</v>
      </c>
      <c r="AA3059">
        <v>8</v>
      </c>
      <c r="AB3059">
        <v>3</v>
      </c>
      <c r="AC3059">
        <v>0</v>
      </c>
      <c r="AD3059">
        <v>9</v>
      </c>
      <c r="AE3059">
        <v>0</v>
      </c>
      <c r="AF3059">
        <v>3</v>
      </c>
      <c r="AG3059">
        <v>1</v>
      </c>
      <c r="AH3059">
        <v>0</v>
      </c>
      <c r="AI3059" t="s">
        <v>1508</v>
      </c>
      <c r="AJ3059">
        <v>32.973317999999999</v>
      </c>
      <c r="AK3059" t="s">
        <v>1509</v>
      </c>
      <c r="AL3059">
        <v>-97.667534000000003</v>
      </c>
      <c r="AM3059">
        <v>25</v>
      </c>
      <c r="AN3059">
        <v>1100</v>
      </c>
      <c r="AO3059" t="s">
        <v>118</v>
      </c>
      <c r="AP3059">
        <v>6</v>
      </c>
      <c r="AQ3059">
        <v>-74</v>
      </c>
      <c r="AR3059">
        <v>64</v>
      </c>
      <c r="AZ3059">
        <v>7700</v>
      </c>
      <c r="BA3059">
        <v>1</v>
      </c>
      <c r="BB3059" t="str">
        <f t="shared" si="906"/>
        <v xml:space="preserve">N733KP  </v>
      </c>
      <c r="BC3059">
        <v>1</v>
      </c>
      <c r="BE3059">
        <v>0</v>
      </c>
      <c r="BF3059">
        <v>0</v>
      </c>
      <c r="BG3059">
        <v>1</v>
      </c>
      <c r="BH3059">
        <v>1000</v>
      </c>
      <c r="BI3059">
        <v>1</v>
      </c>
      <c r="BJ3059">
        <v>1</v>
      </c>
      <c r="BK3059">
        <v>0</v>
      </c>
      <c r="BL3059">
        <v>0</v>
      </c>
      <c r="BO3059">
        <v>0</v>
      </c>
      <c r="BP3059">
        <v>0</v>
      </c>
      <c r="BW3059" t="str">
        <f>"22:23:01.284"</f>
        <v>22:23:01.284</v>
      </c>
      <c r="CJ3059">
        <v>0</v>
      </c>
      <c r="CK3059">
        <v>2</v>
      </c>
      <c r="CL3059">
        <v>0</v>
      </c>
      <c r="CM3059">
        <v>2</v>
      </c>
      <c r="CN3059">
        <v>0</v>
      </c>
      <c r="CO3059">
        <v>4</v>
      </c>
      <c r="CP3059" t="s">
        <v>119</v>
      </c>
      <c r="CQ3059">
        <v>364</v>
      </c>
      <c r="CR3059">
        <v>0</v>
      </c>
      <c r="CW3059">
        <v>1484845</v>
      </c>
      <c r="CY3059">
        <v>1</v>
      </c>
      <c r="CZ3059">
        <v>0</v>
      </c>
      <c r="DA3059">
        <v>0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3">
      <c r="A3060" t="str">
        <f>"03/24/2022 22:23:01.499"</f>
        <v>03/24/2022 22:23:01.499</v>
      </c>
      <c r="C3060" t="str">
        <f t="shared" si="905"/>
        <v>FFDFD3C0</v>
      </c>
      <c r="D3060" t="s">
        <v>113</v>
      </c>
      <c r="E3060">
        <v>24</v>
      </c>
      <c r="F3060">
        <v>2024</v>
      </c>
      <c r="G3060" t="s">
        <v>114</v>
      </c>
      <c r="J3060" t="s">
        <v>115</v>
      </c>
      <c r="K3060">
        <v>0</v>
      </c>
      <c r="L3060">
        <v>3</v>
      </c>
      <c r="M3060">
        <v>0</v>
      </c>
      <c r="N3060">
        <v>2</v>
      </c>
      <c r="O3060">
        <v>0</v>
      </c>
      <c r="P3060">
        <v>1</v>
      </c>
      <c r="Q3060">
        <v>0</v>
      </c>
      <c r="S3060" t="str">
        <f t="shared" si="914"/>
        <v>22:23:01.000</v>
      </c>
      <c r="T3060" t="str">
        <f t="shared" si="914"/>
        <v>22:23:01.000</v>
      </c>
      <c r="U3060" t="str">
        <f t="shared" si="899"/>
        <v>A9D71F</v>
      </c>
      <c r="V3060">
        <v>0</v>
      </c>
      <c r="W3060">
        <v>0</v>
      </c>
      <c r="X3060">
        <v>2</v>
      </c>
      <c r="Z3060">
        <v>1</v>
      </c>
      <c r="AA3060">
        <v>8</v>
      </c>
      <c r="AB3060">
        <v>3</v>
      </c>
      <c r="AC3060">
        <v>0</v>
      </c>
      <c r="AD3060">
        <v>9</v>
      </c>
      <c r="AE3060">
        <v>0</v>
      </c>
      <c r="AF3060">
        <v>3</v>
      </c>
      <c r="AG3060">
        <v>1</v>
      </c>
      <c r="AH3060">
        <v>0</v>
      </c>
      <c r="AI3060" t="s">
        <v>1508</v>
      </c>
      <c r="AJ3060">
        <v>32.973317999999999</v>
      </c>
      <c r="AK3060" t="s">
        <v>1509</v>
      </c>
      <c r="AL3060">
        <v>-97.667534000000003</v>
      </c>
      <c r="AM3060">
        <v>25</v>
      </c>
      <c r="AN3060">
        <v>1100</v>
      </c>
      <c r="AO3060" t="s">
        <v>118</v>
      </c>
      <c r="AP3060">
        <v>6</v>
      </c>
      <c r="AQ3060">
        <v>-74</v>
      </c>
      <c r="AR3060">
        <v>64</v>
      </c>
      <c r="AZ3060">
        <v>7700</v>
      </c>
      <c r="BA3060">
        <v>1</v>
      </c>
      <c r="BB3060" t="str">
        <f t="shared" si="906"/>
        <v xml:space="preserve">N733KP  </v>
      </c>
      <c r="BC3060">
        <v>1</v>
      </c>
      <c r="BE3060">
        <v>0</v>
      </c>
      <c r="BF3060">
        <v>0</v>
      </c>
      <c r="BG3060">
        <v>1</v>
      </c>
      <c r="BH3060">
        <v>1000</v>
      </c>
      <c r="BI3060">
        <v>1</v>
      </c>
      <c r="BJ3060">
        <v>1</v>
      </c>
      <c r="BK3060">
        <v>0</v>
      </c>
      <c r="BL3060">
        <v>0</v>
      </c>
      <c r="BO3060">
        <v>0</v>
      </c>
      <c r="BP3060">
        <v>0</v>
      </c>
      <c r="BW3060" t="str">
        <f>"22:23:01.284"</f>
        <v>22:23:01.284</v>
      </c>
      <c r="CJ3060">
        <v>0</v>
      </c>
      <c r="CK3060">
        <v>2</v>
      </c>
      <c r="CL3060">
        <v>0</v>
      </c>
      <c r="CM3060">
        <v>2</v>
      </c>
      <c r="CN3060">
        <v>0</v>
      </c>
      <c r="CO3060">
        <v>4</v>
      </c>
      <c r="CP3060" t="s">
        <v>119</v>
      </c>
      <c r="CQ3060">
        <v>364</v>
      </c>
      <c r="CR3060">
        <v>0</v>
      </c>
      <c r="CW3060">
        <v>1484845</v>
      </c>
      <c r="CY3060">
        <v>1</v>
      </c>
      <c r="CZ3060">
        <v>0</v>
      </c>
      <c r="DA3060">
        <v>1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3">
      <c r="A3061" t="str">
        <f>"03/24/2022 22:23:01.499"</f>
        <v>03/24/2022 22:23:01.499</v>
      </c>
      <c r="C3061" t="str">
        <f t="shared" si="905"/>
        <v>FFDFD3C0</v>
      </c>
      <c r="D3061" t="s">
        <v>123</v>
      </c>
      <c r="E3061">
        <v>8</v>
      </c>
      <c r="H3061">
        <v>31</v>
      </c>
      <c r="I3061" t="s">
        <v>124</v>
      </c>
      <c r="J3061" t="s">
        <v>125</v>
      </c>
      <c r="K3061">
        <v>0</v>
      </c>
      <c r="L3061">
        <v>3</v>
      </c>
      <c r="M3061">
        <v>0</v>
      </c>
      <c r="N3061">
        <v>2</v>
      </c>
      <c r="O3061">
        <v>0</v>
      </c>
      <c r="P3061">
        <v>1</v>
      </c>
      <c r="Q3061">
        <v>0</v>
      </c>
      <c r="S3061" t="str">
        <f t="shared" si="914"/>
        <v>22:23:01.000</v>
      </c>
      <c r="T3061" t="str">
        <f t="shared" si="914"/>
        <v>22:23:01.000</v>
      </c>
      <c r="U3061" t="str">
        <f t="shared" si="899"/>
        <v>A9D71F</v>
      </c>
      <c r="V3061">
        <v>0</v>
      </c>
      <c r="W3061">
        <v>0</v>
      </c>
      <c r="X3061">
        <v>2</v>
      </c>
      <c r="Z3061">
        <v>1</v>
      </c>
      <c r="AA3061">
        <v>8</v>
      </c>
      <c r="AB3061">
        <v>3</v>
      </c>
      <c r="AC3061">
        <v>0</v>
      </c>
      <c r="AD3061">
        <v>9</v>
      </c>
      <c r="AE3061">
        <v>0</v>
      </c>
      <c r="AF3061">
        <v>3</v>
      </c>
      <c r="AG3061">
        <v>1</v>
      </c>
      <c r="AH3061">
        <v>0</v>
      </c>
      <c r="AI3061" t="s">
        <v>1508</v>
      </c>
      <c r="AJ3061">
        <v>32.973317999999999</v>
      </c>
      <c r="AK3061" t="s">
        <v>1509</v>
      </c>
      <c r="AL3061">
        <v>-97.667534000000003</v>
      </c>
      <c r="AM3061">
        <v>25</v>
      </c>
      <c r="AN3061">
        <v>1100</v>
      </c>
      <c r="AO3061" t="s">
        <v>118</v>
      </c>
      <c r="AP3061">
        <v>6</v>
      </c>
      <c r="AQ3061">
        <v>-74</v>
      </c>
      <c r="AR3061">
        <v>64</v>
      </c>
      <c r="AZ3061">
        <v>7700</v>
      </c>
      <c r="BA3061">
        <v>1</v>
      </c>
      <c r="BB3061" t="str">
        <f t="shared" si="906"/>
        <v xml:space="preserve">N733KP  </v>
      </c>
      <c r="BC3061">
        <v>1</v>
      </c>
      <c r="BE3061">
        <v>0</v>
      </c>
      <c r="BF3061">
        <v>0</v>
      </c>
      <c r="BG3061">
        <v>1</v>
      </c>
      <c r="BH3061">
        <v>1000</v>
      </c>
      <c r="BI3061">
        <v>1</v>
      </c>
      <c r="BJ3061">
        <v>1</v>
      </c>
      <c r="BK3061">
        <v>0</v>
      </c>
      <c r="BL3061">
        <v>0</v>
      </c>
      <c r="BO3061">
        <v>0</v>
      </c>
      <c r="BP3061">
        <v>0</v>
      </c>
      <c r="BW3061" t="str">
        <f>"22:23:01.284"</f>
        <v>22:23:01.284</v>
      </c>
      <c r="CJ3061">
        <v>0</v>
      </c>
      <c r="CK3061">
        <v>2</v>
      </c>
      <c r="CL3061">
        <v>0</v>
      </c>
      <c r="CM3061">
        <v>2</v>
      </c>
      <c r="CN3061">
        <v>0</v>
      </c>
      <c r="CO3061">
        <v>4</v>
      </c>
      <c r="CP3061" t="s">
        <v>119</v>
      </c>
      <c r="CQ3061">
        <v>364</v>
      </c>
      <c r="CR3061">
        <v>0</v>
      </c>
      <c r="CW3061">
        <v>1484845</v>
      </c>
      <c r="CY3061">
        <v>1</v>
      </c>
      <c r="CZ3061">
        <v>0</v>
      </c>
      <c r="DA3061">
        <v>1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3">
      <c r="A3062" t="str">
        <f>"03/24/2022 22:23:01.499"</f>
        <v>03/24/2022 22:23:01.499</v>
      </c>
      <c r="C3062" t="str">
        <f t="shared" si="905"/>
        <v>FFDFD3C0</v>
      </c>
      <c r="D3062" t="s">
        <v>120</v>
      </c>
      <c r="E3062">
        <v>14</v>
      </c>
      <c r="F3062">
        <v>1014</v>
      </c>
      <c r="G3062" t="s">
        <v>121</v>
      </c>
      <c r="J3062" t="s">
        <v>122</v>
      </c>
      <c r="K3062">
        <v>0</v>
      </c>
      <c r="L3062">
        <v>3</v>
      </c>
      <c r="M3062">
        <v>0</v>
      </c>
      <c r="N3062">
        <v>2</v>
      </c>
      <c r="O3062">
        <v>0</v>
      </c>
      <c r="P3062">
        <v>1</v>
      </c>
      <c r="Q3062">
        <v>0</v>
      </c>
      <c r="S3062" t="str">
        <f t="shared" si="914"/>
        <v>22:23:01.000</v>
      </c>
      <c r="T3062" t="str">
        <f t="shared" si="914"/>
        <v>22:23:01.000</v>
      </c>
      <c r="U3062" t="str">
        <f t="shared" si="899"/>
        <v>A9D71F</v>
      </c>
      <c r="V3062">
        <v>0</v>
      </c>
      <c r="W3062">
        <v>0</v>
      </c>
      <c r="X3062">
        <v>2</v>
      </c>
      <c r="Z3062">
        <v>1</v>
      </c>
      <c r="AA3062">
        <v>8</v>
      </c>
      <c r="AB3062">
        <v>3</v>
      </c>
      <c r="AC3062">
        <v>0</v>
      </c>
      <c r="AD3062">
        <v>9</v>
      </c>
      <c r="AE3062">
        <v>0</v>
      </c>
      <c r="AF3062">
        <v>3</v>
      </c>
      <c r="AG3062">
        <v>1</v>
      </c>
      <c r="AH3062">
        <v>0</v>
      </c>
      <c r="AI3062" t="s">
        <v>1508</v>
      </c>
      <c r="AJ3062">
        <v>32.973317999999999</v>
      </c>
      <c r="AK3062" t="s">
        <v>1509</v>
      </c>
      <c r="AL3062">
        <v>-97.667534000000003</v>
      </c>
      <c r="AM3062">
        <v>25</v>
      </c>
      <c r="AN3062">
        <v>1100</v>
      </c>
      <c r="AO3062" t="s">
        <v>118</v>
      </c>
      <c r="AP3062">
        <v>6</v>
      </c>
      <c r="AQ3062">
        <v>-74</v>
      </c>
      <c r="AR3062">
        <v>64</v>
      </c>
      <c r="AZ3062">
        <v>7700</v>
      </c>
      <c r="BA3062">
        <v>1</v>
      </c>
      <c r="BB3062" t="str">
        <f t="shared" si="906"/>
        <v xml:space="preserve">N733KP  </v>
      </c>
      <c r="BC3062">
        <v>1</v>
      </c>
      <c r="BE3062">
        <v>0</v>
      </c>
      <c r="BF3062">
        <v>0</v>
      </c>
      <c r="BG3062">
        <v>1</v>
      </c>
      <c r="BH3062">
        <v>1000</v>
      </c>
      <c r="BI3062">
        <v>1</v>
      </c>
      <c r="BJ3062">
        <v>1</v>
      </c>
      <c r="BK3062">
        <v>0</v>
      </c>
      <c r="BL3062">
        <v>0</v>
      </c>
      <c r="BO3062">
        <v>0</v>
      </c>
      <c r="BP3062">
        <v>0</v>
      </c>
      <c r="BW3062" t="str">
        <f>"22:23:01.284"</f>
        <v>22:23:01.284</v>
      </c>
      <c r="CJ3062">
        <v>0</v>
      </c>
      <c r="CK3062">
        <v>2</v>
      </c>
      <c r="CL3062">
        <v>0</v>
      </c>
      <c r="CM3062">
        <v>2</v>
      </c>
      <c r="CN3062">
        <v>0</v>
      </c>
      <c r="CO3062">
        <v>4</v>
      </c>
      <c r="CP3062" t="s">
        <v>119</v>
      </c>
      <c r="CQ3062">
        <v>364</v>
      </c>
      <c r="CR3062">
        <v>0</v>
      </c>
      <c r="CW3062">
        <v>1484845</v>
      </c>
      <c r="CY3062">
        <v>1</v>
      </c>
      <c r="CZ3062">
        <v>0</v>
      </c>
      <c r="DA3062">
        <v>1</v>
      </c>
      <c r="DB3062">
        <v>0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3">
      <c r="A3063" t="str">
        <f>"03/24/2022 22:23:03.141"</f>
        <v>03/24/2022 22:23:03.141</v>
      </c>
      <c r="C3063" t="str">
        <f t="shared" si="905"/>
        <v>FFDFD3C0</v>
      </c>
      <c r="D3063" t="s">
        <v>113</v>
      </c>
      <c r="E3063">
        <v>24</v>
      </c>
      <c r="F3063">
        <v>2024</v>
      </c>
      <c r="G3063" t="s">
        <v>114</v>
      </c>
      <c r="J3063" t="s">
        <v>115</v>
      </c>
      <c r="K3063">
        <v>0</v>
      </c>
      <c r="L3063">
        <v>3</v>
      </c>
      <c r="M3063">
        <v>0</v>
      </c>
      <c r="N3063">
        <v>2</v>
      </c>
      <c r="O3063">
        <v>0</v>
      </c>
      <c r="P3063">
        <v>1</v>
      </c>
      <c r="Q3063">
        <v>0</v>
      </c>
      <c r="S3063" t="str">
        <f t="shared" ref="S3063:T3066" si="915">"22:23:02.000"</f>
        <v>22:23:02.000</v>
      </c>
      <c r="T3063" t="str">
        <f t="shared" si="915"/>
        <v>22:23:02.000</v>
      </c>
      <c r="U3063" t="str">
        <f t="shared" si="899"/>
        <v>A9D71F</v>
      </c>
      <c r="V3063">
        <v>0</v>
      </c>
      <c r="W3063">
        <v>0</v>
      </c>
      <c r="X3063">
        <v>2</v>
      </c>
      <c r="Z3063">
        <v>1</v>
      </c>
      <c r="AA3063">
        <v>8</v>
      </c>
      <c r="AB3063">
        <v>3</v>
      </c>
      <c r="AC3063">
        <v>0</v>
      </c>
      <c r="AD3063">
        <v>9</v>
      </c>
      <c r="AE3063">
        <v>0</v>
      </c>
      <c r="AF3063">
        <v>3</v>
      </c>
      <c r="AG3063">
        <v>1</v>
      </c>
      <c r="AH3063">
        <v>0</v>
      </c>
      <c r="AI3063" t="s">
        <v>1510</v>
      </c>
      <c r="AJ3063">
        <v>32.972996000000002</v>
      </c>
      <c r="AK3063" t="s">
        <v>1511</v>
      </c>
      <c r="AL3063">
        <v>-97.667513</v>
      </c>
      <c r="AM3063">
        <v>25</v>
      </c>
      <c r="AN3063">
        <v>1000</v>
      </c>
      <c r="AO3063" t="s">
        <v>118</v>
      </c>
      <c r="AP3063">
        <v>10</v>
      </c>
      <c r="AQ3063">
        <v>-72</v>
      </c>
      <c r="AR3063">
        <v>64</v>
      </c>
      <c r="AZ3063">
        <v>7700</v>
      </c>
      <c r="BA3063">
        <v>1</v>
      </c>
      <c r="BB3063" t="str">
        <f t="shared" si="906"/>
        <v xml:space="preserve">N733KP  </v>
      </c>
      <c r="BC3063">
        <v>1</v>
      </c>
      <c r="BE3063">
        <v>0</v>
      </c>
      <c r="BF3063">
        <v>0</v>
      </c>
      <c r="BG3063">
        <v>1</v>
      </c>
      <c r="BH3063">
        <v>1000</v>
      </c>
      <c r="BI3063">
        <v>1</v>
      </c>
      <c r="BJ3063">
        <v>1</v>
      </c>
      <c r="BK3063">
        <v>0</v>
      </c>
      <c r="BL3063">
        <v>0</v>
      </c>
      <c r="BO3063">
        <v>0</v>
      </c>
      <c r="BP3063">
        <v>0</v>
      </c>
      <c r="BW3063" t="str">
        <f>"22:23:02.847"</f>
        <v>22:23:02.847</v>
      </c>
      <c r="CJ3063">
        <v>0</v>
      </c>
      <c r="CK3063">
        <v>2</v>
      </c>
      <c r="CL3063">
        <v>0</v>
      </c>
      <c r="CM3063">
        <v>2</v>
      </c>
      <c r="CN3063">
        <v>0</v>
      </c>
      <c r="CO3063">
        <v>4</v>
      </c>
      <c r="CP3063" t="s">
        <v>119</v>
      </c>
      <c r="CQ3063">
        <v>364</v>
      </c>
      <c r="CR3063">
        <v>0</v>
      </c>
      <c r="CW3063">
        <v>1485056</v>
      </c>
      <c r="CY3063">
        <v>1</v>
      </c>
      <c r="CZ3063">
        <v>0</v>
      </c>
      <c r="DA3063">
        <v>0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3">
      <c r="A3064" t="str">
        <f>"03/24/2022 22:23:03.157"</f>
        <v>03/24/2022 22:23:03.157</v>
      </c>
      <c r="C3064" t="str">
        <f t="shared" si="905"/>
        <v>FFDFD3C0</v>
      </c>
      <c r="D3064" t="s">
        <v>123</v>
      </c>
      <c r="E3064">
        <v>8</v>
      </c>
      <c r="H3064">
        <v>31</v>
      </c>
      <c r="I3064" t="s">
        <v>124</v>
      </c>
      <c r="J3064" t="s">
        <v>125</v>
      </c>
      <c r="K3064">
        <v>0</v>
      </c>
      <c r="L3064">
        <v>3</v>
      </c>
      <c r="M3064">
        <v>0</v>
      </c>
      <c r="N3064">
        <v>2</v>
      </c>
      <c r="O3064">
        <v>0</v>
      </c>
      <c r="P3064">
        <v>1</v>
      </c>
      <c r="Q3064">
        <v>0</v>
      </c>
      <c r="S3064" t="str">
        <f t="shared" si="915"/>
        <v>22:23:02.000</v>
      </c>
      <c r="T3064" t="str">
        <f t="shared" si="915"/>
        <v>22:23:02.000</v>
      </c>
      <c r="U3064" t="str">
        <f t="shared" si="899"/>
        <v>A9D71F</v>
      </c>
      <c r="V3064">
        <v>0</v>
      </c>
      <c r="W3064">
        <v>0</v>
      </c>
      <c r="X3064">
        <v>2</v>
      </c>
      <c r="Z3064">
        <v>1</v>
      </c>
      <c r="AA3064">
        <v>8</v>
      </c>
      <c r="AB3064">
        <v>3</v>
      </c>
      <c r="AC3064">
        <v>0</v>
      </c>
      <c r="AD3064">
        <v>9</v>
      </c>
      <c r="AE3064">
        <v>0</v>
      </c>
      <c r="AF3064">
        <v>3</v>
      </c>
      <c r="AG3064">
        <v>1</v>
      </c>
      <c r="AH3064">
        <v>0</v>
      </c>
      <c r="AI3064" t="s">
        <v>1510</v>
      </c>
      <c r="AJ3064">
        <v>32.972996000000002</v>
      </c>
      <c r="AK3064" t="s">
        <v>1511</v>
      </c>
      <c r="AL3064">
        <v>-97.667513</v>
      </c>
      <c r="AM3064">
        <v>25</v>
      </c>
      <c r="AN3064">
        <v>1000</v>
      </c>
      <c r="AO3064" t="s">
        <v>118</v>
      </c>
      <c r="AP3064">
        <v>10</v>
      </c>
      <c r="AQ3064">
        <v>-72</v>
      </c>
      <c r="AR3064">
        <v>64</v>
      </c>
      <c r="AZ3064">
        <v>7700</v>
      </c>
      <c r="BA3064">
        <v>1</v>
      </c>
      <c r="BB3064" t="str">
        <f t="shared" si="906"/>
        <v xml:space="preserve">N733KP  </v>
      </c>
      <c r="BC3064">
        <v>1</v>
      </c>
      <c r="BE3064">
        <v>0</v>
      </c>
      <c r="BF3064">
        <v>0</v>
      </c>
      <c r="BG3064">
        <v>1</v>
      </c>
      <c r="BH3064">
        <v>1000</v>
      </c>
      <c r="BI3064">
        <v>1</v>
      </c>
      <c r="BJ3064">
        <v>1</v>
      </c>
      <c r="BK3064">
        <v>0</v>
      </c>
      <c r="BL3064">
        <v>0</v>
      </c>
      <c r="BO3064">
        <v>0</v>
      </c>
      <c r="BP3064">
        <v>0</v>
      </c>
      <c r="BW3064" t="str">
        <f>"22:23:02.847"</f>
        <v>22:23:02.847</v>
      </c>
      <c r="CJ3064">
        <v>0</v>
      </c>
      <c r="CK3064">
        <v>2</v>
      </c>
      <c r="CL3064">
        <v>0</v>
      </c>
      <c r="CM3064">
        <v>2</v>
      </c>
      <c r="CN3064">
        <v>0</v>
      </c>
      <c r="CO3064">
        <v>4</v>
      </c>
      <c r="CP3064" t="s">
        <v>119</v>
      </c>
      <c r="CQ3064">
        <v>364</v>
      </c>
      <c r="CR3064">
        <v>0</v>
      </c>
      <c r="CW3064">
        <v>1485056</v>
      </c>
      <c r="CY3064">
        <v>1</v>
      </c>
      <c r="CZ3064">
        <v>0</v>
      </c>
      <c r="DA3064">
        <v>1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3">
      <c r="A3065" t="str">
        <f>"03/24/2022 22:23:03.157"</f>
        <v>03/24/2022 22:23:03.157</v>
      </c>
      <c r="C3065" t="str">
        <f t="shared" si="905"/>
        <v>FFDFD3C0</v>
      </c>
      <c r="D3065" t="s">
        <v>120</v>
      </c>
      <c r="E3065">
        <v>14</v>
      </c>
      <c r="F3065">
        <v>1014</v>
      </c>
      <c r="G3065" t="s">
        <v>121</v>
      </c>
      <c r="J3065" t="s">
        <v>122</v>
      </c>
      <c r="K3065">
        <v>0</v>
      </c>
      <c r="L3065">
        <v>3</v>
      </c>
      <c r="M3065">
        <v>0</v>
      </c>
      <c r="N3065">
        <v>2</v>
      </c>
      <c r="O3065">
        <v>0</v>
      </c>
      <c r="P3065">
        <v>1</v>
      </c>
      <c r="Q3065">
        <v>0</v>
      </c>
      <c r="S3065" t="str">
        <f t="shared" si="915"/>
        <v>22:23:02.000</v>
      </c>
      <c r="T3065" t="str">
        <f t="shared" si="915"/>
        <v>22:23:02.000</v>
      </c>
      <c r="U3065" t="str">
        <f t="shared" si="899"/>
        <v>A9D71F</v>
      </c>
      <c r="V3065">
        <v>0</v>
      </c>
      <c r="W3065">
        <v>0</v>
      </c>
      <c r="X3065">
        <v>2</v>
      </c>
      <c r="Z3065">
        <v>1</v>
      </c>
      <c r="AA3065">
        <v>8</v>
      </c>
      <c r="AB3065">
        <v>3</v>
      </c>
      <c r="AC3065">
        <v>0</v>
      </c>
      <c r="AD3065">
        <v>9</v>
      </c>
      <c r="AE3065">
        <v>0</v>
      </c>
      <c r="AF3065">
        <v>3</v>
      </c>
      <c r="AG3065">
        <v>1</v>
      </c>
      <c r="AH3065">
        <v>0</v>
      </c>
      <c r="AI3065" t="s">
        <v>1510</v>
      </c>
      <c r="AJ3065">
        <v>32.972996000000002</v>
      </c>
      <c r="AK3065" t="s">
        <v>1511</v>
      </c>
      <c r="AL3065">
        <v>-97.667513</v>
      </c>
      <c r="AM3065">
        <v>25</v>
      </c>
      <c r="AN3065">
        <v>1000</v>
      </c>
      <c r="AO3065" t="s">
        <v>118</v>
      </c>
      <c r="AP3065">
        <v>10</v>
      </c>
      <c r="AQ3065">
        <v>-72</v>
      </c>
      <c r="AR3065">
        <v>64</v>
      </c>
      <c r="AZ3065">
        <v>7700</v>
      </c>
      <c r="BA3065">
        <v>1</v>
      </c>
      <c r="BB3065" t="str">
        <f t="shared" si="906"/>
        <v xml:space="preserve">N733KP  </v>
      </c>
      <c r="BC3065">
        <v>1</v>
      </c>
      <c r="BE3065">
        <v>0</v>
      </c>
      <c r="BF3065">
        <v>0</v>
      </c>
      <c r="BG3065">
        <v>1</v>
      </c>
      <c r="BH3065">
        <v>1000</v>
      </c>
      <c r="BI3065">
        <v>1</v>
      </c>
      <c r="BJ3065">
        <v>1</v>
      </c>
      <c r="BK3065">
        <v>0</v>
      </c>
      <c r="BL3065">
        <v>0</v>
      </c>
      <c r="BO3065">
        <v>0</v>
      </c>
      <c r="BP3065">
        <v>0</v>
      </c>
      <c r="BW3065" t="str">
        <f>"22:23:02.847"</f>
        <v>22:23:02.847</v>
      </c>
      <c r="CJ3065">
        <v>0</v>
      </c>
      <c r="CK3065">
        <v>2</v>
      </c>
      <c r="CL3065">
        <v>0</v>
      </c>
      <c r="CM3065">
        <v>2</v>
      </c>
      <c r="CN3065">
        <v>0</v>
      </c>
      <c r="CO3065">
        <v>4</v>
      </c>
      <c r="CP3065" t="s">
        <v>119</v>
      </c>
      <c r="CQ3065">
        <v>364</v>
      </c>
      <c r="CR3065">
        <v>0</v>
      </c>
      <c r="CW3065">
        <v>1485056</v>
      </c>
      <c r="CY3065">
        <v>1</v>
      </c>
      <c r="CZ3065">
        <v>0</v>
      </c>
      <c r="DA3065">
        <v>1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3">
      <c r="A3066" t="str">
        <f>"03/24/2022 22:23:03.157"</f>
        <v>03/24/2022 22:23:03.157</v>
      </c>
      <c r="C3066" t="str">
        <f t="shared" si="905"/>
        <v>FFDFD3C0</v>
      </c>
      <c r="D3066" t="s">
        <v>126</v>
      </c>
      <c r="E3066">
        <v>3</v>
      </c>
      <c r="H3066">
        <v>160</v>
      </c>
      <c r="I3066" t="s">
        <v>121</v>
      </c>
      <c r="J3066" t="s">
        <v>127</v>
      </c>
      <c r="K3066">
        <v>0</v>
      </c>
      <c r="L3066">
        <v>3</v>
      </c>
      <c r="M3066">
        <v>0</v>
      </c>
      <c r="N3066">
        <v>2</v>
      </c>
      <c r="O3066">
        <v>0</v>
      </c>
      <c r="P3066">
        <v>1</v>
      </c>
      <c r="Q3066">
        <v>0</v>
      </c>
      <c r="S3066" t="str">
        <f t="shared" si="915"/>
        <v>22:23:02.000</v>
      </c>
      <c r="T3066" t="str">
        <f t="shared" si="915"/>
        <v>22:23:02.000</v>
      </c>
      <c r="U3066" t="str">
        <f t="shared" si="899"/>
        <v>A9D71F</v>
      </c>
      <c r="V3066">
        <v>0</v>
      </c>
      <c r="W3066">
        <v>0</v>
      </c>
      <c r="X3066">
        <v>2</v>
      </c>
      <c r="Z3066">
        <v>1</v>
      </c>
      <c r="AA3066">
        <v>8</v>
      </c>
      <c r="AB3066">
        <v>3</v>
      </c>
      <c r="AC3066">
        <v>0</v>
      </c>
      <c r="AD3066">
        <v>9</v>
      </c>
      <c r="AE3066">
        <v>0</v>
      </c>
      <c r="AF3066">
        <v>3</v>
      </c>
      <c r="AG3066">
        <v>1</v>
      </c>
      <c r="AH3066">
        <v>0</v>
      </c>
      <c r="AI3066" t="s">
        <v>1510</v>
      </c>
      <c r="AJ3066">
        <v>32.972996000000002</v>
      </c>
      <c r="AK3066" t="s">
        <v>1511</v>
      </c>
      <c r="AL3066">
        <v>-97.667513</v>
      </c>
      <c r="AM3066">
        <v>25</v>
      </c>
      <c r="AN3066">
        <v>1000</v>
      </c>
      <c r="AO3066" t="s">
        <v>118</v>
      </c>
      <c r="AP3066">
        <v>10</v>
      </c>
      <c r="AQ3066">
        <v>-72</v>
      </c>
      <c r="AR3066">
        <v>64</v>
      </c>
      <c r="AZ3066">
        <v>7700</v>
      </c>
      <c r="BA3066">
        <v>1</v>
      </c>
      <c r="BB3066" t="str">
        <f t="shared" si="906"/>
        <v xml:space="preserve">N733KP  </v>
      </c>
      <c r="BC3066">
        <v>1</v>
      </c>
      <c r="BE3066">
        <v>0</v>
      </c>
      <c r="BF3066">
        <v>0</v>
      </c>
      <c r="BG3066">
        <v>1</v>
      </c>
      <c r="BH3066">
        <v>1000</v>
      </c>
      <c r="BI3066">
        <v>1</v>
      </c>
      <c r="BJ3066">
        <v>1</v>
      </c>
      <c r="BK3066">
        <v>0</v>
      </c>
      <c r="BL3066">
        <v>0</v>
      </c>
      <c r="BO3066">
        <v>0</v>
      </c>
      <c r="BP3066">
        <v>0</v>
      </c>
      <c r="BW3066" t="str">
        <f>"22:23:02.847"</f>
        <v>22:23:02.847</v>
      </c>
      <c r="CJ3066">
        <v>0</v>
      </c>
      <c r="CK3066">
        <v>2</v>
      </c>
      <c r="CL3066">
        <v>0</v>
      </c>
      <c r="CM3066">
        <v>2</v>
      </c>
      <c r="CN3066">
        <v>0</v>
      </c>
      <c r="CO3066">
        <v>4</v>
      </c>
      <c r="CP3066" t="s">
        <v>119</v>
      </c>
      <c r="CQ3066">
        <v>364</v>
      </c>
      <c r="CR3066">
        <v>0</v>
      </c>
      <c r="CW3066">
        <v>1485056</v>
      </c>
      <c r="CY3066">
        <v>1</v>
      </c>
      <c r="CZ3066">
        <v>0</v>
      </c>
      <c r="DA3066">
        <v>1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3">
      <c r="A3067" t="str">
        <f>"03/24/2022 22:23:03.846"</f>
        <v>03/24/2022 22:23:03.846</v>
      </c>
      <c r="C3067" t="str">
        <f t="shared" si="905"/>
        <v>FFDFD3C0</v>
      </c>
      <c r="D3067" t="s">
        <v>113</v>
      </c>
      <c r="E3067">
        <v>24</v>
      </c>
      <c r="F3067">
        <v>2024</v>
      </c>
      <c r="G3067" t="s">
        <v>114</v>
      </c>
      <c r="J3067" t="s">
        <v>115</v>
      </c>
      <c r="K3067">
        <v>0</v>
      </c>
      <c r="L3067">
        <v>3</v>
      </c>
      <c r="M3067">
        <v>0</v>
      </c>
      <c r="N3067">
        <v>2</v>
      </c>
      <c r="O3067">
        <v>0</v>
      </c>
      <c r="P3067">
        <v>1</v>
      </c>
      <c r="Q3067">
        <v>0</v>
      </c>
      <c r="S3067" t="str">
        <f t="shared" ref="S3067:T3070" si="916">"22:23:03.000"</f>
        <v>22:23:03.000</v>
      </c>
      <c r="T3067" t="str">
        <f t="shared" si="916"/>
        <v>22:23:03.000</v>
      </c>
      <c r="U3067" t="str">
        <f t="shared" si="899"/>
        <v>A9D71F</v>
      </c>
      <c r="V3067">
        <v>0</v>
      </c>
      <c r="W3067">
        <v>0</v>
      </c>
      <c r="X3067">
        <v>2</v>
      </c>
      <c r="Z3067">
        <v>1</v>
      </c>
      <c r="AA3067">
        <v>8</v>
      </c>
      <c r="AB3067">
        <v>3</v>
      </c>
      <c r="AC3067">
        <v>0</v>
      </c>
      <c r="AD3067">
        <v>9</v>
      </c>
      <c r="AE3067">
        <v>0</v>
      </c>
      <c r="AF3067">
        <v>3</v>
      </c>
      <c r="AG3067">
        <v>1</v>
      </c>
      <c r="AH3067">
        <v>0</v>
      </c>
      <c r="AI3067" t="s">
        <v>1512</v>
      </c>
      <c r="AJ3067">
        <v>32.972653000000001</v>
      </c>
      <c r="AK3067" t="s">
        <v>1513</v>
      </c>
      <c r="AL3067">
        <v>-97.667490999999998</v>
      </c>
      <c r="AM3067">
        <v>25</v>
      </c>
      <c r="AN3067">
        <v>1000</v>
      </c>
      <c r="AO3067" t="s">
        <v>118</v>
      </c>
      <c r="AP3067">
        <v>12</v>
      </c>
      <c r="AQ3067">
        <v>-71</v>
      </c>
      <c r="AR3067">
        <v>64</v>
      </c>
      <c r="AZ3067">
        <v>7700</v>
      </c>
      <c r="BA3067">
        <v>1</v>
      </c>
      <c r="BB3067" t="str">
        <f t="shared" si="906"/>
        <v xml:space="preserve">N733KP  </v>
      </c>
      <c r="BC3067">
        <v>1</v>
      </c>
      <c r="BE3067">
        <v>0</v>
      </c>
      <c r="BF3067">
        <v>0</v>
      </c>
      <c r="BG3067">
        <v>1</v>
      </c>
      <c r="BH3067">
        <v>1000</v>
      </c>
      <c r="BI3067">
        <v>1</v>
      </c>
      <c r="BJ3067">
        <v>1</v>
      </c>
      <c r="BK3067">
        <v>0</v>
      </c>
      <c r="BL3067">
        <v>0</v>
      </c>
      <c r="BO3067">
        <v>0</v>
      </c>
      <c r="BP3067">
        <v>0</v>
      </c>
      <c r="BW3067" t="str">
        <f>"22:23:03.626"</f>
        <v>22:23:03.626</v>
      </c>
      <c r="CJ3067">
        <v>0</v>
      </c>
      <c r="CK3067">
        <v>2</v>
      </c>
      <c r="CL3067">
        <v>0</v>
      </c>
      <c r="CM3067">
        <v>2</v>
      </c>
      <c r="CN3067">
        <v>0</v>
      </c>
      <c r="CO3067">
        <v>5</v>
      </c>
      <c r="CP3067" t="s">
        <v>119</v>
      </c>
      <c r="CQ3067">
        <v>364</v>
      </c>
      <c r="CR3067">
        <v>0</v>
      </c>
      <c r="CW3067">
        <v>1485157</v>
      </c>
      <c r="CY3067">
        <v>1</v>
      </c>
      <c r="CZ3067">
        <v>0</v>
      </c>
      <c r="DA3067">
        <v>0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3">
      <c r="A3068" t="str">
        <f>"03/24/2022 22:23:03.846"</f>
        <v>03/24/2022 22:23:03.846</v>
      </c>
      <c r="C3068" t="str">
        <f t="shared" si="905"/>
        <v>FFDFD3C0</v>
      </c>
      <c r="D3068" t="s">
        <v>123</v>
      </c>
      <c r="E3068">
        <v>8</v>
      </c>
      <c r="H3068">
        <v>31</v>
      </c>
      <c r="I3068" t="s">
        <v>124</v>
      </c>
      <c r="J3068" t="s">
        <v>125</v>
      </c>
      <c r="K3068">
        <v>0</v>
      </c>
      <c r="L3068">
        <v>3</v>
      </c>
      <c r="M3068">
        <v>0</v>
      </c>
      <c r="N3068">
        <v>2</v>
      </c>
      <c r="O3068">
        <v>0</v>
      </c>
      <c r="P3068">
        <v>1</v>
      </c>
      <c r="Q3068">
        <v>0</v>
      </c>
      <c r="S3068" t="str">
        <f t="shared" si="916"/>
        <v>22:23:03.000</v>
      </c>
      <c r="T3068" t="str">
        <f t="shared" si="916"/>
        <v>22:23:03.000</v>
      </c>
      <c r="U3068" t="str">
        <f t="shared" si="899"/>
        <v>A9D71F</v>
      </c>
      <c r="V3068">
        <v>0</v>
      </c>
      <c r="W3068">
        <v>0</v>
      </c>
      <c r="X3068">
        <v>2</v>
      </c>
      <c r="Z3068">
        <v>1</v>
      </c>
      <c r="AA3068">
        <v>8</v>
      </c>
      <c r="AB3068">
        <v>3</v>
      </c>
      <c r="AC3068">
        <v>0</v>
      </c>
      <c r="AD3068">
        <v>9</v>
      </c>
      <c r="AE3068">
        <v>0</v>
      </c>
      <c r="AF3068">
        <v>3</v>
      </c>
      <c r="AG3068">
        <v>1</v>
      </c>
      <c r="AH3068">
        <v>0</v>
      </c>
      <c r="AI3068" t="s">
        <v>1512</v>
      </c>
      <c r="AJ3068">
        <v>32.972653000000001</v>
      </c>
      <c r="AK3068" t="s">
        <v>1513</v>
      </c>
      <c r="AL3068">
        <v>-97.667490999999998</v>
      </c>
      <c r="AM3068">
        <v>25</v>
      </c>
      <c r="AN3068">
        <v>1000</v>
      </c>
      <c r="AO3068" t="s">
        <v>118</v>
      </c>
      <c r="AP3068">
        <v>12</v>
      </c>
      <c r="AQ3068">
        <v>-71</v>
      </c>
      <c r="AR3068">
        <v>64</v>
      </c>
      <c r="AZ3068">
        <v>7700</v>
      </c>
      <c r="BA3068">
        <v>1</v>
      </c>
      <c r="BB3068" t="str">
        <f t="shared" si="906"/>
        <v xml:space="preserve">N733KP  </v>
      </c>
      <c r="BC3068">
        <v>1</v>
      </c>
      <c r="BE3068">
        <v>0</v>
      </c>
      <c r="BF3068">
        <v>0</v>
      </c>
      <c r="BG3068">
        <v>1</v>
      </c>
      <c r="BH3068">
        <v>1000</v>
      </c>
      <c r="BI3068">
        <v>1</v>
      </c>
      <c r="BJ3068">
        <v>1</v>
      </c>
      <c r="BK3068">
        <v>0</v>
      </c>
      <c r="BL3068">
        <v>0</v>
      </c>
      <c r="BO3068">
        <v>0</v>
      </c>
      <c r="BP3068">
        <v>0</v>
      </c>
      <c r="BW3068" t="str">
        <f>"22:23:03.626"</f>
        <v>22:23:03.626</v>
      </c>
      <c r="CJ3068">
        <v>0</v>
      </c>
      <c r="CK3068">
        <v>2</v>
      </c>
      <c r="CL3068">
        <v>0</v>
      </c>
      <c r="CM3068">
        <v>2</v>
      </c>
      <c r="CN3068">
        <v>0</v>
      </c>
      <c r="CO3068">
        <v>5</v>
      </c>
      <c r="CP3068" t="s">
        <v>119</v>
      </c>
      <c r="CQ3068">
        <v>364</v>
      </c>
      <c r="CR3068">
        <v>0</v>
      </c>
      <c r="CW3068">
        <v>1485157</v>
      </c>
      <c r="CY3068">
        <v>1</v>
      </c>
      <c r="CZ3068">
        <v>0</v>
      </c>
      <c r="DA3068">
        <v>1</v>
      </c>
      <c r="DB3068">
        <v>0</v>
      </c>
      <c r="DC3068">
        <v>0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3">
      <c r="A3069" t="str">
        <f>"03/24/2022 22:23:03.846"</f>
        <v>03/24/2022 22:23:03.846</v>
      </c>
      <c r="C3069" t="str">
        <f t="shared" si="905"/>
        <v>FFDFD3C0</v>
      </c>
      <c r="D3069" t="s">
        <v>120</v>
      </c>
      <c r="E3069">
        <v>14</v>
      </c>
      <c r="F3069">
        <v>1014</v>
      </c>
      <c r="G3069" t="s">
        <v>121</v>
      </c>
      <c r="J3069" t="s">
        <v>122</v>
      </c>
      <c r="K3069">
        <v>0</v>
      </c>
      <c r="L3069">
        <v>3</v>
      </c>
      <c r="M3069">
        <v>0</v>
      </c>
      <c r="N3069">
        <v>2</v>
      </c>
      <c r="O3069">
        <v>0</v>
      </c>
      <c r="P3069">
        <v>1</v>
      </c>
      <c r="Q3069">
        <v>0</v>
      </c>
      <c r="S3069" t="str">
        <f t="shared" si="916"/>
        <v>22:23:03.000</v>
      </c>
      <c r="T3069" t="str">
        <f t="shared" si="916"/>
        <v>22:23:03.000</v>
      </c>
      <c r="U3069" t="str">
        <f t="shared" si="899"/>
        <v>A9D71F</v>
      </c>
      <c r="V3069">
        <v>0</v>
      </c>
      <c r="W3069">
        <v>0</v>
      </c>
      <c r="X3069">
        <v>2</v>
      </c>
      <c r="Z3069">
        <v>1</v>
      </c>
      <c r="AA3069">
        <v>8</v>
      </c>
      <c r="AB3069">
        <v>3</v>
      </c>
      <c r="AC3069">
        <v>0</v>
      </c>
      <c r="AD3069">
        <v>9</v>
      </c>
      <c r="AE3069">
        <v>0</v>
      </c>
      <c r="AF3069">
        <v>3</v>
      </c>
      <c r="AG3069">
        <v>1</v>
      </c>
      <c r="AH3069">
        <v>0</v>
      </c>
      <c r="AI3069" t="s">
        <v>1512</v>
      </c>
      <c r="AJ3069">
        <v>32.972653000000001</v>
      </c>
      <c r="AK3069" t="s">
        <v>1513</v>
      </c>
      <c r="AL3069">
        <v>-97.667490999999998</v>
      </c>
      <c r="AM3069">
        <v>25</v>
      </c>
      <c r="AN3069">
        <v>1000</v>
      </c>
      <c r="AO3069" t="s">
        <v>118</v>
      </c>
      <c r="AP3069">
        <v>12</v>
      </c>
      <c r="AQ3069">
        <v>-71</v>
      </c>
      <c r="AR3069">
        <v>64</v>
      </c>
      <c r="AZ3069">
        <v>7700</v>
      </c>
      <c r="BA3069">
        <v>1</v>
      </c>
      <c r="BB3069" t="str">
        <f t="shared" si="906"/>
        <v xml:space="preserve">N733KP  </v>
      </c>
      <c r="BC3069">
        <v>1</v>
      </c>
      <c r="BE3069">
        <v>0</v>
      </c>
      <c r="BF3069">
        <v>0</v>
      </c>
      <c r="BG3069">
        <v>1</v>
      </c>
      <c r="BH3069">
        <v>1000</v>
      </c>
      <c r="BI3069">
        <v>1</v>
      </c>
      <c r="BJ3069">
        <v>1</v>
      </c>
      <c r="BK3069">
        <v>0</v>
      </c>
      <c r="BL3069">
        <v>0</v>
      </c>
      <c r="BO3069">
        <v>0</v>
      </c>
      <c r="BP3069">
        <v>0</v>
      </c>
      <c r="BW3069" t="str">
        <f>"22:23:03.626"</f>
        <v>22:23:03.626</v>
      </c>
      <c r="CJ3069">
        <v>0</v>
      </c>
      <c r="CK3069">
        <v>2</v>
      </c>
      <c r="CL3069">
        <v>0</v>
      </c>
      <c r="CM3069">
        <v>2</v>
      </c>
      <c r="CN3069">
        <v>0</v>
      </c>
      <c r="CO3069">
        <v>5</v>
      </c>
      <c r="CP3069" t="s">
        <v>119</v>
      </c>
      <c r="CQ3069">
        <v>364</v>
      </c>
      <c r="CR3069">
        <v>0</v>
      </c>
      <c r="CW3069">
        <v>1485157</v>
      </c>
      <c r="CY3069">
        <v>1</v>
      </c>
      <c r="CZ3069">
        <v>0</v>
      </c>
      <c r="DA3069">
        <v>1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3">
      <c r="A3070" t="str">
        <f>"03/24/2022 22:23:03.846"</f>
        <v>03/24/2022 22:23:03.846</v>
      </c>
      <c r="C3070" t="str">
        <f t="shared" si="905"/>
        <v>FFDFD3C0</v>
      </c>
      <c r="D3070" t="s">
        <v>126</v>
      </c>
      <c r="E3070">
        <v>3</v>
      </c>
      <c r="H3070">
        <v>160</v>
      </c>
      <c r="I3070" t="s">
        <v>121</v>
      </c>
      <c r="J3070" t="s">
        <v>127</v>
      </c>
      <c r="K3070">
        <v>0</v>
      </c>
      <c r="L3070">
        <v>3</v>
      </c>
      <c r="M3070">
        <v>0</v>
      </c>
      <c r="N3070">
        <v>2</v>
      </c>
      <c r="O3070">
        <v>0</v>
      </c>
      <c r="P3070">
        <v>1</v>
      </c>
      <c r="Q3070">
        <v>0</v>
      </c>
      <c r="S3070" t="str">
        <f t="shared" si="916"/>
        <v>22:23:03.000</v>
      </c>
      <c r="T3070" t="str">
        <f t="shared" si="916"/>
        <v>22:23:03.000</v>
      </c>
      <c r="U3070" t="str">
        <f t="shared" si="899"/>
        <v>A9D71F</v>
      </c>
      <c r="V3070">
        <v>0</v>
      </c>
      <c r="W3070">
        <v>0</v>
      </c>
      <c r="X3070">
        <v>2</v>
      </c>
      <c r="Z3070">
        <v>1</v>
      </c>
      <c r="AA3070">
        <v>8</v>
      </c>
      <c r="AB3070">
        <v>3</v>
      </c>
      <c r="AC3070">
        <v>0</v>
      </c>
      <c r="AD3070">
        <v>9</v>
      </c>
      <c r="AE3070">
        <v>0</v>
      </c>
      <c r="AF3070">
        <v>3</v>
      </c>
      <c r="AG3070">
        <v>1</v>
      </c>
      <c r="AH3070">
        <v>0</v>
      </c>
      <c r="AI3070" t="s">
        <v>1512</v>
      </c>
      <c r="AJ3070">
        <v>32.972653000000001</v>
      </c>
      <c r="AK3070" t="s">
        <v>1513</v>
      </c>
      <c r="AL3070">
        <v>-97.667490999999998</v>
      </c>
      <c r="AM3070">
        <v>25</v>
      </c>
      <c r="AN3070">
        <v>1000</v>
      </c>
      <c r="AO3070" t="s">
        <v>118</v>
      </c>
      <c r="AP3070">
        <v>12</v>
      </c>
      <c r="AQ3070">
        <v>-71</v>
      </c>
      <c r="AR3070">
        <v>64</v>
      </c>
      <c r="AZ3070">
        <v>7700</v>
      </c>
      <c r="BA3070">
        <v>1</v>
      </c>
      <c r="BB3070" t="str">
        <f t="shared" si="906"/>
        <v xml:space="preserve">N733KP  </v>
      </c>
      <c r="BC3070">
        <v>1</v>
      </c>
      <c r="BE3070">
        <v>0</v>
      </c>
      <c r="BF3070">
        <v>0</v>
      </c>
      <c r="BG3070">
        <v>1</v>
      </c>
      <c r="BH3070">
        <v>1000</v>
      </c>
      <c r="BI3070">
        <v>1</v>
      </c>
      <c r="BJ3070">
        <v>1</v>
      </c>
      <c r="BK3070">
        <v>0</v>
      </c>
      <c r="BL3070">
        <v>0</v>
      </c>
      <c r="BO3070">
        <v>0</v>
      </c>
      <c r="BP3070">
        <v>0</v>
      </c>
      <c r="BW3070" t="str">
        <f>"22:23:03.626"</f>
        <v>22:23:03.626</v>
      </c>
      <c r="CJ3070">
        <v>0</v>
      </c>
      <c r="CK3070">
        <v>2</v>
      </c>
      <c r="CL3070">
        <v>0</v>
      </c>
      <c r="CM3070">
        <v>2</v>
      </c>
      <c r="CN3070">
        <v>0</v>
      </c>
      <c r="CO3070">
        <v>5</v>
      </c>
      <c r="CP3070" t="s">
        <v>119</v>
      </c>
      <c r="CQ3070">
        <v>364</v>
      </c>
      <c r="CR3070">
        <v>0</v>
      </c>
      <c r="CW3070">
        <v>1485157</v>
      </c>
      <c r="CY3070">
        <v>1</v>
      </c>
      <c r="CZ3070">
        <v>0</v>
      </c>
      <c r="DA3070">
        <v>1</v>
      </c>
      <c r="DB3070">
        <v>0</v>
      </c>
      <c r="DC3070">
        <v>0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3">
      <c r="A3071" t="str">
        <f>"03/24/2022 22:23:05.034"</f>
        <v>03/24/2022 22:23:05.034</v>
      </c>
      <c r="C3071" t="str">
        <f t="shared" si="905"/>
        <v>FFDFD3C0</v>
      </c>
      <c r="D3071" t="s">
        <v>113</v>
      </c>
      <c r="E3071">
        <v>24</v>
      </c>
      <c r="F3071">
        <v>2024</v>
      </c>
      <c r="G3071" t="s">
        <v>114</v>
      </c>
      <c r="J3071" t="s">
        <v>115</v>
      </c>
      <c r="K3071">
        <v>0</v>
      </c>
      <c r="L3071">
        <v>3</v>
      </c>
      <c r="M3071">
        <v>0</v>
      </c>
      <c r="N3071">
        <v>2</v>
      </c>
      <c r="O3071">
        <v>0</v>
      </c>
      <c r="P3071">
        <v>1</v>
      </c>
      <c r="Q3071">
        <v>0</v>
      </c>
      <c r="S3071" t="str">
        <f t="shared" ref="S3071:T3074" si="917">"22:23:04.000"</f>
        <v>22:23:04.000</v>
      </c>
      <c r="T3071" t="str">
        <f t="shared" si="917"/>
        <v>22:23:04.000</v>
      </c>
      <c r="U3071" t="str">
        <f t="shared" si="899"/>
        <v>A9D71F</v>
      </c>
      <c r="V3071">
        <v>0</v>
      </c>
      <c r="W3071">
        <v>0</v>
      </c>
      <c r="X3071">
        <v>2</v>
      </c>
      <c r="Z3071">
        <v>1</v>
      </c>
      <c r="AA3071">
        <v>8</v>
      </c>
      <c r="AB3071">
        <v>3</v>
      </c>
      <c r="AC3071">
        <v>0</v>
      </c>
      <c r="AD3071">
        <v>9</v>
      </c>
      <c r="AE3071">
        <v>0</v>
      </c>
      <c r="AF3071">
        <v>3</v>
      </c>
      <c r="AG3071">
        <v>1</v>
      </c>
      <c r="AH3071">
        <v>0</v>
      </c>
      <c r="AI3071" t="s">
        <v>1514</v>
      </c>
      <c r="AJ3071">
        <v>32.97231</v>
      </c>
      <c r="AK3071" t="s">
        <v>1292</v>
      </c>
      <c r="AL3071">
        <v>-97.667406</v>
      </c>
      <c r="AM3071">
        <v>25</v>
      </c>
      <c r="AN3071">
        <v>1100</v>
      </c>
      <c r="AO3071" t="s">
        <v>118</v>
      </c>
      <c r="AP3071">
        <v>14</v>
      </c>
      <c r="AQ3071">
        <v>-67</v>
      </c>
      <c r="AR3071">
        <v>128</v>
      </c>
      <c r="AZ3071">
        <v>7700</v>
      </c>
      <c r="BA3071">
        <v>1</v>
      </c>
      <c r="BB3071" t="str">
        <f t="shared" si="906"/>
        <v xml:space="preserve">N733KP  </v>
      </c>
      <c r="BC3071">
        <v>1</v>
      </c>
      <c r="BE3071">
        <v>0</v>
      </c>
      <c r="BF3071">
        <v>0</v>
      </c>
      <c r="BG3071">
        <v>1</v>
      </c>
      <c r="BH3071">
        <v>1025</v>
      </c>
      <c r="BI3071">
        <v>1</v>
      </c>
      <c r="BJ3071">
        <v>1</v>
      </c>
      <c r="BK3071">
        <v>0</v>
      </c>
      <c r="BL3071">
        <v>0</v>
      </c>
      <c r="BO3071">
        <v>0</v>
      </c>
      <c r="BP3071">
        <v>0</v>
      </c>
      <c r="BW3071" t="str">
        <f>"22:23:04.781"</f>
        <v>22:23:04.781</v>
      </c>
      <c r="CJ3071">
        <v>0</v>
      </c>
      <c r="CK3071">
        <v>2</v>
      </c>
      <c r="CL3071">
        <v>0</v>
      </c>
      <c r="CM3071">
        <v>2</v>
      </c>
      <c r="CN3071">
        <v>0</v>
      </c>
      <c r="CO3071">
        <v>5</v>
      </c>
      <c r="CP3071" t="s">
        <v>119</v>
      </c>
      <c r="CQ3071">
        <v>364</v>
      </c>
      <c r="CR3071">
        <v>0</v>
      </c>
      <c r="CW3071">
        <v>1485308</v>
      </c>
      <c r="CY3071">
        <v>1</v>
      </c>
      <c r="CZ3071">
        <v>0</v>
      </c>
      <c r="DA3071">
        <v>0</v>
      </c>
      <c r="DB3071">
        <v>0</v>
      </c>
      <c r="DC3071">
        <v>0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3">
      <c r="A3072" t="str">
        <f>"03/24/2022 22:23:05.034"</f>
        <v>03/24/2022 22:23:05.034</v>
      </c>
      <c r="C3072" t="str">
        <f t="shared" si="905"/>
        <v>FFDFD3C0</v>
      </c>
      <c r="D3072" t="s">
        <v>123</v>
      </c>
      <c r="E3072">
        <v>8</v>
      </c>
      <c r="H3072">
        <v>31</v>
      </c>
      <c r="I3072" t="s">
        <v>124</v>
      </c>
      <c r="J3072" t="s">
        <v>125</v>
      </c>
      <c r="K3072">
        <v>0</v>
      </c>
      <c r="L3072">
        <v>3</v>
      </c>
      <c r="M3072">
        <v>0</v>
      </c>
      <c r="N3072">
        <v>2</v>
      </c>
      <c r="O3072">
        <v>0</v>
      </c>
      <c r="P3072">
        <v>1</v>
      </c>
      <c r="Q3072">
        <v>0</v>
      </c>
      <c r="S3072" t="str">
        <f t="shared" si="917"/>
        <v>22:23:04.000</v>
      </c>
      <c r="T3072" t="str">
        <f t="shared" si="917"/>
        <v>22:23:04.000</v>
      </c>
      <c r="U3072" t="str">
        <f t="shared" si="899"/>
        <v>A9D71F</v>
      </c>
      <c r="V3072">
        <v>0</v>
      </c>
      <c r="W3072">
        <v>0</v>
      </c>
      <c r="X3072">
        <v>2</v>
      </c>
      <c r="Z3072">
        <v>1</v>
      </c>
      <c r="AA3072">
        <v>8</v>
      </c>
      <c r="AB3072">
        <v>3</v>
      </c>
      <c r="AC3072">
        <v>0</v>
      </c>
      <c r="AD3072">
        <v>9</v>
      </c>
      <c r="AE3072">
        <v>0</v>
      </c>
      <c r="AF3072">
        <v>3</v>
      </c>
      <c r="AG3072">
        <v>1</v>
      </c>
      <c r="AH3072">
        <v>0</v>
      </c>
      <c r="AI3072" t="s">
        <v>1514</v>
      </c>
      <c r="AJ3072">
        <v>32.97231</v>
      </c>
      <c r="AK3072" t="s">
        <v>1292</v>
      </c>
      <c r="AL3072">
        <v>-97.667406</v>
      </c>
      <c r="AM3072">
        <v>25</v>
      </c>
      <c r="AN3072">
        <v>1100</v>
      </c>
      <c r="AO3072" t="s">
        <v>118</v>
      </c>
      <c r="AP3072">
        <v>14</v>
      </c>
      <c r="AQ3072">
        <v>-67</v>
      </c>
      <c r="AR3072">
        <v>128</v>
      </c>
      <c r="AZ3072">
        <v>7700</v>
      </c>
      <c r="BA3072">
        <v>1</v>
      </c>
      <c r="BB3072" t="str">
        <f t="shared" si="906"/>
        <v xml:space="preserve">N733KP  </v>
      </c>
      <c r="BC3072">
        <v>1</v>
      </c>
      <c r="BE3072">
        <v>0</v>
      </c>
      <c r="BF3072">
        <v>0</v>
      </c>
      <c r="BG3072">
        <v>1</v>
      </c>
      <c r="BH3072">
        <v>1025</v>
      </c>
      <c r="BI3072">
        <v>1</v>
      </c>
      <c r="BJ3072">
        <v>1</v>
      </c>
      <c r="BK3072">
        <v>0</v>
      </c>
      <c r="BL3072">
        <v>0</v>
      </c>
      <c r="BO3072">
        <v>0</v>
      </c>
      <c r="BP3072">
        <v>0</v>
      </c>
      <c r="BW3072" t="str">
        <f>"22:23:04.781"</f>
        <v>22:23:04.781</v>
      </c>
      <c r="CJ3072">
        <v>0</v>
      </c>
      <c r="CK3072">
        <v>2</v>
      </c>
      <c r="CL3072">
        <v>0</v>
      </c>
      <c r="CM3072">
        <v>2</v>
      </c>
      <c r="CN3072">
        <v>0</v>
      </c>
      <c r="CO3072">
        <v>5</v>
      </c>
      <c r="CP3072" t="s">
        <v>119</v>
      </c>
      <c r="CQ3072">
        <v>364</v>
      </c>
      <c r="CR3072">
        <v>0</v>
      </c>
      <c r="CW3072">
        <v>1485308</v>
      </c>
      <c r="CY3072">
        <v>1</v>
      </c>
      <c r="CZ3072">
        <v>0</v>
      </c>
      <c r="DA3072">
        <v>0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3">
      <c r="A3073" t="str">
        <f>"03/24/2022 22:23:05.034"</f>
        <v>03/24/2022 22:23:05.034</v>
      </c>
      <c r="C3073" t="str">
        <f t="shared" si="905"/>
        <v>FFDFD3C0</v>
      </c>
      <c r="D3073" t="s">
        <v>120</v>
      </c>
      <c r="E3073">
        <v>14</v>
      </c>
      <c r="F3073">
        <v>1014</v>
      </c>
      <c r="G3073" t="s">
        <v>121</v>
      </c>
      <c r="J3073" t="s">
        <v>122</v>
      </c>
      <c r="K3073">
        <v>0</v>
      </c>
      <c r="L3073">
        <v>3</v>
      </c>
      <c r="M3073">
        <v>0</v>
      </c>
      <c r="N3073">
        <v>2</v>
      </c>
      <c r="O3073">
        <v>0</v>
      </c>
      <c r="P3073">
        <v>1</v>
      </c>
      <c r="Q3073">
        <v>0</v>
      </c>
      <c r="S3073" t="str">
        <f t="shared" si="917"/>
        <v>22:23:04.000</v>
      </c>
      <c r="T3073" t="str">
        <f t="shared" si="917"/>
        <v>22:23:04.000</v>
      </c>
      <c r="U3073" t="str">
        <f t="shared" si="899"/>
        <v>A9D71F</v>
      </c>
      <c r="V3073">
        <v>0</v>
      </c>
      <c r="W3073">
        <v>0</v>
      </c>
      <c r="X3073">
        <v>2</v>
      </c>
      <c r="Z3073">
        <v>1</v>
      </c>
      <c r="AA3073">
        <v>8</v>
      </c>
      <c r="AB3073">
        <v>3</v>
      </c>
      <c r="AC3073">
        <v>0</v>
      </c>
      <c r="AD3073">
        <v>9</v>
      </c>
      <c r="AE3073">
        <v>0</v>
      </c>
      <c r="AF3073">
        <v>3</v>
      </c>
      <c r="AG3073">
        <v>1</v>
      </c>
      <c r="AH3073">
        <v>0</v>
      </c>
      <c r="AI3073" t="s">
        <v>1514</v>
      </c>
      <c r="AJ3073">
        <v>32.97231</v>
      </c>
      <c r="AK3073" t="s">
        <v>1292</v>
      </c>
      <c r="AL3073">
        <v>-97.667406</v>
      </c>
      <c r="AM3073">
        <v>25</v>
      </c>
      <c r="AN3073">
        <v>1100</v>
      </c>
      <c r="AO3073" t="s">
        <v>118</v>
      </c>
      <c r="AP3073">
        <v>14</v>
      </c>
      <c r="AQ3073">
        <v>-67</v>
      </c>
      <c r="AR3073">
        <v>128</v>
      </c>
      <c r="AZ3073">
        <v>7700</v>
      </c>
      <c r="BA3073">
        <v>1</v>
      </c>
      <c r="BB3073" t="str">
        <f t="shared" si="906"/>
        <v xml:space="preserve">N733KP  </v>
      </c>
      <c r="BC3073">
        <v>1</v>
      </c>
      <c r="BE3073">
        <v>0</v>
      </c>
      <c r="BF3073">
        <v>0</v>
      </c>
      <c r="BG3073">
        <v>1</v>
      </c>
      <c r="BH3073">
        <v>1025</v>
      </c>
      <c r="BI3073">
        <v>1</v>
      </c>
      <c r="BJ3073">
        <v>1</v>
      </c>
      <c r="BK3073">
        <v>0</v>
      </c>
      <c r="BL3073">
        <v>0</v>
      </c>
      <c r="BO3073">
        <v>0</v>
      </c>
      <c r="BP3073">
        <v>0</v>
      </c>
      <c r="BW3073" t="str">
        <f>"22:23:04.781"</f>
        <v>22:23:04.781</v>
      </c>
      <c r="CJ3073">
        <v>0</v>
      </c>
      <c r="CK3073">
        <v>2</v>
      </c>
      <c r="CL3073">
        <v>0</v>
      </c>
      <c r="CM3073">
        <v>2</v>
      </c>
      <c r="CN3073">
        <v>0</v>
      </c>
      <c r="CO3073">
        <v>5</v>
      </c>
      <c r="CP3073" t="s">
        <v>119</v>
      </c>
      <c r="CQ3073">
        <v>364</v>
      </c>
      <c r="CR3073">
        <v>0</v>
      </c>
      <c r="CW3073">
        <v>1485308</v>
      </c>
      <c r="CY3073">
        <v>1</v>
      </c>
      <c r="CZ3073">
        <v>0</v>
      </c>
      <c r="DA3073">
        <v>1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3">
      <c r="A3074" t="str">
        <f>"03/24/2022 22:23:05.034"</f>
        <v>03/24/2022 22:23:05.034</v>
      </c>
      <c r="C3074" t="str">
        <f t="shared" si="905"/>
        <v>FFDFD3C0</v>
      </c>
      <c r="D3074" t="s">
        <v>126</v>
      </c>
      <c r="E3074">
        <v>3</v>
      </c>
      <c r="H3074">
        <v>160</v>
      </c>
      <c r="I3074" t="s">
        <v>121</v>
      </c>
      <c r="J3074" t="s">
        <v>127</v>
      </c>
      <c r="K3074">
        <v>0</v>
      </c>
      <c r="L3074">
        <v>3</v>
      </c>
      <c r="M3074">
        <v>0</v>
      </c>
      <c r="N3074">
        <v>2</v>
      </c>
      <c r="O3074">
        <v>0</v>
      </c>
      <c r="P3074">
        <v>1</v>
      </c>
      <c r="Q3074">
        <v>0</v>
      </c>
      <c r="S3074" t="str">
        <f t="shared" si="917"/>
        <v>22:23:04.000</v>
      </c>
      <c r="T3074" t="str">
        <f t="shared" si="917"/>
        <v>22:23:04.000</v>
      </c>
      <c r="U3074" t="str">
        <f t="shared" ref="U3074:U3137" si="918">"A9D71F"</f>
        <v>A9D71F</v>
      </c>
      <c r="V3074">
        <v>0</v>
      </c>
      <c r="W3074">
        <v>0</v>
      </c>
      <c r="X3074">
        <v>2</v>
      </c>
      <c r="Z3074">
        <v>1</v>
      </c>
      <c r="AA3074">
        <v>8</v>
      </c>
      <c r="AB3074">
        <v>3</v>
      </c>
      <c r="AC3074">
        <v>0</v>
      </c>
      <c r="AD3074">
        <v>9</v>
      </c>
      <c r="AE3074">
        <v>0</v>
      </c>
      <c r="AF3074">
        <v>3</v>
      </c>
      <c r="AG3074">
        <v>1</v>
      </c>
      <c r="AH3074">
        <v>0</v>
      </c>
      <c r="AI3074" t="s">
        <v>1514</v>
      </c>
      <c r="AJ3074">
        <v>32.97231</v>
      </c>
      <c r="AK3074" t="s">
        <v>1292</v>
      </c>
      <c r="AL3074">
        <v>-97.667406</v>
      </c>
      <c r="AM3074">
        <v>25</v>
      </c>
      <c r="AN3074">
        <v>1100</v>
      </c>
      <c r="AO3074" t="s">
        <v>118</v>
      </c>
      <c r="AP3074">
        <v>14</v>
      </c>
      <c r="AQ3074">
        <v>-67</v>
      </c>
      <c r="AR3074">
        <v>128</v>
      </c>
      <c r="AZ3074">
        <v>7700</v>
      </c>
      <c r="BA3074">
        <v>1</v>
      </c>
      <c r="BB3074" t="str">
        <f t="shared" si="906"/>
        <v xml:space="preserve">N733KP  </v>
      </c>
      <c r="BC3074">
        <v>1</v>
      </c>
      <c r="BE3074">
        <v>0</v>
      </c>
      <c r="BF3074">
        <v>0</v>
      </c>
      <c r="BG3074">
        <v>1</v>
      </c>
      <c r="BH3074">
        <v>1025</v>
      </c>
      <c r="BI3074">
        <v>1</v>
      </c>
      <c r="BJ3074">
        <v>1</v>
      </c>
      <c r="BK3074">
        <v>0</v>
      </c>
      <c r="BL3074">
        <v>0</v>
      </c>
      <c r="BO3074">
        <v>0</v>
      </c>
      <c r="BP3074">
        <v>0</v>
      </c>
      <c r="BW3074" t="str">
        <f>"22:23:04.781"</f>
        <v>22:23:04.781</v>
      </c>
      <c r="CJ3074">
        <v>0</v>
      </c>
      <c r="CK3074">
        <v>2</v>
      </c>
      <c r="CL3074">
        <v>0</v>
      </c>
      <c r="CM3074">
        <v>2</v>
      </c>
      <c r="CN3074">
        <v>0</v>
      </c>
      <c r="CO3074">
        <v>5</v>
      </c>
      <c r="CP3074" t="s">
        <v>119</v>
      </c>
      <c r="CQ3074">
        <v>364</v>
      </c>
      <c r="CR3074">
        <v>0</v>
      </c>
      <c r="CW3074">
        <v>1485308</v>
      </c>
      <c r="CY3074">
        <v>1</v>
      </c>
      <c r="CZ3074">
        <v>0</v>
      </c>
      <c r="DA3074">
        <v>1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3">
      <c r="A3075" t="str">
        <f>"03/24/2022 22:23:06.206"</f>
        <v>03/24/2022 22:23:06.206</v>
      </c>
      <c r="C3075" t="str">
        <f t="shared" si="905"/>
        <v>FFDFD3C0</v>
      </c>
      <c r="D3075" t="s">
        <v>126</v>
      </c>
      <c r="E3075">
        <v>3</v>
      </c>
      <c r="H3075">
        <v>160</v>
      </c>
      <c r="I3075" t="s">
        <v>121</v>
      </c>
      <c r="J3075" t="s">
        <v>127</v>
      </c>
      <c r="K3075">
        <v>0</v>
      </c>
      <c r="L3075">
        <v>3</v>
      </c>
      <c r="M3075">
        <v>0</v>
      </c>
      <c r="N3075">
        <v>2</v>
      </c>
      <c r="O3075">
        <v>0</v>
      </c>
      <c r="P3075">
        <v>1</v>
      </c>
      <c r="Q3075">
        <v>0</v>
      </c>
      <c r="S3075" t="str">
        <f t="shared" ref="S3075:T3078" si="919">"22:23:05.000"</f>
        <v>22:23:05.000</v>
      </c>
      <c r="T3075" t="str">
        <f t="shared" si="919"/>
        <v>22:23:05.000</v>
      </c>
      <c r="U3075" t="str">
        <f t="shared" si="918"/>
        <v>A9D71F</v>
      </c>
      <c r="V3075">
        <v>0</v>
      </c>
      <c r="W3075">
        <v>0</v>
      </c>
      <c r="X3075">
        <v>2</v>
      </c>
      <c r="Z3075">
        <v>1</v>
      </c>
      <c r="AA3075">
        <v>8</v>
      </c>
      <c r="AB3075">
        <v>3</v>
      </c>
      <c r="AC3075">
        <v>0</v>
      </c>
      <c r="AD3075">
        <v>9</v>
      </c>
      <c r="AE3075">
        <v>0</v>
      </c>
      <c r="AF3075">
        <v>3</v>
      </c>
      <c r="AG3075">
        <v>1</v>
      </c>
      <c r="AH3075">
        <v>0</v>
      </c>
      <c r="AI3075" t="s">
        <v>1515</v>
      </c>
      <c r="AJ3075">
        <v>32.971944999999998</v>
      </c>
      <c r="AK3075" t="s">
        <v>1447</v>
      </c>
      <c r="AL3075">
        <v>-97.667298000000002</v>
      </c>
      <c r="AM3075">
        <v>25</v>
      </c>
      <c r="AN3075">
        <v>1100</v>
      </c>
      <c r="AO3075" t="s">
        <v>118</v>
      </c>
      <c r="AP3075">
        <v>18</v>
      </c>
      <c r="AQ3075">
        <v>-70</v>
      </c>
      <c r="AR3075">
        <v>0</v>
      </c>
      <c r="AZ3075">
        <v>7700</v>
      </c>
      <c r="BA3075">
        <v>1</v>
      </c>
      <c r="BB3075" t="str">
        <f t="shared" si="906"/>
        <v xml:space="preserve">N733KP  </v>
      </c>
      <c r="BC3075">
        <v>1</v>
      </c>
      <c r="BE3075">
        <v>0</v>
      </c>
      <c r="BF3075">
        <v>0</v>
      </c>
      <c r="BG3075">
        <v>1</v>
      </c>
      <c r="BH3075">
        <v>1025</v>
      </c>
      <c r="BI3075">
        <v>1</v>
      </c>
      <c r="BJ3075">
        <v>1</v>
      </c>
      <c r="BK3075">
        <v>0</v>
      </c>
      <c r="BL3075">
        <v>0</v>
      </c>
      <c r="BO3075">
        <v>0</v>
      </c>
      <c r="BP3075">
        <v>0</v>
      </c>
      <c r="BW3075" t="str">
        <f>"22:23:05.963"</f>
        <v>22:23:05.963</v>
      </c>
      <c r="CJ3075">
        <v>0</v>
      </c>
      <c r="CK3075">
        <v>2</v>
      </c>
      <c r="CL3075">
        <v>0</v>
      </c>
      <c r="CM3075">
        <v>2</v>
      </c>
      <c r="CN3075">
        <v>0</v>
      </c>
      <c r="CO3075">
        <v>4</v>
      </c>
      <c r="CP3075" t="s">
        <v>119</v>
      </c>
      <c r="CQ3075">
        <v>364</v>
      </c>
      <c r="CR3075">
        <v>0</v>
      </c>
      <c r="CW3075">
        <v>1485479</v>
      </c>
      <c r="CY3075">
        <v>1</v>
      </c>
      <c r="CZ3075">
        <v>0</v>
      </c>
      <c r="DA3075">
        <v>0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3">
      <c r="A3076" t="str">
        <f>"03/24/2022 22:23:06.206"</f>
        <v>03/24/2022 22:23:06.206</v>
      </c>
      <c r="C3076" t="str">
        <f t="shared" si="905"/>
        <v>FFDFD3C0</v>
      </c>
      <c r="D3076" t="s">
        <v>113</v>
      </c>
      <c r="E3076">
        <v>24</v>
      </c>
      <c r="F3076">
        <v>2024</v>
      </c>
      <c r="G3076" t="s">
        <v>114</v>
      </c>
      <c r="J3076" t="s">
        <v>115</v>
      </c>
      <c r="K3076">
        <v>0</v>
      </c>
      <c r="L3076">
        <v>3</v>
      </c>
      <c r="M3076">
        <v>0</v>
      </c>
      <c r="N3076">
        <v>2</v>
      </c>
      <c r="O3076">
        <v>0</v>
      </c>
      <c r="P3076">
        <v>1</v>
      </c>
      <c r="Q3076">
        <v>0</v>
      </c>
      <c r="S3076" t="str">
        <f t="shared" si="919"/>
        <v>22:23:05.000</v>
      </c>
      <c r="T3076" t="str">
        <f t="shared" si="919"/>
        <v>22:23:05.000</v>
      </c>
      <c r="U3076" t="str">
        <f t="shared" si="918"/>
        <v>A9D71F</v>
      </c>
      <c r="V3076">
        <v>0</v>
      </c>
      <c r="W3076">
        <v>0</v>
      </c>
      <c r="X3076">
        <v>2</v>
      </c>
      <c r="Z3076">
        <v>1</v>
      </c>
      <c r="AA3076">
        <v>8</v>
      </c>
      <c r="AB3076">
        <v>3</v>
      </c>
      <c r="AC3076">
        <v>0</v>
      </c>
      <c r="AD3076">
        <v>9</v>
      </c>
      <c r="AE3076">
        <v>0</v>
      </c>
      <c r="AF3076">
        <v>3</v>
      </c>
      <c r="AG3076">
        <v>1</v>
      </c>
      <c r="AH3076">
        <v>0</v>
      </c>
      <c r="AI3076" t="s">
        <v>1515</v>
      </c>
      <c r="AJ3076">
        <v>32.971944999999998</v>
      </c>
      <c r="AK3076" t="s">
        <v>1447</v>
      </c>
      <c r="AL3076">
        <v>-97.667298000000002</v>
      </c>
      <c r="AM3076">
        <v>25</v>
      </c>
      <c r="AN3076">
        <v>1100</v>
      </c>
      <c r="AO3076" t="s">
        <v>118</v>
      </c>
      <c r="AP3076">
        <v>18</v>
      </c>
      <c r="AQ3076">
        <v>-70</v>
      </c>
      <c r="AR3076">
        <v>0</v>
      </c>
      <c r="AZ3076">
        <v>7700</v>
      </c>
      <c r="BA3076">
        <v>1</v>
      </c>
      <c r="BB3076" t="str">
        <f t="shared" si="906"/>
        <v xml:space="preserve">N733KP  </v>
      </c>
      <c r="BC3076">
        <v>1</v>
      </c>
      <c r="BE3076">
        <v>0</v>
      </c>
      <c r="BF3076">
        <v>0</v>
      </c>
      <c r="BG3076">
        <v>1</v>
      </c>
      <c r="BH3076">
        <v>1025</v>
      </c>
      <c r="BI3076">
        <v>1</v>
      </c>
      <c r="BJ3076">
        <v>1</v>
      </c>
      <c r="BK3076">
        <v>0</v>
      </c>
      <c r="BL3076">
        <v>0</v>
      </c>
      <c r="BO3076">
        <v>0</v>
      </c>
      <c r="BP3076">
        <v>0</v>
      </c>
      <c r="BW3076" t="str">
        <f>"22:23:05.963"</f>
        <v>22:23:05.963</v>
      </c>
      <c r="CJ3076">
        <v>0</v>
      </c>
      <c r="CK3076">
        <v>2</v>
      </c>
      <c r="CL3076">
        <v>0</v>
      </c>
      <c r="CM3076">
        <v>2</v>
      </c>
      <c r="CN3076">
        <v>0</v>
      </c>
      <c r="CO3076">
        <v>4</v>
      </c>
      <c r="CP3076" t="s">
        <v>119</v>
      </c>
      <c r="CQ3076">
        <v>364</v>
      </c>
      <c r="CR3076">
        <v>0</v>
      </c>
      <c r="CW3076">
        <v>1485479</v>
      </c>
      <c r="CY3076">
        <v>1</v>
      </c>
      <c r="CZ3076">
        <v>0</v>
      </c>
      <c r="DA3076">
        <v>1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3">
      <c r="A3077" t="str">
        <f>"03/24/2022 22:23:06.206"</f>
        <v>03/24/2022 22:23:06.206</v>
      </c>
      <c r="C3077" t="str">
        <f t="shared" si="905"/>
        <v>FFDFD3C0</v>
      </c>
      <c r="D3077" t="s">
        <v>123</v>
      </c>
      <c r="E3077">
        <v>8</v>
      </c>
      <c r="H3077">
        <v>31</v>
      </c>
      <c r="I3077" t="s">
        <v>124</v>
      </c>
      <c r="J3077" t="s">
        <v>125</v>
      </c>
      <c r="K3077">
        <v>0</v>
      </c>
      <c r="L3077">
        <v>3</v>
      </c>
      <c r="M3077">
        <v>0</v>
      </c>
      <c r="N3077">
        <v>2</v>
      </c>
      <c r="O3077">
        <v>0</v>
      </c>
      <c r="P3077">
        <v>1</v>
      </c>
      <c r="Q3077">
        <v>0</v>
      </c>
      <c r="S3077" t="str">
        <f t="shared" si="919"/>
        <v>22:23:05.000</v>
      </c>
      <c r="T3077" t="str">
        <f t="shared" si="919"/>
        <v>22:23:05.000</v>
      </c>
      <c r="U3077" t="str">
        <f t="shared" si="918"/>
        <v>A9D71F</v>
      </c>
      <c r="V3077">
        <v>0</v>
      </c>
      <c r="W3077">
        <v>0</v>
      </c>
      <c r="X3077">
        <v>2</v>
      </c>
      <c r="Z3077">
        <v>1</v>
      </c>
      <c r="AA3077">
        <v>8</v>
      </c>
      <c r="AB3077">
        <v>3</v>
      </c>
      <c r="AC3077">
        <v>0</v>
      </c>
      <c r="AD3077">
        <v>9</v>
      </c>
      <c r="AE3077">
        <v>0</v>
      </c>
      <c r="AF3077">
        <v>3</v>
      </c>
      <c r="AG3077">
        <v>1</v>
      </c>
      <c r="AH3077">
        <v>0</v>
      </c>
      <c r="AI3077" t="s">
        <v>1515</v>
      </c>
      <c r="AJ3077">
        <v>32.971944999999998</v>
      </c>
      <c r="AK3077" t="s">
        <v>1447</v>
      </c>
      <c r="AL3077">
        <v>-97.667298000000002</v>
      </c>
      <c r="AM3077">
        <v>25</v>
      </c>
      <c r="AN3077">
        <v>1100</v>
      </c>
      <c r="AO3077" t="s">
        <v>118</v>
      </c>
      <c r="AP3077">
        <v>18</v>
      </c>
      <c r="AQ3077">
        <v>-70</v>
      </c>
      <c r="AR3077">
        <v>0</v>
      </c>
      <c r="AZ3077">
        <v>7700</v>
      </c>
      <c r="BA3077">
        <v>1</v>
      </c>
      <c r="BB3077" t="str">
        <f t="shared" si="906"/>
        <v xml:space="preserve">N733KP  </v>
      </c>
      <c r="BC3077">
        <v>1</v>
      </c>
      <c r="BE3077">
        <v>0</v>
      </c>
      <c r="BF3077">
        <v>0</v>
      </c>
      <c r="BG3077">
        <v>1</v>
      </c>
      <c r="BH3077">
        <v>1025</v>
      </c>
      <c r="BI3077">
        <v>1</v>
      </c>
      <c r="BJ3077">
        <v>1</v>
      </c>
      <c r="BK3077">
        <v>0</v>
      </c>
      <c r="BL3077">
        <v>0</v>
      </c>
      <c r="BO3077">
        <v>0</v>
      </c>
      <c r="BP3077">
        <v>0</v>
      </c>
      <c r="BW3077" t="str">
        <f>"22:23:05.963"</f>
        <v>22:23:05.963</v>
      </c>
      <c r="CJ3077">
        <v>0</v>
      </c>
      <c r="CK3077">
        <v>2</v>
      </c>
      <c r="CL3077">
        <v>0</v>
      </c>
      <c r="CM3077">
        <v>2</v>
      </c>
      <c r="CN3077">
        <v>0</v>
      </c>
      <c r="CO3077">
        <v>4</v>
      </c>
      <c r="CP3077" t="s">
        <v>119</v>
      </c>
      <c r="CQ3077">
        <v>364</v>
      </c>
      <c r="CR3077">
        <v>0</v>
      </c>
      <c r="CW3077">
        <v>1485479</v>
      </c>
      <c r="CY3077">
        <v>1</v>
      </c>
      <c r="CZ3077">
        <v>0</v>
      </c>
      <c r="DA3077">
        <v>1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3">
      <c r="A3078" t="str">
        <f>"03/24/2022 22:23:06.206"</f>
        <v>03/24/2022 22:23:06.206</v>
      </c>
      <c r="C3078" t="str">
        <f t="shared" si="905"/>
        <v>FFDFD3C0</v>
      </c>
      <c r="D3078" t="s">
        <v>120</v>
      </c>
      <c r="E3078">
        <v>14</v>
      </c>
      <c r="F3078">
        <v>1014</v>
      </c>
      <c r="G3078" t="s">
        <v>121</v>
      </c>
      <c r="J3078" t="s">
        <v>122</v>
      </c>
      <c r="K3078">
        <v>0</v>
      </c>
      <c r="L3078">
        <v>3</v>
      </c>
      <c r="M3078">
        <v>0</v>
      </c>
      <c r="N3078">
        <v>2</v>
      </c>
      <c r="O3078">
        <v>0</v>
      </c>
      <c r="P3078">
        <v>1</v>
      </c>
      <c r="Q3078">
        <v>0</v>
      </c>
      <c r="S3078" t="str">
        <f t="shared" si="919"/>
        <v>22:23:05.000</v>
      </c>
      <c r="T3078" t="str">
        <f t="shared" si="919"/>
        <v>22:23:05.000</v>
      </c>
      <c r="U3078" t="str">
        <f t="shared" si="918"/>
        <v>A9D71F</v>
      </c>
      <c r="V3078">
        <v>0</v>
      </c>
      <c r="W3078">
        <v>0</v>
      </c>
      <c r="X3078">
        <v>2</v>
      </c>
      <c r="Z3078">
        <v>1</v>
      </c>
      <c r="AA3078">
        <v>8</v>
      </c>
      <c r="AB3078">
        <v>3</v>
      </c>
      <c r="AC3078">
        <v>0</v>
      </c>
      <c r="AD3078">
        <v>9</v>
      </c>
      <c r="AE3078">
        <v>0</v>
      </c>
      <c r="AF3078">
        <v>3</v>
      </c>
      <c r="AG3078">
        <v>1</v>
      </c>
      <c r="AH3078">
        <v>0</v>
      </c>
      <c r="AI3078" t="s">
        <v>1515</v>
      </c>
      <c r="AJ3078">
        <v>32.971944999999998</v>
      </c>
      <c r="AK3078" t="s">
        <v>1447</v>
      </c>
      <c r="AL3078">
        <v>-97.667298000000002</v>
      </c>
      <c r="AM3078">
        <v>25</v>
      </c>
      <c r="AN3078">
        <v>1100</v>
      </c>
      <c r="AO3078" t="s">
        <v>118</v>
      </c>
      <c r="AP3078">
        <v>18</v>
      </c>
      <c r="AQ3078">
        <v>-70</v>
      </c>
      <c r="AR3078">
        <v>0</v>
      </c>
      <c r="AZ3078">
        <v>7700</v>
      </c>
      <c r="BA3078">
        <v>1</v>
      </c>
      <c r="BB3078" t="str">
        <f t="shared" si="906"/>
        <v xml:space="preserve">N733KP  </v>
      </c>
      <c r="BC3078">
        <v>1</v>
      </c>
      <c r="BE3078">
        <v>0</v>
      </c>
      <c r="BF3078">
        <v>0</v>
      </c>
      <c r="BG3078">
        <v>1</v>
      </c>
      <c r="BH3078">
        <v>1025</v>
      </c>
      <c r="BI3078">
        <v>1</v>
      </c>
      <c r="BJ3078">
        <v>1</v>
      </c>
      <c r="BK3078">
        <v>0</v>
      </c>
      <c r="BL3078">
        <v>0</v>
      </c>
      <c r="BO3078">
        <v>0</v>
      </c>
      <c r="BP3078">
        <v>0</v>
      </c>
      <c r="BW3078" t="str">
        <f>"22:23:05.963"</f>
        <v>22:23:05.963</v>
      </c>
      <c r="CJ3078">
        <v>0</v>
      </c>
      <c r="CK3078">
        <v>2</v>
      </c>
      <c r="CL3078">
        <v>0</v>
      </c>
      <c r="CM3078">
        <v>2</v>
      </c>
      <c r="CN3078">
        <v>0</v>
      </c>
      <c r="CO3078">
        <v>4</v>
      </c>
      <c r="CP3078" t="s">
        <v>119</v>
      </c>
      <c r="CQ3078">
        <v>364</v>
      </c>
      <c r="CR3078">
        <v>0</v>
      </c>
      <c r="CW3078">
        <v>1485479</v>
      </c>
      <c r="CY3078">
        <v>1</v>
      </c>
      <c r="CZ3078">
        <v>0</v>
      </c>
      <c r="DA3078">
        <v>1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3">
      <c r="A3079" t="str">
        <f>"03/24/2022 22:23:07.143"</f>
        <v>03/24/2022 22:23:07.143</v>
      </c>
      <c r="C3079" t="str">
        <f t="shared" si="905"/>
        <v>FFDFD3C0</v>
      </c>
      <c r="D3079" t="s">
        <v>113</v>
      </c>
      <c r="E3079">
        <v>24</v>
      </c>
      <c r="F3079">
        <v>2024</v>
      </c>
      <c r="G3079" t="s">
        <v>114</v>
      </c>
      <c r="J3079" t="s">
        <v>115</v>
      </c>
      <c r="K3079">
        <v>0</v>
      </c>
      <c r="L3079">
        <v>3</v>
      </c>
      <c r="M3079">
        <v>0</v>
      </c>
      <c r="N3079">
        <v>2</v>
      </c>
      <c r="O3079">
        <v>0</v>
      </c>
      <c r="P3079">
        <v>1</v>
      </c>
      <c r="Q3079">
        <v>0</v>
      </c>
      <c r="S3079" t="str">
        <f t="shared" ref="S3079:T3082" si="920">"22:23:06.000"</f>
        <v>22:23:06.000</v>
      </c>
      <c r="T3079" t="str">
        <f t="shared" si="920"/>
        <v>22:23:06.000</v>
      </c>
      <c r="U3079" t="str">
        <f t="shared" si="918"/>
        <v>A9D71F</v>
      </c>
      <c r="V3079">
        <v>0</v>
      </c>
      <c r="W3079">
        <v>0</v>
      </c>
      <c r="X3079">
        <v>2</v>
      </c>
      <c r="Z3079">
        <v>1</v>
      </c>
      <c r="AA3079">
        <v>8</v>
      </c>
      <c r="AB3079">
        <v>3</v>
      </c>
      <c r="AC3079">
        <v>0</v>
      </c>
      <c r="AD3079">
        <v>9</v>
      </c>
      <c r="AE3079">
        <v>0</v>
      </c>
      <c r="AF3079">
        <v>3</v>
      </c>
      <c r="AG3079">
        <v>1</v>
      </c>
      <c r="AH3079">
        <v>0</v>
      </c>
      <c r="AI3079" t="s">
        <v>1516</v>
      </c>
      <c r="AJ3079">
        <v>32.971623000000001</v>
      </c>
      <c r="AK3079" t="s">
        <v>1445</v>
      </c>
      <c r="AL3079">
        <v>-97.667212000000006</v>
      </c>
      <c r="AM3079">
        <v>25</v>
      </c>
      <c r="AN3079">
        <v>1100</v>
      </c>
      <c r="AO3079" t="s">
        <v>118</v>
      </c>
      <c r="AP3079">
        <v>20</v>
      </c>
      <c r="AQ3079">
        <v>-69</v>
      </c>
      <c r="AR3079">
        <v>0</v>
      </c>
      <c r="AZ3079">
        <v>7700</v>
      </c>
      <c r="BA3079">
        <v>1</v>
      </c>
      <c r="BB3079" t="str">
        <f t="shared" si="906"/>
        <v xml:space="preserve">N733KP  </v>
      </c>
      <c r="BC3079">
        <v>1</v>
      </c>
      <c r="BE3079">
        <v>0</v>
      </c>
      <c r="BF3079">
        <v>0</v>
      </c>
      <c r="BG3079">
        <v>1</v>
      </c>
      <c r="BH3079">
        <v>1000</v>
      </c>
      <c r="BI3079">
        <v>1</v>
      </c>
      <c r="BJ3079">
        <v>1</v>
      </c>
      <c r="BK3079">
        <v>0</v>
      </c>
      <c r="BL3079">
        <v>0</v>
      </c>
      <c r="BO3079">
        <v>0</v>
      </c>
      <c r="BP3079">
        <v>0</v>
      </c>
      <c r="BW3079" t="str">
        <f>"22:23:06.910"</f>
        <v>22:23:06.910</v>
      </c>
      <c r="CJ3079">
        <v>0</v>
      </c>
      <c r="CK3079">
        <v>2</v>
      </c>
      <c r="CL3079">
        <v>0</v>
      </c>
      <c r="CM3079">
        <v>2</v>
      </c>
      <c r="CN3079">
        <v>0</v>
      </c>
      <c r="CO3079">
        <v>5</v>
      </c>
      <c r="CP3079" t="s">
        <v>119</v>
      </c>
      <c r="CQ3079">
        <v>364</v>
      </c>
      <c r="CR3079">
        <v>0</v>
      </c>
      <c r="CW3079">
        <v>1485599</v>
      </c>
      <c r="CY3079">
        <v>1</v>
      </c>
      <c r="CZ3079">
        <v>0</v>
      </c>
      <c r="DA3079">
        <v>0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3">
      <c r="A3080" t="str">
        <f>"03/24/2022 22:23:07.143"</f>
        <v>03/24/2022 22:23:07.143</v>
      </c>
      <c r="C3080" t="str">
        <f t="shared" si="905"/>
        <v>FFDFD3C0</v>
      </c>
      <c r="D3080" t="s">
        <v>123</v>
      </c>
      <c r="E3080">
        <v>8</v>
      </c>
      <c r="H3080">
        <v>31</v>
      </c>
      <c r="I3080" t="s">
        <v>124</v>
      </c>
      <c r="J3080" t="s">
        <v>125</v>
      </c>
      <c r="K3080">
        <v>0</v>
      </c>
      <c r="L3080">
        <v>3</v>
      </c>
      <c r="M3080">
        <v>0</v>
      </c>
      <c r="N3080">
        <v>2</v>
      </c>
      <c r="O3080">
        <v>0</v>
      </c>
      <c r="P3080">
        <v>1</v>
      </c>
      <c r="Q3080">
        <v>0</v>
      </c>
      <c r="S3080" t="str">
        <f t="shared" si="920"/>
        <v>22:23:06.000</v>
      </c>
      <c r="T3080" t="str">
        <f t="shared" si="920"/>
        <v>22:23:06.000</v>
      </c>
      <c r="U3080" t="str">
        <f t="shared" si="918"/>
        <v>A9D71F</v>
      </c>
      <c r="V3080">
        <v>0</v>
      </c>
      <c r="W3080">
        <v>0</v>
      </c>
      <c r="X3080">
        <v>2</v>
      </c>
      <c r="Z3080">
        <v>1</v>
      </c>
      <c r="AA3080">
        <v>8</v>
      </c>
      <c r="AB3080">
        <v>3</v>
      </c>
      <c r="AC3080">
        <v>0</v>
      </c>
      <c r="AD3080">
        <v>9</v>
      </c>
      <c r="AE3080">
        <v>0</v>
      </c>
      <c r="AF3080">
        <v>3</v>
      </c>
      <c r="AG3080">
        <v>1</v>
      </c>
      <c r="AH3080">
        <v>0</v>
      </c>
      <c r="AI3080" t="s">
        <v>1516</v>
      </c>
      <c r="AJ3080">
        <v>32.971623000000001</v>
      </c>
      <c r="AK3080" t="s">
        <v>1445</v>
      </c>
      <c r="AL3080">
        <v>-97.667212000000006</v>
      </c>
      <c r="AM3080">
        <v>25</v>
      </c>
      <c r="AN3080">
        <v>1100</v>
      </c>
      <c r="AO3080" t="s">
        <v>118</v>
      </c>
      <c r="AP3080">
        <v>20</v>
      </c>
      <c r="AQ3080">
        <v>-69</v>
      </c>
      <c r="AR3080">
        <v>0</v>
      </c>
      <c r="AZ3080">
        <v>7700</v>
      </c>
      <c r="BA3080">
        <v>1</v>
      </c>
      <c r="BB3080" t="str">
        <f t="shared" si="906"/>
        <v xml:space="preserve">N733KP  </v>
      </c>
      <c r="BC3080">
        <v>1</v>
      </c>
      <c r="BE3080">
        <v>0</v>
      </c>
      <c r="BF3080">
        <v>0</v>
      </c>
      <c r="BG3080">
        <v>1</v>
      </c>
      <c r="BH3080">
        <v>1000</v>
      </c>
      <c r="BI3080">
        <v>1</v>
      </c>
      <c r="BJ3080">
        <v>1</v>
      </c>
      <c r="BK3080">
        <v>0</v>
      </c>
      <c r="BL3080">
        <v>0</v>
      </c>
      <c r="BO3080">
        <v>0</v>
      </c>
      <c r="BP3080">
        <v>0</v>
      </c>
      <c r="BW3080" t="str">
        <f>"22:23:06.910"</f>
        <v>22:23:06.910</v>
      </c>
      <c r="CJ3080">
        <v>0</v>
      </c>
      <c r="CK3080">
        <v>2</v>
      </c>
      <c r="CL3080">
        <v>0</v>
      </c>
      <c r="CM3080">
        <v>2</v>
      </c>
      <c r="CN3080">
        <v>0</v>
      </c>
      <c r="CO3080">
        <v>5</v>
      </c>
      <c r="CP3080" t="s">
        <v>119</v>
      </c>
      <c r="CQ3080">
        <v>364</v>
      </c>
      <c r="CR3080">
        <v>0</v>
      </c>
      <c r="CW3080">
        <v>1485599</v>
      </c>
      <c r="CY3080">
        <v>1</v>
      </c>
      <c r="CZ3080">
        <v>0</v>
      </c>
      <c r="DA3080">
        <v>1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3">
      <c r="A3081" t="str">
        <f>"03/24/2022 22:23:07.143"</f>
        <v>03/24/2022 22:23:07.143</v>
      </c>
      <c r="C3081" t="str">
        <f t="shared" si="905"/>
        <v>FFDFD3C0</v>
      </c>
      <c r="D3081" t="s">
        <v>120</v>
      </c>
      <c r="E3081">
        <v>14</v>
      </c>
      <c r="F3081">
        <v>1014</v>
      </c>
      <c r="G3081" t="s">
        <v>121</v>
      </c>
      <c r="J3081" t="s">
        <v>122</v>
      </c>
      <c r="K3081">
        <v>0</v>
      </c>
      <c r="L3081">
        <v>3</v>
      </c>
      <c r="M3081">
        <v>0</v>
      </c>
      <c r="N3081">
        <v>2</v>
      </c>
      <c r="O3081">
        <v>0</v>
      </c>
      <c r="P3081">
        <v>1</v>
      </c>
      <c r="Q3081">
        <v>0</v>
      </c>
      <c r="S3081" t="str">
        <f t="shared" si="920"/>
        <v>22:23:06.000</v>
      </c>
      <c r="T3081" t="str">
        <f t="shared" si="920"/>
        <v>22:23:06.000</v>
      </c>
      <c r="U3081" t="str">
        <f t="shared" si="918"/>
        <v>A9D71F</v>
      </c>
      <c r="V3081">
        <v>0</v>
      </c>
      <c r="W3081">
        <v>0</v>
      </c>
      <c r="X3081">
        <v>2</v>
      </c>
      <c r="Z3081">
        <v>1</v>
      </c>
      <c r="AA3081">
        <v>8</v>
      </c>
      <c r="AB3081">
        <v>3</v>
      </c>
      <c r="AC3081">
        <v>0</v>
      </c>
      <c r="AD3081">
        <v>9</v>
      </c>
      <c r="AE3081">
        <v>0</v>
      </c>
      <c r="AF3081">
        <v>3</v>
      </c>
      <c r="AG3081">
        <v>1</v>
      </c>
      <c r="AH3081">
        <v>0</v>
      </c>
      <c r="AI3081" t="s">
        <v>1516</v>
      </c>
      <c r="AJ3081">
        <v>32.971623000000001</v>
      </c>
      <c r="AK3081" t="s">
        <v>1445</v>
      </c>
      <c r="AL3081">
        <v>-97.667212000000006</v>
      </c>
      <c r="AM3081">
        <v>25</v>
      </c>
      <c r="AN3081">
        <v>1100</v>
      </c>
      <c r="AO3081" t="s">
        <v>118</v>
      </c>
      <c r="AP3081">
        <v>20</v>
      </c>
      <c r="AQ3081">
        <v>-69</v>
      </c>
      <c r="AR3081">
        <v>0</v>
      </c>
      <c r="AZ3081">
        <v>7700</v>
      </c>
      <c r="BA3081">
        <v>1</v>
      </c>
      <c r="BB3081" t="str">
        <f t="shared" si="906"/>
        <v xml:space="preserve">N733KP  </v>
      </c>
      <c r="BC3081">
        <v>1</v>
      </c>
      <c r="BE3081">
        <v>0</v>
      </c>
      <c r="BF3081">
        <v>0</v>
      </c>
      <c r="BG3081">
        <v>1</v>
      </c>
      <c r="BH3081">
        <v>1000</v>
      </c>
      <c r="BI3081">
        <v>1</v>
      </c>
      <c r="BJ3081">
        <v>1</v>
      </c>
      <c r="BK3081">
        <v>0</v>
      </c>
      <c r="BL3081">
        <v>0</v>
      </c>
      <c r="BO3081">
        <v>0</v>
      </c>
      <c r="BP3081">
        <v>0</v>
      </c>
      <c r="BW3081" t="str">
        <f>"22:23:06.910"</f>
        <v>22:23:06.910</v>
      </c>
      <c r="CJ3081">
        <v>0</v>
      </c>
      <c r="CK3081">
        <v>2</v>
      </c>
      <c r="CL3081">
        <v>0</v>
      </c>
      <c r="CM3081">
        <v>2</v>
      </c>
      <c r="CN3081">
        <v>0</v>
      </c>
      <c r="CO3081">
        <v>5</v>
      </c>
      <c r="CP3081" t="s">
        <v>119</v>
      </c>
      <c r="CQ3081">
        <v>364</v>
      </c>
      <c r="CR3081">
        <v>0</v>
      </c>
      <c r="CW3081">
        <v>1485599</v>
      </c>
      <c r="CY3081">
        <v>1</v>
      </c>
      <c r="CZ3081">
        <v>0</v>
      </c>
      <c r="DA3081">
        <v>1</v>
      </c>
      <c r="DB3081">
        <v>0</v>
      </c>
      <c r="DC3081">
        <v>0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3">
      <c r="A3082" t="str">
        <f>"03/24/2022 22:23:07.190"</f>
        <v>03/24/2022 22:23:07.190</v>
      </c>
      <c r="C3082" t="str">
        <f t="shared" si="905"/>
        <v>FFDFD3C0</v>
      </c>
      <c r="D3082" t="s">
        <v>126</v>
      </c>
      <c r="E3082">
        <v>3</v>
      </c>
      <c r="H3082">
        <v>160</v>
      </c>
      <c r="I3082" t="s">
        <v>121</v>
      </c>
      <c r="J3082" t="s">
        <v>127</v>
      </c>
      <c r="K3082">
        <v>0</v>
      </c>
      <c r="L3082">
        <v>3</v>
      </c>
      <c r="M3082">
        <v>0</v>
      </c>
      <c r="N3082">
        <v>2</v>
      </c>
      <c r="O3082">
        <v>0</v>
      </c>
      <c r="P3082">
        <v>1</v>
      </c>
      <c r="Q3082">
        <v>0</v>
      </c>
      <c r="S3082" t="str">
        <f t="shared" si="920"/>
        <v>22:23:06.000</v>
      </c>
      <c r="T3082" t="str">
        <f t="shared" si="920"/>
        <v>22:23:06.000</v>
      </c>
      <c r="U3082" t="str">
        <f t="shared" si="918"/>
        <v>A9D71F</v>
      </c>
      <c r="V3082">
        <v>0</v>
      </c>
      <c r="W3082">
        <v>0</v>
      </c>
      <c r="X3082">
        <v>2</v>
      </c>
      <c r="Z3082">
        <v>1</v>
      </c>
      <c r="AA3082">
        <v>8</v>
      </c>
      <c r="AB3082">
        <v>3</v>
      </c>
      <c r="AC3082">
        <v>0</v>
      </c>
      <c r="AD3082">
        <v>9</v>
      </c>
      <c r="AE3082">
        <v>0</v>
      </c>
      <c r="AF3082">
        <v>3</v>
      </c>
      <c r="AG3082">
        <v>1</v>
      </c>
      <c r="AH3082">
        <v>0</v>
      </c>
      <c r="AI3082" t="s">
        <v>1516</v>
      </c>
      <c r="AJ3082">
        <v>32.971623000000001</v>
      </c>
      <c r="AK3082" t="s">
        <v>1445</v>
      </c>
      <c r="AL3082">
        <v>-97.667212000000006</v>
      </c>
      <c r="AM3082">
        <v>25</v>
      </c>
      <c r="AN3082">
        <v>1100</v>
      </c>
      <c r="AO3082" t="s">
        <v>118</v>
      </c>
      <c r="AP3082">
        <v>20</v>
      </c>
      <c r="AQ3082">
        <v>-69</v>
      </c>
      <c r="AR3082">
        <v>0</v>
      </c>
      <c r="AZ3082">
        <v>7700</v>
      </c>
      <c r="BA3082">
        <v>1</v>
      </c>
      <c r="BB3082" t="str">
        <f t="shared" si="906"/>
        <v xml:space="preserve">N733KP  </v>
      </c>
      <c r="BC3082">
        <v>1</v>
      </c>
      <c r="BE3082">
        <v>0</v>
      </c>
      <c r="BF3082">
        <v>0</v>
      </c>
      <c r="BG3082">
        <v>1</v>
      </c>
      <c r="BH3082">
        <v>1000</v>
      </c>
      <c r="BI3082">
        <v>1</v>
      </c>
      <c r="BJ3082">
        <v>1</v>
      </c>
      <c r="BK3082">
        <v>0</v>
      </c>
      <c r="BL3082">
        <v>0</v>
      </c>
      <c r="BO3082">
        <v>0</v>
      </c>
      <c r="BP3082">
        <v>0</v>
      </c>
      <c r="BW3082" t="str">
        <f>"22:23:06.910"</f>
        <v>22:23:06.910</v>
      </c>
      <c r="CJ3082">
        <v>0</v>
      </c>
      <c r="CK3082">
        <v>2</v>
      </c>
      <c r="CL3082">
        <v>0</v>
      </c>
      <c r="CM3082">
        <v>2</v>
      </c>
      <c r="CN3082">
        <v>0</v>
      </c>
      <c r="CO3082">
        <v>5</v>
      </c>
      <c r="CP3082" t="s">
        <v>119</v>
      </c>
      <c r="CQ3082">
        <v>364</v>
      </c>
      <c r="CR3082">
        <v>0</v>
      </c>
      <c r="CW3082">
        <v>1485599</v>
      </c>
      <c r="CY3082">
        <v>1</v>
      </c>
      <c r="CZ3082">
        <v>0</v>
      </c>
      <c r="DA3082">
        <v>1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3">
      <c r="A3083" t="str">
        <f>"03/24/2022 22:23:08.160"</f>
        <v>03/24/2022 22:23:08.160</v>
      </c>
      <c r="C3083" t="str">
        <f t="shared" si="905"/>
        <v>FFDFD3C0</v>
      </c>
      <c r="D3083" t="s">
        <v>126</v>
      </c>
      <c r="E3083">
        <v>3</v>
      </c>
      <c r="H3083">
        <v>160</v>
      </c>
      <c r="I3083" t="s">
        <v>121</v>
      </c>
      <c r="J3083" t="s">
        <v>127</v>
      </c>
      <c r="K3083">
        <v>0</v>
      </c>
      <c r="L3083">
        <v>3</v>
      </c>
      <c r="M3083">
        <v>0</v>
      </c>
      <c r="N3083">
        <v>2</v>
      </c>
      <c r="O3083">
        <v>0</v>
      </c>
      <c r="P3083">
        <v>1</v>
      </c>
      <c r="Q3083">
        <v>0</v>
      </c>
      <c r="S3083" t="str">
        <f t="shared" ref="S3083:T3086" si="921">"22:23:07.000"</f>
        <v>22:23:07.000</v>
      </c>
      <c r="T3083" t="str">
        <f t="shared" si="921"/>
        <v>22:23:07.000</v>
      </c>
      <c r="U3083" t="str">
        <f t="shared" si="918"/>
        <v>A9D71F</v>
      </c>
      <c r="V3083">
        <v>0</v>
      </c>
      <c r="W3083">
        <v>0</v>
      </c>
      <c r="X3083">
        <v>2</v>
      </c>
      <c r="Z3083">
        <v>1</v>
      </c>
      <c r="AA3083">
        <v>8</v>
      </c>
      <c r="AB3083">
        <v>3</v>
      </c>
      <c r="AC3083">
        <v>0</v>
      </c>
      <c r="AD3083">
        <v>9</v>
      </c>
      <c r="AE3083">
        <v>0</v>
      </c>
      <c r="AF3083">
        <v>3</v>
      </c>
      <c r="AG3083">
        <v>1</v>
      </c>
      <c r="AH3083">
        <v>0</v>
      </c>
      <c r="AI3083" t="s">
        <v>1517</v>
      </c>
      <c r="AJ3083">
        <v>32.971300999999997</v>
      </c>
      <c r="AK3083" t="s">
        <v>1518</v>
      </c>
      <c r="AL3083">
        <v>-97.667105000000006</v>
      </c>
      <c r="AM3083">
        <v>25</v>
      </c>
      <c r="AN3083">
        <v>1000</v>
      </c>
      <c r="AO3083" t="s">
        <v>118</v>
      </c>
      <c r="AP3083">
        <v>22</v>
      </c>
      <c r="AQ3083">
        <v>-68</v>
      </c>
      <c r="AR3083">
        <v>-192</v>
      </c>
      <c r="AZ3083">
        <v>7700</v>
      </c>
      <c r="BA3083">
        <v>1</v>
      </c>
      <c r="BB3083" t="str">
        <f t="shared" si="906"/>
        <v xml:space="preserve">N733KP  </v>
      </c>
      <c r="BC3083">
        <v>1</v>
      </c>
      <c r="BE3083">
        <v>0</v>
      </c>
      <c r="BF3083">
        <v>0</v>
      </c>
      <c r="BG3083">
        <v>1</v>
      </c>
      <c r="BH3083">
        <v>1000</v>
      </c>
      <c r="BI3083">
        <v>1</v>
      </c>
      <c r="BJ3083">
        <v>1</v>
      </c>
      <c r="BK3083">
        <v>0</v>
      </c>
      <c r="BL3083">
        <v>0</v>
      </c>
      <c r="BO3083">
        <v>0</v>
      </c>
      <c r="BP3083">
        <v>0</v>
      </c>
      <c r="BW3083" t="str">
        <f>"22:23:07.894"</f>
        <v>22:23:07.894</v>
      </c>
      <c r="CJ3083">
        <v>0</v>
      </c>
      <c r="CK3083">
        <v>2</v>
      </c>
      <c r="CL3083">
        <v>0</v>
      </c>
      <c r="CM3083">
        <v>2</v>
      </c>
      <c r="CN3083">
        <v>0</v>
      </c>
      <c r="CO3083">
        <v>5</v>
      </c>
      <c r="CP3083" t="s">
        <v>119</v>
      </c>
      <c r="CQ3083">
        <v>364</v>
      </c>
      <c r="CR3083">
        <v>0</v>
      </c>
      <c r="CW3083">
        <v>1485741</v>
      </c>
      <c r="CY3083">
        <v>1</v>
      </c>
      <c r="CZ3083">
        <v>0</v>
      </c>
      <c r="DA3083">
        <v>0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3">
      <c r="A3084" t="str">
        <f>"03/24/2022 22:23:08.176"</f>
        <v>03/24/2022 22:23:08.176</v>
      </c>
      <c r="C3084" t="str">
        <f t="shared" si="905"/>
        <v>FFDFD3C0</v>
      </c>
      <c r="D3084" t="s">
        <v>123</v>
      </c>
      <c r="E3084">
        <v>8</v>
      </c>
      <c r="H3084">
        <v>31</v>
      </c>
      <c r="I3084" t="s">
        <v>124</v>
      </c>
      <c r="J3084" t="s">
        <v>125</v>
      </c>
      <c r="K3084">
        <v>0</v>
      </c>
      <c r="L3084">
        <v>3</v>
      </c>
      <c r="M3084">
        <v>0</v>
      </c>
      <c r="N3084">
        <v>2</v>
      </c>
      <c r="O3084">
        <v>0</v>
      </c>
      <c r="P3084">
        <v>1</v>
      </c>
      <c r="Q3084">
        <v>0</v>
      </c>
      <c r="S3084" t="str">
        <f t="shared" si="921"/>
        <v>22:23:07.000</v>
      </c>
      <c r="T3084" t="str">
        <f t="shared" si="921"/>
        <v>22:23:07.000</v>
      </c>
      <c r="U3084" t="str">
        <f t="shared" si="918"/>
        <v>A9D71F</v>
      </c>
      <c r="V3084">
        <v>0</v>
      </c>
      <c r="W3084">
        <v>0</v>
      </c>
      <c r="X3084">
        <v>2</v>
      </c>
      <c r="Z3084">
        <v>1</v>
      </c>
      <c r="AA3084">
        <v>8</v>
      </c>
      <c r="AB3084">
        <v>3</v>
      </c>
      <c r="AC3084">
        <v>0</v>
      </c>
      <c r="AD3084">
        <v>9</v>
      </c>
      <c r="AE3084">
        <v>0</v>
      </c>
      <c r="AF3084">
        <v>3</v>
      </c>
      <c r="AG3084">
        <v>1</v>
      </c>
      <c r="AH3084">
        <v>0</v>
      </c>
      <c r="AI3084" t="s">
        <v>1517</v>
      </c>
      <c r="AJ3084">
        <v>32.971300999999997</v>
      </c>
      <c r="AK3084" t="s">
        <v>1518</v>
      </c>
      <c r="AL3084">
        <v>-97.667105000000006</v>
      </c>
      <c r="AM3084">
        <v>25</v>
      </c>
      <c r="AN3084">
        <v>1000</v>
      </c>
      <c r="AO3084" t="s">
        <v>118</v>
      </c>
      <c r="AP3084">
        <v>22</v>
      </c>
      <c r="AQ3084">
        <v>-68</v>
      </c>
      <c r="AR3084">
        <v>-192</v>
      </c>
      <c r="AZ3084">
        <v>7700</v>
      </c>
      <c r="BA3084">
        <v>1</v>
      </c>
      <c r="BB3084" t="str">
        <f t="shared" si="906"/>
        <v xml:space="preserve">N733KP  </v>
      </c>
      <c r="BC3084">
        <v>1</v>
      </c>
      <c r="BE3084">
        <v>0</v>
      </c>
      <c r="BF3084">
        <v>0</v>
      </c>
      <c r="BG3084">
        <v>1</v>
      </c>
      <c r="BH3084">
        <v>1000</v>
      </c>
      <c r="BI3084">
        <v>1</v>
      </c>
      <c r="BJ3084">
        <v>1</v>
      </c>
      <c r="BK3084">
        <v>0</v>
      </c>
      <c r="BL3084">
        <v>0</v>
      </c>
      <c r="BO3084">
        <v>0</v>
      </c>
      <c r="BP3084">
        <v>0</v>
      </c>
      <c r="BW3084" t="str">
        <f>"22:23:07.894"</f>
        <v>22:23:07.894</v>
      </c>
      <c r="CJ3084">
        <v>0</v>
      </c>
      <c r="CK3084">
        <v>2</v>
      </c>
      <c r="CL3084">
        <v>0</v>
      </c>
      <c r="CM3084">
        <v>2</v>
      </c>
      <c r="CN3084">
        <v>0</v>
      </c>
      <c r="CO3084">
        <v>5</v>
      </c>
      <c r="CP3084" t="s">
        <v>119</v>
      </c>
      <c r="CQ3084">
        <v>364</v>
      </c>
      <c r="CR3084">
        <v>0</v>
      </c>
      <c r="CW3084">
        <v>1485741</v>
      </c>
      <c r="CY3084">
        <v>1</v>
      </c>
      <c r="CZ3084">
        <v>0</v>
      </c>
      <c r="DA3084">
        <v>1</v>
      </c>
      <c r="DB3084">
        <v>0</v>
      </c>
      <c r="DC3084">
        <v>0</v>
      </c>
      <c r="DD3084">
        <v>0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3">
      <c r="A3085" t="str">
        <f>"03/24/2022 22:23:08.176"</f>
        <v>03/24/2022 22:23:08.176</v>
      </c>
      <c r="C3085" t="str">
        <f t="shared" si="905"/>
        <v>FFDFD3C0</v>
      </c>
      <c r="D3085" t="s">
        <v>113</v>
      </c>
      <c r="E3085">
        <v>24</v>
      </c>
      <c r="F3085">
        <v>2024</v>
      </c>
      <c r="G3085" t="s">
        <v>114</v>
      </c>
      <c r="J3085" t="s">
        <v>115</v>
      </c>
      <c r="K3085">
        <v>0</v>
      </c>
      <c r="L3085">
        <v>3</v>
      </c>
      <c r="M3085">
        <v>0</v>
      </c>
      <c r="N3085">
        <v>2</v>
      </c>
      <c r="O3085">
        <v>0</v>
      </c>
      <c r="P3085">
        <v>1</v>
      </c>
      <c r="Q3085">
        <v>0</v>
      </c>
      <c r="S3085" t="str">
        <f t="shared" si="921"/>
        <v>22:23:07.000</v>
      </c>
      <c r="T3085" t="str">
        <f t="shared" si="921"/>
        <v>22:23:07.000</v>
      </c>
      <c r="U3085" t="str">
        <f t="shared" si="918"/>
        <v>A9D71F</v>
      </c>
      <c r="V3085">
        <v>0</v>
      </c>
      <c r="W3085">
        <v>0</v>
      </c>
      <c r="X3085">
        <v>2</v>
      </c>
      <c r="Z3085">
        <v>1</v>
      </c>
      <c r="AA3085">
        <v>8</v>
      </c>
      <c r="AB3085">
        <v>3</v>
      </c>
      <c r="AC3085">
        <v>0</v>
      </c>
      <c r="AD3085">
        <v>9</v>
      </c>
      <c r="AE3085">
        <v>0</v>
      </c>
      <c r="AF3085">
        <v>3</v>
      </c>
      <c r="AG3085">
        <v>1</v>
      </c>
      <c r="AH3085">
        <v>0</v>
      </c>
      <c r="AI3085" t="s">
        <v>1517</v>
      </c>
      <c r="AJ3085">
        <v>32.971300999999997</v>
      </c>
      <c r="AK3085" t="s">
        <v>1518</v>
      </c>
      <c r="AL3085">
        <v>-97.667105000000006</v>
      </c>
      <c r="AM3085">
        <v>25</v>
      </c>
      <c r="AN3085">
        <v>1000</v>
      </c>
      <c r="AO3085" t="s">
        <v>118</v>
      </c>
      <c r="AP3085">
        <v>22</v>
      </c>
      <c r="AQ3085">
        <v>-68</v>
      </c>
      <c r="AR3085">
        <v>-192</v>
      </c>
      <c r="AZ3085">
        <v>7700</v>
      </c>
      <c r="BA3085">
        <v>1</v>
      </c>
      <c r="BB3085" t="str">
        <f t="shared" si="906"/>
        <v xml:space="preserve">N733KP  </v>
      </c>
      <c r="BC3085">
        <v>1</v>
      </c>
      <c r="BE3085">
        <v>0</v>
      </c>
      <c r="BF3085">
        <v>0</v>
      </c>
      <c r="BG3085">
        <v>1</v>
      </c>
      <c r="BH3085">
        <v>1000</v>
      </c>
      <c r="BI3085">
        <v>1</v>
      </c>
      <c r="BJ3085">
        <v>1</v>
      </c>
      <c r="BK3085">
        <v>0</v>
      </c>
      <c r="BL3085">
        <v>0</v>
      </c>
      <c r="BO3085">
        <v>0</v>
      </c>
      <c r="BP3085">
        <v>0</v>
      </c>
      <c r="BW3085" t="str">
        <f>"22:23:07.894"</f>
        <v>22:23:07.894</v>
      </c>
      <c r="CJ3085">
        <v>0</v>
      </c>
      <c r="CK3085">
        <v>2</v>
      </c>
      <c r="CL3085">
        <v>0</v>
      </c>
      <c r="CM3085">
        <v>2</v>
      </c>
      <c r="CN3085">
        <v>0</v>
      </c>
      <c r="CO3085">
        <v>5</v>
      </c>
      <c r="CP3085" t="s">
        <v>119</v>
      </c>
      <c r="CQ3085">
        <v>364</v>
      </c>
      <c r="CR3085">
        <v>0</v>
      </c>
      <c r="CW3085">
        <v>1485741</v>
      </c>
      <c r="CY3085">
        <v>1</v>
      </c>
      <c r="CZ3085">
        <v>0</v>
      </c>
      <c r="DA3085">
        <v>1</v>
      </c>
      <c r="DB3085">
        <v>0</v>
      </c>
      <c r="DC3085">
        <v>0</v>
      </c>
      <c r="DD3085">
        <v>0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3">
      <c r="A3086" t="str">
        <f>"03/24/2022 22:23:08.176"</f>
        <v>03/24/2022 22:23:08.176</v>
      </c>
      <c r="C3086" t="str">
        <f t="shared" si="905"/>
        <v>FFDFD3C0</v>
      </c>
      <c r="D3086" t="s">
        <v>120</v>
      </c>
      <c r="E3086">
        <v>14</v>
      </c>
      <c r="F3086">
        <v>1014</v>
      </c>
      <c r="G3086" t="s">
        <v>121</v>
      </c>
      <c r="J3086" t="s">
        <v>122</v>
      </c>
      <c r="K3086">
        <v>0</v>
      </c>
      <c r="L3086">
        <v>3</v>
      </c>
      <c r="M3086">
        <v>0</v>
      </c>
      <c r="N3086">
        <v>2</v>
      </c>
      <c r="O3086">
        <v>0</v>
      </c>
      <c r="P3086">
        <v>1</v>
      </c>
      <c r="Q3086">
        <v>0</v>
      </c>
      <c r="S3086" t="str">
        <f t="shared" si="921"/>
        <v>22:23:07.000</v>
      </c>
      <c r="T3086" t="str">
        <f t="shared" si="921"/>
        <v>22:23:07.000</v>
      </c>
      <c r="U3086" t="str">
        <f t="shared" si="918"/>
        <v>A9D71F</v>
      </c>
      <c r="V3086">
        <v>0</v>
      </c>
      <c r="W3086">
        <v>0</v>
      </c>
      <c r="X3086">
        <v>2</v>
      </c>
      <c r="Z3086">
        <v>1</v>
      </c>
      <c r="AA3086">
        <v>8</v>
      </c>
      <c r="AB3086">
        <v>3</v>
      </c>
      <c r="AC3086">
        <v>0</v>
      </c>
      <c r="AD3086">
        <v>9</v>
      </c>
      <c r="AE3086">
        <v>0</v>
      </c>
      <c r="AF3086">
        <v>3</v>
      </c>
      <c r="AG3086">
        <v>1</v>
      </c>
      <c r="AH3086">
        <v>0</v>
      </c>
      <c r="AI3086" t="s">
        <v>1517</v>
      </c>
      <c r="AJ3086">
        <v>32.971300999999997</v>
      </c>
      <c r="AK3086" t="s">
        <v>1518</v>
      </c>
      <c r="AL3086">
        <v>-97.667105000000006</v>
      </c>
      <c r="AM3086">
        <v>25</v>
      </c>
      <c r="AN3086">
        <v>1000</v>
      </c>
      <c r="AO3086" t="s">
        <v>118</v>
      </c>
      <c r="AP3086">
        <v>22</v>
      </c>
      <c r="AQ3086">
        <v>-68</v>
      </c>
      <c r="AR3086">
        <v>-192</v>
      </c>
      <c r="AZ3086">
        <v>7700</v>
      </c>
      <c r="BA3086">
        <v>1</v>
      </c>
      <c r="BB3086" t="str">
        <f t="shared" si="906"/>
        <v xml:space="preserve">N733KP  </v>
      </c>
      <c r="BC3086">
        <v>1</v>
      </c>
      <c r="BE3086">
        <v>0</v>
      </c>
      <c r="BF3086">
        <v>0</v>
      </c>
      <c r="BG3086">
        <v>1</v>
      </c>
      <c r="BH3086">
        <v>1000</v>
      </c>
      <c r="BI3086">
        <v>1</v>
      </c>
      <c r="BJ3086">
        <v>1</v>
      </c>
      <c r="BK3086">
        <v>0</v>
      </c>
      <c r="BL3086">
        <v>0</v>
      </c>
      <c r="BO3086">
        <v>0</v>
      </c>
      <c r="BP3086">
        <v>0</v>
      </c>
      <c r="BW3086" t="str">
        <f>"22:23:07.894"</f>
        <v>22:23:07.894</v>
      </c>
      <c r="CJ3086">
        <v>0</v>
      </c>
      <c r="CK3086">
        <v>2</v>
      </c>
      <c r="CL3086">
        <v>0</v>
      </c>
      <c r="CM3086">
        <v>2</v>
      </c>
      <c r="CN3086">
        <v>0</v>
      </c>
      <c r="CO3086">
        <v>5</v>
      </c>
      <c r="CP3086" t="s">
        <v>119</v>
      </c>
      <c r="CQ3086">
        <v>364</v>
      </c>
      <c r="CR3086">
        <v>0</v>
      </c>
      <c r="CW3086">
        <v>1485741</v>
      </c>
      <c r="CY3086">
        <v>1</v>
      </c>
      <c r="CZ3086">
        <v>0</v>
      </c>
      <c r="DA3086">
        <v>1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3">
      <c r="A3087" t="str">
        <f>"03/24/2022 22:23:09.084"</f>
        <v>03/24/2022 22:23:09.084</v>
      </c>
      <c r="C3087" t="str">
        <f t="shared" si="905"/>
        <v>FFDFD3C0</v>
      </c>
      <c r="D3087" t="s">
        <v>126</v>
      </c>
      <c r="E3087">
        <v>3</v>
      </c>
      <c r="H3087">
        <v>160</v>
      </c>
      <c r="I3087" t="s">
        <v>121</v>
      </c>
      <c r="J3087" t="s">
        <v>127</v>
      </c>
      <c r="K3087">
        <v>0</v>
      </c>
      <c r="L3087">
        <v>3</v>
      </c>
      <c r="M3087">
        <v>0</v>
      </c>
      <c r="N3087">
        <v>2</v>
      </c>
      <c r="O3087">
        <v>0</v>
      </c>
      <c r="P3087">
        <v>1</v>
      </c>
      <c r="Q3087">
        <v>0</v>
      </c>
      <c r="S3087" t="str">
        <f t="shared" ref="S3087:T3090" si="922">"22:23:08.000"</f>
        <v>22:23:08.000</v>
      </c>
      <c r="T3087" t="str">
        <f t="shared" si="922"/>
        <v>22:23:08.000</v>
      </c>
      <c r="U3087" t="str">
        <f t="shared" si="918"/>
        <v>A9D71F</v>
      </c>
      <c r="V3087">
        <v>0</v>
      </c>
      <c r="W3087">
        <v>0</v>
      </c>
      <c r="X3087">
        <v>2</v>
      </c>
      <c r="Z3087">
        <v>1</v>
      </c>
      <c r="AA3087">
        <v>8</v>
      </c>
      <c r="AB3087">
        <v>3</v>
      </c>
      <c r="AC3087">
        <v>0</v>
      </c>
      <c r="AD3087">
        <v>9</v>
      </c>
      <c r="AE3087">
        <v>0</v>
      </c>
      <c r="AF3087">
        <v>3</v>
      </c>
      <c r="AG3087">
        <v>1</v>
      </c>
      <c r="AH3087">
        <v>0</v>
      </c>
      <c r="AI3087" t="s">
        <v>1519</v>
      </c>
      <c r="AJ3087">
        <v>32.970892999999997</v>
      </c>
      <c r="AK3087" t="s">
        <v>1296</v>
      </c>
      <c r="AL3087">
        <v>-97.666911999999996</v>
      </c>
      <c r="AM3087">
        <v>25</v>
      </c>
      <c r="AN3087">
        <v>1000</v>
      </c>
      <c r="AO3087" t="s">
        <v>118</v>
      </c>
      <c r="AP3087">
        <v>26</v>
      </c>
      <c r="AQ3087">
        <v>-68</v>
      </c>
      <c r="AR3087">
        <v>-256</v>
      </c>
      <c r="AZ3087">
        <v>7700</v>
      </c>
      <c r="BA3087">
        <v>1</v>
      </c>
      <c r="BB3087" t="str">
        <f t="shared" si="906"/>
        <v xml:space="preserve">N733KP  </v>
      </c>
      <c r="BC3087">
        <v>1</v>
      </c>
      <c r="BE3087">
        <v>0</v>
      </c>
      <c r="BF3087">
        <v>0</v>
      </c>
      <c r="BG3087">
        <v>1</v>
      </c>
      <c r="BH3087">
        <v>1000</v>
      </c>
      <c r="BI3087">
        <v>1</v>
      </c>
      <c r="BJ3087">
        <v>1</v>
      </c>
      <c r="BK3087">
        <v>0</v>
      </c>
      <c r="BL3087">
        <v>0</v>
      </c>
      <c r="BO3087">
        <v>0</v>
      </c>
      <c r="BP3087">
        <v>0</v>
      </c>
      <c r="BW3087" t="str">
        <f>"22:23:08.833"</f>
        <v>22:23:08.833</v>
      </c>
      <c r="CJ3087">
        <v>0</v>
      </c>
      <c r="CK3087">
        <v>2</v>
      </c>
      <c r="CL3087">
        <v>0</v>
      </c>
      <c r="CM3087">
        <v>2</v>
      </c>
      <c r="CN3087">
        <v>0</v>
      </c>
      <c r="CO3087">
        <v>5</v>
      </c>
      <c r="CP3087" t="s">
        <v>119</v>
      </c>
      <c r="CQ3087">
        <v>364</v>
      </c>
      <c r="CR3087">
        <v>0</v>
      </c>
      <c r="CW3087">
        <v>1485870</v>
      </c>
      <c r="CY3087">
        <v>1</v>
      </c>
      <c r="CZ3087">
        <v>0</v>
      </c>
      <c r="DA3087">
        <v>0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3">
      <c r="A3088" t="str">
        <f>"03/24/2022 22:23:09.084"</f>
        <v>03/24/2022 22:23:09.084</v>
      </c>
      <c r="C3088" t="str">
        <f t="shared" si="905"/>
        <v>FFDFD3C0</v>
      </c>
      <c r="D3088" t="s">
        <v>113</v>
      </c>
      <c r="E3088">
        <v>24</v>
      </c>
      <c r="F3088">
        <v>2024</v>
      </c>
      <c r="G3088" t="s">
        <v>114</v>
      </c>
      <c r="J3088" t="s">
        <v>115</v>
      </c>
      <c r="K3088">
        <v>0</v>
      </c>
      <c r="L3088">
        <v>3</v>
      </c>
      <c r="M3088">
        <v>0</v>
      </c>
      <c r="N3088">
        <v>2</v>
      </c>
      <c r="O3088">
        <v>0</v>
      </c>
      <c r="P3088">
        <v>1</v>
      </c>
      <c r="Q3088">
        <v>0</v>
      </c>
      <c r="S3088" t="str">
        <f t="shared" si="922"/>
        <v>22:23:08.000</v>
      </c>
      <c r="T3088" t="str">
        <f t="shared" si="922"/>
        <v>22:23:08.000</v>
      </c>
      <c r="U3088" t="str">
        <f t="shared" si="918"/>
        <v>A9D71F</v>
      </c>
      <c r="V3088">
        <v>0</v>
      </c>
      <c r="W3088">
        <v>0</v>
      </c>
      <c r="X3088">
        <v>2</v>
      </c>
      <c r="Z3088">
        <v>1</v>
      </c>
      <c r="AA3088">
        <v>8</v>
      </c>
      <c r="AB3088">
        <v>3</v>
      </c>
      <c r="AC3088">
        <v>0</v>
      </c>
      <c r="AD3088">
        <v>9</v>
      </c>
      <c r="AE3088">
        <v>0</v>
      </c>
      <c r="AF3088">
        <v>3</v>
      </c>
      <c r="AG3088">
        <v>1</v>
      </c>
      <c r="AH3088">
        <v>0</v>
      </c>
      <c r="AI3088" t="s">
        <v>1519</v>
      </c>
      <c r="AJ3088">
        <v>32.970892999999997</v>
      </c>
      <c r="AK3088" t="s">
        <v>1296</v>
      </c>
      <c r="AL3088">
        <v>-97.666911999999996</v>
      </c>
      <c r="AM3088">
        <v>25</v>
      </c>
      <c r="AN3088">
        <v>1000</v>
      </c>
      <c r="AO3088" t="s">
        <v>118</v>
      </c>
      <c r="AP3088">
        <v>26</v>
      </c>
      <c r="AQ3088">
        <v>-68</v>
      </c>
      <c r="AR3088">
        <v>-256</v>
      </c>
      <c r="AZ3088">
        <v>7700</v>
      </c>
      <c r="BA3088">
        <v>1</v>
      </c>
      <c r="BB3088" t="str">
        <f t="shared" si="906"/>
        <v xml:space="preserve">N733KP  </v>
      </c>
      <c r="BC3088">
        <v>1</v>
      </c>
      <c r="BE3088">
        <v>0</v>
      </c>
      <c r="BF3088">
        <v>0</v>
      </c>
      <c r="BG3088">
        <v>1</v>
      </c>
      <c r="BH3088">
        <v>1000</v>
      </c>
      <c r="BI3088">
        <v>1</v>
      </c>
      <c r="BJ3088">
        <v>1</v>
      </c>
      <c r="BK3088">
        <v>0</v>
      </c>
      <c r="BL3088">
        <v>0</v>
      </c>
      <c r="BO3088">
        <v>0</v>
      </c>
      <c r="BP3088">
        <v>0</v>
      </c>
      <c r="BW3088" t="str">
        <f>"22:23:08.833"</f>
        <v>22:23:08.833</v>
      </c>
      <c r="CJ3088">
        <v>0</v>
      </c>
      <c r="CK3088">
        <v>2</v>
      </c>
      <c r="CL3088">
        <v>0</v>
      </c>
      <c r="CM3088">
        <v>2</v>
      </c>
      <c r="CN3088">
        <v>0</v>
      </c>
      <c r="CO3088">
        <v>5</v>
      </c>
      <c r="CP3088" t="s">
        <v>119</v>
      </c>
      <c r="CQ3088">
        <v>364</v>
      </c>
      <c r="CR3088">
        <v>0</v>
      </c>
      <c r="CW3088">
        <v>1485870</v>
      </c>
      <c r="CY3088">
        <v>1</v>
      </c>
      <c r="CZ3088">
        <v>0</v>
      </c>
      <c r="DA3088">
        <v>1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3">
      <c r="A3089" t="str">
        <f>"03/24/2022 22:23:09.084"</f>
        <v>03/24/2022 22:23:09.084</v>
      </c>
      <c r="C3089" t="str">
        <f t="shared" si="905"/>
        <v>FFDFD3C0</v>
      </c>
      <c r="D3089" t="s">
        <v>123</v>
      </c>
      <c r="E3089">
        <v>8</v>
      </c>
      <c r="H3089">
        <v>31</v>
      </c>
      <c r="I3089" t="s">
        <v>124</v>
      </c>
      <c r="J3089" t="s">
        <v>125</v>
      </c>
      <c r="K3089">
        <v>0</v>
      </c>
      <c r="L3089">
        <v>3</v>
      </c>
      <c r="M3089">
        <v>0</v>
      </c>
      <c r="N3089">
        <v>2</v>
      </c>
      <c r="O3089">
        <v>0</v>
      </c>
      <c r="P3089">
        <v>1</v>
      </c>
      <c r="Q3089">
        <v>0</v>
      </c>
      <c r="S3089" t="str">
        <f t="shared" si="922"/>
        <v>22:23:08.000</v>
      </c>
      <c r="T3089" t="str">
        <f t="shared" si="922"/>
        <v>22:23:08.000</v>
      </c>
      <c r="U3089" t="str">
        <f t="shared" si="918"/>
        <v>A9D71F</v>
      </c>
      <c r="V3089">
        <v>0</v>
      </c>
      <c r="W3089">
        <v>0</v>
      </c>
      <c r="X3089">
        <v>2</v>
      </c>
      <c r="Z3089">
        <v>1</v>
      </c>
      <c r="AA3089">
        <v>8</v>
      </c>
      <c r="AB3089">
        <v>3</v>
      </c>
      <c r="AC3089">
        <v>0</v>
      </c>
      <c r="AD3089">
        <v>9</v>
      </c>
      <c r="AE3089">
        <v>0</v>
      </c>
      <c r="AF3089">
        <v>3</v>
      </c>
      <c r="AG3089">
        <v>1</v>
      </c>
      <c r="AH3089">
        <v>0</v>
      </c>
      <c r="AI3089" t="s">
        <v>1519</v>
      </c>
      <c r="AJ3089">
        <v>32.970892999999997</v>
      </c>
      <c r="AK3089" t="s">
        <v>1296</v>
      </c>
      <c r="AL3089">
        <v>-97.666911999999996</v>
      </c>
      <c r="AM3089">
        <v>25</v>
      </c>
      <c r="AN3089">
        <v>1000</v>
      </c>
      <c r="AO3089" t="s">
        <v>118</v>
      </c>
      <c r="AP3089">
        <v>26</v>
      </c>
      <c r="AQ3089">
        <v>-68</v>
      </c>
      <c r="AR3089">
        <v>-256</v>
      </c>
      <c r="AZ3089">
        <v>7700</v>
      </c>
      <c r="BA3089">
        <v>1</v>
      </c>
      <c r="BB3089" t="str">
        <f t="shared" si="906"/>
        <v xml:space="preserve">N733KP  </v>
      </c>
      <c r="BC3089">
        <v>1</v>
      </c>
      <c r="BE3089">
        <v>0</v>
      </c>
      <c r="BF3089">
        <v>0</v>
      </c>
      <c r="BG3089">
        <v>1</v>
      </c>
      <c r="BH3089">
        <v>1000</v>
      </c>
      <c r="BI3089">
        <v>1</v>
      </c>
      <c r="BJ3089">
        <v>1</v>
      </c>
      <c r="BK3089">
        <v>0</v>
      </c>
      <c r="BL3089">
        <v>0</v>
      </c>
      <c r="BO3089">
        <v>0</v>
      </c>
      <c r="BP3089">
        <v>0</v>
      </c>
      <c r="BW3089" t="str">
        <f>"22:23:08.833"</f>
        <v>22:23:08.833</v>
      </c>
      <c r="CJ3089">
        <v>0</v>
      </c>
      <c r="CK3089">
        <v>2</v>
      </c>
      <c r="CL3089">
        <v>0</v>
      </c>
      <c r="CM3089">
        <v>2</v>
      </c>
      <c r="CN3089">
        <v>0</v>
      </c>
      <c r="CO3089">
        <v>5</v>
      </c>
      <c r="CP3089" t="s">
        <v>119</v>
      </c>
      <c r="CQ3089">
        <v>364</v>
      </c>
      <c r="CR3089">
        <v>0</v>
      </c>
      <c r="CW3089">
        <v>1485870</v>
      </c>
      <c r="CY3089">
        <v>1</v>
      </c>
      <c r="CZ3089">
        <v>0</v>
      </c>
      <c r="DA3089">
        <v>1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3">
      <c r="A3090" t="str">
        <f>"03/24/2022 22:23:09.100"</f>
        <v>03/24/2022 22:23:09.100</v>
      </c>
      <c r="C3090" t="str">
        <f t="shared" si="905"/>
        <v>FFDFD3C0</v>
      </c>
      <c r="D3090" t="s">
        <v>120</v>
      </c>
      <c r="E3090">
        <v>14</v>
      </c>
      <c r="F3090">
        <v>1014</v>
      </c>
      <c r="G3090" t="s">
        <v>121</v>
      </c>
      <c r="J3090" t="s">
        <v>122</v>
      </c>
      <c r="K3090">
        <v>0</v>
      </c>
      <c r="L3090">
        <v>3</v>
      </c>
      <c r="M3090">
        <v>0</v>
      </c>
      <c r="N3090">
        <v>2</v>
      </c>
      <c r="O3090">
        <v>0</v>
      </c>
      <c r="P3090">
        <v>1</v>
      </c>
      <c r="Q3090">
        <v>0</v>
      </c>
      <c r="S3090" t="str">
        <f t="shared" si="922"/>
        <v>22:23:08.000</v>
      </c>
      <c r="T3090" t="str">
        <f t="shared" si="922"/>
        <v>22:23:08.000</v>
      </c>
      <c r="U3090" t="str">
        <f t="shared" si="918"/>
        <v>A9D71F</v>
      </c>
      <c r="V3090">
        <v>0</v>
      </c>
      <c r="W3090">
        <v>0</v>
      </c>
      <c r="X3090">
        <v>2</v>
      </c>
      <c r="Z3090">
        <v>1</v>
      </c>
      <c r="AA3090">
        <v>8</v>
      </c>
      <c r="AB3090">
        <v>3</v>
      </c>
      <c r="AC3090">
        <v>0</v>
      </c>
      <c r="AD3090">
        <v>9</v>
      </c>
      <c r="AE3090">
        <v>0</v>
      </c>
      <c r="AF3090">
        <v>3</v>
      </c>
      <c r="AG3090">
        <v>1</v>
      </c>
      <c r="AH3090">
        <v>0</v>
      </c>
      <c r="AI3090" t="s">
        <v>1519</v>
      </c>
      <c r="AJ3090">
        <v>32.970892999999997</v>
      </c>
      <c r="AK3090" t="s">
        <v>1296</v>
      </c>
      <c r="AL3090">
        <v>-97.666911999999996</v>
      </c>
      <c r="AM3090">
        <v>25</v>
      </c>
      <c r="AN3090">
        <v>1000</v>
      </c>
      <c r="AO3090" t="s">
        <v>118</v>
      </c>
      <c r="AP3090">
        <v>26</v>
      </c>
      <c r="AQ3090">
        <v>-68</v>
      </c>
      <c r="AR3090">
        <v>-256</v>
      </c>
      <c r="AZ3090">
        <v>7700</v>
      </c>
      <c r="BA3090">
        <v>1</v>
      </c>
      <c r="BB3090" t="str">
        <f t="shared" si="906"/>
        <v xml:space="preserve">N733KP  </v>
      </c>
      <c r="BC3090">
        <v>1</v>
      </c>
      <c r="BE3090">
        <v>0</v>
      </c>
      <c r="BF3090">
        <v>0</v>
      </c>
      <c r="BG3090">
        <v>1</v>
      </c>
      <c r="BH3090">
        <v>1000</v>
      </c>
      <c r="BI3090">
        <v>1</v>
      </c>
      <c r="BJ3090">
        <v>1</v>
      </c>
      <c r="BK3090">
        <v>0</v>
      </c>
      <c r="BL3090">
        <v>0</v>
      </c>
      <c r="BO3090">
        <v>0</v>
      </c>
      <c r="BP3090">
        <v>0</v>
      </c>
      <c r="BW3090" t="str">
        <f>"22:23:08.833"</f>
        <v>22:23:08.833</v>
      </c>
      <c r="CJ3090">
        <v>0</v>
      </c>
      <c r="CK3090">
        <v>2</v>
      </c>
      <c r="CL3090">
        <v>0</v>
      </c>
      <c r="CM3090">
        <v>2</v>
      </c>
      <c r="CN3090">
        <v>0</v>
      </c>
      <c r="CO3090">
        <v>5</v>
      </c>
      <c r="CP3090" t="s">
        <v>119</v>
      </c>
      <c r="CQ3090">
        <v>364</v>
      </c>
      <c r="CR3090">
        <v>0</v>
      </c>
      <c r="CW3090">
        <v>1485870</v>
      </c>
      <c r="CY3090">
        <v>1</v>
      </c>
      <c r="CZ3090">
        <v>0</v>
      </c>
      <c r="DA3090">
        <v>1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3">
      <c r="A3091" t="str">
        <f>"03/24/2022 22:23:09.725"</f>
        <v>03/24/2022 22:23:09.725</v>
      </c>
      <c r="C3091" t="str">
        <f t="shared" si="905"/>
        <v>FFDFD3C0</v>
      </c>
      <c r="D3091" t="s">
        <v>120</v>
      </c>
      <c r="E3091">
        <v>14</v>
      </c>
      <c r="F3091">
        <v>1014</v>
      </c>
      <c r="G3091" t="s">
        <v>121</v>
      </c>
      <c r="J3091" t="s">
        <v>122</v>
      </c>
      <c r="K3091">
        <v>0</v>
      </c>
      <c r="L3091">
        <v>3</v>
      </c>
      <c r="M3091">
        <v>0</v>
      </c>
      <c r="N3091">
        <v>2</v>
      </c>
      <c r="O3091">
        <v>0</v>
      </c>
      <c r="P3091">
        <v>1</v>
      </c>
      <c r="Q3091">
        <v>0</v>
      </c>
      <c r="S3091" t="str">
        <f t="shared" ref="S3091:T3094" si="923">"22:23:09.000"</f>
        <v>22:23:09.000</v>
      </c>
      <c r="T3091" t="str">
        <f t="shared" si="923"/>
        <v>22:23:09.000</v>
      </c>
      <c r="U3091" t="str">
        <f t="shared" si="918"/>
        <v>A9D71F</v>
      </c>
      <c r="V3091">
        <v>0</v>
      </c>
      <c r="W3091">
        <v>0</v>
      </c>
      <c r="X3091">
        <v>2</v>
      </c>
      <c r="Z3091">
        <v>1</v>
      </c>
      <c r="AA3091">
        <v>8</v>
      </c>
      <c r="AB3091">
        <v>3</v>
      </c>
      <c r="AC3091">
        <v>0</v>
      </c>
      <c r="AD3091">
        <v>9</v>
      </c>
      <c r="AE3091">
        <v>0</v>
      </c>
      <c r="AF3091">
        <v>3</v>
      </c>
      <c r="AG3091">
        <v>1</v>
      </c>
      <c r="AH3091">
        <v>0</v>
      </c>
      <c r="AI3091" t="s">
        <v>1520</v>
      </c>
      <c r="AJ3091">
        <v>32.970550000000003</v>
      </c>
      <c r="AK3091" t="s">
        <v>1432</v>
      </c>
      <c r="AL3091">
        <v>-97.666782999999995</v>
      </c>
      <c r="AM3091">
        <v>25</v>
      </c>
      <c r="AN3091">
        <v>1000</v>
      </c>
      <c r="AO3091" t="s">
        <v>118</v>
      </c>
      <c r="AP3091">
        <v>27</v>
      </c>
      <c r="AQ3091">
        <v>-66</v>
      </c>
      <c r="AR3091">
        <v>-128</v>
      </c>
      <c r="AZ3091">
        <v>7700</v>
      </c>
      <c r="BA3091">
        <v>1</v>
      </c>
      <c r="BB3091" t="str">
        <f t="shared" si="906"/>
        <v xml:space="preserve">N733KP  </v>
      </c>
      <c r="BC3091">
        <v>1</v>
      </c>
      <c r="BE3091">
        <v>0</v>
      </c>
      <c r="BF3091">
        <v>0</v>
      </c>
      <c r="BG3091">
        <v>1</v>
      </c>
      <c r="BH3091">
        <v>950</v>
      </c>
      <c r="BI3091">
        <v>1</v>
      </c>
      <c r="BJ3091">
        <v>1</v>
      </c>
      <c r="BK3091">
        <v>0</v>
      </c>
      <c r="BL3091">
        <v>0</v>
      </c>
      <c r="BO3091">
        <v>0</v>
      </c>
      <c r="BP3091">
        <v>0</v>
      </c>
      <c r="BW3091" t="str">
        <f>"22:23:09.420"</f>
        <v>22:23:09.420</v>
      </c>
      <c r="CJ3091">
        <v>0</v>
      </c>
      <c r="CK3091">
        <v>2</v>
      </c>
      <c r="CL3091">
        <v>0</v>
      </c>
      <c r="CM3091">
        <v>2</v>
      </c>
      <c r="CN3091">
        <v>0</v>
      </c>
      <c r="CO3091">
        <v>5</v>
      </c>
      <c r="CP3091" t="s">
        <v>119</v>
      </c>
      <c r="CQ3091">
        <v>364</v>
      </c>
      <c r="CR3091">
        <v>0</v>
      </c>
      <c r="CW3091">
        <v>1485965</v>
      </c>
      <c r="CY3091">
        <v>1</v>
      </c>
      <c r="CZ3091">
        <v>0</v>
      </c>
      <c r="DA3091">
        <v>0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3">
      <c r="A3092" t="str">
        <f>"03/24/2022 22:23:09.725"</f>
        <v>03/24/2022 22:23:09.725</v>
      </c>
      <c r="C3092" t="str">
        <f t="shared" si="905"/>
        <v>FFDFD3C0</v>
      </c>
      <c r="D3092" t="s">
        <v>126</v>
      </c>
      <c r="E3092">
        <v>3</v>
      </c>
      <c r="H3092">
        <v>160</v>
      </c>
      <c r="I3092" t="s">
        <v>121</v>
      </c>
      <c r="J3092" t="s">
        <v>127</v>
      </c>
      <c r="K3092">
        <v>0</v>
      </c>
      <c r="L3092">
        <v>3</v>
      </c>
      <c r="M3092">
        <v>0</v>
      </c>
      <c r="N3092">
        <v>2</v>
      </c>
      <c r="O3092">
        <v>0</v>
      </c>
      <c r="P3092">
        <v>1</v>
      </c>
      <c r="Q3092">
        <v>0</v>
      </c>
      <c r="S3092" t="str">
        <f t="shared" si="923"/>
        <v>22:23:09.000</v>
      </c>
      <c r="T3092" t="str">
        <f t="shared" si="923"/>
        <v>22:23:09.000</v>
      </c>
      <c r="U3092" t="str">
        <f t="shared" si="918"/>
        <v>A9D71F</v>
      </c>
      <c r="V3092">
        <v>0</v>
      </c>
      <c r="W3092">
        <v>0</v>
      </c>
      <c r="X3092">
        <v>2</v>
      </c>
      <c r="Z3092">
        <v>1</v>
      </c>
      <c r="AA3092">
        <v>8</v>
      </c>
      <c r="AB3092">
        <v>3</v>
      </c>
      <c r="AC3092">
        <v>0</v>
      </c>
      <c r="AD3092">
        <v>9</v>
      </c>
      <c r="AE3092">
        <v>0</v>
      </c>
      <c r="AF3092">
        <v>3</v>
      </c>
      <c r="AG3092">
        <v>1</v>
      </c>
      <c r="AH3092">
        <v>0</v>
      </c>
      <c r="AI3092" t="s">
        <v>1520</v>
      </c>
      <c r="AJ3092">
        <v>32.970550000000003</v>
      </c>
      <c r="AK3092" t="s">
        <v>1432</v>
      </c>
      <c r="AL3092">
        <v>-97.666782999999995</v>
      </c>
      <c r="AM3092">
        <v>25</v>
      </c>
      <c r="AN3092">
        <v>1000</v>
      </c>
      <c r="AO3092" t="s">
        <v>118</v>
      </c>
      <c r="AP3092">
        <v>27</v>
      </c>
      <c r="AQ3092">
        <v>-66</v>
      </c>
      <c r="AR3092">
        <v>-128</v>
      </c>
      <c r="AZ3092">
        <v>7700</v>
      </c>
      <c r="BA3092">
        <v>1</v>
      </c>
      <c r="BB3092" t="str">
        <f t="shared" si="906"/>
        <v xml:space="preserve">N733KP  </v>
      </c>
      <c r="BC3092">
        <v>1</v>
      </c>
      <c r="BE3092">
        <v>0</v>
      </c>
      <c r="BF3092">
        <v>0</v>
      </c>
      <c r="BG3092">
        <v>1</v>
      </c>
      <c r="BH3092">
        <v>950</v>
      </c>
      <c r="BI3092">
        <v>1</v>
      </c>
      <c r="BJ3092">
        <v>1</v>
      </c>
      <c r="BK3092">
        <v>0</v>
      </c>
      <c r="BL3092">
        <v>0</v>
      </c>
      <c r="BO3092">
        <v>0</v>
      </c>
      <c r="BP3092">
        <v>0</v>
      </c>
      <c r="BW3092" t="str">
        <f>"22:23:09.420"</f>
        <v>22:23:09.420</v>
      </c>
      <c r="CJ3092">
        <v>0</v>
      </c>
      <c r="CK3092">
        <v>2</v>
      </c>
      <c r="CL3092">
        <v>0</v>
      </c>
      <c r="CM3092">
        <v>2</v>
      </c>
      <c r="CN3092">
        <v>0</v>
      </c>
      <c r="CO3092">
        <v>5</v>
      </c>
      <c r="CP3092" t="s">
        <v>119</v>
      </c>
      <c r="CQ3092">
        <v>364</v>
      </c>
      <c r="CR3092">
        <v>0</v>
      </c>
      <c r="CW3092">
        <v>1485965</v>
      </c>
      <c r="CY3092">
        <v>1</v>
      </c>
      <c r="CZ3092">
        <v>0</v>
      </c>
      <c r="DA3092">
        <v>1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3">
      <c r="A3093" t="str">
        <f>"03/24/2022 22:23:09.725"</f>
        <v>03/24/2022 22:23:09.725</v>
      </c>
      <c r="C3093" t="str">
        <f t="shared" si="905"/>
        <v>FFDFD3C0</v>
      </c>
      <c r="D3093" t="s">
        <v>113</v>
      </c>
      <c r="E3093">
        <v>24</v>
      </c>
      <c r="F3093">
        <v>2024</v>
      </c>
      <c r="G3093" t="s">
        <v>114</v>
      </c>
      <c r="J3093" t="s">
        <v>115</v>
      </c>
      <c r="K3093">
        <v>0</v>
      </c>
      <c r="L3093">
        <v>3</v>
      </c>
      <c r="M3093">
        <v>0</v>
      </c>
      <c r="N3093">
        <v>2</v>
      </c>
      <c r="O3093">
        <v>0</v>
      </c>
      <c r="P3093">
        <v>1</v>
      </c>
      <c r="Q3093">
        <v>0</v>
      </c>
      <c r="S3093" t="str">
        <f t="shared" si="923"/>
        <v>22:23:09.000</v>
      </c>
      <c r="T3093" t="str">
        <f t="shared" si="923"/>
        <v>22:23:09.000</v>
      </c>
      <c r="U3093" t="str">
        <f t="shared" si="918"/>
        <v>A9D71F</v>
      </c>
      <c r="V3093">
        <v>0</v>
      </c>
      <c r="W3093">
        <v>0</v>
      </c>
      <c r="X3093">
        <v>2</v>
      </c>
      <c r="Z3093">
        <v>1</v>
      </c>
      <c r="AA3093">
        <v>8</v>
      </c>
      <c r="AB3093">
        <v>3</v>
      </c>
      <c r="AC3093">
        <v>0</v>
      </c>
      <c r="AD3093">
        <v>9</v>
      </c>
      <c r="AE3093">
        <v>0</v>
      </c>
      <c r="AF3093">
        <v>3</v>
      </c>
      <c r="AG3093">
        <v>1</v>
      </c>
      <c r="AH3093">
        <v>0</v>
      </c>
      <c r="AI3093" t="s">
        <v>1520</v>
      </c>
      <c r="AJ3093">
        <v>32.970550000000003</v>
      </c>
      <c r="AK3093" t="s">
        <v>1432</v>
      </c>
      <c r="AL3093">
        <v>-97.666782999999995</v>
      </c>
      <c r="AM3093">
        <v>25</v>
      </c>
      <c r="AN3093">
        <v>1000</v>
      </c>
      <c r="AO3093" t="s">
        <v>118</v>
      </c>
      <c r="AP3093">
        <v>27</v>
      </c>
      <c r="AQ3093">
        <v>-66</v>
      </c>
      <c r="AR3093">
        <v>-128</v>
      </c>
      <c r="AZ3093">
        <v>7700</v>
      </c>
      <c r="BA3093">
        <v>1</v>
      </c>
      <c r="BB3093" t="str">
        <f t="shared" si="906"/>
        <v xml:space="preserve">N733KP  </v>
      </c>
      <c r="BC3093">
        <v>1</v>
      </c>
      <c r="BE3093">
        <v>0</v>
      </c>
      <c r="BF3093">
        <v>0</v>
      </c>
      <c r="BG3093">
        <v>1</v>
      </c>
      <c r="BH3093">
        <v>950</v>
      </c>
      <c r="BI3093">
        <v>1</v>
      </c>
      <c r="BJ3093">
        <v>1</v>
      </c>
      <c r="BK3093">
        <v>0</v>
      </c>
      <c r="BL3093">
        <v>0</v>
      </c>
      <c r="BO3093">
        <v>0</v>
      </c>
      <c r="BP3093">
        <v>0</v>
      </c>
      <c r="BW3093" t="str">
        <f>"22:23:09.420"</f>
        <v>22:23:09.420</v>
      </c>
      <c r="CJ3093">
        <v>0</v>
      </c>
      <c r="CK3093">
        <v>2</v>
      </c>
      <c r="CL3093">
        <v>0</v>
      </c>
      <c r="CM3093">
        <v>2</v>
      </c>
      <c r="CN3093">
        <v>0</v>
      </c>
      <c r="CO3093">
        <v>5</v>
      </c>
      <c r="CP3093" t="s">
        <v>119</v>
      </c>
      <c r="CQ3093">
        <v>364</v>
      </c>
      <c r="CR3093">
        <v>0</v>
      </c>
      <c r="CW3093">
        <v>1485965</v>
      </c>
      <c r="CY3093">
        <v>1</v>
      </c>
      <c r="CZ3093">
        <v>0</v>
      </c>
      <c r="DA3093">
        <v>1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3">
      <c r="A3094" t="str">
        <f>"03/24/2022 22:23:09.725"</f>
        <v>03/24/2022 22:23:09.725</v>
      </c>
      <c r="C3094" t="str">
        <f t="shared" ref="C3094:C3157" si="924">"FFDFD3C0"</f>
        <v>FFDFD3C0</v>
      </c>
      <c r="D3094" t="s">
        <v>123</v>
      </c>
      <c r="E3094">
        <v>8</v>
      </c>
      <c r="H3094">
        <v>31</v>
      </c>
      <c r="I3094" t="s">
        <v>124</v>
      </c>
      <c r="J3094" t="s">
        <v>125</v>
      </c>
      <c r="K3094">
        <v>0</v>
      </c>
      <c r="L3094">
        <v>3</v>
      </c>
      <c r="M3094">
        <v>0</v>
      </c>
      <c r="N3094">
        <v>2</v>
      </c>
      <c r="O3094">
        <v>0</v>
      </c>
      <c r="P3094">
        <v>1</v>
      </c>
      <c r="Q3094">
        <v>0</v>
      </c>
      <c r="S3094" t="str">
        <f t="shared" si="923"/>
        <v>22:23:09.000</v>
      </c>
      <c r="T3094" t="str">
        <f t="shared" si="923"/>
        <v>22:23:09.000</v>
      </c>
      <c r="U3094" t="str">
        <f t="shared" si="918"/>
        <v>A9D71F</v>
      </c>
      <c r="V3094">
        <v>0</v>
      </c>
      <c r="W3094">
        <v>0</v>
      </c>
      <c r="X3094">
        <v>2</v>
      </c>
      <c r="Z3094">
        <v>1</v>
      </c>
      <c r="AA3094">
        <v>8</v>
      </c>
      <c r="AB3094">
        <v>3</v>
      </c>
      <c r="AC3094">
        <v>0</v>
      </c>
      <c r="AD3094">
        <v>9</v>
      </c>
      <c r="AE3094">
        <v>0</v>
      </c>
      <c r="AF3094">
        <v>3</v>
      </c>
      <c r="AG3094">
        <v>1</v>
      </c>
      <c r="AH3094">
        <v>0</v>
      </c>
      <c r="AI3094" t="s">
        <v>1520</v>
      </c>
      <c r="AJ3094">
        <v>32.970550000000003</v>
      </c>
      <c r="AK3094" t="s">
        <v>1432</v>
      </c>
      <c r="AL3094">
        <v>-97.666782999999995</v>
      </c>
      <c r="AM3094">
        <v>25</v>
      </c>
      <c r="AN3094">
        <v>1000</v>
      </c>
      <c r="AO3094" t="s">
        <v>118</v>
      </c>
      <c r="AP3094">
        <v>27</v>
      </c>
      <c r="AQ3094">
        <v>-66</v>
      </c>
      <c r="AR3094">
        <v>-128</v>
      </c>
      <c r="AZ3094">
        <v>7700</v>
      </c>
      <c r="BA3094">
        <v>1</v>
      </c>
      <c r="BB3094" t="str">
        <f t="shared" ref="BB3094:BB3157" si="925">"N733KP  "</f>
        <v xml:space="preserve">N733KP  </v>
      </c>
      <c r="BC3094">
        <v>1</v>
      </c>
      <c r="BE3094">
        <v>0</v>
      </c>
      <c r="BF3094">
        <v>0</v>
      </c>
      <c r="BG3094">
        <v>1</v>
      </c>
      <c r="BH3094">
        <v>950</v>
      </c>
      <c r="BI3094">
        <v>1</v>
      </c>
      <c r="BJ3094">
        <v>1</v>
      </c>
      <c r="BK3094">
        <v>0</v>
      </c>
      <c r="BL3094">
        <v>0</v>
      </c>
      <c r="BO3094">
        <v>0</v>
      </c>
      <c r="BP3094">
        <v>0</v>
      </c>
      <c r="BW3094" t="str">
        <f>"22:23:09.420"</f>
        <v>22:23:09.420</v>
      </c>
      <c r="CJ3094">
        <v>0</v>
      </c>
      <c r="CK3094">
        <v>2</v>
      </c>
      <c r="CL3094">
        <v>0</v>
      </c>
      <c r="CM3094">
        <v>2</v>
      </c>
      <c r="CN3094">
        <v>0</v>
      </c>
      <c r="CO3094">
        <v>5</v>
      </c>
      <c r="CP3094" t="s">
        <v>119</v>
      </c>
      <c r="CQ3094">
        <v>364</v>
      </c>
      <c r="CR3094">
        <v>0</v>
      </c>
      <c r="CW3094">
        <v>1485965</v>
      </c>
      <c r="CY3094">
        <v>1</v>
      </c>
      <c r="CZ3094">
        <v>0</v>
      </c>
      <c r="DA3094">
        <v>1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3">
      <c r="A3095" t="str">
        <f>"03/24/2022 22:23:10.788"</f>
        <v>03/24/2022 22:23:10.788</v>
      </c>
      <c r="C3095" t="str">
        <f t="shared" si="924"/>
        <v>FFDFD3C0</v>
      </c>
      <c r="D3095" t="s">
        <v>120</v>
      </c>
      <c r="E3095">
        <v>14</v>
      </c>
      <c r="F3095">
        <v>1014</v>
      </c>
      <c r="G3095" t="s">
        <v>121</v>
      </c>
      <c r="J3095" t="s">
        <v>122</v>
      </c>
      <c r="K3095">
        <v>0</v>
      </c>
      <c r="L3095">
        <v>3</v>
      </c>
      <c r="M3095">
        <v>0</v>
      </c>
      <c r="N3095">
        <v>2</v>
      </c>
      <c r="O3095">
        <v>0</v>
      </c>
      <c r="P3095">
        <v>1</v>
      </c>
      <c r="Q3095">
        <v>0</v>
      </c>
      <c r="S3095" t="str">
        <f t="shared" ref="S3095:T3098" si="926">"22:23:10.000"</f>
        <v>22:23:10.000</v>
      </c>
      <c r="T3095" t="str">
        <f t="shared" si="926"/>
        <v>22:23:10.000</v>
      </c>
      <c r="U3095" t="str">
        <f t="shared" si="918"/>
        <v>A9D71F</v>
      </c>
      <c r="V3095">
        <v>0</v>
      </c>
      <c r="W3095">
        <v>0</v>
      </c>
      <c r="X3095">
        <v>2</v>
      </c>
      <c r="Z3095">
        <v>1</v>
      </c>
      <c r="AA3095">
        <v>8</v>
      </c>
      <c r="AB3095">
        <v>3</v>
      </c>
      <c r="AC3095">
        <v>0</v>
      </c>
      <c r="AD3095">
        <v>9</v>
      </c>
      <c r="AE3095">
        <v>0</v>
      </c>
      <c r="AF3095">
        <v>3</v>
      </c>
      <c r="AG3095">
        <v>1</v>
      </c>
      <c r="AH3095">
        <v>0</v>
      </c>
      <c r="AI3095" t="s">
        <v>1521</v>
      </c>
      <c r="AJ3095">
        <v>32.970227999999999</v>
      </c>
      <c r="AK3095" t="s">
        <v>1298</v>
      </c>
      <c r="AL3095">
        <v>-97.666633000000004</v>
      </c>
      <c r="AM3095">
        <v>25</v>
      </c>
      <c r="AN3095">
        <v>1000</v>
      </c>
      <c r="AO3095" t="s">
        <v>118</v>
      </c>
      <c r="AP3095">
        <v>31</v>
      </c>
      <c r="AQ3095">
        <v>-66</v>
      </c>
      <c r="AR3095">
        <v>-192</v>
      </c>
      <c r="AZ3095">
        <v>7700</v>
      </c>
      <c r="BA3095">
        <v>1</v>
      </c>
      <c r="BB3095" t="str">
        <f t="shared" si="925"/>
        <v xml:space="preserve">N733KP  </v>
      </c>
      <c r="BC3095">
        <v>1</v>
      </c>
      <c r="BE3095">
        <v>0</v>
      </c>
      <c r="BF3095">
        <v>0</v>
      </c>
      <c r="BG3095">
        <v>1</v>
      </c>
      <c r="BH3095">
        <v>950</v>
      </c>
      <c r="BI3095">
        <v>1</v>
      </c>
      <c r="BJ3095">
        <v>1</v>
      </c>
      <c r="BK3095">
        <v>0</v>
      </c>
      <c r="BL3095">
        <v>0</v>
      </c>
      <c r="BO3095">
        <v>0</v>
      </c>
      <c r="BP3095">
        <v>0</v>
      </c>
      <c r="BW3095" t="str">
        <f>"22:23:10.551"</f>
        <v>22:23:10.551</v>
      </c>
      <c r="CJ3095">
        <v>0</v>
      </c>
      <c r="CK3095">
        <v>2</v>
      </c>
      <c r="CL3095">
        <v>0</v>
      </c>
      <c r="CM3095">
        <v>2</v>
      </c>
      <c r="CN3095">
        <v>0</v>
      </c>
      <c r="CO3095">
        <v>4</v>
      </c>
      <c r="CP3095" t="s">
        <v>119</v>
      </c>
      <c r="CQ3095">
        <v>364</v>
      </c>
      <c r="CR3095">
        <v>0</v>
      </c>
      <c r="CW3095">
        <v>1486126</v>
      </c>
      <c r="CY3095">
        <v>1</v>
      </c>
      <c r="CZ3095">
        <v>0</v>
      </c>
      <c r="DA3095">
        <v>0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3">
      <c r="A3096" t="str">
        <f>"03/24/2022 22:23:10.788"</f>
        <v>03/24/2022 22:23:10.788</v>
      </c>
      <c r="C3096" t="str">
        <f t="shared" si="924"/>
        <v>FFDFD3C0</v>
      </c>
      <c r="D3096" t="s">
        <v>126</v>
      </c>
      <c r="E3096">
        <v>3</v>
      </c>
      <c r="H3096">
        <v>160</v>
      </c>
      <c r="I3096" t="s">
        <v>121</v>
      </c>
      <c r="J3096" t="s">
        <v>127</v>
      </c>
      <c r="K3096">
        <v>0</v>
      </c>
      <c r="L3096">
        <v>3</v>
      </c>
      <c r="M3096">
        <v>0</v>
      </c>
      <c r="N3096">
        <v>2</v>
      </c>
      <c r="O3096">
        <v>0</v>
      </c>
      <c r="P3096">
        <v>1</v>
      </c>
      <c r="Q3096">
        <v>0</v>
      </c>
      <c r="S3096" t="str">
        <f t="shared" si="926"/>
        <v>22:23:10.000</v>
      </c>
      <c r="T3096" t="str">
        <f t="shared" si="926"/>
        <v>22:23:10.000</v>
      </c>
      <c r="U3096" t="str">
        <f t="shared" si="918"/>
        <v>A9D71F</v>
      </c>
      <c r="V3096">
        <v>0</v>
      </c>
      <c r="W3096">
        <v>0</v>
      </c>
      <c r="X3096">
        <v>2</v>
      </c>
      <c r="Z3096">
        <v>1</v>
      </c>
      <c r="AA3096">
        <v>8</v>
      </c>
      <c r="AB3096">
        <v>3</v>
      </c>
      <c r="AC3096">
        <v>0</v>
      </c>
      <c r="AD3096">
        <v>9</v>
      </c>
      <c r="AE3096">
        <v>0</v>
      </c>
      <c r="AF3096">
        <v>3</v>
      </c>
      <c r="AG3096">
        <v>1</v>
      </c>
      <c r="AH3096">
        <v>0</v>
      </c>
      <c r="AI3096" t="s">
        <v>1521</v>
      </c>
      <c r="AJ3096">
        <v>32.970227999999999</v>
      </c>
      <c r="AK3096" t="s">
        <v>1298</v>
      </c>
      <c r="AL3096">
        <v>-97.666633000000004</v>
      </c>
      <c r="AM3096">
        <v>25</v>
      </c>
      <c r="AN3096">
        <v>1000</v>
      </c>
      <c r="AO3096" t="s">
        <v>118</v>
      </c>
      <c r="AP3096">
        <v>31</v>
      </c>
      <c r="AQ3096">
        <v>-66</v>
      </c>
      <c r="AR3096">
        <v>-192</v>
      </c>
      <c r="AZ3096">
        <v>7700</v>
      </c>
      <c r="BA3096">
        <v>1</v>
      </c>
      <c r="BB3096" t="str">
        <f t="shared" si="925"/>
        <v xml:space="preserve">N733KP  </v>
      </c>
      <c r="BC3096">
        <v>1</v>
      </c>
      <c r="BE3096">
        <v>0</v>
      </c>
      <c r="BF3096">
        <v>0</v>
      </c>
      <c r="BG3096">
        <v>1</v>
      </c>
      <c r="BH3096">
        <v>950</v>
      </c>
      <c r="BI3096">
        <v>1</v>
      </c>
      <c r="BJ3096">
        <v>1</v>
      </c>
      <c r="BK3096">
        <v>0</v>
      </c>
      <c r="BL3096">
        <v>0</v>
      </c>
      <c r="BO3096">
        <v>0</v>
      </c>
      <c r="BP3096">
        <v>0</v>
      </c>
      <c r="BW3096" t="str">
        <f>"22:23:10.551"</f>
        <v>22:23:10.551</v>
      </c>
      <c r="CJ3096">
        <v>0</v>
      </c>
      <c r="CK3096">
        <v>2</v>
      </c>
      <c r="CL3096">
        <v>0</v>
      </c>
      <c r="CM3096">
        <v>2</v>
      </c>
      <c r="CN3096">
        <v>0</v>
      </c>
      <c r="CO3096">
        <v>4</v>
      </c>
      <c r="CP3096" t="s">
        <v>119</v>
      </c>
      <c r="CQ3096">
        <v>364</v>
      </c>
      <c r="CR3096">
        <v>0</v>
      </c>
      <c r="CW3096">
        <v>1486126</v>
      </c>
      <c r="CY3096">
        <v>1</v>
      </c>
      <c r="CZ3096">
        <v>0</v>
      </c>
      <c r="DA3096">
        <v>1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3">
      <c r="A3097" t="str">
        <f>"03/24/2022 22:23:10.881"</f>
        <v>03/24/2022 22:23:10.881</v>
      </c>
      <c r="C3097" t="str">
        <f t="shared" si="924"/>
        <v>FFDFD3C0</v>
      </c>
      <c r="D3097" t="s">
        <v>123</v>
      </c>
      <c r="E3097">
        <v>8</v>
      </c>
      <c r="H3097">
        <v>31</v>
      </c>
      <c r="I3097" t="s">
        <v>124</v>
      </c>
      <c r="J3097" t="s">
        <v>125</v>
      </c>
      <c r="K3097">
        <v>0</v>
      </c>
      <c r="L3097">
        <v>3</v>
      </c>
      <c r="M3097">
        <v>0</v>
      </c>
      <c r="N3097">
        <v>2</v>
      </c>
      <c r="O3097">
        <v>0</v>
      </c>
      <c r="P3097">
        <v>1</v>
      </c>
      <c r="Q3097">
        <v>0</v>
      </c>
      <c r="S3097" t="str">
        <f t="shared" si="926"/>
        <v>22:23:10.000</v>
      </c>
      <c r="T3097" t="str">
        <f t="shared" si="926"/>
        <v>22:23:10.000</v>
      </c>
      <c r="U3097" t="str">
        <f t="shared" si="918"/>
        <v>A9D71F</v>
      </c>
      <c r="V3097">
        <v>0</v>
      </c>
      <c r="W3097">
        <v>0</v>
      </c>
      <c r="X3097">
        <v>2</v>
      </c>
      <c r="Z3097">
        <v>1</v>
      </c>
      <c r="AA3097">
        <v>8</v>
      </c>
      <c r="AB3097">
        <v>3</v>
      </c>
      <c r="AC3097">
        <v>0</v>
      </c>
      <c r="AD3097">
        <v>9</v>
      </c>
      <c r="AE3097">
        <v>0</v>
      </c>
      <c r="AF3097">
        <v>3</v>
      </c>
      <c r="AG3097">
        <v>1</v>
      </c>
      <c r="AH3097">
        <v>0</v>
      </c>
      <c r="AI3097" t="s">
        <v>1521</v>
      </c>
      <c r="AJ3097">
        <v>32.970227999999999</v>
      </c>
      <c r="AK3097" t="s">
        <v>1298</v>
      </c>
      <c r="AL3097">
        <v>-97.666633000000004</v>
      </c>
      <c r="AM3097">
        <v>25</v>
      </c>
      <c r="AN3097">
        <v>1000</v>
      </c>
      <c r="AO3097" t="s">
        <v>118</v>
      </c>
      <c r="AP3097">
        <v>31</v>
      </c>
      <c r="AQ3097">
        <v>-66</v>
      </c>
      <c r="AR3097">
        <v>-192</v>
      </c>
      <c r="AZ3097">
        <v>7700</v>
      </c>
      <c r="BA3097">
        <v>1</v>
      </c>
      <c r="BB3097" t="str">
        <f t="shared" si="925"/>
        <v xml:space="preserve">N733KP  </v>
      </c>
      <c r="BC3097">
        <v>1</v>
      </c>
      <c r="BE3097">
        <v>0</v>
      </c>
      <c r="BF3097">
        <v>0</v>
      </c>
      <c r="BG3097">
        <v>1</v>
      </c>
      <c r="BH3097">
        <v>950</v>
      </c>
      <c r="BI3097">
        <v>1</v>
      </c>
      <c r="BJ3097">
        <v>1</v>
      </c>
      <c r="BK3097">
        <v>0</v>
      </c>
      <c r="BL3097">
        <v>0</v>
      </c>
      <c r="BO3097">
        <v>0</v>
      </c>
      <c r="BP3097">
        <v>0</v>
      </c>
      <c r="BW3097" t="str">
        <f>"22:23:10.551"</f>
        <v>22:23:10.551</v>
      </c>
      <c r="CJ3097">
        <v>0</v>
      </c>
      <c r="CK3097">
        <v>2</v>
      </c>
      <c r="CL3097">
        <v>0</v>
      </c>
      <c r="CM3097">
        <v>2</v>
      </c>
      <c r="CN3097">
        <v>0</v>
      </c>
      <c r="CO3097">
        <v>4</v>
      </c>
      <c r="CP3097" t="s">
        <v>119</v>
      </c>
      <c r="CQ3097">
        <v>364</v>
      </c>
      <c r="CR3097">
        <v>0</v>
      </c>
      <c r="CW3097">
        <v>1486126</v>
      </c>
      <c r="CY3097">
        <v>1</v>
      </c>
      <c r="CZ3097">
        <v>0</v>
      </c>
      <c r="DA3097">
        <v>1</v>
      </c>
      <c r="DB3097">
        <v>0</v>
      </c>
      <c r="DC3097">
        <v>0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3">
      <c r="A3098" t="str">
        <f>"03/24/2022 22:23:10.881"</f>
        <v>03/24/2022 22:23:10.881</v>
      </c>
      <c r="C3098" t="str">
        <f t="shared" si="924"/>
        <v>FFDFD3C0</v>
      </c>
      <c r="D3098" t="s">
        <v>113</v>
      </c>
      <c r="E3098">
        <v>24</v>
      </c>
      <c r="F3098">
        <v>2024</v>
      </c>
      <c r="G3098" t="s">
        <v>114</v>
      </c>
      <c r="J3098" t="s">
        <v>115</v>
      </c>
      <c r="K3098">
        <v>0</v>
      </c>
      <c r="L3098">
        <v>3</v>
      </c>
      <c r="M3098">
        <v>0</v>
      </c>
      <c r="N3098">
        <v>2</v>
      </c>
      <c r="O3098">
        <v>0</v>
      </c>
      <c r="P3098">
        <v>1</v>
      </c>
      <c r="Q3098">
        <v>0</v>
      </c>
      <c r="S3098" t="str">
        <f t="shared" si="926"/>
        <v>22:23:10.000</v>
      </c>
      <c r="T3098" t="str">
        <f t="shared" si="926"/>
        <v>22:23:10.000</v>
      </c>
      <c r="U3098" t="str">
        <f t="shared" si="918"/>
        <v>A9D71F</v>
      </c>
      <c r="V3098">
        <v>0</v>
      </c>
      <c r="W3098">
        <v>0</v>
      </c>
      <c r="X3098">
        <v>2</v>
      </c>
      <c r="Z3098">
        <v>1</v>
      </c>
      <c r="AA3098">
        <v>8</v>
      </c>
      <c r="AB3098">
        <v>3</v>
      </c>
      <c r="AC3098">
        <v>0</v>
      </c>
      <c r="AD3098">
        <v>9</v>
      </c>
      <c r="AE3098">
        <v>0</v>
      </c>
      <c r="AF3098">
        <v>3</v>
      </c>
      <c r="AG3098">
        <v>1</v>
      </c>
      <c r="AH3098">
        <v>0</v>
      </c>
      <c r="AI3098" t="s">
        <v>1521</v>
      </c>
      <c r="AJ3098">
        <v>32.970227999999999</v>
      </c>
      <c r="AK3098" t="s">
        <v>1298</v>
      </c>
      <c r="AL3098">
        <v>-97.666633000000004</v>
      </c>
      <c r="AM3098">
        <v>25</v>
      </c>
      <c r="AN3098">
        <v>1000</v>
      </c>
      <c r="AO3098" t="s">
        <v>118</v>
      </c>
      <c r="AP3098">
        <v>31</v>
      </c>
      <c r="AQ3098">
        <v>-66</v>
      </c>
      <c r="AR3098">
        <v>-192</v>
      </c>
      <c r="AZ3098">
        <v>7700</v>
      </c>
      <c r="BA3098">
        <v>1</v>
      </c>
      <c r="BB3098" t="str">
        <f t="shared" si="925"/>
        <v xml:space="preserve">N733KP  </v>
      </c>
      <c r="BC3098">
        <v>1</v>
      </c>
      <c r="BE3098">
        <v>0</v>
      </c>
      <c r="BF3098">
        <v>0</v>
      </c>
      <c r="BG3098">
        <v>1</v>
      </c>
      <c r="BH3098">
        <v>950</v>
      </c>
      <c r="BI3098">
        <v>1</v>
      </c>
      <c r="BJ3098">
        <v>1</v>
      </c>
      <c r="BK3098">
        <v>0</v>
      </c>
      <c r="BL3098">
        <v>0</v>
      </c>
      <c r="BO3098">
        <v>0</v>
      </c>
      <c r="BP3098">
        <v>0</v>
      </c>
      <c r="BW3098" t="str">
        <f>"22:23:10.551"</f>
        <v>22:23:10.551</v>
      </c>
      <c r="CJ3098">
        <v>0</v>
      </c>
      <c r="CK3098">
        <v>2</v>
      </c>
      <c r="CL3098">
        <v>0</v>
      </c>
      <c r="CM3098">
        <v>2</v>
      </c>
      <c r="CN3098">
        <v>0</v>
      </c>
      <c r="CO3098">
        <v>4</v>
      </c>
      <c r="CP3098" t="s">
        <v>119</v>
      </c>
      <c r="CQ3098">
        <v>364</v>
      </c>
      <c r="CR3098">
        <v>0</v>
      </c>
      <c r="CW3098">
        <v>1486126</v>
      </c>
      <c r="CY3098">
        <v>1</v>
      </c>
      <c r="CZ3098">
        <v>0</v>
      </c>
      <c r="DA3098">
        <v>1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3">
      <c r="A3099" t="str">
        <f>"03/24/2022 22:23:11.913"</f>
        <v>03/24/2022 22:23:11.913</v>
      </c>
      <c r="C3099" t="str">
        <f t="shared" si="924"/>
        <v>FFDFD3C0</v>
      </c>
      <c r="D3099" t="s">
        <v>120</v>
      </c>
      <c r="E3099">
        <v>14</v>
      </c>
      <c r="F3099">
        <v>1014</v>
      </c>
      <c r="G3099" t="s">
        <v>121</v>
      </c>
      <c r="J3099" t="s">
        <v>122</v>
      </c>
      <c r="K3099">
        <v>0</v>
      </c>
      <c r="L3099">
        <v>3</v>
      </c>
      <c r="M3099">
        <v>0</v>
      </c>
      <c r="N3099">
        <v>2</v>
      </c>
      <c r="O3099">
        <v>0</v>
      </c>
      <c r="P3099">
        <v>1</v>
      </c>
      <c r="Q3099">
        <v>0</v>
      </c>
      <c r="S3099" t="str">
        <f t="shared" ref="S3099:T3102" si="927">"22:23:11.000"</f>
        <v>22:23:11.000</v>
      </c>
      <c r="T3099" t="str">
        <f t="shared" si="927"/>
        <v>22:23:11.000</v>
      </c>
      <c r="U3099" t="str">
        <f t="shared" si="918"/>
        <v>A9D71F</v>
      </c>
      <c r="V3099">
        <v>0</v>
      </c>
      <c r="W3099">
        <v>0</v>
      </c>
      <c r="X3099">
        <v>2</v>
      </c>
      <c r="Z3099">
        <v>1</v>
      </c>
      <c r="AA3099">
        <v>8</v>
      </c>
      <c r="AB3099">
        <v>3</v>
      </c>
      <c r="AC3099">
        <v>0</v>
      </c>
      <c r="AD3099">
        <v>9</v>
      </c>
      <c r="AE3099">
        <v>0</v>
      </c>
      <c r="AF3099">
        <v>3</v>
      </c>
      <c r="AG3099">
        <v>1</v>
      </c>
      <c r="AH3099">
        <v>0</v>
      </c>
      <c r="AI3099" t="s">
        <v>1522</v>
      </c>
      <c r="AJ3099">
        <v>32.969928000000003</v>
      </c>
      <c r="AK3099" t="s">
        <v>1423</v>
      </c>
      <c r="AL3099">
        <v>-97.666460999999998</v>
      </c>
      <c r="AM3099">
        <v>25</v>
      </c>
      <c r="AN3099">
        <v>1000</v>
      </c>
      <c r="AO3099" t="s">
        <v>118</v>
      </c>
      <c r="AP3099">
        <v>32</v>
      </c>
      <c r="AQ3099">
        <v>-64</v>
      </c>
      <c r="AR3099">
        <v>-64</v>
      </c>
      <c r="AZ3099">
        <v>7700</v>
      </c>
      <c r="BA3099">
        <v>1</v>
      </c>
      <c r="BB3099" t="str">
        <f t="shared" si="925"/>
        <v xml:space="preserve">N733KP  </v>
      </c>
      <c r="BC3099">
        <v>1</v>
      </c>
      <c r="BE3099">
        <v>0</v>
      </c>
      <c r="BF3099">
        <v>0</v>
      </c>
      <c r="BG3099">
        <v>1</v>
      </c>
      <c r="BH3099">
        <v>900</v>
      </c>
      <c r="BI3099">
        <v>1</v>
      </c>
      <c r="BJ3099">
        <v>1</v>
      </c>
      <c r="BK3099">
        <v>0</v>
      </c>
      <c r="BL3099">
        <v>0</v>
      </c>
      <c r="BO3099">
        <v>0</v>
      </c>
      <c r="BP3099">
        <v>0</v>
      </c>
      <c r="BW3099" t="str">
        <f>"22:23:11.542"</f>
        <v>22:23:11.542</v>
      </c>
      <c r="CJ3099">
        <v>0</v>
      </c>
      <c r="CK3099">
        <v>2</v>
      </c>
      <c r="CL3099">
        <v>0</v>
      </c>
      <c r="CM3099">
        <v>2</v>
      </c>
      <c r="CN3099">
        <v>0</v>
      </c>
      <c r="CO3099">
        <v>3</v>
      </c>
      <c r="CP3099" t="s">
        <v>119</v>
      </c>
      <c r="CQ3099">
        <v>364</v>
      </c>
      <c r="CR3099">
        <v>0</v>
      </c>
      <c r="CW3099">
        <v>1486291</v>
      </c>
      <c r="CY3099">
        <v>1</v>
      </c>
      <c r="CZ3099">
        <v>0</v>
      </c>
      <c r="DA3099">
        <v>0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3">
      <c r="A3100" t="str">
        <f>"03/24/2022 22:23:11.913"</f>
        <v>03/24/2022 22:23:11.913</v>
      </c>
      <c r="C3100" t="str">
        <f t="shared" si="924"/>
        <v>FFDFD3C0</v>
      </c>
      <c r="D3100" t="s">
        <v>126</v>
      </c>
      <c r="E3100">
        <v>3</v>
      </c>
      <c r="H3100">
        <v>160</v>
      </c>
      <c r="I3100" t="s">
        <v>121</v>
      </c>
      <c r="J3100" t="s">
        <v>127</v>
      </c>
      <c r="K3100">
        <v>0</v>
      </c>
      <c r="L3100">
        <v>3</v>
      </c>
      <c r="M3100">
        <v>0</v>
      </c>
      <c r="N3100">
        <v>2</v>
      </c>
      <c r="O3100">
        <v>0</v>
      </c>
      <c r="P3100">
        <v>1</v>
      </c>
      <c r="Q3100">
        <v>0</v>
      </c>
      <c r="S3100" t="str">
        <f t="shared" si="927"/>
        <v>22:23:11.000</v>
      </c>
      <c r="T3100" t="str">
        <f t="shared" si="927"/>
        <v>22:23:11.000</v>
      </c>
      <c r="U3100" t="str">
        <f t="shared" si="918"/>
        <v>A9D71F</v>
      </c>
      <c r="V3100">
        <v>0</v>
      </c>
      <c r="W3100">
        <v>0</v>
      </c>
      <c r="X3100">
        <v>2</v>
      </c>
      <c r="Z3100">
        <v>1</v>
      </c>
      <c r="AA3100">
        <v>8</v>
      </c>
      <c r="AB3100">
        <v>3</v>
      </c>
      <c r="AC3100">
        <v>0</v>
      </c>
      <c r="AD3100">
        <v>9</v>
      </c>
      <c r="AE3100">
        <v>0</v>
      </c>
      <c r="AF3100">
        <v>3</v>
      </c>
      <c r="AG3100">
        <v>1</v>
      </c>
      <c r="AH3100">
        <v>0</v>
      </c>
      <c r="AI3100" t="s">
        <v>1522</v>
      </c>
      <c r="AJ3100">
        <v>32.969928000000003</v>
      </c>
      <c r="AK3100" t="s">
        <v>1423</v>
      </c>
      <c r="AL3100">
        <v>-97.666460999999998</v>
      </c>
      <c r="AM3100">
        <v>25</v>
      </c>
      <c r="AN3100">
        <v>1000</v>
      </c>
      <c r="AO3100" t="s">
        <v>118</v>
      </c>
      <c r="AP3100">
        <v>32</v>
      </c>
      <c r="AQ3100">
        <v>-64</v>
      </c>
      <c r="AR3100">
        <v>-64</v>
      </c>
      <c r="AZ3100">
        <v>7700</v>
      </c>
      <c r="BA3100">
        <v>1</v>
      </c>
      <c r="BB3100" t="str">
        <f t="shared" si="925"/>
        <v xml:space="preserve">N733KP  </v>
      </c>
      <c r="BC3100">
        <v>1</v>
      </c>
      <c r="BE3100">
        <v>0</v>
      </c>
      <c r="BF3100">
        <v>0</v>
      </c>
      <c r="BG3100">
        <v>1</v>
      </c>
      <c r="BH3100">
        <v>900</v>
      </c>
      <c r="BI3100">
        <v>1</v>
      </c>
      <c r="BJ3100">
        <v>1</v>
      </c>
      <c r="BK3100">
        <v>0</v>
      </c>
      <c r="BL3100">
        <v>0</v>
      </c>
      <c r="BO3100">
        <v>0</v>
      </c>
      <c r="BP3100">
        <v>0</v>
      </c>
      <c r="BW3100" t="str">
        <f>"22:23:11.542"</f>
        <v>22:23:11.542</v>
      </c>
      <c r="CJ3100">
        <v>0</v>
      </c>
      <c r="CK3100">
        <v>2</v>
      </c>
      <c r="CL3100">
        <v>0</v>
      </c>
      <c r="CM3100">
        <v>2</v>
      </c>
      <c r="CN3100">
        <v>0</v>
      </c>
      <c r="CO3100">
        <v>3</v>
      </c>
      <c r="CP3100" t="s">
        <v>119</v>
      </c>
      <c r="CQ3100">
        <v>364</v>
      </c>
      <c r="CR3100">
        <v>0</v>
      </c>
      <c r="CW3100">
        <v>1486291</v>
      </c>
      <c r="CY3100">
        <v>1</v>
      </c>
      <c r="CZ3100">
        <v>0</v>
      </c>
      <c r="DA3100">
        <v>0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3">
      <c r="A3101" t="str">
        <f>"03/24/2022 22:23:11.913"</f>
        <v>03/24/2022 22:23:11.913</v>
      </c>
      <c r="C3101" t="str">
        <f t="shared" si="924"/>
        <v>FFDFD3C0</v>
      </c>
      <c r="D3101" t="s">
        <v>113</v>
      </c>
      <c r="E3101">
        <v>24</v>
      </c>
      <c r="F3101">
        <v>2024</v>
      </c>
      <c r="G3101" t="s">
        <v>114</v>
      </c>
      <c r="J3101" t="s">
        <v>115</v>
      </c>
      <c r="K3101">
        <v>0</v>
      </c>
      <c r="L3101">
        <v>3</v>
      </c>
      <c r="M3101">
        <v>0</v>
      </c>
      <c r="N3101">
        <v>2</v>
      </c>
      <c r="O3101">
        <v>0</v>
      </c>
      <c r="P3101">
        <v>1</v>
      </c>
      <c r="Q3101">
        <v>0</v>
      </c>
      <c r="S3101" t="str">
        <f t="shared" si="927"/>
        <v>22:23:11.000</v>
      </c>
      <c r="T3101" t="str">
        <f t="shared" si="927"/>
        <v>22:23:11.000</v>
      </c>
      <c r="U3101" t="str">
        <f t="shared" si="918"/>
        <v>A9D71F</v>
      </c>
      <c r="V3101">
        <v>0</v>
      </c>
      <c r="W3101">
        <v>0</v>
      </c>
      <c r="X3101">
        <v>2</v>
      </c>
      <c r="Z3101">
        <v>1</v>
      </c>
      <c r="AA3101">
        <v>8</v>
      </c>
      <c r="AB3101">
        <v>3</v>
      </c>
      <c r="AC3101">
        <v>0</v>
      </c>
      <c r="AD3101">
        <v>9</v>
      </c>
      <c r="AE3101">
        <v>0</v>
      </c>
      <c r="AF3101">
        <v>3</v>
      </c>
      <c r="AG3101">
        <v>1</v>
      </c>
      <c r="AH3101">
        <v>0</v>
      </c>
      <c r="AI3101" t="s">
        <v>1522</v>
      </c>
      <c r="AJ3101">
        <v>32.969928000000003</v>
      </c>
      <c r="AK3101" t="s">
        <v>1423</v>
      </c>
      <c r="AL3101">
        <v>-97.666460999999998</v>
      </c>
      <c r="AM3101">
        <v>25</v>
      </c>
      <c r="AN3101">
        <v>1000</v>
      </c>
      <c r="AO3101" t="s">
        <v>118</v>
      </c>
      <c r="AP3101">
        <v>32</v>
      </c>
      <c r="AQ3101">
        <v>-64</v>
      </c>
      <c r="AR3101">
        <v>-64</v>
      </c>
      <c r="AZ3101">
        <v>7700</v>
      </c>
      <c r="BA3101">
        <v>1</v>
      </c>
      <c r="BB3101" t="str">
        <f t="shared" si="925"/>
        <v xml:space="preserve">N733KP  </v>
      </c>
      <c r="BC3101">
        <v>1</v>
      </c>
      <c r="BE3101">
        <v>0</v>
      </c>
      <c r="BF3101">
        <v>0</v>
      </c>
      <c r="BG3101">
        <v>1</v>
      </c>
      <c r="BH3101">
        <v>900</v>
      </c>
      <c r="BI3101">
        <v>1</v>
      </c>
      <c r="BJ3101">
        <v>1</v>
      </c>
      <c r="BK3101">
        <v>0</v>
      </c>
      <c r="BL3101">
        <v>0</v>
      </c>
      <c r="BO3101">
        <v>0</v>
      </c>
      <c r="BP3101">
        <v>0</v>
      </c>
      <c r="BW3101" t="str">
        <f>"22:23:11.542"</f>
        <v>22:23:11.542</v>
      </c>
      <c r="CJ3101">
        <v>0</v>
      </c>
      <c r="CK3101">
        <v>2</v>
      </c>
      <c r="CL3101">
        <v>0</v>
      </c>
      <c r="CM3101">
        <v>2</v>
      </c>
      <c r="CN3101">
        <v>0</v>
      </c>
      <c r="CO3101">
        <v>3</v>
      </c>
      <c r="CP3101" t="s">
        <v>119</v>
      </c>
      <c r="CQ3101">
        <v>364</v>
      </c>
      <c r="CR3101">
        <v>0</v>
      </c>
      <c r="CW3101">
        <v>1486291</v>
      </c>
      <c r="CY3101">
        <v>1</v>
      </c>
      <c r="CZ3101">
        <v>0</v>
      </c>
      <c r="DA3101">
        <v>1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3">
      <c r="A3102" t="str">
        <f>"03/24/2022 22:23:11.913"</f>
        <v>03/24/2022 22:23:11.913</v>
      </c>
      <c r="C3102" t="str">
        <f t="shared" si="924"/>
        <v>FFDFD3C0</v>
      </c>
      <c r="D3102" t="s">
        <v>123</v>
      </c>
      <c r="E3102">
        <v>8</v>
      </c>
      <c r="H3102">
        <v>31</v>
      </c>
      <c r="I3102" t="s">
        <v>124</v>
      </c>
      <c r="J3102" t="s">
        <v>125</v>
      </c>
      <c r="K3102">
        <v>0</v>
      </c>
      <c r="L3102">
        <v>3</v>
      </c>
      <c r="M3102">
        <v>0</v>
      </c>
      <c r="N3102">
        <v>2</v>
      </c>
      <c r="O3102">
        <v>0</v>
      </c>
      <c r="P3102">
        <v>1</v>
      </c>
      <c r="Q3102">
        <v>0</v>
      </c>
      <c r="S3102" t="str">
        <f t="shared" si="927"/>
        <v>22:23:11.000</v>
      </c>
      <c r="T3102" t="str">
        <f t="shared" si="927"/>
        <v>22:23:11.000</v>
      </c>
      <c r="U3102" t="str">
        <f t="shared" si="918"/>
        <v>A9D71F</v>
      </c>
      <c r="V3102">
        <v>0</v>
      </c>
      <c r="W3102">
        <v>0</v>
      </c>
      <c r="X3102">
        <v>2</v>
      </c>
      <c r="Z3102">
        <v>1</v>
      </c>
      <c r="AA3102">
        <v>8</v>
      </c>
      <c r="AB3102">
        <v>3</v>
      </c>
      <c r="AC3102">
        <v>0</v>
      </c>
      <c r="AD3102">
        <v>9</v>
      </c>
      <c r="AE3102">
        <v>0</v>
      </c>
      <c r="AF3102">
        <v>3</v>
      </c>
      <c r="AG3102">
        <v>1</v>
      </c>
      <c r="AH3102">
        <v>0</v>
      </c>
      <c r="AI3102" t="s">
        <v>1522</v>
      </c>
      <c r="AJ3102">
        <v>32.969928000000003</v>
      </c>
      <c r="AK3102" t="s">
        <v>1423</v>
      </c>
      <c r="AL3102">
        <v>-97.666460999999998</v>
      </c>
      <c r="AM3102">
        <v>25</v>
      </c>
      <c r="AN3102">
        <v>1000</v>
      </c>
      <c r="AO3102" t="s">
        <v>118</v>
      </c>
      <c r="AP3102">
        <v>32</v>
      </c>
      <c r="AQ3102">
        <v>-64</v>
      </c>
      <c r="AR3102">
        <v>-64</v>
      </c>
      <c r="AZ3102">
        <v>7700</v>
      </c>
      <c r="BA3102">
        <v>1</v>
      </c>
      <c r="BB3102" t="str">
        <f t="shared" si="925"/>
        <v xml:space="preserve">N733KP  </v>
      </c>
      <c r="BC3102">
        <v>1</v>
      </c>
      <c r="BE3102">
        <v>0</v>
      </c>
      <c r="BF3102">
        <v>0</v>
      </c>
      <c r="BG3102">
        <v>1</v>
      </c>
      <c r="BH3102">
        <v>900</v>
      </c>
      <c r="BI3102">
        <v>1</v>
      </c>
      <c r="BJ3102">
        <v>1</v>
      </c>
      <c r="BK3102">
        <v>0</v>
      </c>
      <c r="BL3102">
        <v>0</v>
      </c>
      <c r="BO3102">
        <v>0</v>
      </c>
      <c r="BP3102">
        <v>0</v>
      </c>
      <c r="BW3102" t="str">
        <f>"22:23:11.542"</f>
        <v>22:23:11.542</v>
      </c>
      <c r="CJ3102">
        <v>0</v>
      </c>
      <c r="CK3102">
        <v>2</v>
      </c>
      <c r="CL3102">
        <v>0</v>
      </c>
      <c r="CM3102">
        <v>2</v>
      </c>
      <c r="CN3102">
        <v>0</v>
      </c>
      <c r="CO3102">
        <v>3</v>
      </c>
      <c r="CP3102" t="s">
        <v>119</v>
      </c>
      <c r="CQ3102">
        <v>364</v>
      </c>
      <c r="CR3102">
        <v>0</v>
      </c>
      <c r="CW3102">
        <v>1486291</v>
      </c>
      <c r="CY3102">
        <v>1</v>
      </c>
      <c r="CZ3102">
        <v>0</v>
      </c>
      <c r="DA3102">
        <v>1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3">
      <c r="A3103" t="str">
        <f>"03/24/2022 22:23:13.015"</f>
        <v>03/24/2022 22:23:13.015</v>
      </c>
      <c r="C3103" t="str">
        <f t="shared" si="924"/>
        <v>FFDFD3C0</v>
      </c>
      <c r="D3103" t="s">
        <v>126</v>
      </c>
      <c r="E3103">
        <v>3</v>
      </c>
      <c r="H3103">
        <v>160</v>
      </c>
      <c r="I3103" t="s">
        <v>121</v>
      </c>
      <c r="J3103" t="s">
        <v>127</v>
      </c>
      <c r="K3103">
        <v>0</v>
      </c>
      <c r="L3103">
        <v>3</v>
      </c>
      <c r="M3103">
        <v>0</v>
      </c>
      <c r="N3103">
        <v>2</v>
      </c>
      <c r="O3103">
        <v>0</v>
      </c>
      <c r="P3103">
        <v>1</v>
      </c>
      <c r="Q3103">
        <v>0</v>
      </c>
      <c r="S3103" t="str">
        <f t="shared" ref="S3103:T3106" si="928">"22:23:12.000"</f>
        <v>22:23:12.000</v>
      </c>
      <c r="T3103" t="str">
        <f t="shared" si="928"/>
        <v>22:23:12.000</v>
      </c>
      <c r="U3103" t="str">
        <f t="shared" si="918"/>
        <v>A9D71F</v>
      </c>
      <c r="V3103">
        <v>0</v>
      </c>
      <c r="W3103">
        <v>0</v>
      </c>
      <c r="X3103">
        <v>2</v>
      </c>
      <c r="Z3103">
        <v>1</v>
      </c>
      <c r="AA3103">
        <v>8</v>
      </c>
      <c r="AB3103">
        <v>3</v>
      </c>
      <c r="AC3103">
        <v>0</v>
      </c>
      <c r="AD3103">
        <v>9</v>
      </c>
      <c r="AE3103">
        <v>0</v>
      </c>
      <c r="AF3103">
        <v>3</v>
      </c>
      <c r="AG3103">
        <v>1</v>
      </c>
      <c r="AH3103">
        <v>0</v>
      </c>
      <c r="AI3103" t="s">
        <v>1523</v>
      </c>
      <c r="AJ3103">
        <v>32.969670000000001</v>
      </c>
      <c r="AK3103" t="s">
        <v>953</v>
      </c>
      <c r="AL3103">
        <v>-97.666310999999993</v>
      </c>
      <c r="AM3103">
        <v>25</v>
      </c>
      <c r="AN3103">
        <v>1000</v>
      </c>
      <c r="AO3103" t="s">
        <v>118</v>
      </c>
      <c r="AP3103">
        <v>33</v>
      </c>
      <c r="AQ3103">
        <v>-63</v>
      </c>
      <c r="AR3103">
        <v>0</v>
      </c>
      <c r="AZ3103">
        <v>7700</v>
      </c>
      <c r="BA3103">
        <v>1</v>
      </c>
      <c r="BB3103" t="str">
        <f t="shared" si="925"/>
        <v xml:space="preserve">N733KP  </v>
      </c>
      <c r="BC3103">
        <v>1</v>
      </c>
      <c r="BE3103">
        <v>0</v>
      </c>
      <c r="BF3103">
        <v>0</v>
      </c>
      <c r="BG3103">
        <v>1</v>
      </c>
      <c r="BH3103">
        <v>875</v>
      </c>
      <c r="BI3103">
        <v>1</v>
      </c>
      <c r="BJ3103">
        <v>1</v>
      </c>
      <c r="BK3103">
        <v>0</v>
      </c>
      <c r="BL3103">
        <v>0</v>
      </c>
      <c r="BO3103">
        <v>0</v>
      </c>
      <c r="BP3103">
        <v>0</v>
      </c>
      <c r="BW3103" t="str">
        <f>"22:23:12.666"</f>
        <v>22:23:12.666</v>
      </c>
      <c r="CJ3103">
        <v>0</v>
      </c>
      <c r="CK3103">
        <v>2</v>
      </c>
      <c r="CL3103">
        <v>0</v>
      </c>
      <c r="CM3103">
        <v>2</v>
      </c>
      <c r="CN3103">
        <v>0</v>
      </c>
      <c r="CO3103">
        <v>5</v>
      </c>
      <c r="CP3103" t="s">
        <v>119</v>
      </c>
      <c r="CQ3103">
        <v>364</v>
      </c>
      <c r="CR3103">
        <v>0</v>
      </c>
      <c r="CW3103">
        <v>1486480</v>
      </c>
      <c r="CY3103">
        <v>1</v>
      </c>
      <c r="CZ3103">
        <v>0</v>
      </c>
      <c r="DA3103">
        <v>0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3">
      <c r="A3104" t="str">
        <f>"03/24/2022 22:23:13.015"</f>
        <v>03/24/2022 22:23:13.015</v>
      </c>
      <c r="C3104" t="str">
        <f t="shared" si="924"/>
        <v>FFDFD3C0</v>
      </c>
      <c r="D3104" t="s">
        <v>123</v>
      </c>
      <c r="E3104">
        <v>8</v>
      </c>
      <c r="H3104">
        <v>31</v>
      </c>
      <c r="I3104" t="s">
        <v>124</v>
      </c>
      <c r="J3104" t="s">
        <v>125</v>
      </c>
      <c r="K3104">
        <v>0</v>
      </c>
      <c r="L3104">
        <v>3</v>
      </c>
      <c r="M3104">
        <v>0</v>
      </c>
      <c r="N3104">
        <v>2</v>
      </c>
      <c r="O3104">
        <v>0</v>
      </c>
      <c r="P3104">
        <v>1</v>
      </c>
      <c r="Q3104">
        <v>0</v>
      </c>
      <c r="S3104" t="str">
        <f t="shared" si="928"/>
        <v>22:23:12.000</v>
      </c>
      <c r="T3104" t="str">
        <f t="shared" si="928"/>
        <v>22:23:12.000</v>
      </c>
      <c r="U3104" t="str">
        <f t="shared" si="918"/>
        <v>A9D71F</v>
      </c>
      <c r="V3104">
        <v>0</v>
      </c>
      <c r="W3104">
        <v>0</v>
      </c>
      <c r="X3104">
        <v>2</v>
      </c>
      <c r="Z3104">
        <v>1</v>
      </c>
      <c r="AA3104">
        <v>8</v>
      </c>
      <c r="AB3104">
        <v>3</v>
      </c>
      <c r="AC3104">
        <v>0</v>
      </c>
      <c r="AD3104">
        <v>9</v>
      </c>
      <c r="AE3104">
        <v>0</v>
      </c>
      <c r="AF3104">
        <v>3</v>
      </c>
      <c r="AG3104">
        <v>1</v>
      </c>
      <c r="AH3104">
        <v>0</v>
      </c>
      <c r="AI3104" t="s">
        <v>1523</v>
      </c>
      <c r="AJ3104">
        <v>32.969670000000001</v>
      </c>
      <c r="AK3104" t="s">
        <v>953</v>
      </c>
      <c r="AL3104">
        <v>-97.666310999999993</v>
      </c>
      <c r="AM3104">
        <v>25</v>
      </c>
      <c r="AN3104">
        <v>1000</v>
      </c>
      <c r="AO3104" t="s">
        <v>118</v>
      </c>
      <c r="AP3104">
        <v>33</v>
      </c>
      <c r="AQ3104">
        <v>-63</v>
      </c>
      <c r="AR3104">
        <v>0</v>
      </c>
      <c r="AZ3104">
        <v>7700</v>
      </c>
      <c r="BA3104">
        <v>1</v>
      </c>
      <c r="BB3104" t="str">
        <f t="shared" si="925"/>
        <v xml:space="preserve">N733KP  </v>
      </c>
      <c r="BC3104">
        <v>1</v>
      </c>
      <c r="BE3104">
        <v>0</v>
      </c>
      <c r="BF3104">
        <v>0</v>
      </c>
      <c r="BG3104">
        <v>1</v>
      </c>
      <c r="BH3104">
        <v>875</v>
      </c>
      <c r="BI3104">
        <v>1</v>
      </c>
      <c r="BJ3104">
        <v>1</v>
      </c>
      <c r="BK3104">
        <v>0</v>
      </c>
      <c r="BL3104">
        <v>0</v>
      </c>
      <c r="BO3104">
        <v>0</v>
      </c>
      <c r="BP3104">
        <v>0</v>
      </c>
      <c r="BW3104" t="str">
        <f>"22:23:12.666"</f>
        <v>22:23:12.666</v>
      </c>
      <c r="CJ3104">
        <v>0</v>
      </c>
      <c r="CK3104">
        <v>2</v>
      </c>
      <c r="CL3104">
        <v>0</v>
      </c>
      <c r="CM3104">
        <v>2</v>
      </c>
      <c r="CN3104">
        <v>0</v>
      </c>
      <c r="CO3104">
        <v>5</v>
      </c>
      <c r="CP3104" t="s">
        <v>119</v>
      </c>
      <c r="CQ3104">
        <v>364</v>
      </c>
      <c r="CR3104">
        <v>0</v>
      </c>
      <c r="CW3104">
        <v>1486480</v>
      </c>
      <c r="CY3104">
        <v>1</v>
      </c>
      <c r="CZ3104">
        <v>0</v>
      </c>
      <c r="DA3104">
        <v>1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3">
      <c r="A3105" t="str">
        <f>"03/24/2022 22:23:13.015"</f>
        <v>03/24/2022 22:23:13.015</v>
      </c>
      <c r="C3105" t="str">
        <f t="shared" si="924"/>
        <v>FFDFD3C0</v>
      </c>
      <c r="D3105" t="s">
        <v>113</v>
      </c>
      <c r="E3105">
        <v>24</v>
      </c>
      <c r="F3105">
        <v>2024</v>
      </c>
      <c r="G3105" t="s">
        <v>114</v>
      </c>
      <c r="J3105" t="s">
        <v>115</v>
      </c>
      <c r="K3105">
        <v>0</v>
      </c>
      <c r="L3105">
        <v>3</v>
      </c>
      <c r="M3105">
        <v>0</v>
      </c>
      <c r="N3105">
        <v>2</v>
      </c>
      <c r="O3105">
        <v>0</v>
      </c>
      <c r="P3105">
        <v>1</v>
      </c>
      <c r="Q3105">
        <v>0</v>
      </c>
      <c r="S3105" t="str">
        <f t="shared" si="928"/>
        <v>22:23:12.000</v>
      </c>
      <c r="T3105" t="str">
        <f t="shared" si="928"/>
        <v>22:23:12.000</v>
      </c>
      <c r="U3105" t="str">
        <f t="shared" si="918"/>
        <v>A9D71F</v>
      </c>
      <c r="V3105">
        <v>0</v>
      </c>
      <c r="W3105">
        <v>0</v>
      </c>
      <c r="X3105">
        <v>2</v>
      </c>
      <c r="Z3105">
        <v>1</v>
      </c>
      <c r="AA3105">
        <v>8</v>
      </c>
      <c r="AB3105">
        <v>3</v>
      </c>
      <c r="AC3105">
        <v>0</v>
      </c>
      <c r="AD3105">
        <v>9</v>
      </c>
      <c r="AE3105">
        <v>0</v>
      </c>
      <c r="AF3105">
        <v>3</v>
      </c>
      <c r="AG3105">
        <v>1</v>
      </c>
      <c r="AH3105">
        <v>0</v>
      </c>
      <c r="AI3105" t="s">
        <v>1523</v>
      </c>
      <c r="AJ3105">
        <v>32.969670000000001</v>
      </c>
      <c r="AK3105" t="s">
        <v>953</v>
      </c>
      <c r="AL3105">
        <v>-97.666310999999993</v>
      </c>
      <c r="AM3105">
        <v>25</v>
      </c>
      <c r="AN3105">
        <v>1000</v>
      </c>
      <c r="AO3105" t="s">
        <v>118</v>
      </c>
      <c r="AP3105">
        <v>33</v>
      </c>
      <c r="AQ3105">
        <v>-63</v>
      </c>
      <c r="AR3105">
        <v>0</v>
      </c>
      <c r="AZ3105">
        <v>7700</v>
      </c>
      <c r="BA3105">
        <v>1</v>
      </c>
      <c r="BB3105" t="str">
        <f t="shared" si="925"/>
        <v xml:space="preserve">N733KP  </v>
      </c>
      <c r="BC3105">
        <v>1</v>
      </c>
      <c r="BE3105">
        <v>0</v>
      </c>
      <c r="BF3105">
        <v>0</v>
      </c>
      <c r="BG3105">
        <v>1</v>
      </c>
      <c r="BH3105">
        <v>875</v>
      </c>
      <c r="BI3105">
        <v>1</v>
      </c>
      <c r="BJ3105">
        <v>1</v>
      </c>
      <c r="BK3105">
        <v>0</v>
      </c>
      <c r="BL3105">
        <v>0</v>
      </c>
      <c r="BO3105">
        <v>0</v>
      </c>
      <c r="BP3105">
        <v>0</v>
      </c>
      <c r="BW3105" t="str">
        <f>"22:23:12.666"</f>
        <v>22:23:12.666</v>
      </c>
      <c r="CJ3105">
        <v>0</v>
      </c>
      <c r="CK3105">
        <v>2</v>
      </c>
      <c r="CL3105">
        <v>0</v>
      </c>
      <c r="CM3105">
        <v>2</v>
      </c>
      <c r="CN3105">
        <v>0</v>
      </c>
      <c r="CO3105">
        <v>5</v>
      </c>
      <c r="CP3105" t="s">
        <v>119</v>
      </c>
      <c r="CQ3105">
        <v>364</v>
      </c>
      <c r="CR3105">
        <v>0</v>
      </c>
      <c r="CW3105">
        <v>1486480</v>
      </c>
      <c r="CY3105">
        <v>1</v>
      </c>
      <c r="CZ3105">
        <v>0</v>
      </c>
      <c r="DA3105">
        <v>1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3">
      <c r="A3106" t="str">
        <f>"03/24/2022 22:23:13.031"</f>
        <v>03/24/2022 22:23:13.031</v>
      </c>
      <c r="C3106" t="str">
        <f t="shared" si="924"/>
        <v>FFDFD3C0</v>
      </c>
      <c r="D3106" t="s">
        <v>120</v>
      </c>
      <c r="E3106">
        <v>14</v>
      </c>
      <c r="F3106">
        <v>1014</v>
      </c>
      <c r="G3106" t="s">
        <v>121</v>
      </c>
      <c r="J3106" t="s">
        <v>122</v>
      </c>
      <c r="K3106">
        <v>0</v>
      </c>
      <c r="L3106">
        <v>3</v>
      </c>
      <c r="M3106">
        <v>0</v>
      </c>
      <c r="N3106">
        <v>2</v>
      </c>
      <c r="O3106">
        <v>0</v>
      </c>
      <c r="P3106">
        <v>1</v>
      </c>
      <c r="Q3106">
        <v>0</v>
      </c>
      <c r="S3106" t="str">
        <f t="shared" si="928"/>
        <v>22:23:12.000</v>
      </c>
      <c r="T3106" t="str">
        <f t="shared" si="928"/>
        <v>22:23:12.000</v>
      </c>
      <c r="U3106" t="str">
        <f t="shared" si="918"/>
        <v>A9D71F</v>
      </c>
      <c r="V3106">
        <v>0</v>
      </c>
      <c r="W3106">
        <v>0</v>
      </c>
      <c r="X3106">
        <v>2</v>
      </c>
      <c r="Z3106">
        <v>1</v>
      </c>
      <c r="AA3106">
        <v>8</v>
      </c>
      <c r="AB3106">
        <v>3</v>
      </c>
      <c r="AC3106">
        <v>0</v>
      </c>
      <c r="AD3106">
        <v>9</v>
      </c>
      <c r="AE3106">
        <v>0</v>
      </c>
      <c r="AF3106">
        <v>3</v>
      </c>
      <c r="AG3106">
        <v>1</v>
      </c>
      <c r="AH3106">
        <v>0</v>
      </c>
      <c r="AI3106" t="s">
        <v>1523</v>
      </c>
      <c r="AJ3106">
        <v>32.969670000000001</v>
      </c>
      <c r="AK3106" t="s">
        <v>953</v>
      </c>
      <c r="AL3106">
        <v>-97.666310999999993</v>
      </c>
      <c r="AM3106">
        <v>25</v>
      </c>
      <c r="AN3106">
        <v>1000</v>
      </c>
      <c r="AO3106" t="s">
        <v>118</v>
      </c>
      <c r="AP3106">
        <v>33</v>
      </c>
      <c r="AQ3106">
        <v>-63</v>
      </c>
      <c r="AR3106">
        <v>0</v>
      </c>
      <c r="AZ3106">
        <v>7700</v>
      </c>
      <c r="BA3106">
        <v>1</v>
      </c>
      <c r="BB3106" t="str">
        <f t="shared" si="925"/>
        <v xml:space="preserve">N733KP  </v>
      </c>
      <c r="BC3106">
        <v>1</v>
      </c>
      <c r="BE3106">
        <v>0</v>
      </c>
      <c r="BF3106">
        <v>0</v>
      </c>
      <c r="BG3106">
        <v>1</v>
      </c>
      <c r="BH3106">
        <v>875</v>
      </c>
      <c r="BI3106">
        <v>1</v>
      </c>
      <c r="BJ3106">
        <v>1</v>
      </c>
      <c r="BK3106">
        <v>0</v>
      </c>
      <c r="BL3106">
        <v>0</v>
      </c>
      <c r="BO3106">
        <v>0</v>
      </c>
      <c r="BP3106">
        <v>0</v>
      </c>
      <c r="BW3106" t="str">
        <f>"22:23:12.666"</f>
        <v>22:23:12.666</v>
      </c>
      <c r="CJ3106">
        <v>0</v>
      </c>
      <c r="CK3106">
        <v>2</v>
      </c>
      <c r="CL3106">
        <v>0</v>
      </c>
      <c r="CM3106">
        <v>2</v>
      </c>
      <c r="CN3106">
        <v>0</v>
      </c>
      <c r="CO3106">
        <v>5</v>
      </c>
      <c r="CP3106" t="s">
        <v>119</v>
      </c>
      <c r="CQ3106">
        <v>364</v>
      </c>
      <c r="CR3106">
        <v>0</v>
      </c>
      <c r="CW3106">
        <v>1486480</v>
      </c>
      <c r="CY3106">
        <v>1</v>
      </c>
      <c r="CZ3106">
        <v>0</v>
      </c>
      <c r="DA3106">
        <v>1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3">
      <c r="A3107" t="str">
        <f>"03/24/2022 22:23:14.179"</f>
        <v>03/24/2022 22:23:14.179</v>
      </c>
      <c r="C3107" t="str">
        <f t="shared" si="924"/>
        <v>FFDFD3C0</v>
      </c>
      <c r="D3107" t="s">
        <v>126</v>
      </c>
      <c r="E3107">
        <v>3</v>
      </c>
      <c r="H3107">
        <v>160</v>
      </c>
      <c r="I3107" t="s">
        <v>121</v>
      </c>
      <c r="J3107" t="s">
        <v>127</v>
      </c>
      <c r="K3107">
        <v>0</v>
      </c>
      <c r="L3107">
        <v>3</v>
      </c>
      <c r="M3107">
        <v>0</v>
      </c>
      <c r="N3107">
        <v>2</v>
      </c>
      <c r="O3107">
        <v>0</v>
      </c>
      <c r="P3107">
        <v>1</v>
      </c>
      <c r="Q3107">
        <v>0</v>
      </c>
      <c r="S3107" t="str">
        <f t="shared" ref="S3107:T3110" si="929">"22:23:13.000"</f>
        <v>22:23:13.000</v>
      </c>
      <c r="T3107" t="str">
        <f t="shared" si="929"/>
        <v>22:23:13.000</v>
      </c>
      <c r="U3107" t="str">
        <f t="shared" si="918"/>
        <v>A9D71F</v>
      </c>
      <c r="V3107">
        <v>0</v>
      </c>
      <c r="W3107">
        <v>0</v>
      </c>
      <c r="X3107">
        <v>2</v>
      </c>
      <c r="Z3107">
        <v>1</v>
      </c>
      <c r="AA3107">
        <v>8</v>
      </c>
      <c r="AB3107">
        <v>3</v>
      </c>
      <c r="AC3107">
        <v>0</v>
      </c>
      <c r="AD3107">
        <v>9</v>
      </c>
      <c r="AE3107">
        <v>0</v>
      </c>
      <c r="AF3107">
        <v>3</v>
      </c>
      <c r="AG3107">
        <v>1</v>
      </c>
      <c r="AH3107">
        <v>0</v>
      </c>
      <c r="AI3107" t="s">
        <v>1524</v>
      </c>
      <c r="AJ3107">
        <v>32.969347999999997</v>
      </c>
      <c r="AK3107" t="s">
        <v>1525</v>
      </c>
      <c r="AL3107">
        <v>-97.666203999999993</v>
      </c>
      <c r="AM3107">
        <v>25</v>
      </c>
      <c r="AN3107">
        <v>1000</v>
      </c>
      <c r="AO3107" t="s">
        <v>118</v>
      </c>
      <c r="AP3107">
        <v>33</v>
      </c>
      <c r="AQ3107">
        <v>-63</v>
      </c>
      <c r="AR3107">
        <v>0</v>
      </c>
      <c r="AZ3107">
        <v>7700</v>
      </c>
      <c r="BA3107">
        <v>1</v>
      </c>
      <c r="BB3107" t="str">
        <f t="shared" si="925"/>
        <v xml:space="preserve">N733KP  </v>
      </c>
      <c r="BC3107">
        <v>1</v>
      </c>
      <c r="BE3107">
        <v>0</v>
      </c>
      <c r="BF3107">
        <v>0</v>
      </c>
      <c r="BG3107">
        <v>1</v>
      </c>
      <c r="BH3107">
        <v>875</v>
      </c>
      <c r="BI3107">
        <v>1</v>
      </c>
      <c r="BJ3107">
        <v>1</v>
      </c>
      <c r="BK3107">
        <v>0</v>
      </c>
      <c r="BL3107">
        <v>0</v>
      </c>
      <c r="BO3107">
        <v>0</v>
      </c>
      <c r="BP3107">
        <v>0</v>
      </c>
      <c r="BW3107" t="str">
        <f>"22:23:13.861"</f>
        <v>22:23:13.861</v>
      </c>
      <c r="CJ3107">
        <v>0</v>
      </c>
      <c r="CK3107">
        <v>2</v>
      </c>
      <c r="CL3107">
        <v>0</v>
      </c>
      <c r="CM3107">
        <v>2</v>
      </c>
      <c r="CN3107">
        <v>0</v>
      </c>
      <c r="CO3107">
        <v>4</v>
      </c>
      <c r="CP3107" t="s">
        <v>119</v>
      </c>
      <c r="CQ3107">
        <v>364</v>
      </c>
      <c r="CR3107">
        <v>0</v>
      </c>
      <c r="CW3107">
        <v>1486651</v>
      </c>
      <c r="CY3107">
        <v>1</v>
      </c>
      <c r="CZ3107">
        <v>0</v>
      </c>
      <c r="DA3107">
        <v>0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3">
      <c r="A3108" t="str">
        <f>"03/24/2022 22:23:14.179"</f>
        <v>03/24/2022 22:23:14.179</v>
      </c>
      <c r="C3108" t="str">
        <f t="shared" si="924"/>
        <v>FFDFD3C0</v>
      </c>
      <c r="D3108" t="s">
        <v>120</v>
      </c>
      <c r="E3108">
        <v>14</v>
      </c>
      <c r="F3108">
        <v>1014</v>
      </c>
      <c r="G3108" t="s">
        <v>121</v>
      </c>
      <c r="J3108" t="s">
        <v>122</v>
      </c>
      <c r="K3108">
        <v>0</v>
      </c>
      <c r="L3108">
        <v>3</v>
      </c>
      <c r="M3108">
        <v>0</v>
      </c>
      <c r="N3108">
        <v>2</v>
      </c>
      <c r="O3108">
        <v>0</v>
      </c>
      <c r="P3108">
        <v>1</v>
      </c>
      <c r="Q3108">
        <v>0</v>
      </c>
      <c r="S3108" t="str">
        <f t="shared" si="929"/>
        <v>22:23:13.000</v>
      </c>
      <c r="T3108" t="str">
        <f t="shared" si="929"/>
        <v>22:23:13.000</v>
      </c>
      <c r="U3108" t="str">
        <f t="shared" si="918"/>
        <v>A9D71F</v>
      </c>
      <c r="V3108">
        <v>0</v>
      </c>
      <c r="W3108">
        <v>0</v>
      </c>
      <c r="X3108">
        <v>2</v>
      </c>
      <c r="Z3108">
        <v>1</v>
      </c>
      <c r="AA3108">
        <v>8</v>
      </c>
      <c r="AB3108">
        <v>3</v>
      </c>
      <c r="AC3108">
        <v>0</v>
      </c>
      <c r="AD3108">
        <v>9</v>
      </c>
      <c r="AE3108">
        <v>0</v>
      </c>
      <c r="AF3108">
        <v>3</v>
      </c>
      <c r="AG3108">
        <v>1</v>
      </c>
      <c r="AH3108">
        <v>0</v>
      </c>
      <c r="AI3108" t="s">
        <v>1524</v>
      </c>
      <c r="AJ3108">
        <v>32.969347999999997</v>
      </c>
      <c r="AK3108" t="s">
        <v>1525</v>
      </c>
      <c r="AL3108">
        <v>-97.666203999999993</v>
      </c>
      <c r="AM3108">
        <v>25</v>
      </c>
      <c r="AN3108">
        <v>1000</v>
      </c>
      <c r="AO3108" t="s">
        <v>118</v>
      </c>
      <c r="AP3108">
        <v>33</v>
      </c>
      <c r="AQ3108">
        <v>-63</v>
      </c>
      <c r="AR3108">
        <v>0</v>
      </c>
      <c r="AZ3108">
        <v>7700</v>
      </c>
      <c r="BA3108">
        <v>1</v>
      </c>
      <c r="BB3108" t="str">
        <f t="shared" si="925"/>
        <v xml:space="preserve">N733KP  </v>
      </c>
      <c r="BC3108">
        <v>1</v>
      </c>
      <c r="BE3108">
        <v>0</v>
      </c>
      <c r="BF3108">
        <v>0</v>
      </c>
      <c r="BG3108">
        <v>1</v>
      </c>
      <c r="BH3108">
        <v>875</v>
      </c>
      <c r="BI3108">
        <v>1</v>
      </c>
      <c r="BJ3108">
        <v>1</v>
      </c>
      <c r="BK3108">
        <v>0</v>
      </c>
      <c r="BL3108">
        <v>0</v>
      </c>
      <c r="BO3108">
        <v>0</v>
      </c>
      <c r="BP3108">
        <v>0</v>
      </c>
      <c r="BW3108" t="str">
        <f>"22:23:13.861"</f>
        <v>22:23:13.861</v>
      </c>
      <c r="CJ3108">
        <v>0</v>
      </c>
      <c r="CK3108">
        <v>2</v>
      </c>
      <c r="CL3108">
        <v>0</v>
      </c>
      <c r="CM3108">
        <v>2</v>
      </c>
      <c r="CN3108">
        <v>0</v>
      </c>
      <c r="CO3108">
        <v>4</v>
      </c>
      <c r="CP3108" t="s">
        <v>119</v>
      </c>
      <c r="CQ3108">
        <v>364</v>
      </c>
      <c r="CR3108">
        <v>0</v>
      </c>
      <c r="CW3108">
        <v>1486651</v>
      </c>
      <c r="CY3108">
        <v>1</v>
      </c>
      <c r="CZ3108">
        <v>0</v>
      </c>
      <c r="DA3108">
        <v>1</v>
      </c>
      <c r="DB3108">
        <v>0</v>
      </c>
      <c r="DC3108">
        <v>0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3">
      <c r="A3109" t="str">
        <f>"03/24/2022 22:23:14.179"</f>
        <v>03/24/2022 22:23:14.179</v>
      </c>
      <c r="C3109" t="str">
        <f t="shared" si="924"/>
        <v>FFDFD3C0</v>
      </c>
      <c r="D3109" t="s">
        <v>123</v>
      </c>
      <c r="E3109">
        <v>8</v>
      </c>
      <c r="H3109">
        <v>31</v>
      </c>
      <c r="I3109" t="s">
        <v>124</v>
      </c>
      <c r="J3109" t="s">
        <v>125</v>
      </c>
      <c r="K3109">
        <v>0</v>
      </c>
      <c r="L3109">
        <v>3</v>
      </c>
      <c r="M3109">
        <v>0</v>
      </c>
      <c r="N3109">
        <v>2</v>
      </c>
      <c r="O3109">
        <v>0</v>
      </c>
      <c r="P3109">
        <v>1</v>
      </c>
      <c r="Q3109">
        <v>0</v>
      </c>
      <c r="S3109" t="str">
        <f t="shared" si="929"/>
        <v>22:23:13.000</v>
      </c>
      <c r="T3109" t="str">
        <f t="shared" si="929"/>
        <v>22:23:13.000</v>
      </c>
      <c r="U3109" t="str">
        <f t="shared" si="918"/>
        <v>A9D71F</v>
      </c>
      <c r="V3109">
        <v>0</v>
      </c>
      <c r="W3109">
        <v>0</v>
      </c>
      <c r="X3109">
        <v>2</v>
      </c>
      <c r="Z3109">
        <v>1</v>
      </c>
      <c r="AA3109">
        <v>8</v>
      </c>
      <c r="AB3109">
        <v>3</v>
      </c>
      <c r="AC3109">
        <v>0</v>
      </c>
      <c r="AD3109">
        <v>9</v>
      </c>
      <c r="AE3109">
        <v>0</v>
      </c>
      <c r="AF3109">
        <v>3</v>
      </c>
      <c r="AG3109">
        <v>1</v>
      </c>
      <c r="AH3109">
        <v>0</v>
      </c>
      <c r="AI3109" t="s">
        <v>1524</v>
      </c>
      <c r="AJ3109">
        <v>32.969347999999997</v>
      </c>
      <c r="AK3109" t="s">
        <v>1525</v>
      </c>
      <c r="AL3109">
        <v>-97.666203999999993</v>
      </c>
      <c r="AM3109">
        <v>25</v>
      </c>
      <c r="AN3109">
        <v>1000</v>
      </c>
      <c r="AO3109" t="s">
        <v>118</v>
      </c>
      <c r="AP3109">
        <v>33</v>
      </c>
      <c r="AQ3109">
        <v>-63</v>
      </c>
      <c r="AR3109">
        <v>0</v>
      </c>
      <c r="AZ3109">
        <v>7700</v>
      </c>
      <c r="BA3109">
        <v>1</v>
      </c>
      <c r="BB3109" t="str">
        <f t="shared" si="925"/>
        <v xml:space="preserve">N733KP  </v>
      </c>
      <c r="BC3109">
        <v>1</v>
      </c>
      <c r="BE3109">
        <v>0</v>
      </c>
      <c r="BF3109">
        <v>0</v>
      </c>
      <c r="BG3109">
        <v>1</v>
      </c>
      <c r="BH3109">
        <v>875</v>
      </c>
      <c r="BI3109">
        <v>1</v>
      </c>
      <c r="BJ3109">
        <v>1</v>
      </c>
      <c r="BK3109">
        <v>0</v>
      </c>
      <c r="BL3109">
        <v>0</v>
      </c>
      <c r="BO3109">
        <v>0</v>
      </c>
      <c r="BP3109">
        <v>0</v>
      </c>
      <c r="BW3109" t="str">
        <f>"22:23:13.861"</f>
        <v>22:23:13.861</v>
      </c>
      <c r="CJ3109">
        <v>0</v>
      </c>
      <c r="CK3109">
        <v>2</v>
      </c>
      <c r="CL3109">
        <v>0</v>
      </c>
      <c r="CM3109">
        <v>2</v>
      </c>
      <c r="CN3109">
        <v>0</v>
      </c>
      <c r="CO3109">
        <v>4</v>
      </c>
      <c r="CP3109" t="s">
        <v>119</v>
      </c>
      <c r="CQ3109">
        <v>364</v>
      </c>
      <c r="CR3109">
        <v>0</v>
      </c>
      <c r="CW3109">
        <v>1486651</v>
      </c>
      <c r="CY3109">
        <v>1</v>
      </c>
      <c r="CZ3109">
        <v>0</v>
      </c>
      <c r="DA3109">
        <v>1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3">
      <c r="A3110" t="str">
        <f>"03/24/2022 22:23:14.179"</f>
        <v>03/24/2022 22:23:14.179</v>
      </c>
      <c r="C3110" t="str">
        <f t="shared" si="924"/>
        <v>FFDFD3C0</v>
      </c>
      <c r="D3110" t="s">
        <v>113</v>
      </c>
      <c r="E3110">
        <v>24</v>
      </c>
      <c r="F3110">
        <v>2024</v>
      </c>
      <c r="G3110" t="s">
        <v>114</v>
      </c>
      <c r="J3110" t="s">
        <v>115</v>
      </c>
      <c r="K3110">
        <v>0</v>
      </c>
      <c r="L3110">
        <v>3</v>
      </c>
      <c r="M3110">
        <v>0</v>
      </c>
      <c r="N3110">
        <v>2</v>
      </c>
      <c r="O3110">
        <v>0</v>
      </c>
      <c r="P3110">
        <v>1</v>
      </c>
      <c r="Q3110">
        <v>0</v>
      </c>
      <c r="S3110" t="str">
        <f t="shared" si="929"/>
        <v>22:23:13.000</v>
      </c>
      <c r="T3110" t="str">
        <f t="shared" si="929"/>
        <v>22:23:13.000</v>
      </c>
      <c r="U3110" t="str">
        <f t="shared" si="918"/>
        <v>A9D71F</v>
      </c>
      <c r="V3110">
        <v>0</v>
      </c>
      <c r="W3110">
        <v>0</v>
      </c>
      <c r="X3110">
        <v>2</v>
      </c>
      <c r="Z3110">
        <v>1</v>
      </c>
      <c r="AA3110">
        <v>8</v>
      </c>
      <c r="AB3110">
        <v>3</v>
      </c>
      <c r="AC3110">
        <v>0</v>
      </c>
      <c r="AD3110">
        <v>9</v>
      </c>
      <c r="AE3110">
        <v>0</v>
      </c>
      <c r="AF3110">
        <v>3</v>
      </c>
      <c r="AG3110">
        <v>1</v>
      </c>
      <c r="AH3110">
        <v>0</v>
      </c>
      <c r="AI3110" t="s">
        <v>1524</v>
      </c>
      <c r="AJ3110">
        <v>32.969347999999997</v>
      </c>
      <c r="AK3110" t="s">
        <v>1525</v>
      </c>
      <c r="AL3110">
        <v>-97.666203999999993</v>
      </c>
      <c r="AM3110">
        <v>25</v>
      </c>
      <c r="AN3110">
        <v>1000</v>
      </c>
      <c r="AO3110" t="s">
        <v>118</v>
      </c>
      <c r="AP3110">
        <v>33</v>
      </c>
      <c r="AQ3110">
        <v>-63</v>
      </c>
      <c r="AR3110">
        <v>0</v>
      </c>
      <c r="AZ3110">
        <v>7700</v>
      </c>
      <c r="BA3110">
        <v>1</v>
      </c>
      <c r="BB3110" t="str">
        <f t="shared" si="925"/>
        <v xml:space="preserve">N733KP  </v>
      </c>
      <c r="BC3110">
        <v>1</v>
      </c>
      <c r="BE3110">
        <v>0</v>
      </c>
      <c r="BF3110">
        <v>0</v>
      </c>
      <c r="BG3110">
        <v>1</v>
      </c>
      <c r="BH3110">
        <v>875</v>
      </c>
      <c r="BI3110">
        <v>1</v>
      </c>
      <c r="BJ3110">
        <v>1</v>
      </c>
      <c r="BK3110">
        <v>0</v>
      </c>
      <c r="BL3110">
        <v>0</v>
      </c>
      <c r="BO3110">
        <v>0</v>
      </c>
      <c r="BP3110">
        <v>0</v>
      </c>
      <c r="BW3110" t="str">
        <f>"22:23:13.861"</f>
        <v>22:23:13.861</v>
      </c>
      <c r="CJ3110">
        <v>0</v>
      </c>
      <c r="CK3110">
        <v>2</v>
      </c>
      <c r="CL3110">
        <v>0</v>
      </c>
      <c r="CM3110">
        <v>2</v>
      </c>
      <c r="CN3110">
        <v>0</v>
      </c>
      <c r="CO3110">
        <v>4</v>
      </c>
      <c r="CP3110" t="s">
        <v>119</v>
      </c>
      <c r="CQ3110">
        <v>364</v>
      </c>
      <c r="CR3110">
        <v>0</v>
      </c>
      <c r="CW3110">
        <v>1486651</v>
      </c>
      <c r="CY3110">
        <v>1</v>
      </c>
      <c r="CZ3110">
        <v>0</v>
      </c>
      <c r="DA3110">
        <v>1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3">
      <c r="A3111" t="str">
        <f>"03/24/2022 22:23:14.871"</f>
        <v>03/24/2022 22:23:14.871</v>
      </c>
      <c r="C3111" t="str">
        <f t="shared" si="924"/>
        <v>FFDFD3C0</v>
      </c>
      <c r="D3111" t="s">
        <v>126</v>
      </c>
      <c r="E3111">
        <v>3</v>
      </c>
      <c r="H3111">
        <v>160</v>
      </c>
      <c r="I3111" t="s">
        <v>121</v>
      </c>
      <c r="J3111" t="s">
        <v>127</v>
      </c>
      <c r="K3111">
        <v>0</v>
      </c>
      <c r="L3111">
        <v>3</v>
      </c>
      <c r="M3111">
        <v>0</v>
      </c>
      <c r="N3111">
        <v>2</v>
      </c>
      <c r="O3111">
        <v>0</v>
      </c>
      <c r="P3111">
        <v>1</v>
      </c>
      <c r="Q3111">
        <v>0</v>
      </c>
      <c r="S3111" t="str">
        <f t="shared" ref="S3111:T3114" si="930">"22:23:14.000"</f>
        <v>22:23:14.000</v>
      </c>
      <c r="T3111" t="str">
        <f t="shared" si="930"/>
        <v>22:23:14.000</v>
      </c>
      <c r="U3111" t="str">
        <f t="shared" si="918"/>
        <v>A9D71F</v>
      </c>
      <c r="V3111">
        <v>0</v>
      </c>
      <c r="W3111">
        <v>0</v>
      </c>
      <c r="X3111">
        <v>2</v>
      </c>
      <c r="Z3111">
        <v>1</v>
      </c>
      <c r="AA3111">
        <v>8</v>
      </c>
      <c r="AB3111">
        <v>3</v>
      </c>
      <c r="AC3111">
        <v>0</v>
      </c>
      <c r="AD3111">
        <v>9</v>
      </c>
      <c r="AE3111">
        <v>0</v>
      </c>
      <c r="AF3111">
        <v>3</v>
      </c>
      <c r="AG3111">
        <v>1</v>
      </c>
      <c r="AH3111">
        <v>0</v>
      </c>
      <c r="AI3111" t="s">
        <v>1526</v>
      </c>
      <c r="AJ3111">
        <v>32.969133999999997</v>
      </c>
      <c r="AK3111" t="s">
        <v>1418</v>
      </c>
      <c r="AL3111">
        <v>-97.666054000000003</v>
      </c>
      <c r="AM3111">
        <v>25</v>
      </c>
      <c r="AN3111">
        <v>1000</v>
      </c>
      <c r="AO3111" t="s">
        <v>118</v>
      </c>
      <c r="AP3111">
        <v>30</v>
      </c>
      <c r="AQ3111">
        <v>-66</v>
      </c>
      <c r="AR3111">
        <v>0</v>
      </c>
      <c r="AZ3111">
        <v>7700</v>
      </c>
      <c r="BA3111">
        <v>1</v>
      </c>
      <c r="BB3111" t="str">
        <f t="shared" si="925"/>
        <v xml:space="preserve">N733KP  </v>
      </c>
      <c r="BC3111">
        <v>1</v>
      </c>
      <c r="BE3111">
        <v>0</v>
      </c>
      <c r="BF3111">
        <v>0</v>
      </c>
      <c r="BG3111">
        <v>1</v>
      </c>
      <c r="BH3111">
        <v>875</v>
      </c>
      <c r="BI3111">
        <v>1</v>
      </c>
      <c r="BJ3111">
        <v>1</v>
      </c>
      <c r="BK3111">
        <v>0</v>
      </c>
      <c r="BL3111">
        <v>0</v>
      </c>
      <c r="BO3111">
        <v>0</v>
      </c>
      <c r="BP3111">
        <v>0</v>
      </c>
      <c r="BW3111" t="str">
        <f>"22:23:14.579"</f>
        <v>22:23:14.579</v>
      </c>
      <c r="CJ3111">
        <v>0</v>
      </c>
      <c r="CK3111">
        <v>2</v>
      </c>
      <c r="CL3111">
        <v>0</v>
      </c>
      <c r="CM3111">
        <v>2</v>
      </c>
      <c r="CN3111">
        <v>0</v>
      </c>
      <c r="CO3111">
        <v>5</v>
      </c>
      <c r="CP3111" t="s">
        <v>119</v>
      </c>
      <c r="CQ3111">
        <v>364</v>
      </c>
      <c r="CR3111">
        <v>0</v>
      </c>
      <c r="CW3111">
        <v>1486736</v>
      </c>
      <c r="CY3111">
        <v>1</v>
      </c>
      <c r="CZ3111">
        <v>0</v>
      </c>
      <c r="DA3111">
        <v>0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3">
      <c r="A3112" t="str">
        <f>"03/24/2022 22:23:14.871"</f>
        <v>03/24/2022 22:23:14.871</v>
      </c>
      <c r="C3112" t="str">
        <f t="shared" si="924"/>
        <v>FFDFD3C0</v>
      </c>
      <c r="D3112" t="s">
        <v>120</v>
      </c>
      <c r="E3112">
        <v>14</v>
      </c>
      <c r="F3112">
        <v>1014</v>
      </c>
      <c r="G3112" t="s">
        <v>121</v>
      </c>
      <c r="J3112" t="s">
        <v>122</v>
      </c>
      <c r="K3112">
        <v>0</v>
      </c>
      <c r="L3112">
        <v>3</v>
      </c>
      <c r="M3112">
        <v>0</v>
      </c>
      <c r="N3112">
        <v>2</v>
      </c>
      <c r="O3112">
        <v>0</v>
      </c>
      <c r="P3112">
        <v>1</v>
      </c>
      <c r="Q3112">
        <v>0</v>
      </c>
      <c r="S3112" t="str">
        <f t="shared" si="930"/>
        <v>22:23:14.000</v>
      </c>
      <c r="T3112" t="str">
        <f t="shared" si="930"/>
        <v>22:23:14.000</v>
      </c>
      <c r="U3112" t="str">
        <f t="shared" si="918"/>
        <v>A9D71F</v>
      </c>
      <c r="V3112">
        <v>0</v>
      </c>
      <c r="W3112">
        <v>0</v>
      </c>
      <c r="X3112">
        <v>2</v>
      </c>
      <c r="Z3112">
        <v>1</v>
      </c>
      <c r="AA3112">
        <v>8</v>
      </c>
      <c r="AB3112">
        <v>3</v>
      </c>
      <c r="AC3112">
        <v>0</v>
      </c>
      <c r="AD3112">
        <v>9</v>
      </c>
      <c r="AE3112">
        <v>0</v>
      </c>
      <c r="AF3112">
        <v>3</v>
      </c>
      <c r="AG3112">
        <v>1</v>
      </c>
      <c r="AH3112">
        <v>0</v>
      </c>
      <c r="AI3112" t="s">
        <v>1526</v>
      </c>
      <c r="AJ3112">
        <v>32.969133999999997</v>
      </c>
      <c r="AK3112" t="s">
        <v>1418</v>
      </c>
      <c r="AL3112">
        <v>-97.666054000000003</v>
      </c>
      <c r="AM3112">
        <v>25</v>
      </c>
      <c r="AN3112">
        <v>1000</v>
      </c>
      <c r="AO3112" t="s">
        <v>118</v>
      </c>
      <c r="AP3112">
        <v>30</v>
      </c>
      <c r="AQ3112">
        <v>-66</v>
      </c>
      <c r="AR3112">
        <v>0</v>
      </c>
      <c r="AZ3112">
        <v>7700</v>
      </c>
      <c r="BA3112">
        <v>1</v>
      </c>
      <c r="BB3112" t="str">
        <f t="shared" si="925"/>
        <v xml:space="preserve">N733KP  </v>
      </c>
      <c r="BC3112">
        <v>1</v>
      </c>
      <c r="BE3112">
        <v>0</v>
      </c>
      <c r="BF3112">
        <v>0</v>
      </c>
      <c r="BG3112">
        <v>1</v>
      </c>
      <c r="BH3112">
        <v>875</v>
      </c>
      <c r="BI3112">
        <v>1</v>
      </c>
      <c r="BJ3112">
        <v>1</v>
      </c>
      <c r="BK3112">
        <v>0</v>
      </c>
      <c r="BL3112">
        <v>0</v>
      </c>
      <c r="BO3112">
        <v>0</v>
      </c>
      <c r="BP3112">
        <v>0</v>
      </c>
      <c r="BW3112" t="str">
        <f>"22:23:14.579"</f>
        <v>22:23:14.579</v>
      </c>
      <c r="CJ3112">
        <v>0</v>
      </c>
      <c r="CK3112">
        <v>2</v>
      </c>
      <c r="CL3112">
        <v>0</v>
      </c>
      <c r="CM3112">
        <v>2</v>
      </c>
      <c r="CN3112">
        <v>0</v>
      </c>
      <c r="CO3112">
        <v>5</v>
      </c>
      <c r="CP3112" t="s">
        <v>119</v>
      </c>
      <c r="CQ3112">
        <v>364</v>
      </c>
      <c r="CR3112">
        <v>0</v>
      </c>
      <c r="CW3112">
        <v>1486736</v>
      </c>
      <c r="CY3112">
        <v>1</v>
      </c>
      <c r="CZ3112">
        <v>0</v>
      </c>
      <c r="DA3112">
        <v>1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3">
      <c r="A3113" t="str">
        <f>"03/24/2022 22:23:14.871"</f>
        <v>03/24/2022 22:23:14.871</v>
      </c>
      <c r="C3113" t="str">
        <f t="shared" si="924"/>
        <v>FFDFD3C0</v>
      </c>
      <c r="D3113" t="s">
        <v>123</v>
      </c>
      <c r="E3113">
        <v>8</v>
      </c>
      <c r="H3113">
        <v>31</v>
      </c>
      <c r="I3113" t="s">
        <v>124</v>
      </c>
      <c r="J3113" t="s">
        <v>125</v>
      </c>
      <c r="K3113">
        <v>0</v>
      </c>
      <c r="L3113">
        <v>3</v>
      </c>
      <c r="M3113">
        <v>0</v>
      </c>
      <c r="N3113">
        <v>2</v>
      </c>
      <c r="O3113">
        <v>0</v>
      </c>
      <c r="P3113">
        <v>1</v>
      </c>
      <c r="Q3113">
        <v>0</v>
      </c>
      <c r="S3113" t="str">
        <f t="shared" si="930"/>
        <v>22:23:14.000</v>
      </c>
      <c r="T3113" t="str">
        <f t="shared" si="930"/>
        <v>22:23:14.000</v>
      </c>
      <c r="U3113" t="str">
        <f t="shared" si="918"/>
        <v>A9D71F</v>
      </c>
      <c r="V3113">
        <v>0</v>
      </c>
      <c r="W3113">
        <v>0</v>
      </c>
      <c r="X3113">
        <v>2</v>
      </c>
      <c r="Z3113">
        <v>1</v>
      </c>
      <c r="AA3113">
        <v>8</v>
      </c>
      <c r="AB3113">
        <v>3</v>
      </c>
      <c r="AC3113">
        <v>0</v>
      </c>
      <c r="AD3113">
        <v>9</v>
      </c>
      <c r="AE3113">
        <v>0</v>
      </c>
      <c r="AF3113">
        <v>3</v>
      </c>
      <c r="AG3113">
        <v>1</v>
      </c>
      <c r="AH3113">
        <v>0</v>
      </c>
      <c r="AI3113" t="s">
        <v>1526</v>
      </c>
      <c r="AJ3113">
        <v>32.969133999999997</v>
      </c>
      <c r="AK3113" t="s">
        <v>1418</v>
      </c>
      <c r="AL3113">
        <v>-97.666054000000003</v>
      </c>
      <c r="AM3113">
        <v>25</v>
      </c>
      <c r="AN3113">
        <v>1000</v>
      </c>
      <c r="AO3113" t="s">
        <v>118</v>
      </c>
      <c r="AP3113">
        <v>30</v>
      </c>
      <c r="AQ3113">
        <v>-66</v>
      </c>
      <c r="AR3113">
        <v>0</v>
      </c>
      <c r="AZ3113">
        <v>7700</v>
      </c>
      <c r="BA3113">
        <v>1</v>
      </c>
      <c r="BB3113" t="str">
        <f t="shared" si="925"/>
        <v xml:space="preserve">N733KP  </v>
      </c>
      <c r="BC3113">
        <v>1</v>
      </c>
      <c r="BE3113">
        <v>0</v>
      </c>
      <c r="BF3113">
        <v>0</v>
      </c>
      <c r="BG3113">
        <v>1</v>
      </c>
      <c r="BH3113">
        <v>875</v>
      </c>
      <c r="BI3113">
        <v>1</v>
      </c>
      <c r="BJ3113">
        <v>1</v>
      </c>
      <c r="BK3113">
        <v>0</v>
      </c>
      <c r="BL3113">
        <v>0</v>
      </c>
      <c r="BO3113">
        <v>0</v>
      </c>
      <c r="BP3113">
        <v>0</v>
      </c>
      <c r="BW3113" t="str">
        <f>"22:23:14.579"</f>
        <v>22:23:14.579</v>
      </c>
      <c r="CJ3113">
        <v>0</v>
      </c>
      <c r="CK3113">
        <v>2</v>
      </c>
      <c r="CL3113">
        <v>0</v>
      </c>
      <c r="CM3113">
        <v>2</v>
      </c>
      <c r="CN3113">
        <v>0</v>
      </c>
      <c r="CO3113">
        <v>5</v>
      </c>
      <c r="CP3113" t="s">
        <v>119</v>
      </c>
      <c r="CQ3113">
        <v>364</v>
      </c>
      <c r="CR3113">
        <v>0</v>
      </c>
      <c r="CW3113">
        <v>1486736</v>
      </c>
      <c r="CY3113">
        <v>1</v>
      </c>
      <c r="CZ3113">
        <v>0</v>
      </c>
      <c r="DA3113">
        <v>1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3">
      <c r="A3114" t="str">
        <f>"03/24/2022 22:23:14.871"</f>
        <v>03/24/2022 22:23:14.871</v>
      </c>
      <c r="C3114" t="str">
        <f t="shared" si="924"/>
        <v>FFDFD3C0</v>
      </c>
      <c r="D3114" t="s">
        <v>113</v>
      </c>
      <c r="E3114">
        <v>24</v>
      </c>
      <c r="F3114">
        <v>2024</v>
      </c>
      <c r="G3114" t="s">
        <v>114</v>
      </c>
      <c r="J3114" t="s">
        <v>115</v>
      </c>
      <c r="K3114">
        <v>0</v>
      </c>
      <c r="L3114">
        <v>3</v>
      </c>
      <c r="M3114">
        <v>0</v>
      </c>
      <c r="N3114">
        <v>2</v>
      </c>
      <c r="O3114">
        <v>0</v>
      </c>
      <c r="P3114">
        <v>1</v>
      </c>
      <c r="Q3114">
        <v>0</v>
      </c>
      <c r="S3114" t="str">
        <f t="shared" si="930"/>
        <v>22:23:14.000</v>
      </c>
      <c r="T3114" t="str">
        <f t="shared" si="930"/>
        <v>22:23:14.000</v>
      </c>
      <c r="U3114" t="str">
        <f t="shared" si="918"/>
        <v>A9D71F</v>
      </c>
      <c r="V3114">
        <v>0</v>
      </c>
      <c r="W3114">
        <v>0</v>
      </c>
      <c r="X3114">
        <v>2</v>
      </c>
      <c r="Z3114">
        <v>1</v>
      </c>
      <c r="AA3114">
        <v>8</v>
      </c>
      <c r="AB3114">
        <v>3</v>
      </c>
      <c r="AC3114">
        <v>0</v>
      </c>
      <c r="AD3114">
        <v>9</v>
      </c>
      <c r="AE3114">
        <v>0</v>
      </c>
      <c r="AF3114">
        <v>3</v>
      </c>
      <c r="AG3114">
        <v>1</v>
      </c>
      <c r="AH3114">
        <v>0</v>
      </c>
      <c r="AI3114" t="s">
        <v>1526</v>
      </c>
      <c r="AJ3114">
        <v>32.969133999999997</v>
      </c>
      <c r="AK3114" t="s">
        <v>1418</v>
      </c>
      <c r="AL3114">
        <v>-97.666054000000003</v>
      </c>
      <c r="AM3114">
        <v>25</v>
      </c>
      <c r="AN3114">
        <v>1000</v>
      </c>
      <c r="AO3114" t="s">
        <v>118</v>
      </c>
      <c r="AP3114">
        <v>30</v>
      </c>
      <c r="AQ3114">
        <v>-66</v>
      </c>
      <c r="AR3114">
        <v>0</v>
      </c>
      <c r="AZ3114">
        <v>7700</v>
      </c>
      <c r="BA3114">
        <v>1</v>
      </c>
      <c r="BB3114" t="str">
        <f t="shared" si="925"/>
        <v xml:space="preserve">N733KP  </v>
      </c>
      <c r="BC3114">
        <v>1</v>
      </c>
      <c r="BE3114">
        <v>0</v>
      </c>
      <c r="BF3114">
        <v>0</v>
      </c>
      <c r="BG3114">
        <v>1</v>
      </c>
      <c r="BH3114">
        <v>875</v>
      </c>
      <c r="BI3114">
        <v>1</v>
      </c>
      <c r="BJ3114">
        <v>1</v>
      </c>
      <c r="BK3114">
        <v>0</v>
      </c>
      <c r="BL3114">
        <v>0</v>
      </c>
      <c r="BO3114">
        <v>0</v>
      </c>
      <c r="BP3114">
        <v>0</v>
      </c>
      <c r="BW3114" t="str">
        <f>"22:23:14.579"</f>
        <v>22:23:14.579</v>
      </c>
      <c r="CJ3114">
        <v>0</v>
      </c>
      <c r="CK3114">
        <v>2</v>
      </c>
      <c r="CL3114">
        <v>0</v>
      </c>
      <c r="CM3114">
        <v>2</v>
      </c>
      <c r="CN3114">
        <v>0</v>
      </c>
      <c r="CO3114">
        <v>5</v>
      </c>
      <c r="CP3114" t="s">
        <v>119</v>
      </c>
      <c r="CQ3114">
        <v>364</v>
      </c>
      <c r="CR3114">
        <v>0</v>
      </c>
      <c r="CW3114">
        <v>1486736</v>
      </c>
      <c r="CY3114">
        <v>1</v>
      </c>
      <c r="CZ3114">
        <v>0</v>
      </c>
      <c r="DA3114">
        <v>1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3">
      <c r="A3115" t="str">
        <f>"03/24/2022 22:23:15.637"</f>
        <v>03/24/2022 22:23:15.637</v>
      </c>
      <c r="C3115" t="str">
        <f t="shared" si="924"/>
        <v>FFDFD3C0</v>
      </c>
      <c r="D3115" t="s">
        <v>120</v>
      </c>
      <c r="E3115">
        <v>14</v>
      </c>
      <c r="F3115">
        <v>1014</v>
      </c>
      <c r="G3115" t="s">
        <v>121</v>
      </c>
      <c r="J3115" t="s">
        <v>122</v>
      </c>
      <c r="K3115">
        <v>0</v>
      </c>
      <c r="L3115">
        <v>3</v>
      </c>
      <c r="M3115">
        <v>0</v>
      </c>
      <c r="N3115">
        <v>2</v>
      </c>
      <c r="O3115">
        <v>0</v>
      </c>
      <c r="P3115">
        <v>1</v>
      </c>
      <c r="Q3115">
        <v>0</v>
      </c>
      <c r="S3115" t="str">
        <f t="shared" ref="S3115:T3118" si="931">"22:23:15.000"</f>
        <v>22:23:15.000</v>
      </c>
      <c r="T3115" t="str">
        <f t="shared" si="931"/>
        <v>22:23:15.000</v>
      </c>
      <c r="U3115" t="str">
        <f t="shared" si="918"/>
        <v>A9D71F</v>
      </c>
      <c r="V3115">
        <v>0</v>
      </c>
      <c r="W3115">
        <v>0</v>
      </c>
      <c r="X3115">
        <v>2</v>
      </c>
      <c r="Z3115">
        <v>1</v>
      </c>
      <c r="AA3115">
        <v>8</v>
      </c>
      <c r="AB3115">
        <v>3</v>
      </c>
      <c r="AC3115">
        <v>0</v>
      </c>
      <c r="AD3115">
        <v>9</v>
      </c>
      <c r="AE3115">
        <v>0</v>
      </c>
      <c r="AF3115">
        <v>3</v>
      </c>
      <c r="AG3115">
        <v>1</v>
      </c>
      <c r="AH3115">
        <v>0</v>
      </c>
      <c r="AI3115" t="s">
        <v>1527</v>
      </c>
      <c r="AJ3115">
        <v>32.968876000000002</v>
      </c>
      <c r="AK3115" t="s">
        <v>1528</v>
      </c>
      <c r="AL3115">
        <v>-97.665903999999998</v>
      </c>
      <c r="AM3115">
        <v>25</v>
      </c>
      <c r="AN3115">
        <v>1000</v>
      </c>
      <c r="AO3115" t="s">
        <v>118</v>
      </c>
      <c r="AP3115">
        <v>30</v>
      </c>
      <c r="AQ3115">
        <v>-65</v>
      </c>
      <c r="AR3115">
        <v>0</v>
      </c>
      <c r="AZ3115">
        <v>7700</v>
      </c>
      <c r="BA3115">
        <v>1</v>
      </c>
      <c r="BB3115" t="str">
        <f t="shared" si="925"/>
        <v xml:space="preserve">N733KP  </v>
      </c>
      <c r="BC3115">
        <v>1</v>
      </c>
      <c r="BE3115">
        <v>0</v>
      </c>
      <c r="BF3115">
        <v>0</v>
      </c>
      <c r="BG3115">
        <v>1</v>
      </c>
      <c r="BH3115">
        <v>875</v>
      </c>
      <c r="BI3115">
        <v>1</v>
      </c>
      <c r="BJ3115">
        <v>1</v>
      </c>
      <c r="BK3115">
        <v>0</v>
      </c>
      <c r="BL3115">
        <v>0</v>
      </c>
      <c r="BO3115">
        <v>0</v>
      </c>
      <c r="BP3115">
        <v>0</v>
      </c>
      <c r="BW3115" t="str">
        <f>"22:23:15.377"</f>
        <v>22:23:15.377</v>
      </c>
      <c r="CJ3115">
        <v>0</v>
      </c>
      <c r="CK3115">
        <v>2</v>
      </c>
      <c r="CL3115">
        <v>0</v>
      </c>
      <c r="CM3115">
        <v>2</v>
      </c>
      <c r="CN3115">
        <v>0</v>
      </c>
      <c r="CO3115">
        <v>3</v>
      </c>
      <c r="CP3115" t="s">
        <v>119</v>
      </c>
      <c r="CQ3115">
        <v>364</v>
      </c>
      <c r="CR3115">
        <v>0</v>
      </c>
      <c r="CW3115">
        <v>1486840</v>
      </c>
      <c r="CY3115">
        <v>1</v>
      </c>
      <c r="CZ3115">
        <v>0</v>
      </c>
      <c r="DA3115">
        <v>0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3">
      <c r="A3116" t="str">
        <f>"03/24/2022 22:23:15.699"</f>
        <v>03/24/2022 22:23:15.699</v>
      </c>
      <c r="C3116" t="str">
        <f t="shared" si="924"/>
        <v>FFDFD3C0</v>
      </c>
      <c r="D3116" t="s">
        <v>123</v>
      </c>
      <c r="E3116">
        <v>8</v>
      </c>
      <c r="H3116">
        <v>31</v>
      </c>
      <c r="I3116" t="s">
        <v>124</v>
      </c>
      <c r="J3116" t="s">
        <v>125</v>
      </c>
      <c r="K3116">
        <v>0</v>
      </c>
      <c r="L3116">
        <v>3</v>
      </c>
      <c r="M3116">
        <v>0</v>
      </c>
      <c r="N3116">
        <v>2</v>
      </c>
      <c r="O3116">
        <v>0</v>
      </c>
      <c r="P3116">
        <v>1</v>
      </c>
      <c r="Q3116">
        <v>0</v>
      </c>
      <c r="S3116" t="str">
        <f t="shared" si="931"/>
        <v>22:23:15.000</v>
      </c>
      <c r="T3116" t="str">
        <f t="shared" si="931"/>
        <v>22:23:15.000</v>
      </c>
      <c r="U3116" t="str">
        <f t="shared" si="918"/>
        <v>A9D71F</v>
      </c>
      <c r="V3116">
        <v>0</v>
      </c>
      <c r="W3116">
        <v>0</v>
      </c>
      <c r="X3116">
        <v>2</v>
      </c>
      <c r="Z3116">
        <v>1</v>
      </c>
      <c r="AA3116">
        <v>8</v>
      </c>
      <c r="AB3116">
        <v>3</v>
      </c>
      <c r="AC3116">
        <v>0</v>
      </c>
      <c r="AD3116">
        <v>9</v>
      </c>
      <c r="AE3116">
        <v>0</v>
      </c>
      <c r="AF3116">
        <v>3</v>
      </c>
      <c r="AG3116">
        <v>1</v>
      </c>
      <c r="AH3116">
        <v>0</v>
      </c>
      <c r="AI3116" t="s">
        <v>1527</v>
      </c>
      <c r="AJ3116">
        <v>32.968876000000002</v>
      </c>
      <c r="AK3116" t="s">
        <v>1528</v>
      </c>
      <c r="AL3116">
        <v>-97.665903999999998</v>
      </c>
      <c r="AM3116">
        <v>25</v>
      </c>
      <c r="AN3116">
        <v>1000</v>
      </c>
      <c r="AO3116" t="s">
        <v>118</v>
      </c>
      <c r="AP3116">
        <v>30</v>
      </c>
      <c r="AQ3116">
        <v>-65</v>
      </c>
      <c r="AR3116">
        <v>0</v>
      </c>
      <c r="AZ3116">
        <v>7700</v>
      </c>
      <c r="BA3116">
        <v>1</v>
      </c>
      <c r="BB3116" t="str">
        <f t="shared" si="925"/>
        <v xml:space="preserve">N733KP  </v>
      </c>
      <c r="BC3116">
        <v>1</v>
      </c>
      <c r="BE3116">
        <v>0</v>
      </c>
      <c r="BF3116">
        <v>0</v>
      </c>
      <c r="BG3116">
        <v>1</v>
      </c>
      <c r="BH3116">
        <v>875</v>
      </c>
      <c r="BI3116">
        <v>1</v>
      </c>
      <c r="BJ3116">
        <v>1</v>
      </c>
      <c r="BK3116">
        <v>0</v>
      </c>
      <c r="BL3116">
        <v>0</v>
      </c>
      <c r="BO3116">
        <v>0</v>
      </c>
      <c r="BP3116">
        <v>0</v>
      </c>
      <c r="BW3116" t="str">
        <f>"22:23:15.377"</f>
        <v>22:23:15.377</v>
      </c>
      <c r="CJ3116">
        <v>0</v>
      </c>
      <c r="CK3116">
        <v>2</v>
      </c>
      <c r="CL3116">
        <v>0</v>
      </c>
      <c r="CM3116">
        <v>2</v>
      </c>
      <c r="CN3116">
        <v>0</v>
      </c>
      <c r="CO3116">
        <v>3</v>
      </c>
      <c r="CP3116" t="s">
        <v>119</v>
      </c>
      <c r="CQ3116">
        <v>364</v>
      </c>
      <c r="CR3116">
        <v>0</v>
      </c>
      <c r="CW3116">
        <v>1486840</v>
      </c>
      <c r="CY3116">
        <v>1</v>
      </c>
      <c r="CZ3116">
        <v>0</v>
      </c>
      <c r="DA3116">
        <v>1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3">
      <c r="A3117" t="str">
        <f>"03/24/2022 22:23:15.699"</f>
        <v>03/24/2022 22:23:15.699</v>
      </c>
      <c r="C3117" t="str">
        <f t="shared" si="924"/>
        <v>FFDFD3C0</v>
      </c>
      <c r="D3117" t="s">
        <v>113</v>
      </c>
      <c r="E3117">
        <v>24</v>
      </c>
      <c r="F3117">
        <v>2024</v>
      </c>
      <c r="G3117" t="s">
        <v>114</v>
      </c>
      <c r="J3117" t="s">
        <v>115</v>
      </c>
      <c r="K3117">
        <v>0</v>
      </c>
      <c r="L3117">
        <v>3</v>
      </c>
      <c r="M3117">
        <v>0</v>
      </c>
      <c r="N3117">
        <v>2</v>
      </c>
      <c r="O3117">
        <v>0</v>
      </c>
      <c r="P3117">
        <v>1</v>
      </c>
      <c r="Q3117">
        <v>0</v>
      </c>
      <c r="S3117" t="str">
        <f t="shared" si="931"/>
        <v>22:23:15.000</v>
      </c>
      <c r="T3117" t="str">
        <f t="shared" si="931"/>
        <v>22:23:15.000</v>
      </c>
      <c r="U3117" t="str">
        <f t="shared" si="918"/>
        <v>A9D71F</v>
      </c>
      <c r="V3117">
        <v>0</v>
      </c>
      <c r="W3117">
        <v>0</v>
      </c>
      <c r="X3117">
        <v>2</v>
      </c>
      <c r="Z3117">
        <v>1</v>
      </c>
      <c r="AA3117">
        <v>8</v>
      </c>
      <c r="AB3117">
        <v>3</v>
      </c>
      <c r="AC3117">
        <v>0</v>
      </c>
      <c r="AD3117">
        <v>9</v>
      </c>
      <c r="AE3117">
        <v>0</v>
      </c>
      <c r="AF3117">
        <v>3</v>
      </c>
      <c r="AG3117">
        <v>1</v>
      </c>
      <c r="AH3117">
        <v>0</v>
      </c>
      <c r="AI3117" t="s">
        <v>1527</v>
      </c>
      <c r="AJ3117">
        <v>32.968876000000002</v>
      </c>
      <c r="AK3117" t="s">
        <v>1528</v>
      </c>
      <c r="AL3117">
        <v>-97.665903999999998</v>
      </c>
      <c r="AM3117">
        <v>25</v>
      </c>
      <c r="AN3117">
        <v>1000</v>
      </c>
      <c r="AO3117" t="s">
        <v>118</v>
      </c>
      <c r="AP3117">
        <v>30</v>
      </c>
      <c r="AQ3117">
        <v>-65</v>
      </c>
      <c r="AR3117">
        <v>0</v>
      </c>
      <c r="AZ3117">
        <v>7700</v>
      </c>
      <c r="BA3117">
        <v>1</v>
      </c>
      <c r="BB3117" t="str">
        <f t="shared" si="925"/>
        <v xml:space="preserve">N733KP  </v>
      </c>
      <c r="BC3117">
        <v>1</v>
      </c>
      <c r="BE3117">
        <v>0</v>
      </c>
      <c r="BF3117">
        <v>0</v>
      </c>
      <c r="BG3117">
        <v>1</v>
      </c>
      <c r="BH3117">
        <v>875</v>
      </c>
      <c r="BI3117">
        <v>1</v>
      </c>
      <c r="BJ3117">
        <v>1</v>
      </c>
      <c r="BK3117">
        <v>0</v>
      </c>
      <c r="BL3117">
        <v>0</v>
      </c>
      <c r="BO3117">
        <v>0</v>
      </c>
      <c r="BP3117">
        <v>0</v>
      </c>
      <c r="BW3117" t="str">
        <f>"22:23:15.377"</f>
        <v>22:23:15.377</v>
      </c>
      <c r="CJ3117">
        <v>0</v>
      </c>
      <c r="CK3117">
        <v>2</v>
      </c>
      <c r="CL3117">
        <v>0</v>
      </c>
      <c r="CM3117">
        <v>2</v>
      </c>
      <c r="CN3117">
        <v>0</v>
      </c>
      <c r="CO3117">
        <v>3</v>
      </c>
      <c r="CP3117" t="s">
        <v>119</v>
      </c>
      <c r="CQ3117">
        <v>364</v>
      </c>
      <c r="CR3117">
        <v>0</v>
      </c>
      <c r="CW3117">
        <v>1486840</v>
      </c>
      <c r="CY3117">
        <v>1</v>
      </c>
      <c r="CZ3117">
        <v>0</v>
      </c>
      <c r="DA3117">
        <v>1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3">
      <c r="A3118" t="str">
        <f>"03/24/2022 22:23:15.699"</f>
        <v>03/24/2022 22:23:15.699</v>
      </c>
      <c r="C3118" t="str">
        <f t="shared" si="924"/>
        <v>FFDFD3C0</v>
      </c>
      <c r="D3118" t="s">
        <v>126</v>
      </c>
      <c r="E3118">
        <v>3</v>
      </c>
      <c r="H3118">
        <v>160</v>
      </c>
      <c r="I3118" t="s">
        <v>121</v>
      </c>
      <c r="J3118" t="s">
        <v>127</v>
      </c>
      <c r="K3118">
        <v>0</v>
      </c>
      <c r="L3118">
        <v>3</v>
      </c>
      <c r="M3118">
        <v>0</v>
      </c>
      <c r="N3118">
        <v>2</v>
      </c>
      <c r="O3118">
        <v>0</v>
      </c>
      <c r="P3118">
        <v>1</v>
      </c>
      <c r="Q3118">
        <v>0</v>
      </c>
      <c r="S3118" t="str">
        <f t="shared" si="931"/>
        <v>22:23:15.000</v>
      </c>
      <c r="T3118" t="str">
        <f t="shared" si="931"/>
        <v>22:23:15.000</v>
      </c>
      <c r="U3118" t="str">
        <f t="shared" si="918"/>
        <v>A9D71F</v>
      </c>
      <c r="V3118">
        <v>0</v>
      </c>
      <c r="W3118">
        <v>0</v>
      </c>
      <c r="X3118">
        <v>2</v>
      </c>
      <c r="Z3118">
        <v>1</v>
      </c>
      <c r="AA3118">
        <v>8</v>
      </c>
      <c r="AB3118">
        <v>3</v>
      </c>
      <c r="AC3118">
        <v>0</v>
      </c>
      <c r="AD3118">
        <v>9</v>
      </c>
      <c r="AE3118">
        <v>0</v>
      </c>
      <c r="AF3118">
        <v>3</v>
      </c>
      <c r="AG3118">
        <v>1</v>
      </c>
      <c r="AH3118">
        <v>0</v>
      </c>
      <c r="AI3118" t="s">
        <v>1527</v>
      </c>
      <c r="AJ3118">
        <v>32.968876000000002</v>
      </c>
      <c r="AK3118" t="s">
        <v>1528</v>
      </c>
      <c r="AL3118">
        <v>-97.665903999999998</v>
      </c>
      <c r="AM3118">
        <v>25</v>
      </c>
      <c r="AN3118">
        <v>1000</v>
      </c>
      <c r="AO3118" t="s">
        <v>118</v>
      </c>
      <c r="AP3118">
        <v>30</v>
      </c>
      <c r="AQ3118">
        <v>-65</v>
      </c>
      <c r="AR3118">
        <v>0</v>
      </c>
      <c r="AZ3118">
        <v>7700</v>
      </c>
      <c r="BA3118">
        <v>1</v>
      </c>
      <c r="BB3118" t="str">
        <f t="shared" si="925"/>
        <v xml:space="preserve">N733KP  </v>
      </c>
      <c r="BC3118">
        <v>1</v>
      </c>
      <c r="BE3118">
        <v>0</v>
      </c>
      <c r="BF3118">
        <v>0</v>
      </c>
      <c r="BG3118">
        <v>1</v>
      </c>
      <c r="BH3118">
        <v>875</v>
      </c>
      <c r="BI3118">
        <v>1</v>
      </c>
      <c r="BJ3118">
        <v>1</v>
      </c>
      <c r="BK3118">
        <v>0</v>
      </c>
      <c r="BL3118">
        <v>0</v>
      </c>
      <c r="BO3118">
        <v>0</v>
      </c>
      <c r="BP3118">
        <v>0</v>
      </c>
      <c r="BW3118" t="str">
        <f>"22:23:15.377"</f>
        <v>22:23:15.377</v>
      </c>
      <c r="CJ3118">
        <v>0</v>
      </c>
      <c r="CK3118">
        <v>2</v>
      </c>
      <c r="CL3118">
        <v>0</v>
      </c>
      <c r="CM3118">
        <v>2</v>
      </c>
      <c r="CN3118">
        <v>0</v>
      </c>
      <c r="CO3118">
        <v>3</v>
      </c>
      <c r="CP3118" t="s">
        <v>119</v>
      </c>
      <c r="CQ3118">
        <v>364</v>
      </c>
      <c r="CR3118">
        <v>0</v>
      </c>
      <c r="CW3118">
        <v>1486840</v>
      </c>
      <c r="CY3118">
        <v>1</v>
      </c>
      <c r="CZ3118">
        <v>0</v>
      </c>
      <c r="DA3118">
        <v>1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3">
      <c r="A3119" t="str">
        <f>"03/24/2022 22:23:17.372"</f>
        <v>03/24/2022 22:23:17.372</v>
      </c>
      <c r="C3119" t="str">
        <f t="shared" si="924"/>
        <v>FFDFD3C0</v>
      </c>
      <c r="D3119" t="s">
        <v>120</v>
      </c>
      <c r="E3119">
        <v>14</v>
      </c>
      <c r="F3119">
        <v>1014</v>
      </c>
      <c r="G3119" t="s">
        <v>121</v>
      </c>
      <c r="J3119" t="s">
        <v>122</v>
      </c>
      <c r="K3119">
        <v>0</v>
      </c>
      <c r="L3119">
        <v>3</v>
      </c>
      <c r="M3119">
        <v>0</v>
      </c>
      <c r="N3119">
        <v>2</v>
      </c>
      <c r="O3119">
        <v>0</v>
      </c>
      <c r="P3119">
        <v>1</v>
      </c>
      <c r="Q3119">
        <v>0</v>
      </c>
      <c r="S3119" t="str">
        <f t="shared" ref="S3119:T3122" si="932">"22:23:16.000"</f>
        <v>22:23:16.000</v>
      </c>
      <c r="T3119" t="str">
        <f t="shared" si="932"/>
        <v>22:23:16.000</v>
      </c>
      <c r="U3119" t="str">
        <f t="shared" si="918"/>
        <v>A9D71F</v>
      </c>
      <c r="V3119">
        <v>0</v>
      </c>
      <c r="W3119">
        <v>0</v>
      </c>
      <c r="X3119">
        <v>2</v>
      </c>
      <c r="Z3119">
        <v>1</v>
      </c>
      <c r="AA3119">
        <v>8</v>
      </c>
      <c r="AB3119">
        <v>3</v>
      </c>
      <c r="AC3119">
        <v>0</v>
      </c>
      <c r="AD3119">
        <v>9</v>
      </c>
      <c r="AE3119">
        <v>0</v>
      </c>
      <c r="AF3119">
        <v>3</v>
      </c>
      <c r="AG3119">
        <v>1</v>
      </c>
      <c r="AH3119">
        <v>0</v>
      </c>
      <c r="AI3119" t="s">
        <v>1529</v>
      </c>
      <c r="AJ3119">
        <v>32.968511999999997</v>
      </c>
      <c r="AK3119" t="s">
        <v>1530</v>
      </c>
      <c r="AL3119">
        <v>-97.665752999999995</v>
      </c>
      <c r="AM3119">
        <v>25</v>
      </c>
      <c r="AN3119">
        <v>1000</v>
      </c>
      <c r="AO3119" t="s">
        <v>118</v>
      </c>
      <c r="AP3119">
        <v>26</v>
      </c>
      <c r="AQ3119">
        <v>-65</v>
      </c>
      <c r="AR3119">
        <v>0</v>
      </c>
      <c r="AZ3119">
        <v>7700</v>
      </c>
      <c r="BA3119">
        <v>1</v>
      </c>
      <c r="BB3119" t="str">
        <f t="shared" si="925"/>
        <v xml:space="preserve">N733KP  </v>
      </c>
      <c r="BC3119">
        <v>1</v>
      </c>
      <c r="BE3119">
        <v>0</v>
      </c>
      <c r="BF3119">
        <v>0</v>
      </c>
      <c r="BG3119">
        <v>1</v>
      </c>
      <c r="BH3119">
        <v>875</v>
      </c>
      <c r="BI3119">
        <v>1</v>
      </c>
      <c r="BJ3119">
        <v>1</v>
      </c>
      <c r="BK3119">
        <v>0</v>
      </c>
      <c r="BL3119">
        <v>0</v>
      </c>
      <c r="BO3119">
        <v>0</v>
      </c>
      <c r="BP3119">
        <v>0</v>
      </c>
      <c r="BW3119" t="str">
        <f>"22:23:16.888"</f>
        <v>22:23:16.888</v>
      </c>
      <c r="CJ3119">
        <v>0</v>
      </c>
      <c r="CK3119">
        <v>2</v>
      </c>
      <c r="CL3119">
        <v>0</v>
      </c>
      <c r="CM3119">
        <v>2</v>
      </c>
      <c r="CN3119">
        <v>0</v>
      </c>
      <c r="CO3119">
        <v>3</v>
      </c>
      <c r="CP3119" t="s">
        <v>119</v>
      </c>
      <c r="CQ3119">
        <v>364</v>
      </c>
      <c r="CR3119">
        <v>0</v>
      </c>
      <c r="CW3119">
        <v>1487075</v>
      </c>
      <c r="CY3119">
        <v>0</v>
      </c>
      <c r="CZ3119">
        <v>0</v>
      </c>
      <c r="DA3119">
        <v>0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3">
      <c r="A3120" t="str">
        <f>"03/24/2022 22:23:17.372"</f>
        <v>03/24/2022 22:23:17.372</v>
      </c>
      <c r="C3120" t="str">
        <f t="shared" si="924"/>
        <v>FFDFD3C0</v>
      </c>
      <c r="D3120" t="s">
        <v>123</v>
      </c>
      <c r="E3120">
        <v>8</v>
      </c>
      <c r="H3120">
        <v>31</v>
      </c>
      <c r="I3120" t="s">
        <v>124</v>
      </c>
      <c r="J3120" t="s">
        <v>125</v>
      </c>
      <c r="K3120">
        <v>0</v>
      </c>
      <c r="L3120">
        <v>3</v>
      </c>
      <c r="M3120">
        <v>0</v>
      </c>
      <c r="N3120">
        <v>2</v>
      </c>
      <c r="O3120">
        <v>0</v>
      </c>
      <c r="P3120">
        <v>1</v>
      </c>
      <c r="Q3120">
        <v>0</v>
      </c>
      <c r="S3120" t="str">
        <f t="shared" si="932"/>
        <v>22:23:16.000</v>
      </c>
      <c r="T3120" t="str">
        <f t="shared" si="932"/>
        <v>22:23:16.000</v>
      </c>
      <c r="U3120" t="str">
        <f t="shared" si="918"/>
        <v>A9D71F</v>
      </c>
      <c r="V3120">
        <v>0</v>
      </c>
      <c r="W3120">
        <v>0</v>
      </c>
      <c r="X3120">
        <v>2</v>
      </c>
      <c r="Z3120">
        <v>1</v>
      </c>
      <c r="AA3120">
        <v>8</v>
      </c>
      <c r="AB3120">
        <v>3</v>
      </c>
      <c r="AC3120">
        <v>0</v>
      </c>
      <c r="AD3120">
        <v>9</v>
      </c>
      <c r="AE3120">
        <v>0</v>
      </c>
      <c r="AF3120">
        <v>3</v>
      </c>
      <c r="AG3120">
        <v>1</v>
      </c>
      <c r="AH3120">
        <v>0</v>
      </c>
      <c r="AI3120" t="s">
        <v>1529</v>
      </c>
      <c r="AJ3120">
        <v>32.968511999999997</v>
      </c>
      <c r="AK3120" t="s">
        <v>1530</v>
      </c>
      <c r="AL3120">
        <v>-97.665752999999995</v>
      </c>
      <c r="AM3120">
        <v>25</v>
      </c>
      <c r="AN3120">
        <v>1000</v>
      </c>
      <c r="AO3120" t="s">
        <v>118</v>
      </c>
      <c r="AP3120">
        <v>26</v>
      </c>
      <c r="AQ3120">
        <v>-65</v>
      </c>
      <c r="AR3120">
        <v>0</v>
      </c>
      <c r="AZ3120">
        <v>7700</v>
      </c>
      <c r="BA3120">
        <v>1</v>
      </c>
      <c r="BB3120" t="str">
        <f t="shared" si="925"/>
        <v xml:space="preserve">N733KP  </v>
      </c>
      <c r="BC3120">
        <v>1</v>
      </c>
      <c r="BE3120">
        <v>0</v>
      </c>
      <c r="BF3120">
        <v>0</v>
      </c>
      <c r="BG3120">
        <v>1</v>
      </c>
      <c r="BH3120">
        <v>875</v>
      </c>
      <c r="BI3120">
        <v>1</v>
      </c>
      <c r="BJ3120">
        <v>1</v>
      </c>
      <c r="BK3120">
        <v>0</v>
      </c>
      <c r="BL3120">
        <v>0</v>
      </c>
      <c r="BO3120">
        <v>0</v>
      </c>
      <c r="BP3120">
        <v>0</v>
      </c>
      <c r="BW3120" t="str">
        <f>"22:23:16.888"</f>
        <v>22:23:16.888</v>
      </c>
      <c r="CJ3120">
        <v>0</v>
      </c>
      <c r="CK3120">
        <v>2</v>
      </c>
      <c r="CL3120">
        <v>0</v>
      </c>
      <c r="CM3120">
        <v>2</v>
      </c>
      <c r="CN3120">
        <v>0</v>
      </c>
      <c r="CO3120">
        <v>3</v>
      </c>
      <c r="CP3120" t="s">
        <v>119</v>
      </c>
      <c r="CQ3120">
        <v>364</v>
      </c>
      <c r="CR3120">
        <v>0</v>
      </c>
      <c r="CW3120">
        <v>1487075</v>
      </c>
      <c r="CY3120">
        <v>0</v>
      </c>
      <c r="CZ3120">
        <v>0</v>
      </c>
      <c r="DA3120">
        <v>1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3">
      <c r="A3121" t="str">
        <f>"03/24/2022 22:23:17.372"</f>
        <v>03/24/2022 22:23:17.372</v>
      </c>
      <c r="C3121" t="str">
        <f t="shared" si="924"/>
        <v>FFDFD3C0</v>
      </c>
      <c r="D3121" t="s">
        <v>113</v>
      </c>
      <c r="E3121">
        <v>24</v>
      </c>
      <c r="F3121">
        <v>2024</v>
      </c>
      <c r="G3121" t="s">
        <v>114</v>
      </c>
      <c r="J3121" t="s">
        <v>115</v>
      </c>
      <c r="K3121">
        <v>0</v>
      </c>
      <c r="L3121">
        <v>3</v>
      </c>
      <c r="M3121">
        <v>0</v>
      </c>
      <c r="N3121">
        <v>2</v>
      </c>
      <c r="O3121">
        <v>0</v>
      </c>
      <c r="P3121">
        <v>1</v>
      </c>
      <c r="Q3121">
        <v>0</v>
      </c>
      <c r="S3121" t="str">
        <f t="shared" si="932"/>
        <v>22:23:16.000</v>
      </c>
      <c r="T3121" t="str">
        <f t="shared" si="932"/>
        <v>22:23:16.000</v>
      </c>
      <c r="U3121" t="str">
        <f t="shared" si="918"/>
        <v>A9D71F</v>
      </c>
      <c r="V3121">
        <v>0</v>
      </c>
      <c r="W3121">
        <v>0</v>
      </c>
      <c r="X3121">
        <v>2</v>
      </c>
      <c r="Z3121">
        <v>1</v>
      </c>
      <c r="AA3121">
        <v>8</v>
      </c>
      <c r="AB3121">
        <v>3</v>
      </c>
      <c r="AC3121">
        <v>0</v>
      </c>
      <c r="AD3121">
        <v>9</v>
      </c>
      <c r="AE3121">
        <v>0</v>
      </c>
      <c r="AF3121">
        <v>3</v>
      </c>
      <c r="AG3121">
        <v>1</v>
      </c>
      <c r="AH3121">
        <v>0</v>
      </c>
      <c r="AI3121" t="s">
        <v>1529</v>
      </c>
      <c r="AJ3121">
        <v>32.968511999999997</v>
      </c>
      <c r="AK3121" t="s">
        <v>1530</v>
      </c>
      <c r="AL3121">
        <v>-97.665752999999995</v>
      </c>
      <c r="AM3121">
        <v>25</v>
      </c>
      <c r="AN3121">
        <v>1000</v>
      </c>
      <c r="AO3121" t="s">
        <v>118</v>
      </c>
      <c r="AP3121">
        <v>26</v>
      </c>
      <c r="AQ3121">
        <v>-65</v>
      </c>
      <c r="AR3121">
        <v>0</v>
      </c>
      <c r="AZ3121">
        <v>7700</v>
      </c>
      <c r="BA3121">
        <v>1</v>
      </c>
      <c r="BB3121" t="str">
        <f t="shared" si="925"/>
        <v xml:space="preserve">N733KP  </v>
      </c>
      <c r="BC3121">
        <v>1</v>
      </c>
      <c r="BE3121">
        <v>0</v>
      </c>
      <c r="BF3121">
        <v>0</v>
      </c>
      <c r="BG3121">
        <v>1</v>
      </c>
      <c r="BH3121">
        <v>875</v>
      </c>
      <c r="BI3121">
        <v>1</v>
      </c>
      <c r="BJ3121">
        <v>1</v>
      </c>
      <c r="BK3121">
        <v>0</v>
      </c>
      <c r="BL3121">
        <v>0</v>
      </c>
      <c r="BO3121">
        <v>0</v>
      </c>
      <c r="BP3121">
        <v>0</v>
      </c>
      <c r="BW3121" t="str">
        <f>"22:23:16.888"</f>
        <v>22:23:16.888</v>
      </c>
      <c r="CJ3121">
        <v>0</v>
      </c>
      <c r="CK3121">
        <v>2</v>
      </c>
      <c r="CL3121">
        <v>0</v>
      </c>
      <c r="CM3121">
        <v>2</v>
      </c>
      <c r="CN3121">
        <v>0</v>
      </c>
      <c r="CO3121">
        <v>3</v>
      </c>
      <c r="CP3121" t="s">
        <v>119</v>
      </c>
      <c r="CQ3121">
        <v>364</v>
      </c>
      <c r="CR3121">
        <v>0</v>
      </c>
      <c r="CW3121">
        <v>1487075</v>
      </c>
      <c r="CY3121">
        <v>0</v>
      </c>
      <c r="CZ3121">
        <v>0</v>
      </c>
      <c r="DA3121">
        <v>1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3">
      <c r="A3122" t="str">
        <f>"03/24/2022 22:23:17.372"</f>
        <v>03/24/2022 22:23:17.372</v>
      </c>
      <c r="C3122" t="str">
        <f t="shared" si="924"/>
        <v>FFDFD3C0</v>
      </c>
      <c r="D3122" t="s">
        <v>126</v>
      </c>
      <c r="E3122">
        <v>3</v>
      </c>
      <c r="H3122">
        <v>160</v>
      </c>
      <c r="I3122" t="s">
        <v>121</v>
      </c>
      <c r="J3122" t="s">
        <v>127</v>
      </c>
      <c r="K3122">
        <v>0</v>
      </c>
      <c r="L3122">
        <v>3</v>
      </c>
      <c r="M3122">
        <v>0</v>
      </c>
      <c r="N3122">
        <v>2</v>
      </c>
      <c r="O3122">
        <v>0</v>
      </c>
      <c r="P3122">
        <v>1</v>
      </c>
      <c r="Q3122">
        <v>0</v>
      </c>
      <c r="S3122" t="str">
        <f t="shared" si="932"/>
        <v>22:23:16.000</v>
      </c>
      <c r="T3122" t="str">
        <f t="shared" si="932"/>
        <v>22:23:16.000</v>
      </c>
      <c r="U3122" t="str">
        <f t="shared" si="918"/>
        <v>A9D71F</v>
      </c>
      <c r="V3122">
        <v>0</v>
      </c>
      <c r="W3122">
        <v>0</v>
      </c>
      <c r="X3122">
        <v>2</v>
      </c>
      <c r="Z3122">
        <v>1</v>
      </c>
      <c r="AA3122">
        <v>8</v>
      </c>
      <c r="AB3122">
        <v>3</v>
      </c>
      <c r="AC3122">
        <v>0</v>
      </c>
      <c r="AD3122">
        <v>9</v>
      </c>
      <c r="AE3122">
        <v>0</v>
      </c>
      <c r="AF3122">
        <v>3</v>
      </c>
      <c r="AG3122">
        <v>1</v>
      </c>
      <c r="AH3122">
        <v>0</v>
      </c>
      <c r="AI3122" t="s">
        <v>1529</v>
      </c>
      <c r="AJ3122">
        <v>32.968511999999997</v>
      </c>
      <c r="AK3122" t="s">
        <v>1530</v>
      </c>
      <c r="AL3122">
        <v>-97.665752999999995</v>
      </c>
      <c r="AM3122">
        <v>25</v>
      </c>
      <c r="AN3122">
        <v>1000</v>
      </c>
      <c r="AO3122" t="s">
        <v>118</v>
      </c>
      <c r="AP3122">
        <v>26</v>
      </c>
      <c r="AQ3122">
        <v>-65</v>
      </c>
      <c r="AR3122">
        <v>0</v>
      </c>
      <c r="AZ3122">
        <v>7700</v>
      </c>
      <c r="BA3122">
        <v>1</v>
      </c>
      <c r="BB3122" t="str">
        <f t="shared" si="925"/>
        <v xml:space="preserve">N733KP  </v>
      </c>
      <c r="BC3122">
        <v>1</v>
      </c>
      <c r="BE3122">
        <v>0</v>
      </c>
      <c r="BF3122">
        <v>0</v>
      </c>
      <c r="BG3122">
        <v>1</v>
      </c>
      <c r="BH3122">
        <v>875</v>
      </c>
      <c r="BI3122">
        <v>1</v>
      </c>
      <c r="BJ3122">
        <v>1</v>
      </c>
      <c r="BK3122">
        <v>0</v>
      </c>
      <c r="BL3122">
        <v>0</v>
      </c>
      <c r="BO3122">
        <v>0</v>
      </c>
      <c r="BP3122">
        <v>0</v>
      </c>
      <c r="BW3122" t="str">
        <f>"22:23:16.888"</f>
        <v>22:23:16.888</v>
      </c>
      <c r="CJ3122">
        <v>0</v>
      </c>
      <c r="CK3122">
        <v>2</v>
      </c>
      <c r="CL3122">
        <v>0</v>
      </c>
      <c r="CM3122">
        <v>2</v>
      </c>
      <c r="CN3122">
        <v>0</v>
      </c>
      <c r="CO3122">
        <v>3</v>
      </c>
      <c r="CP3122" t="s">
        <v>119</v>
      </c>
      <c r="CQ3122">
        <v>364</v>
      </c>
      <c r="CR3122">
        <v>0</v>
      </c>
      <c r="CW3122">
        <v>1487075</v>
      </c>
      <c r="CY3122">
        <v>0</v>
      </c>
      <c r="CZ3122">
        <v>0</v>
      </c>
      <c r="DA3122">
        <v>1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3">
      <c r="A3123" t="str">
        <f>"03/24/2022 22:23:17.779"</f>
        <v>03/24/2022 22:23:17.779</v>
      </c>
      <c r="C3123" t="str">
        <f t="shared" si="924"/>
        <v>FFDFD3C0</v>
      </c>
      <c r="D3123" t="s">
        <v>126</v>
      </c>
      <c r="E3123">
        <v>3</v>
      </c>
      <c r="H3123">
        <v>160</v>
      </c>
      <c r="I3123" t="s">
        <v>121</v>
      </c>
      <c r="J3123" t="s">
        <v>127</v>
      </c>
      <c r="K3123">
        <v>0</v>
      </c>
      <c r="L3123">
        <v>3</v>
      </c>
      <c r="M3123">
        <v>0</v>
      </c>
      <c r="N3123">
        <v>2</v>
      </c>
      <c r="O3123">
        <v>0</v>
      </c>
      <c r="P3123">
        <v>1</v>
      </c>
      <c r="Q3123">
        <v>0</v>
      </c>
      <c r="S3123" t="str">
        <f t="shared" ref="S3123:T3126" si="933">"22:23:17.000"</f>
        <v>22:23:17.000</v>
      </c>
      <c r="T3123" t="str">
        <f t="shared" si="933"/>
        <v>22:23:17.000</v>
      </c>
      <c r="U3123" t="str">
        <f t="shared" si="918"/>
        <v>A9D71F</v>
      </c>
      <c r="V3123">
        <v>0</v>
      </c>
      <c r="W3123">
        <v>0</v>
      </c>
      <c r="X3123">
        <v>2</v>
      </c>
      <c r="Z3123">
        <v>1</v>
      </c>
      <c r="AA3123">
        <v>8</v>
      </c>
      <c r="AB3123">
        <v>3</v>
      </c>
      <c r="AC3123">
        <v>0</v>
      </c>
      <c r="AD3123">
        <v>9</v>
      </c>
      <c r="AE3123">
        <v>0</v>
      </c>
      <c r="AF3123">
        <v>3</v>
      </c>
      <c r="AG3123">
        <v>1</v>
      </c>
      <c r="AH3123">
        <v>0</v>
      </c>
      <c r="AI3123" t="s">
        <v>1531</v>
      </c>
      <c r="AJ3123">
        <v>32.968254000000002</v>
      </c>
      <c r="AK3123" t="s">
        <v>1532</v>
      </c>
      <c r="AL3123">
        <v>-97.665625000000006</v>
      </c>
      <c r="AM3123">
        <v>25</v>
      </c>
      <c r="AN3123">
        <v>1000</v>
      </c>
      <c r="AO3123" t="s">
        <v>118</v>
      </c>
      <c r="AP3123">
        <v>21</v>
      </c>
      <c r="AQ3123">
        <v>-65</v>
      </c>
      <c r="AR3123">
        <v>0</v>
      </c>
      <c r="AZ3123">
        <v>7700</v>
      </c>
      <c r="BA3123">
        <v>1</v>
      </c>
      <c r="BB3123" t="str">
        <f t="shared" si="925"/>
        <v xml:space="preserve">N733KP  </v>
      </c>
      <c r="BC3123">
        <v>1</v>
      </c>
      <c r="BE3123">
        <v>0</v>
      </c>
      <c r="BF3123">
        <v>0</v>
      </c>
      <c r="BG3123">
        <v>1</v>
      </c>
      <c r="BH3123">
        <v>925</v>
      </c>
      <c r="BI3123">
        <v>1</v>
      </c>
      <c r="BJ3123">
        <v>1</v>
      </c>
      <c r="BK3123">
        <v>0</v>
      </c>
      <c r="BL3123">
        <v>0</v>
      </c>
      <c r="BO3123">
        <v>0</v>
      </c>
      <c r="BP3123">
        <v>0</v>
      </c>
      <c r="BW3123" t="str">
        <f>"22:23:17.489"</f>
        <v>22:23:17.489</v>
      </c>
      <c r="CJ3123">
        <v>0</v>
      </c>
      <c r="CK3123">
        <v>2</v>
      </c>
      <c r="CL3123">
        <v>0</v>
      </c>
      <c r="CM3123">
        <v>2</v>
      </c>
      <c r="CN3123">
        <v>0</v>
      </c>
      <c r="CO3123">
        <v>4</v>
      </c>
      <c r="CP3123" t="s">
        <v>119</v>
      </c>
      <c r="CQ3123">
        <v>364</v>
      </c>
      <c r="CR3123">
        <v>0</v>
      </c>
      <c r="CW3123">
        <v>1487152</v>
      </c>
      <c r="CY3123">
        <v>0</v>
      </c>
      <c r="CZ3123">
        <v>0</v>
      </c>
      <c r="DA3123">
        <v>0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3">
      <c r="A3124" t="str">
        <f>"03/24/2022 22:23:17.810"</f>
        <v>03/24/2022 22:23:17.810</v>
      </c>
      <c r="C3124" t="str">
        <f t="shared" si="924"/>
        <v>FFDFD3C0</v>
      </c>
      <c r="D3124" t="s">
        <v>123</v>
      </c>
      <c r="E3124">
        <v>8</v>
      </c>
      <c r="H3124">
        <v>31</v>
      </c>
      <c r="I3124" t="s">
        <v>124</v>
      </c>
      <c r="J3124" t="s">
        <v>125</v>
      </c>
      <c r="K3124">
        <v>0</v>
      </c>
      <c r="L3124">
        <v>3</v>
      </c>
      <c r="M3124">
        <v>0</v>
      </c>
      <c r="N3124">
        <v>2</v>
      </c>
      <c r="O3124">
        <v>0</v>
      </c>
      <c r="P3124">
        <v>1</v>
      </c>
      <c r="Q3124">
        <v>0</v>
      </c>
      <c r="S3124" t="str">
        <f t="shared" si="933"/>
        <v>22:23:17.000</v>
      </c>
      <c r="T3124" t="str">
        <f t="shared" si="933"/>
        <v>22:23:17.000</v>
      </c>
      <c r="U3124" t="str">
        <f t="shared" si="918"/>
        <v>A9D71F</v>
      </c>
      <c r="V3124">
        <v>0</v>
      </c>
      <c r="W3124">
        <v>0</v>
      </c>
      <c r="X3124">
        <v>2</v>
      </c>
      <c r="Z3124">
        <v>1</v>
      </c>
      <c r="AA3124">
        <v>8</v>
      </c>
      <c r="AB3124">
        <v>3</v>
      </c>
      <c r="AC3124">
        <v>0</v>
      </c>
      <c r="AD3124">
        <v>9</v>
      </c>
      <c r="AE3124">
        <v>0</v>
      </c>
      <c r="AF3124">
        <v>3</v>
      </c>
      <c r="AG3124">
        <v>1</v>
      </c>
      <c r="AH3124">
        <v>0</v>
      </c>
      <c r="AI3124" t="s">
        <v>1531</v>
      </c>
      <c r="AJ3124">
        <v>32.968254000000002</v>
      </c>
      <c r="AK3124" t="s">
        <v>1532</v>
      </c>
      <c r="AL3124">
        <v>-97.665625000000006</v>
      </c>
      <c r="AM3124">
        <v>25</v>
      </c>
      <c r="AN3124">
        <v>1000</v>
      </c>
      <c r="AO3124" t="s">
        <v>118</v>
      </c>
      <c r="AP3124">
        <v>21</v>
      </c>
      <c r="AQ3124">
        <v>-65</v>
      </c>
      <c r="AR3124">
        <v>0</v>
      </c>
      <c r="AZ3124">
        <v>7700</v>
      </c>
      <c r="BA3124">
        <v>1</v>
      </c>
      <c r="BB3124" t="str">
        <f t="shared" si="925"/>
        <v xml:space="preserve">N733KP  </v>
      </c>
      <c r="BC3124">
        <v>1</v>
      </c>
      <c r="BE3124">
        <v>0</v>
      </c>
      <c r="BF3124">
        <v>0</v>
      </c>
      <c r="BG3124">
        <v>1</v>
      </c>
      <c r="BH3124">
        <v>925</v>
      </c>
      <c r="BI3124">
        <v>1</v>
      </c>
      <c r="BJ3124">
        <v>1</v>
      </c>
      <c r="BK3124">
        <v>0</v>
      </c>
      <c r="BL3124">
        <v>0</v>
      </c>
      <c r="BO3124">
        <v>0</v>
      </c>
      <c r="BP3124">
        <v>0</v>
      </c>
      <c r="BW3124" t="str">
        <f>"22:23:17.489"</f>
        <v>22:23:17.489</v>
      </c>
      <c r="CJ3124">
        <v>0</v>
      </c>
      <c r="CK3124">
        <v>2</v>
      </c>
      <c r="CL3124">
        <v>0</v>
      </c>
      <c r="CM3124">
        <v>2</v>
      </c>
      <c r="CN3124">
        <v>0</v>
      </c>
      <c r="CO3124">
        <v>4</v>
      </c>
      <c r="CP3124" t="s">
        <v>119</v>
      </c>
      <c r="CQ3124">
        <v>364</v>
      </c>
      <c r="CR3124">
        <v>0</v>
      </c>
      <c r="CW3124">
        <v>1487152</v>
      </c>
      <c r="CY3124">
        <v>0</v>
      </c>
      <c r="CZ3124">
        <v>0</v>
      </c>
      <c r="DA3124">
        <v>1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3">
      <c r="A3125" t="str">
        <f>"03/24/2022 22:23:17.810"</f>
        <v>03/24/2022 22:23:17.810</v>
      </c>
      <c r="C3125" t="str">
        <f t="shared" si="924"/>
        <v>FFDFD3C0</v>
      </c>
      <c r="D3125" t="s">
        <v>120</v>
      </c>
      <c r="E3125">
        <v>14</v>
      </c>
      <c r="F3125">
        <v>1014</v>
      </c>
      <c r="G3125" t="s">
        <v>121</v>
      </c>
      <c r="J3125" t="s">
        <v>122</v>
      </c>
      <c r="K3125">
        <v>0</v>
      </c>
      <c r="L3125">
        <v>3</v>
      </c>
      <c r="M3125">
        <v>0</v>
      </c>
      <c r="N3125">
        <v>2</v>
      </c>
      <c r="O3125">
        <v>0</v>
      </c>
      <c r="P3125">
        <v>1</v>
      </c>
      <c r="Q3125">
        <v>0</v>
      </c>
      <c r="S3125" t="str">
        <f t="shared" si="933"/>
        <v>22:23:17.000</v>
      </c>
      <c r="T3125" t="str">
        <f t="shared" si="933"/>
        <v>22:23:17.000</v>
      </c>
      <c r="U3125" t="str">
        <f t="shared" si="918"/>
        <v>A9D71F</v>
      </c>
      <c r="V3125">
        <v>0</v>
      </c>
      <c r="W3125">
        <v>0</v>
      </c>
      <c r="X3125">
        <v>2</v>
      </c>
      <c r="Z3125">
        <v>1</v>
      </c>
      <c r="AA3125">
        <v>8</v>
      </c>
      <c r="AB3125">
        <v>3</v>
      </c>
      <c r="AC3125">
        <v>0</v>
      </c>
      <c r="AD3125">
        <v>9</v>
      </c>
      <c r="AE3125">
        <v>0</v>
      </c>
      <c r="AF3125">
        <v>3</v>
      </c>
      <c r="AG3125">
        <v>1</v>
      </c>
      <c r="AH3125">
        <v>0</v>
      </c>
      <c r="AI3125" t="s">
        <v>1531</v>
      </c>
      <c r="AJ3125">
        <v>32.968254000000002</v>
      </c>
      <c r="AK3125" t="s">
        <v>1532</v>
      </c>
      <c r="AL3125">
        <v>-97.665625000000006</v>
      </c>
      <c r="AM3125">
        <v>25</v>
      </c>
      <c r="AN3125">
        <v>1000</v>
      </c>
      <c r="AO3125" t="s">
        <v>118</v>
      </c>
      <c r="AP3125">
        <v>21</v>
      </c>
      <c r="AQ3125">
        <v>-65</v>
      </c>
      <c r="AR3125">
        <v>0</v>
      </c>
      <c r="AZ3125">
        <v>7700</v>
      </c>
      <c r="BA3125">
        <v>1</v>
      </c>
      <c r="BB3125" t="str">
        <f t="shared" si="925"/>
        <v xml:space="preserve">N733KP  </v>
      </c>
      <c r="BC3125">
        <v>1</v>
      </c>
      <c r="BE3125">
        <v>0</v>
      </c>
      <c r="BF3125">
        <v>0</v>
      </c>
      <c r="BG3125">
        <v>1</v>
      </c>
      <c r="BH3125">
        <v>925</v>
      </c>
      <c r="BI3125">
        <v>1</v>
      </c>
      <c r="BJ3125">
        <v>1</v>
      </c>
      <c r="BK3125">
        <v>0</v>
      </c>
      <c r="BL3125">
        <v>0</v>
      </c>
      <c r="BO3125">
        <v>0</v>
      </c>
      <c r="BP3125">
        <v>0</v>
      </c>
      <c r="BW3125" t="str">
        <f>"22:23:17.489"</f>
        <v>22:23:17.489</v>
      </c>
      <c r="CJ3125">
        <v>0</v>
      </c>
      <c r="CK3125">
        <v>2</v>
      </c>
      <c r="CL3125">
        <v>0</v>
      </c>
      <c r="CM3125">
        <v>2</v>
      </c>
      <c r="CN3125">
        <v>0</v>
      </c>
      <c r="CO3125">
        <v>4</v>
      </c>
      <c r="CP3125" t="s">
        <v>119</v>
      </c>
      <c r="CQ3125">
        <v>364</v>
      </c>
      <c r="CR3125">
        <v>0</v>
      </c>
      <c r="CW3125">
        <v>1487152</v>
      </c>
      <c r="CY3125">
        <v>0</v>
      </c>
      <c r="CZ3125">
        <v>0</v>
      </c>
      <c r="DA3125">
        <v>1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3">
      <c r="A3126" t="str">
        <f>"03/24/2022 22:23:17.825"</f>
        <v>03/24/2022 22:23:17.825</v>
      </c>
      <c r="C3126" t="str">
        <f t="shared" si="924"/>
        <v>FFDFD3C0</v>
      </c>
      <c r="D3126" t="s">
        <v>113</v>
      </c>
      <c r="E3126">
        <v>24</v>
      </c>
      <c r="F3126">
        <v>2024</v>
      </c>
      <c r="G3126" t="s">
        <v>114</v>
      </c>
      <c r="J3126" t="s">
        <v>115</v>
      </c>
      <c r="K3126">
        <v>0</v>
      </c>
      <c r="L3126">
        <v>3</v>
      </c>
      <c r="M3126">
        <v>0</v>
      </c>
      <c r="N3126">
        <v>2</v>
      </c>
      <c r="O3126">
        <v>0</v>
      </c>
      <c r="P3126">
        <v>1</v>
      </c>
      <c r="Q3126">
        <v>0</v>
      </c>
      <c r="S3126" t="str">
        <f t="shared" si="933"/>
        <v>22:23:17.000</v>
      </c>
      <c r="T3126" t="str">
        <f t="shared" si="933"/>
        <v>22:23:17.000</v>
      </c>
      <c r="U3126" t="str">
        <f t="shared" si="918"/>
        <v>A9D71F</v>
      </c>
      <c r="V3126">
        <v>0</v>
      </c>
      <c r="W3126">
        <v>0</v>
      </c>
      <c r="X3126">
        <v>2</v>
      </c>
      <c r="Z3126">
        <v>1</v>
      </c>
      <c r="AA3126">
        <v>8</v>
      </c>
      <c r="AB3126">
        <v>3</v>
      </c>
      <c r="AC3126">
        <v>0</v>
      </c>
      <c r="AD3126">
        <v>9</v>
      </c>
      <c r="AE3126">
        <v>0</v>
      </c>
      <c r="AF3126">
        <v>3</v>
      </c>
      <c r="AG3126">
        <v>1</v>
      </c>
      <c r="AH3126">
        <v>0</v>
      </c>
      <c r="AI3126" t="s">
        <v>1531</v>
      </c>
      <c r="AJ3126">
        <v>32.968254000000002</v>
      </c>
      <c r="AK3126" t="s">
        <v>1532</v>
      </c>
      <c r="AL3126">
        <v>-97.665625000000006</v>
      </c>
      <c r="AM3126">
        <v>25</v>
      </c>
      <c r="AN3126">
        <v>1000</v>
      </c>
      <c r="AO3126" t="s">
        <v>118</v>
      </c>
      <c r="AP3126">
        <v>21</v>
      </c>
      <c r="AQ3126">
        <v>-65</v>
      </c>
      <c r="AR3126">
        <v>0</v>
      </c>
      <c r="AZ3126">
        <v>7700</v>
      </c>
      <c r="BA3126">
        <v>1</v>
      </c>
      <c r="BB3126" t="str">
        <f t="shared" si="925"/>
        <v xml:space="preserve">N733KP  </v>
      </c>
      <c r="BC3126">
        <v>1</v>
      </c>
      <c r="BE3126">
        <v>0</v>
      </c>
      <c r="BF3126">
        <v>0</v>
      </c>
      <c r="BG3126">
        <v>1</v>
      </c>
      <c r="BH3126">
        <v>925</v>
      </c>
      <c r="BI3126">
        <v>1</v>
      </c>
      <c r="BJ3126">
        <v>1</v>
      </c>
      <c r="BK3126">
        <v>0</v>
      </c>
      <c r="BL3126">
        <v>0</v>
      </c>
      <c r="BO3126">
        <v>0</v>
      </c>
      <c r="BP3126">
        <v>0</v>
      </c>
      <c r="BW3126" t="str">
        <f>"22:23:17.489"</f>
        <v>22:23:17.489</v>
      </c>
      <c r="CJ3126">
        <v>0</v>
      </c>
      <c r="CK3126">
        <v>2</v>
      </c>
      <c r="CL3126">
        <v>0</v>
      </c>
      <c r="CM3126">
        <v>2</v>
      </c>
      <c r="CN3126">
        <v>0</v>
      </c>
      <c r="CO3126">
        <v>4</v>
      </c>
      <c r="CP3126" t="s">
        <v>119</v>
      </c>
      <c r="CQ3126">
        <v>364</v>
      </c>
      <c r="CR3126">
        <v>0</v>
      </c>
      <c r="CW3126">
        <v>1487152</v>
      </c>
      <c r="CY3126">
        <v>0</v>
      </c>
      <c r="CZ3126">
        <v>0</v>
      </c>
      <c r="DA3126">
        <v>1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3">
      <c r="A3127" t="str">
        <f>"03/24/2022 22:23:19.242"</f>
        <v>03/24/2022 22:23:19.242</v>
      </c>
      <c r="C3127" t="str">
        <f t="shared" si="924"/>
        <v>FFDFD3C0</v>
      </c>
      <c r="D3127" t="s">
        <v>113</v>
      </c>
      <c r="E3127">
        <v>24</v>
      </c>
      <c r="F3127">
        <v>2024</v>
      </c>
      <c r="G3127" t="s">
        <v>114</v>
      </c>
      <c r="J3127" t="s">
        <v>115</v>
      </c>
      <c r="K3127">
        <v>0</v>
      </c>
      <c r="L3127">
        <v>3</v>
      </c>
      <c r="M3127">
        <v>0</v>
      </c>
      <c r="N3127">
        <v>2</v>
      </c>
      <c r="O3127">
        <v>0</v>
      </c>
      <c r="P3127">
        <v>1</v>
      </c>
      <c r="Q3127">
        <v>0</v>
      </c>
      <c r="S3127" t="str">
        <f t="shared" ref="S3127:T3130" si="934">"22:23:18.000"</f>
        <v>22:23:18.000</v>
      </c>
      <c r="T3127" t="str">
        <f t="shared" si="934"/>
        <v>22:23:18.000</v>
      </c>
      <c r="U3127" t="str">
        <f t="shared" si="918"/>
        <v>A9D71F</v>
      </c>
      <c r="V3127">
        <v>0</v>
      </c>
      <c r="W3127">
        <v>0</v>
      </c>
      <c r="X3127">
        <v>2</v>
      </c>
      <c r="Z3127">
        <v>1</v>
      </c>
      <c r="AA3127">
        <v>8</v>
      </c>
      <c r="AB3127">
        <v>3</v>
      </c>
      <c r="AC3127">
        <v>0</v>
      </c>
      <c r="AD3127">
        <v>9</v>
      </c>
      <c r="AE3127">
        <v>0</v>
      </c>
      <c r="AF3127">
        <v>3</v>
      </c>
      <c r="AG3127">
        <v>1</v>
      </c>
      <c r="AH3127">
        <v>0</v>
      </c>
      <c r="AI3127" t="s">
        <v>1533</v>
      </c>
      <c r="AJ3127">
        <v>32.967975000000003</v>
      </c>
      <c r="AK3127" t="s">
        <v>1534</v>
      </c>
      <c r="AL3127">
        <v>-97.665516999999994</v>
      </c>
      <c r="AM3127">
        <v>25</v>
      </c>
      <c r="AN3127">
        <v>1000</v>
      </c>
      <c r="AO3127" t="s">
        <v>118</v>
      </c>
      <c r="AP3127">
        <v>19</v>
      </c>
      <c r="AQ3127">
        <v>-64</v>
      </c>
      <c r="AR3127">
        <v>-64</v>
      </c>
      <c r="AZ3127">
        <v>7700</v>
      </c>
      <c r="BA3127">
        <v>1</v>
      </c>
      <c r="BB3127" t="str">
        <f t="shared" si="925"/>
        <v xml:space="preserve">N733KP  </v>
      </c>
      <c r="BC3127">
        <v>1</v>
      </c>
      <c r="BE3127">
        <v>0</v>
      </c>
      <c r="BF3127">
        <v>0</v>
      </c>
      <c r="BG3127">
        <v>1</v>
      </c>
      <c r="BH3127">
        <v>925</v>
      </c>
      <c r="BI3127">
        <v>1</v>
      </c>
      <c r="BJ3127">
        <v>1</v>
      </c>
      <c r="BK3127">
        <v>0</v>
      </c>
      <c r="BL3127">
        <v>0</v>
      </c>
      <c r="BO3127">
        <v>0</v>
      </c>
      <c r="BP3127">
        <v>0</v>
      </c>
      <c r="BW3127" t="str">
        <f>"22:23:18.993"</f>
        <v>22:23:18.993</v>
      </c>
      <c r="CJ3127">
        <v>0</v>
      </c>
      <c r="CK3127">
        <v>2</v>
      </c>
      <c r="CL3127">
        <v>0</v>
      </c>
      <c r="CM3127">
        <v>2</v>
      </c>
      <c r="CN3127">
        <v>0</v>
      </c>
      <c r="CO3127">
        <v>5</v>
      </c>
      <c r="CP3127" t="s">
        <v>119</v>
      </c>
      <c r="CQ3127">
        <v>364</v>
      </c>
      <c r="CR3127">
        <v>0</v>
      </c>
      <c r="CW3127">
        <v>1487364</v>
      </c>
      <c r="CY3127">
        <v>0</v>
      </c>
      <c r="CZ3127">
        <v>0</v>
      </c>
      <c r="DA3127">
        <v>0</v>
      </c>
      <c r="DB3127">
        <v>0</v>
      </c>
      <c r="DC3127">
        <v>0</v>
      </c>
      <c r="DD3127">
        <v>0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3">
      <c r="A3128" t="str">
        <f>"03/24/2022 22:23:19.242"</f>
        <v>03/24/2022 22:23:19.242</v>
      </c>
      <c r="C3128" t="str">
        <f t="shared" si="924"/>
        <v>FFDFD3C0</v>
      </c>
      <c r="D3128" t="s">
        <v>126</v>
      </c>
      <c r="E3128">
        <v>3</v>
      </c>
      <c r="H3128">
        <v>160</v>
      </c>
      <c r="I3128" t="s">
        <v>121</v>
      </c>
      <c r="J3128" t="s">
        <v>127</v>
      </c>
      <c r="K3128">
        <v>0</v>
      </c>
      <c r="L3128">
        <v>3</v>
      </c>
      <c r="M3128">
        <v>0</v>
      </c>
      <c r="N3128">
        <v>2</v>
      </c>
      <c r="O3128">
        <v>0</v>
      </c>
      <c r="P3128">
        <v>1</v>
      </c>
      <c r="Q3128">
        <v>0</v>
      </c>
      <c r="S3128" t="str">
        <f t="shared" si="934"/>
        <v>22:23:18.000</v>
      </c>
      <c r="T3128" t="str">
        <f t="shared" si="934"/>
        <v>22:23:18.000</v>
      </c>
      <c r="U3128" t="str">
        <f t="shared" si="918"/>
        <v>A9D71F</v>
      </c>
      <c r="V3128">
        <v>0</v>
      </c>
      <c r="W3128">
        <v>0</v>
      </c>
      <c r="X3128">
        <v>2</v>
      </c>
      <c r="Z3128">
        <v>1</v>
      </c>
      <c r="AA3128">
        <v>8</v>
      </c>
      <c r="AB3128">
        <v>3</v>
      </c>
      <c r="AC3128">
        <v>0</v>
      </c>
      <c r="AD3128">
        <v>9</v>
      </c>
      <c r="AE3128">
        <v>0</v>
      </c>
      <c r="AF3128">
        <v>3</v>
      </c>
      <c r="AG3128">
        <v>1</v>
      </c>
      <c r="AH3128">
        <v>0</v>
      </c>
      <c r="AI3128" t="s">
        <v>1533</v>
      </c>
      <c r="AJ3128">
        <v>32.967975000000003</v>
      </c>
      <c r="AK3128" t="s">
        <v>1534</v>
      </c>
      <c r="AL3128">
        <v>-97.665516999999994</v>
      </c>
      <c r="AM3128">
        <v>25</v>
      </c>
      <c r="AN3128">
        <v>1000</v>
      </c>
      <c r="AO3128" t="s">
        <v>118</v>
      </c>
      <c r="AP3128">
        <v>19</v>
      </c>
      <c r="AQ3128">
        <v>-64</v>
      </c>
      <c r="AR3128">
        <v>-64</v>
      </c>
      <c r="AZ3128">
        <v>7700</v>
      </c>
      <c r="BA3128">
        <v>1</v>
      </c>
      <c r="BB3128" t="str">
        <f t="shared" si="925"/>
        <v xml:space="preserve">N733KP  </v>
      </c>
      <c r="BC3128">
        <v>1</v>
      </c>
      <c r="BE3128">
        <v>0</v>
      </c>
      <c r="BF3128">
        <v>0</v>
      </c>
      <c r="BG3128">
        <v>1</v>
      </c>
      <c r="BH3128">
        <v>925</v>
      </c>
      <c r="BI3128">
        <v>1</v>
      </c>
      <c r="BJ3128">
        <v>1</v>
      </c>
      <c r="BK3128">
        <v>0</v>
      </c>
      <c r="BL3128">
        <v>0</v>
      </c>
      <c r="BO3128">
        <v>0</v>
      </c>
      <c r="BP3128">
        <v>0</v>
      </c>
      <c r="BW3128" t="str">
        <f>"22:23:18.993"</f>
        <v>22:23:18.993</v>
      </c>
      <c r="CJ3128">
        <v>0</v>
      </c>
      <c r="CK3128">
        <v>2</v>
      </c>
      <c r="CL3128">
        <v>0</v>
      </c>
      <c r="CM3128">
        <v>2</v>
      </c>
      <c r="CN3128">
        <v>0</v>
      </c>
      <c r="CO3128">
        <v>5</v>
      </c>
      <c r="CP3128" t="s">
        <v>119</v>
      </c>
      <c r="CQ3128">
        <v>364</v>
      </c>
      <c r="CR3128">
        <v>0</v>
      </c>
      <c r="CW3128">
        <v>1487364</v>
      </c>
      <c r="CY3128">
        <v>0</v>
      </c>
      <c r="CZ3128">
        <v>0</v>
      </c>
      <c r="DA3128">
        <v>1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3">
      <c r="A3129" t="str">
        <f>"03/24/2022 22:23:19.242"</f>
        <v>03/24/2022 22:23:19.242</v>
      </c>
      <c r="C3129" t="str">
        <f t="shared" si="924"/>
        <v>FFDFD3C0</v>
      </c>
      <c r="D3129" t="s">
        <v>123</v>
      </c>
      <c r="E3129">
        <v>8</v>
      </c>
      <c r="H3129">
        <v>31</v>
      </c>
      <c r="I3129" t="s">
        <v>124</v>
      </c>
      <c r="J3129" t="s">
        <v>125</v>
      </c>
      <c r="K3129">
        <v>0</v>
      </c>
      <c r="L3129">
        <v>3</v>
      </c>
      <c r="M3129">
        <v>0</v>
      </c>
      <c r="N3129">
        <v>2</v>
      </c>
      <c r="O3129">
        <v>0</v>
      </c>
      <c r="P3129">
        <v>1</v>
      </c>
      <c r="Q3129">
        <v>0</v>
      </c>
      <c r="S3129" t="str">
        <f t="shared" si="934"/>
        <v>22:23:18.000</v>
      </c>
      <c r="T3129" t="str">
        <f t="shared" si="934"/>
        <v>22:23:18.000</v>
      </c>
      <c r="U3129" t="str">
        <f t="shared" si="918"/>
        <v>A9D71F</v>
      </c>
      <c r="V3129">
        <v>0</v>
      </c>
      <c r="W3129">
        <v>0</v>
      </c>
      <c r="X3129">
        <v>2</v>
      </c>
      <c r="Z3129">
        <v>1</v>
      </c>
      <c r="AA3129">
        <v>8</v>
      </c>
      <c r="AB3129">
        <v>3</v>
      </c>
      <c r="AC3129">
        <v>0</v>
      </c>
      <c r="AD3129">
        <v>9</v>
      </c>
      <c r="AE3129">
        <v>0</v>
      </c>
      <c r="AF3129">
        <v>3</v>
      </c>
      <c r="AG3129">
        <v>1</v>
      </c>
      <c r="AH3129">
        <v>0</v>
      </c>
      <c r="AI3129" t="s">
        <v>1533</v>
      </c>
      <c r="AJ3129">
        <v>32.967975000000003</v>
      </c>
      <c r="AK3129" t="s">
        <v>1534</v>
      </c>
      <c r="AL3129">
        <v>-97.665516999999994</v>
      </c>
      <c r="AM3129">
        <v>25</v>
      </c>
      <c r="AN3129">
        <v>1000</v>
      </c>
      <c r="AO3129" t="s">
        <v>118</v>
      </c>
      <c r="AP3129">
        <v>19</v>
      </c>
      <c r="AQ3129">
        <v>-64</v>
      </c>
      <c r="AR3129">
        <v>-64</v>
      </c>
      <c r="AZ3129">
        <v>7700</v>
      </c>
      <c r="BA3129">
        <v>1</v>
      </c>
      <c r="BB3129" t="str">
        <f t="shared" si="925"/>
        <v xml:space="preserve">N733KP  </v>
      </c>
      <c r="BC3129">
        <v>1</v>
      </c>
      <c r="BE3129">
        <v>0</v>
      </c>
      <c r="BF3129">
        <v>0</v>
      </c>
      <c r="BG3129">
        <v>1</v>
      </c>
      <c r="BH3129">
        <v>925</v>
      </c>
      <c r="BI3129">
        <v>1</v>
      </c>
      <c r="BJ3129">
        <v>1</v>
      </c>
      <c r="BK3129">
        <v>0</v>
      </c>
      <c r="BL3129">
        <v>0</v>
      </c>
      <c r="BO3129">
        <v>0</v>
      </c>
      <c r="BP3129">
        <v>0</v>
      </c>
      <c r="BW3129" t="str">
        <f>"22:23:18.993"</f>
        <v>22:23:18.993</v>
      </c>
      <c r="CJ3129">
        <v>0</v>
      </c>
      <c r="CK3129">
        <v>2</v>
      </c>
      <c r="CL3129">
        <v>0</v>
      </c>
      <c r="CM3129">
        <v>2</v>
      </c>
      <c r="CN3129">
        <v>0</v>
      </c>
      <c r="CO3129">
        <v>5</v>
      </c>
      <c r="CP3129" t="s">
        <v>119</v>
      </c>
      <c r="CQ3129">
        <v>364</v>
      </c>
      <c r="CR3129">
        <v>0</v>
      </c>
      <c r="CW3129">
        <v>1487364</v>
      </c>
      <c r="CY3129">
        <v>0</v>
      </c>
      <c r="CZ3129">
        <v>0</v>
      </c>
      <c r="DA3129">
        <v>1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3">
      <c r="A3130" t="str">
        <f>"03/24/2022 22:23:19.242"</f>
        <v>03/24/2022 22:23:19.242</v>
      </c>
      <c r="C3130" t="str">
        <f t="shared" si="924"/>
        <v>FFDFD3C0</v>
      </c>
      <c r="D3130" t="s">
        <v>120</v>
      </c>
      <c r="E3130">
        <v>14</v>
      </c>
      <c r="F3130">
        <v>1014</v>
      </c>
      <c r="G3130" t="s">
        <v>121</v>
      </c>
      <c r="J3130" t="s">
        <v>122</v>
      </c>
      <c r="K3130">
        <v>0</v>
      </c>
      <c r="L3130">
        <v>3</v>
      </c>
      <c r="M3130">
        <v>0</v>
      </c>
      <c r="N3130">
        <v>2</v>
      </c>
      <c r="O3130">
        <v>0</v>
      </c>
      <c r="P3130">
        <v>1</v>
      </c>
      <c r="Q3130">
        <v>0</v>
      </c>
      <c r="S3130" t="str">
        <f t="shared" si="934"/>
        <v>22:23:18.000</v>
      </c>
      <c r="T3130" t="str">
        <f t="shared" si="934"/>
        <v>22:23:18.000</v>
      </c>
      <c r="U3130" t="str">
        <f t="shared" si="918"/>
        <v>A9D71F</v>
      </c>
      <c r="V3130">
        <v>0</v>
      </c>
      <c r="W3130">
        <v>0</v>
      </c>
      <c r="X3130">
        <v>2</v>
      </c>
      <c r="Z3130">
        <v>1</v>
      </c>
      <c r="AA3130">
        <v>8</v>
      </c>
      <c r="AB3130">
        <v>3</v>
      </c>
      <c r="AC3130">
        <v>0</v>
      </c>
      <c r="AD3130">
        <v>9</v>
      </c>
      <c r="AE3130">
        <v>0</v>
      </c>
      <c r="AF3130">
        <v>3</v>
      </c>
      <c r="AG3130">
        <v>1</v>
      </c>
      <c r="AH3130">
        <v>0</v>
      </c>
      <c r="AI3130" t="s">
        <v>1533</v>
      </c>
      <c r="AJ3130">
        <v>32.967975000000003</v>
      </c>
      <c r="AK3130" t="s">
        <v>1534</v>
      </c>
      <c r="AL3130">
        <v>-97.665516999999994</v>
      </c>
      <c r="AM3130">
        <v>25</v>
      </c>
      <c r="AN3130">
        <v>1000</v>
      </c>
      <c r="AO3130" t="s">
        <v>118</v>
      </c>
      <c r="AP3130">
        <v>19</v>
      </c>
      <c r="AQ3130">
        <v>-64</v>
      </c>
      <c r="AR3130">
        <v>-64</v>
      </c>
      <c r="AZ3130">
        <v>7700</v>
      </c>
      <c r="BA3130">
        <v>1</v>
      </c>
      <c r="BB3130" t="str">
        <f t="shared" si="925"/>
        <v xml:space="preserve">N733KP  </v>
      </c>
      <c r="BC3130">
        <v>1</v>
      </c>
      <c r="BE3130">
        <v>0</v>
      </c>
      <c r="BF3130">
        <v>0</v>
      </c>
      <c r="BG3130">
        <v>1</v>
      </c>
      <c r="BH3130">
        <v>925</v>
      </c>
      <c r="BI3130">
        <v>1</v>
      </c>
      <c r="BJ3130">
        <v>1</v>
      </c>
      <c r="BK3130">
        <v>0</v>
      </c>
      <c r="BL3130">
        <v>0</v>
      </c>
      <c r="BO3130">
        <v>0</v>
      </c>
      <c r="BP3130">
        <v>0</v>
      </c>
      <c r="BW3130" t="str">
        <f>"22:23:18.993"</f>
        <v>22:23:18.993</v>
      </c>
      <c r="CJ3130">
        <v>0</v>
      </c>
      <c r="CK3130">
        <v>2</v>
      </c>
      <c r="CL3130">
        <v>0</v>
      </c>
      <c r="CM3130">
        <v>2</v>
      </c>
      <c r="CN3130">
        <v>0</v>
      </c>
      <c r="CO3130">
        <v>5</v>
      </c>
      <c r="CP3130" t="s">
        <v>119</v>
      </c>
      <c r="CQ3130">
        <v>364</v>
      </c>
      <c r="CR3130">
        <v>0</v>
      </c>
      <c r="CW3130">
        <v>1487364</v>
      </c>
      <c r="CY3130">
        <v>0</v>
      </c>
      <c r="CZ3130">
        <v>0</v>
      </c>
      <c r="DA3130">
        <v>1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3">
      <c r="A3131" t="str">
        <f>"03/24/2022 22:23:19.633"</f>
        <v>03/24/2022 22:23:19.633</v>
      </c>
      <c r="C3131" t="str">
        <f t="shared" si="924"/>
        <v>FFDFD3C0</v>
      </c>
      <c r="D3131" t="s">
        <v>126</v>
      </c>
      <c r="E3131">
        <v>3</v>
      </c>
      <c r="H3131">
        <v>160</v>
      </c>
      <c r="I3131" t="s">
        <v>121</v>
      </c>
      <c r="J3131" t="s">
        <v>127</v>
      </c>
      <c r="K3131">
        <v>0</v>
      </c>
      <c r="L3131">
        <v>3</v>
      </c>
      <c r="M3131">
        <v>0</v>
      </c>
      <c r="N3131">
        <v>2</v>
      </c>
      <c r="O3131">
        <v>0</v>
      </c>
      <c r="P3131">
        <v>1</v>
      </c>
      <c r="Q3131">
        <v>0</v>
      </c>
      <c r="S3131" t="str">
        <f t="shared" ref="S3131:T3134" si="935">"22:23:19.000"</f>
        <v>22:23:19.000</v>
      </c>
      <c r="T3131" t="str">
        <f t="shared" si="935"/>
        <v>22:23:19.000</v>
      </c>
      <c r="U3131" t="str">
        <f t="shared" si="918"/>
        <v>A9D71F</v>
      </c>
      <c r="V3131">
        <v>0</v>
      </c>
      <c r="W3131">
        <v>0</v>
      </c>
      <c r="X3131">
        <v>2</v>
      </c>
      <c r="Z3131">
        <v>1</v>
      </c>
      <c r="AA3131">
        <v>8</v>
      </c>
      <c r="AB3131">
        <v>3</v>
      </c>
      <c r="AC3131">
        <v>0</v>
      </c>
      <c r="AD3131">
        <v>9</v>
      </c>
      <c r="AE3131">
        <v>0</v>
      </c>
      <c r="AF3131">
        <v>3</v>
      </c>
      <c r="AG3131">
        <v>1</v>
      </c>
      <c r="AH3131">
        <v>0</v>
      </c>
      <c r="AI3131" t="s">
        <v>1535</v>
      </c>
      <c r="AJ3131">
        <v>32.967675</v>
      </c>
      <c r="AK3131" t="s">
        <v>963</v>
      </c>
      <c r="AL3131">
        <v>-97.665409999999994</v>
      </c>
      <c r="AM3131">
        <v>25</v>
      </c>
      <c r="AN3131">
        <v>1000</v>
      </c>
      <c r="AO3131" t="s">
        <v>118</v>
      </c>
      <c r="AP3131">
        <v>21</v>
      </c>
      <c r="AQ3131">
        <v>-63</v>
      </c>
      <c r="AR3131">
        <v>-64</v>
      </c>
      <c r="AZ3131">
        <v>7700</v>
      </c>
      <c r="BA3131">
        <v>1</v>
      </c>
      <c r="BB3131" t="str">
        <f t="shared" si="925"/>
        <v xml:space="preserve">N733KP  </v>
      </c>
      <c r="BC3131">
        <v>1</v>
      </c>
      <c r="BE3131">
        <v>0</v>
      </c>
      <c r="BF3131">
        <v>0</v>
      </c>
      <c r="BG3131">
        <v>1</v>
      </c>
      <c r="BH3131">
        <v>950</v>
      </c>
      <c r="BI3131">
        <v>1</v>
      </c>
      <c r="BJ3131">
        <v>1</v>
      </c>
      <c r="BK3131">
        <v>0</v>
      </c>
      <c r="BL3131">
        <v>0</v>
      </c>
      <c r="BO3131">
        <v>0</v>
      </c>
      <c r="BP3131">
        <v>0</v>
      </c>
      <c r="BW3131" t="str">
        <f>"22:23:19.397"</f>
        <v>22:23:19.397</v>
      </c>
      <c r="CJ3131">
        <v>0</v>
      </c>
      <c r="CK3131">
        <v>2</v>
      </c>
      <c r="CL3131">
        <v>0</v>
      </c>
      <c r="CM3131">
        <v>2</v>
      </c>
      <c r="CN3131">
        <v>0</v>
      </c>
      <c r="CO3131">
        <v>4</v>
      </c>
      <c r="CP3131" t="s">
        <v>119</v>
      </c>
      <c r="CQ3131">
        <v>364</v>
      </c>
      <c r="CR3131">
        <v>0</v>
      </c>
      <c r="CW3131">
        <v>1487418</v>
      </c>
      <c r="CY3131">
        <v>0</v>
      </c>
      <c r="CZ3131">
        <v>0</v>
      </c>
      <c r="DA3131">
        <v>0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3">
      <c r="A3132" t="str">
        <f>"03/24/2022 22:23:19.633"</f>
        <v>03/24/2022 22:23:19.633</v>
      </c>
      <c r="C3132" t="str">
        <f t="shared" si="924"/>
        <v>FFDFD3C0</v>
      </c>
      <c r="D3132" t="s">
        <v>123</v>
      </c>
      <c r="E3132">
        <v>8</v>
      </c>
      <c r="H3132">
        <v>31</v>
      </c>
      <c r="I3132" t="s">
        <v>124</v>
      </c>
      <c r="J3132" t="s">
        <v>125</v>
      </c>
      <c r="K3132">
        <v>0</v>
      </c>
      <c r="L3132">
        <v>3</v>
      </c>
      <c r="M3132">
        <v>0</v>
      </c>
      <c r="N3132">
        <v>2</v>
      </c>
      <c r="O3132">
        <v>0</v>
      </c>
      <c r="P3132">
        <v>1</v>
      </c>
      <c r="Q3132">
        <v>0</v>
      </c>
      <c r="S3132" t="str">
        <f t="shared" si="935"/>
        <v>22:23:19.000</v>
      </c>
      <c r="T3132" t="str">
        <f t="shared" si="935"/>
        <v>22:23:19.000</v>
      </c>
      <c r="U3132" t="str">
        <f t="shared" si="918"/>
        <v>A9D71F</v>
      </c>
      <c r="V3132">
        <v>0</v>
      </c>
      <c r="W3132">
        <v>0</v>
      </c>
      <c r="X3132">
        <v>2</v>
      </c>
      <c r="Z3132">
        <v>1</v>
      </c>
      <c r="AA3132">
        <v>8</v>
      </c>
      <c r="AB3132">
        <v>3</v>
      </c>
      <c r="AC3132">
        <v>0</v>
      </c>
      <c r="AD3132">
        <v>9</v>
      </c>
      <c r="AE3132">
        <v>0</v>
      </c>
      <c r="AF3132">
        <v>3</v>
      </c>
      <c r="AG3132">
        <v>1</v>
      </c>
      <c r="AH3132">
        <v>0</v>
      </c>
      <c r="AI3132" t="s">
        <v>1535</v>
      </c>
      <c r="AJ3132">
        <v>32.967675</v>
      </c>
      <c r="AK3132" t="s">
        <v>963</v>
      </c>
      <c r="AL3132">
        <v>-97.665409999999994</v>
      </c>
      <c r="AM3132">
        <v>25</v>
      </c>
      <c r="AN3132">
        <v>1000</v>
      </c>
      <c r="AO3132" t="s">
        <v>118</v>
      </c>
      <c r="AP3132">
        <v>21</v>
      </c>
      <c r="AQ3132">
        <v>-63</v>
      </c>
      <c r="AR3132">
        <v>-64</v>
      </c>
      <c r="AZ3132">
        <v>7700</v>
      </c>
      <c r="BA3132">
        <v>1</v>
      </c>
      <c r="BB3132" t="str">
        <f t="shared" si="925"/>
        <v xml:space="preserve">N733KP  </v>
      </c>
      <c r="BC3132">
        <v>1</v>
      </c>
      <c r="BE3132">
        <v>0</v>
      </c>
      <c r="BF3132">
        <v>0</v>
      </c>
      <c r="BG3132">
        <v>1</v>
      </c>
      <c r="BH3132">
        <v>950</v>
      </c>
      <c r="BI3132">
        <v>1</v>
      </c>
      <c r="BJ3132">
        <v>1</v>
      </c>
      <c r="BK3132">
        <v>0</v>
      </c>
      <c r="BL3132">
        <v>0</v>
      </c>
      <c r="BO3132">
        <v>0</v>
      </c>
      <c r="BP3132">
        <v>0</v>
      </c>
      <c r="BW3132" t="str">
        <f>"22:23:19.397"</f>
        <v>22:23:19.397</v>
      </c>
      <c r="CJ3132">
        <v>0</v>
      </c>
      <c r="CK3132">
        <v>2</v>
      </c>
      <c r="CL3132">
        <v>0</v>
      </c>
      <c r="CM3132">
        <v>2</v>
      </c>
      <c r="CN3132">
        <v>0</v>
      </c>
      <c r="CO3132">
        <v>4</v>
      </c>
      <c r="CP3132" t="s">
        <v>119</v>
      </c>
      <c r="CQ3132">
        <v>364</v>
      </c>
      <c r="CR3132">
        <v>0</v>
      </c>
      <c r="CW3132">
        <v>1487418</v>
      </c>
      <c r="CY3132">
        <v>0</v>
      </c>
      <c r="CZ3132">
        <v>0</v>
      </c>
      <c r="DA3132">
        <v>1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3">
      <c r="A3133" t="str">
        <f>"03/24/2022 22:23:19.633"</f>
        <v>03/24/2022 22:23:19.633</v>
      </c>
      <c r="C3133" t="str">
        <f t="shared" si="924"/>
        <v>FFDFD3C0</v>
      </c>
      <c r="D3133" t="s">
        <v>120</v>
      </c>
      <c r="E3133">
        <v>14</v>
      </c>
      <c r="F3133">
        <v>1014</v>
      </c>
      <c r="G3133" t="s">
        <v>121</v>
      </c>
      <c r="J3133" t="s">
        <v>122</v>
      </c>
      <c r="K3133">
        <v>0</v>
      </c>
      <c r="L3133">
        <v>3</v>
      </c>
      <c r="M3133">
        <v>0</v>
      </c>
      <c r="N3133">
        <v>2</v>
      </c>
      <c r="O3133">
        <v>0</v>
      </c>
      <c r="P3133">
        <v>1</v>
      </c>
      <c r="Q3133">
        <v>0</v>
      </c>
      <c r="S3133" t="str">
        <f t="shared" si="935"/>
        <v>22:23:19.000</v>
      </c>
      <c r="T3133" t="str">
        <f t="shared" si="935"/>
        <v>22:23:19.000</v>
      </c>
      <c r="U3133" t="str">
        <f t="shared" si="918"/>
        <v>A9D71F</v>
      </c>
      <c r="V3133">
        <v>0</v>
      </c>
      <c r="W3133">
        <v>0</v>
      </c>
      <c r="X3133">
        <v>2</v>
      </c>
      <c r="Z3133">
        <v>1</v>
      </c>
      <c r="AA3133">
        <v>8</v>
      </c>
      <c r="AB3133">
        <v>3</v>
      </c>
      <c r="AC3133">
        <v>0</v>
      </c>
      <c r="AD3133">
        <v>9</v>
      </c>
      <c r="AE3133">
        <v>0</v>
      </c>
      <c r="AF3133">
        <v>3</v>
      </c>
      <c r="AG3133">
        <v>1</v>
      </c>
      <c r="AH3133">
        <v>0</v>
      </c>
      <c r="AI3133" t="s">
        <v>1535</v>
      </c>
      <c r="AJ3133">
        <v>32.967675</v>
      </c>
      <c r="AK3133" t="s">
        <v>963</v>
      </c>
      <c r="AL3133">
        <v>-97.665409999999994</v>
      </c>
      <c r="AM3133">
        <v>25</v>
      </c>
      <c r="AN3133">
        <v>1000</v>
      </c>
      <c r="AO3133" t="s">
        <v>118</v>
      </c>
      <c r="AP3133">
        <v>21</v>
      </c>
      <c r="AQ3133">
        <v>-63</v>
      </c>
      <c r="AR3133">
        <v>-64</v>
      </c>
      <c r="AZ3133">
        <v>7700</v>
      </c>
      <c r="BA3133">
        <v>1</v>
      </c>
      <c r="BB3133" t="str">
        <f t="shared" si="925"/>
        <v xml:space="preserve">N733KP  </v>
      </c>
      <c r="BC3133">
        <v>1</v>
      </c>
      <c r="BE3133">
        <v>0</v>
      </c>
      <c r="BF3133">
        <v>0</v>
      </c>
      <c r="BG3133">
        <v>1</v>
      </c>
      <c r="BH3133">
        <v>950</v>
      </c>
      <c r="BI3133">
        <v>1</v>
      </c>
      <c r="BJ3133">
        <v>1</v>
      </c>
      <c r="BK3133">
        <v>0</v>
      </c>
      <c r="BL3133">
        <v>0</v>
      </c>
      <c r="BO3133">
        <v>0</v>
      </c>
      <c r="BP3133">
        <v>0</v>
      </c>
      <c r="BW3133" t="str">
        <f>"22:23:19.397"</f>
        <v>22:23:19.397</v>
      </c>
      <c r="CJ3133">
        <v>0</v>
      </c>
      <c r="CK3133">
        <v>2</v>
      </c>
      <c r="CL3133">
        <v>0</v>
      </c>
      <c r="CM3133">
        <v>2</v>
      </c>
      <c r="CN3133">
        <v>0</v>
      </c>
      <c r="CO3133">
        <v>4</v>
      </c>
      <c r="CP3133" t="s">
        <v>119</v>
      </c>
      <c r="CQ3133">
        <v>364</v>
      </c>
      <c r="CR3133">
        <v>0</v>
      </c>
      <c r="CW3133">
        <v>1487418</v>
      </c>
      <c r="CY3133">
        <v>0</v>
      </c>
      <c r="CZ3133">
        <v>0</v>
      </c>
      <c r="DA3133">
        <v>1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3">
      <c r="A3134" t="str">
        <f>"03/24/2022 22:23:19.633"</f>
        <v>03/24/2022 22:23:19.633</v>
      </c>
      <c r="C3134" t="str">
        <f t="shared" si="924"/>
        <v>FFDFD3C0</v>
      </c>
      <c r="D3134" t="s">
        <v>113</v>
      </c>
      <c r="E3134">
        <v>24</v>
      </c>
      <c r="F3134">
        <v>2024</v>
      </c>
      <c r="G3134" t="s">
        <v>114</v>
      </c>
      <c r="J3134" t="s">
        <v>115</v>
      </c>
      <c r="K3134">
        <v>0</v>
      </c>
      <c r="L3134">
        <v>3</v>
      </c>
      <c r="M3134">
        <v>0</v>
      </c>
      <c r="N3134">
        <v>2</v>
      </c>
      <c r="O3134">
        <v>0</v>
      </c>
      <c r="P3134">
        <v>1</v>
      </c>
      <c r="Q3134">
        <v>0</v>
      </c>
      <c r="S3134" t="str">
        <f t="shared" si="935"/>
        <v>22:23:19.000</v>
      </c>
      <c r="T3134" t="str">
        <f t="shared" si="935"/>
        <v>22:23:19.000</v>
      </c>
      <c r="U3134" t="str">
        <f t="shared" si="918"/>
        <v>A9D71F</v>
      </c>
      <c r="V3134">
        <v>0</v>
      </c>
      <c r="W3134">
        <v>0</v>
      </c>
      <c r="X3134">
        <v>2</v>
      </c>
      <c r="Z3134">
        <v>1</v>
      </c>
      <c r="AA3134">
        <v>8</v>
      </c>
      <c r="AB3134">
        <v>3</v>
      </c>
      <c r="AC3134">
        <v>0</v>
      </c>
      <c r="AD3134">
        <v>9</v>
      </c>
      <c r="AE3134">
        <v>0</v>
      </c>
      <c r="AF3134">
        <v>3</v>
      </c>
      <c r="AG3134">
        <v>1</v>
      </c>
      <c r="AH3134">
        <v>0</v>
      </c>
      <c r="AI3134" t="s">
        <v>1535</v>
      </c>
      <c r="AJ3134">
        <v>32.967675</v>
      </c>
      <c r="AK3134" t="s">
        <v>963</v>
      </c>
      <c r="AL3134">
        <v>-97.665409999999994</v>
      </c>
      <c r="AM3134">
        <v>25</v>
      </c>
      <c r="AN3134">
        <v>1000</v>
      </c>
      <c r="AO3134" t="s">
        <v>118</v>
      </c>
      <c r="AP3134">
        <v>21</v>
      </c>
      <c r="AQ3134">
        <v>-63</v>
      </c>
      <c r="AR3134">
        <v>-64</v>
      </c>
      <c r="AZ3134">
        <v>7700</v>
      </c>
      <c r="BA3134">
        <v>1</v>
      </c>
      <c r="BB3134" t="str">
        <f t="shared" si="925"/>
        <v xml:space="preserve">N733KP  </v>
      </c>
      <c r="BC3134">
        <v>1</v>
      </c>
      <c r="BE3134">
        <v>0</v>
      </c>
      <c r="BF3134">
        <v>0</v>
      </c>
      <c r="BG3134">
        <v>1</v>
      </c>
      <c r="BH3134">
        <v>950</v>
      </c>
      <c r="BI3134">
        <v>1</v>
      </c>
      <c r="BJ3134">
        <v>1</v>
      </c>
      <c r="BK3134">
        <v>0</v>
      </c>
      <c r="BL3134">
        <v>0</v>
      </c>
      <c r="BO3134">
        <v>0</v>
      </c>
      <c r="BP3134">
        <v>0</v>
      </c>
      <c r="BW3134" t="str">
        <f>"22:23:19.397"</f>
        <v>22:23:19.397</v>
      </c>
      <c r="CJ3134">
        <v>0</v>
      </c>
      <c r="CK3134">
        <v>2</v>
      </c>
      <c r="CL3134">
        <v>0</v>
      </c>
      <c r="CM3134">
        <v>2</v>
      </c>
      <c r="CN3134">
        <v>0</v>
      </c>
      <c r="CO3134">
        <v>4</v>
      </c>
      <c r="CP3134" t="s">
        <v>119</v>
      </c>
      <c r="CQ3134">
        <v>364</v>
      </c>
      <c r="CR3134">
        <v>0</v>
      </c>
      <c r="CW3134">
        <v>1487418</v>
      </c>
      <c r="CY3134">
        <v>0</v>
      </c>
      <c r="CZ3134">
        <v>0</v>
      </c>
      <c r="DA3134">
        <v>1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3">
      <c r="A3135" t="str">
        <f>"03/24/2022 22:23:20.852"</f>
        <v>03/24/2022 22:23:20.852</v>
      </c>
      <c r="C3135" t="str">
        <f t="shared" si="924"/>
        <v>FFDFD3C0</v>
      </c>
      <c r="D3135" t="s">
        <v>123</v>
      </c>
      <c r="E3135">
        <v>8</v>
      </c>
      <c r="H3135">
        <v>31</v>
      </c>
      <c r="I3135" t="s">
        <v>124</v>
      </c>
      <c r="J3135" t="s">
        <v>125</v>
      </c>
      <c r="K3135">
        <v>0</v>
      </c>
      <c r="L3135">
        <v>3</v>
      </c>
      <c r="M3135">
        <v>0</v>
      </c>
      <c r="N3135">
        <v>2</v>
      </c>
      <c r="O3135">
        <v>0</v>
      </c>
      <c r="P3135">
        <v>1</v>
      </c>
      <c r="Q3135">
        <v>0</v>
      </c>
      <c r="S3135" t="str">
        <f t="shared" ref="S3135:T3138" si="936">"22:23:20.000"</f>
        <v>22:23:20.000</v>
      </c>
      <c r="T3135" t="str">
        <f t="shared" si="936"/>
        <v>22:23:20.000</v>
      </c>
      <c r="U3135" t="str">
        <f t="shared" si="918"/>
        <v>A9D71F</v>
      </c>
      <c r="V3135">
        <v>0</v>
      </c>
      <c r="W3135">
        <v>0</v>
      </c>
      <c r="X3135">
        <v>2</v>
      </c>
      <c r="Z3135">
        <v>1</v>
      </c>
      <c r="AA3135">
        <v>8</v>
      </c>
      <c r="AB3135">
        <v>3</v>
      </c>
      <c r="AC3135">
        <v>0</v>
      </c>
      <c r="AD3135">
        <v>9</v>
      </c>
      <c r="AE3135">
        <v>0</v>
      </c>
      <c r="AF3135">
        <v>3</v>
      </c>
      <c r="AG3135">
        <v>1</v>
      </c>
      <c r="AH3135">
        <v>0</v>
      </c>
      <c r="AI3135" t="s">
        <v>1536</v>
      </c>
      <c r="AJ3135">
        <v>32.967309999999998</v>
      </c>
      <c r="AK3135" t="s">
        <v>965</v>
      </c>
      <c r="AL3135">
        <v>-97.665238000000002</v>
      </c>
      <c r="AM3135">
        <v>25</v>
      </c>
      <c r="AN3135">
        <v>1000</v>
      </c>
      <c r="AO3135" t="s">
        <v>118</v>
      </c>
      <c r="AP3135">
        <v>20</v>
      </c>
      <c r="AQ3135">
        <v>-64</v>
      </c>
      <c r="AR3135">
        <v>-128</v>
      </c>
      <c r="AZ3135">
        <v>7700</v>
      </c>
      <c r="BA3135">
        <v>1</v>
      </c>
      <c r="BB3135" t="str">
        <f t="shared" si="925"/>
        <v xml:space="preserve">N733KP  </v>
      </c>
      <c r="BC3135">
        <v>1</v>
      </c>
      <c r="BE3135">
        <v>0</v>
      </c>
      <c r="BF3135">
        <v>0</v>
      </c>
      <c r="BG3135">
        <v>1</v>
      </c>
      <c r="BH3135">
        <v>950</v>
      </c>
      <c r="BI3135">
        <v>1</v>
      </c>
      <c r="BJ3135">
        <v>1</v>
      </c>
      <c r="BK3135">
        <v>0</v>
      </c>
      <c r="BL3135">
        <v>0</v>
      </c>
      <c r="BO3135">
        <v>0</v>
      </c>
      <c r="BP3135">
        <v>0</v>
      </c>
      <c r="BW3135" t="str">
        <f>"22:23:20.294"</f>
        <v>22:23:20.294</v>
      </c>
      <c r="CJ3135">
        <v>0</v>
      </c>
      <c r="CK3135">
        <v>2</v>
      </c>
      <c r="CL3135">
        <v>0</v>
      </c>
      <c r="CM3135">
        <v>2</v>
      </c>
      <c r="CN3135">
        <v>0</v>
      </c>
      <c r="CO3135">
        <v>4</v>
      </c>
      <c r="CP3135" t="s">
        <v>119</v>
      </c>
      <c r="CQ3135">
        <v>364</v>
      </c>
      <c r="CR3135">
        <v>0</v>
      </c>
      <c r="CW3135">
        <v>1487534</v>
      </c>
      <c r="CY3135">
        <v>0</v>
      </c>
      <c r="CZ3135">
        <v>0</v>
      </c>
      <c r="DA3135">
        <v>0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3">
      <c r="A3136" t="str">
        <f>"03/24/2022 22:23:20.961"</f>
        <v>03/24/2022 22:23:20.961</v>
      </c>
      <c r="C3136" t="str">
        <f t="shared" si="924"/>
        <v>FFDFD3C0</v>
      </c>
      <c r="D3136" t="s">
        <v>120</v>
      </c>
      <c r="E3136">
        <v>14</v>
      </c>
      <c r="F3136">
        <v>1014</v>
      </c>
      <c r="G3136" t="s">
        <v>121</v>
      </c>
      <c r="J3136" t="s">
        <v>122</v>
      </c>
      <c r="K3136">
        <v>0</v>
      </c>
      <c r="L3136">
        <v>3</v>
      </c>
      <c r="M3136">
        <v>0</v>
      </c>
      <c r="N3136">
        <v>2</v>
      </c>
      <c r="O3136">
        <v>0</v>
      </c>
      <c r="P3136">
        <v>1</v>
      </c>
      <c r="Q3136">
        <v>0</v>
      </c>
      <c r="S3136" t="str">
        <f t="shared" si="936"/>
        <v>22:23:20.000</v>
      </c>
      <c r="T3136" t="str">
        <f t="shared" si="936"/>
        <v>22:23:20.000</v>
      </c>
      <c r="U3136" t="str">
        <f t="shared" si="918"/>
        <v>A9D71F</v>
      </c>
      <c r="V3136">
        <v>0</v>
      </c>
      <c r="W3136">
        <v>0</v>
      </c>
      <c r="X3136">
        <v>2</v>
      </c>
      <c r="Z3136">
        <v>1</v>
      </c>
      <c r="AA3136">
        <v>8</v>
      </c>
      <c r="AB3136">
        <v>3</v>
      </c>
      <c r="AC3136">
        <v>0</v>
      </c>
      <c r="AD3136">
        <v>9</v>
      </c>
      <c r="AE3136">
        <v>0</v>
      </c>
      <c r="AF3136">
        <v>3</v>
      </c>
      <c r="AG3136">
        <v>1</v>
      </c>
      <c r="AH3136">
        <v>0</v>
      </c>
      <c r="AI3136" t="s">
        <v>1536</v>
      </c>
      <c r="AJ3136">
        <v>32.967309999999998</v>
      </c>
      <c r="AK3136" t="s">
        <v>965</v>
      </c>
      <c r="AL3136">
        <v>-97.665238000000002</v>
      </c>
      <c r="AM3136">
        <v>25</v>
      </c>
      <c r="AN3136">
        <v>1000</v>
      </c>
      <c r="AO3136" t="s">
        <v>118</v>
      </c>
      <c r="AP3136">
        <v>20</v>
      </c>
      <c r="AQ3136">
        <v>-64</v>
      </c>
      <c r="AR3136">
        <v>-128</v>
      </c>
      <c r="AZ3136">
        <v>7700</v>
      </c>
      <c r="BA3136">
        <v>1</v>
      </c>
      <c r="BB3136" t="str">
        <f t="shared" si="925"/>
        <v xml:space="preserve">N733KP  </v>
      </c>
      <c r="BC3136">
        <v>1</v>
      </c>
      <c r="BE3136">
        <v>0</v>
      </c>
      <c r="BF3136">
        <v>0</v>
      </c>
      <c r="BG3136">
        <v>1</v>
      </c>
      <c r="BH3136">
        <v>950</v>
      </c>
      <c r="BI3136">
        <v>1</v>
      </c>
      <c r="BJ3136">
        <v>1</v>
      </c>
      <c r="BK3136">
        <v>0</v>
      </c>
      <c r="BL3136">
        <v>0</v>
      </c>
      <c r="BO3136">
        <v>0</v>
      </c>
      <c r="BP3136">
        <v>0</v>
      </c>
      <c r="BW3136" t="str">
        <f>"22:23:20.294"</f>
        <v>22:23:20.294</v>
      </c>
      <c r="CJ3136">
        <v>0</v>
      </c>
      <c r="CK3136">
        <v>2</v>
      </c>
      <c r="CL3136">
        <v>0</v>
      </c>
      <c r="CM3136">
        <v>2</v>
      </c>
      <c r="CN3136">
        <v>0</v>
      </c>
      <c r="CO3136">
        <v>4</v>
      </c>
      <c r="CP3136" t="s">
        <v>119</v>
      </c>
      <c r="CQ3136">
        <v>364</v>
      </c>
      <c r="CR3136">
        <v>0</v>
      </c>
      <c r="CW3136">
        <v>1487534</v>
      </c>
      <c r="CY3136">
        <v>0</v>
      </c>
      <c r="CZ3136">
        <v>0</v>
      </c>
      <c r="DA3136">
        <v>1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3">
      <c r="A3137" t="str">
        <f>"03/24/2022 22:23:20.492"</f>
        <v>03/24/2022 22:23:20.492</v>
      </c>
      <c r="C3137" t="str">
        <f t="shared" si="924"/>
        <v>FFDFD3C0</v>
      </c>
      <c r="D3137" t="s">
        <v>113</v>
      </c>
      <c r="E3137">
        <v>24</v>
      </c>
      <c r="F3137">
        <v>2024</v>
      </c>
      <c r="G3137" t="s">
        <v>114</v>
      </c>
      <c r="J3137" t="s">
        <v>115</v>
      </c>
      <c r="K3137">
        <v>0</v>
      </c>
      <c r="L3137">
        <v>3</v>
      </c>
      <c r="M3137">
        <v>0</v>
      </c>
      <c r="N3137">
        <v>2</v>
      </c>
      <c r="O3137">
        <v>0</v>
      </c>
      <c r="P3137">
        <v>1</v>
      </c>
      <c r="Q3137">
        <v>0</v>
      </c>
      <c r="S3137" t="str">
        <f t="shared" si="936"/>
        <v>22:23:20.000</v>
      </c>
      <c r="T3137" t="str">
        <f t="shared" si="936"/>
        <v>22:23:20.000</v>
      </c>
      <c r="U3137" t="str">
        <f t="shared" si="918"/>
        <v>A9D71F</v>
      </c>
      <c r="V3137">
        <v>0</v>
      </c>
      <c r="W3137">
        <v>0</v>
      </c>
      <c r="X3137">
        <v>2</v>
      </c>
      <c r="Z3137">
        <v>1</v>
      </c>
      <c r="AA3137">
        <v>8</v>
      </c>
      <c r="AB3137">
        <v>3</v>
      </c>
      <c r="AC3137">
        <v>0</v>
      </c>
      <c r="AD3137">
        <v>9</v>
      </c>
      <c r="AE3137">
        <v>0</v>
      </c>
      <c r="AF3137">
        <v>3</v>
      </c>
      <c r="AG3137">
        <v>1</v>
      </c>
      <c r="AH3137">
        <v>0</v>
      </c>
      <c r="AI3137" t="s">
        <v>1536</v>
      </c>
      <c r="AJ3137">
        <v>32.967309999999998</v>
      </c>
      <c r="AK3137" t="s">
        <v>965</v>
      </c>
      <c r="AL3137">
        <v>-97.665238000000002</v>
      </c>
      <c r="AM3137">
        <v>25</v>
      </c>
      <c r="AN3137">
        <v>1000</v>
      </c>
      <c r="AO3137" t="s">
        <v>118</v>
      </c>
      <c r="AP3137">
        <v>20</v>
      </c>
      <c r="AQ3137">
        <v>-64</v>
      </c>
      <c r="AR3137">
        <v>-128</v>
      </c>
      <c r="AZ3137">
        <v>7700</v>
      </c>
      <c r="BA3137">
        <v>1</v>
      </c>
      <c r="BB3137" t="str">
        <f t="shared" si="925"/>
        <v xml:space="preserve">N733KP  </v>
      </c>
      <c r="BC3137">
        <v>1</v>
      </c>
      <c r="BE3137">
        <v>0</v>
      </c>
      <c r="BF3137">
        <v>0</v>
      </c>
      <c r="BG3137">
        <v>1</v>
      </c>
      <c r="BH3137">
        <v>950</v>
      </c>
      <c r="BI3137">
        <v>1</v>
      </c>
      <c r="BJ3137">
        <v>1</v>
      </c>
      <c r="BK3137">
        <v>0</v>
      </c>
      <c r="BL3137">
        <v>0</v>
      </c>
      <c r="BO3137">
        <v>0</v>
      </c>
      <c r="BP3137">
        <v>0</v>
      </c>
      <c r="BW3137" t="str">
        <f>"22:23:20.294"</f>
        <v>22:23:20.294</v>
      </c>
      <c r="CJ3137">
        <v>0</v>
      </c>
      <c r="CK3137">
        <v>2</v>
      </c>
      <c r="CL3137">
        <v>0</v>
      </c>
      <c r="CM3137">
        <v>2</v>
      </c>
      <c r="CN3137">
        <v>0</v>
      </c>
      <c r="CO3137">
        <v>4</v>
      </c>
      <c r="CP3137" t="s">
        <v>119</v>
      </c>
      <c r="CQ3137">
        <v>364</v>
      </c>
      <c r="CR3137">
        <v>0</v>
      </c>
      <c r="CW3137">
        <v>1487534</v>
      </c>
      <c r="CY3137">
        <v>0</v>
      </c>
      <c r="CZ3137">
        <v>0</v>
      </c>
      <c r="DA3137">
        <v>0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3">
      <c r="A3138" t="str">
        <f>"03/24/2022 22:23:20.492"</f>
        <v>03/24/2022 22:23:20.492</v>
      </c>
      <c r="C3138" t="str">
        <f t="shared" si="924"/>
        <v>FFDFD3C0</v>
      </c>
      <c r="D3138" t="s">
        <v>126</v>
      </c>
      <c r="E3138">
        <v>3</v>
      </c>
      <c r="H3138">
        <v>160</v>
      </c>
      <c r="I3138" t="s">
        <v>121</v>
      </c>
      <c r="J3138" t="s">
        <v>127</v>
      </c>
      <c r="K3138">
        <v>0</v>
      </c>
      <c r="L3138">
        <v>3</v>
      </c>
      <c r="M3138">
        <v>0</v>
      </c>
      <c r="N3138">
        <v>2</v>
      </c>
      <c r="O3138">
        <v>0</v>
      </c>
      <c r="P3138">
        <v>1</v>
      </c>
      <c r="Q3138">
        <v>0</v>
      </c>
      <c r="S3138" t="str">
        <f t="shared" si="936"/>
        <v>22:23:20.000</v>
      </c>
      <c r="T3138" t="str">
        <f t="shared" si="936"/>
        <v>22:23:20.000</v>
      </c>
      <c r="U3138" t="str">
        <f t="shared" ref="U3138:U3201" si="937">"A9D71F"</f>
        <v>A9D71F</v>
      </c>
      <c r="V3138">
        <v>0</v>
      </c>
      <c r="W3138">
        <v>0</v>
      </c>
      <c r="X3138">
        <v>2</v>
      </c>
      <c r="Z3138">
        <v>1</v>
      </c>
      <c r="AA3138">
        <v>8</v>
      </c>
      <c r="AB3138">
        <v>3</v>
      </c>
      <c r="AC3138">
        <v>0</v>
      </c>
      <c r="AD3138">
        <v>9</v>
      </c>
      <c r="AE3138">
        <v>0</v>
      </c>
      <c r="AF3138">
        <v>3</v>
      </c>
      <c r="AG3138">
        <v>1</v>
      </c>
      <c r="AH3138">
        <v>0</v>
      </c>
      <c r="AI3138" t="s">
        <v>1536</v>
      </c>
      <c r="AJ3138">
        <v>32.967309999999998</v>
      </c>
      <c r="AK3138" t="s">
        <v>965</v>
      </c>
      <c r="AL3138">
        <v>-97.665238000000002</v>
      </c>
      <c r="AM3138">
        <v>25</v>
      </c>
      <c r="AN3138">
        <v>1000</v>
      </c>
      <c r="AO3138" t="s">
        <v>118</v>
      </c>
      <c r="AP3138">
        <v>20</v>
      </c>
      <c r="AQ3138">
        <v>-64</v>
      </c>
      <c r="AR3138">
        <v>-128</v>
      </c>
      <c r="AZ3138">
        <v>7700</v>
      </c>
      <c r="BA3138">
        <v>1</v>
      </c>
      <c r="BB3138" t="str">
        <f t="shared" si="925"/>
        <v xml:space="preserve">N733KP  </v>
      </c>
      <c r="BC3138">
        <v>1</v>
      </c>
      <c r="BE3138">
        <v>0</v>
      </c>
      <c r="BF3138">
        <v>0</v>
      </c>
      <c r="BG3138">
        <v>1</v>
      </c>
      <c r="BH3138">
        <v>950</v>
      </c>
      <c r="BI3138">
        <v>1</v>
      </c>
      <c r="BJ3138">
        <v>1</v>
      </c>
      <c r="BK3138">
        <v>0</v>
      </c>
      <c r="BL3138">
        <v>0</v>
      </c>
      <c r="BO3138">
        <v>0</v>
      </c>
      <c r="BP3138">
        <v>0</v>
      </c>
      <c r="BW3138" t="str">
        <f>"22:23:20.294"</f>
        <v>22:23:20.294</v>
      </c>
      <c r="CJ3138">
        <v>0</v>
      </c>
      <c r="CK3138">
        <v>2</v>
      </c>
      <c r="CL3138">
        <v>0</v>
      </c>
      <c r="CM3138">
        <v>2</v>
      </c>
      <c r="CN3138">
        <v>0</v>
      </c>
      <c r="CO3138">
        <v>4</v>
      </c>
      <c r="CP3138" t="s">
        <v>119</v>
      </c>
      <c r="CQ3138">
        <v>364</v>
      </c>
      <c r="CR3138">
        <v>0</v>
      </c>
      <c r="CW3138">
        <v>1487534</v>
      </c>
      <c r="CY3138">
        <v>0</v>
      </c>
      <c r="CZ3138">
        <v>0</v>
      </c>
      <c r="DA3138">
        <v>1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3">
      <c r="A3139" t="str">
        <f>"03/24/2022 22:23:22.164"</f>
        <v>03/24/2022 22:23:22.164</v>
      </c>
      <c r="C3139" t="str">
        <f t="shared" si="924"/>
        <v>FFDFD3C0</v>
      </c>
      <c r="D3139" t="s">
        <v>126</v>
      </c>
      <c r="E3139">
        <v>3</v>
      </c>
      <c r="H3139">
        <v>160</v>
      </c>
      <c r="I3139" t="s">
        <v>121</v>
      </c>
      <c r="J3139" t="s">
        <v>127</v>
      </c>
      <c r="K3139">
        <v>0</v>
      </c>
      <c r="L3139">
        <v>3</v>
      </c>
      <c r="M3139">
        <v>0</v>
      </c>
      <c r="N3139">
        <v>2</v>
      </c>
      <c r="O3139">
        <v>0</v>
      </c>
      <c r="P3139">
        <v>1</v>
      </c>
      <c r="Q3139">
        <v>0</v>
      </c>
      <c r="S3139" t="str">
        <f t="shared" ref="S3139:T3142" si="938">"22:23:21.000"</f>
        <v>22:23:21.000</v>
      </c>
      <c r="T3139" t="str">
        <f t="shared" si="938"/>
        <v>22:23:21.000</v>
      </c>
      <c r="U3139" t="str">
        <f t="shared" si="937"/>
        <v>A9D71F</v>
      </c>
      <c r="V3139">
        <v>0</v>
      </c>
      <c r="W3139">
        <v>0</v>
      </c>
      <c r="X3139">
        <v>2</v>
      </c>
      <c r="Z3139">
        <v>1</v>
      </c>
      <c r="AA3139">
        <v>8</v>
      </c>
      <c r="AB3139">
        <v>3</v>
      </c>
      <c r="AC3139">
        <v>0</v>
      </c>
      <c r="AD3139">
        <v>9</v>
      </c>
      <c r="AE3139">
        <v>0</v>
      </c>
      <c r="AF3139">
        <v>3</v>
      </c>
      <c r="AG3139">
        <v>1</v>
      </c>
      <c r="AH3139">
        <v>0</v>
      </c>
      <c r="AI3139" t="s">
        <v>1537</v>
      </c>
      <c r="AJ3139">
        <v>32.967052000000002</v>
      </c>
      <c r="AK3139" t="s">
        <v>1538</v>
      </c>
      <c r="AL3139">
        <v>-97.665131000000002</v>
      </c>
      <c r="AM3139">
        <v>25</v>
      </c>
      <c r="AN3139">
        <v>1000</v>
      </c>
      <c r="AO3139" t="s">
        <v>118</v>
      </c>
      <c r="AP3139">
        <v>20</v>
      </c>
      <c r="AQ3139">
        <v>-65</v>
      </c>
      <c r="AR3139">
        <v>-320</v>
      </c>
      <c r="AZ3139">
        <v>7700</v>
      </c>
      <c r="BA3139">
        <v>1</v>
      </c>
      <c r="BB3139" t="str">
        <f t="shared" si="925"/>
        <v xml:space="preserve">N733KP  </v>
      </c>
      <c r="BC3139">
        <v>1</v>
      </c>
      <c r="BE3139">
        <v>0</v>
      </c>
      <c r="BF3139">
        <v>0</v>
      </c>
      <c r="BG3139">
        <v>1</v>
      </c>
      <c r="BH3139">
        <v>950</v>
      </c>
      <c r="BI3139">
        <v>1</v>
      </c>
      <c r="BJ3139">
        <v>1</v>
      </c>
      <c r="BK3139">
        <v>0</v>
      </c>
      <c r="BL3139">
        <v>0</v>
      </c>
      <c r="BO3139">
        <v>0</v>
      </c>
      <c r="BP3139">
        <v>0</v>
      </c>
      <c r="BW3139" t="str">
        <f>"22:23:21.901"</f>
        <v>22:23:21.901</v>
      </c>
      <c r="CJ3139">
        <v>0</v>
      </c>
      <c r="CK3139">
        <v>2</v>
      </c>
      <c r="CL3139">
        <v>0</v>
      </c>
      <c r="CM3139">
        <v>2</v>
      </c>
      <c r="CN3139">
        <v>0</v>
      </c>
      <c r="CO3139">
        <v>5</v>
      </c>
      <c r="CP3139" t="s">
        <v>119</v>
      </c>
      <c r="CQ3139">
        <v>364</v>
      </c>
      <c r="CR3139">
        <v>0</v>
      </c>
      <c r="CW3139">
        <v>1487774</v>
      </c>
      <c r="CY3139">
        <v>1</v>
      </c>
      <c r="CZ3139">
        <v>0</v>
      </c>
      <c r="DA3139">
        <v>0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3">
      <c r="A3140" t="str">
        <f>"03/24/2022 22:23:22.164"</f>
        <v>03/24/2022 22:23:22.164</v>
      </c>
      <c r="C3140" t="str">
        <f t="shared" si="924"/>
        <v>FFDFD3C0</v>
      </c>
      <c r="D3140" t="s">
        <v>123</v>
      </c>
      <c r="E3140">
        <v>8</v>
      </c>
      <c r="H3140">
        <v>31</v>
      </c>
      <c r="I3140" t="s">
        <v>124</v>
      </c>
      <c r="J3140" t="s">
        <v>125</v>
      </c>
      <c r="K3140">
        <v>0</v>
      </c>
      <c r="L3140">
        <v>3</v>
      </c>
      <c r="M3140">
        <v>0</v>
      </c>
      <c r="N3140">
        <v>2</v>
      </c>
      <c r="O3140">
        <v>0</v>
      </c>
      <c r="P3140">
        <v>1</v>
      </c>
      <c r="Q3140">
        <v>0</v>
      </c>
      <c r="S3140" t="str">
        <f t="shared" si="938"/>
        <v>22:23:21.000</v>
      </c>
      <c r="T3140" t="str">
        <f t="shared" si="938"/>
        <v>22:23:21.000</v>
      </c>
      <c r="U3140" t="str">
        <f t="shared" si="937"/>
        <v>A9D71F</v>
      </c>
      <c r="V3140">
        <v>0</v>
      </c>
      <c r="W3140">
        <v>0</v>
      </c>
      <c r="X3140">
        <v>2</v>
      </c>
      <c r="Z3140">
        <v>1</v>
      </c>
      <c r="AA3140">
        <v>8</v>
      </c>
      <c r="AB3140">
        <v>3</v>
      </c>
      <c r="AC3140">
        <v>0</v>
      </c>
      <c r="AD3140">
        <v>9</v>
      </c>
      <c r="AE3140">
        <v>0</v>
      </c>
      <c r="AF3140">
        <v>3</v>
      </c>
      <c r="AG3140">
        <v>1</v>
      </c>
      <c r="AH3140">
        <v>0</v>
      </c>
      <c r="AI3140" t="s">
        <v>1537</v>
      </c>
      <c r="AJ3140">
        <v>32.967052000000002</v>
      </c>
      <c r="AK3140" t="s">
        <v>1538</v>
      </c>
      <c r="AL3140">
        <v>-97.665131000000002</v>
      </c>
      <c r="AM3140">
        <v>25</v>
      </c>
      <c r="AN3140">
        <v>1000</v>
      </c>
      <c r="AO3140" t="s">
        <v>118</v>
      </c>
      <c r="AP3140">
        <v>20</v>
      </c>
      <c r="AQ3140">
        <v>-65</v>
      </c>
      <c r="AR3140">
        <v>-320</v>
      </c>
      <c r="AZ3140">
        <v>7700</v>
      </c>
      <c r="BA3140">
        <v>1</v>
      </c>
      <c r="BB3140" t="str">
        <f t="shared" si="925"/>
        <v xml:space="preserve">N733KP  </v>
      </c>
      <c r="BC3140">
        <v>1</v>
      </c>
      <c r="BE3140">
        <v>0</v>
      </c>
      <c r="BF3140">
        <v>0</v>
      </c>
      <c r="BG3140">
        <v>1</v>
      </c>
      <c r="BH3140">
        <v>950</v>
      </c>
      <c r="BI3140">
        <v>1</v>
      </c>
      <c r="BJ3140">
        <v>1</v>
      </c>
      <c r="BK3140">
        <v>0</v>
      </c>
      <c r="BL3140">
        <v>0</v>
      </c>
      <c r="BO3140">
        <v>0</v>
      </c>
      <c r="BP3140">
        <v>0</v>
      </c>
      <c r="BW3140" t="str">
        <f>"22:23:21.901"</f>
        <v>22:23:21.901</v>
      </c>
      <c r="CJ3140">
        <v>0</v>
      </c>
      <c r="CK3140">
        <v>2</v>
      </c>
      <c r="CL3140">
        <v>0</v>
      </c>
      <c r="CM3140">
        <v>2</v>
      </c>
      <c r="CN3140">
        <v>0</v>
      </c>
      <c r="CO3140">
        <v>5</v>
      </c>
      <c r="CP3140" t="s">
        <v>119</v>
      </c>
      <c r="CQ3140">
        <v>364</v>
      </c>
      <c r="CR3140">
        <v>0</v>
      </c>
      <c r="CW3140">
        <v>1487774</v>
      </c>
      <c r="CY3140">
        <v>1</v>
      </c>
      <c r="CZ3140">
        <v>0</v>
      </c>
      <c r="DA3140">
        <v>1</v>
      </c>
      <c r="DB3140">
        <v>0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3">
      <c r="A3141" t="str">
        <f>"03/24/2022 22:23:22.164"</f>
        <v>03/24/2022 22:23:22.164</v>
      </c>
      <c r="C3141" t="str">
        <f t="shared" si="924"/>
        <v>FFDFD3C0</v>
      </c>
      <c r="D3141" t="s">
        <v>120</v>
      </c>
      <c r="E3141">
        <v>14</v>
      </c>
      <c r="F3141">
        <v>1014</v>
      </c>
      <c r="G3141" t="s">
        <v>121</v>
      </c>
      <c r="J3141" t="s">
        <v>122</v>
      </c>
      <c r="K3141">
        <v>0</v>
      </c>
      <c r="L3141">
        <v>3</v>
      </c>
      <c r="M3141">
        <v>0</v>
      </c>
      <c r="N3141">
        <v>2</v>
      </c>
      <c r="O3141">
        <v>0</v>
      </c>
      <c r="P3141">
        <v>1</v>
      </c>
      <c r="Q3141">
        <v>0</v>
      </c>
      <c r="S3141" t="str">
        <f t="shared" si="938"/>
        <v>22:23:21.000</v>
      </c>
      <c r="T3141" t="str">
        <f t="shared" si="938"/>
        <v>22:23:21.000</v>
      </c>
      <c r="U3141" t="str">
        <f t="shared" si="937"/>
        <v>A9D71F</v>
      </c>
      <c r="V3141">
        <v>0</v>
      </c>
      <c r="W3141">
        <v>0</v>
      </c>
      <c r="X3141">
        <v>2</v>
      </c>
      <c r="Z3141">
        <v>1</v>
      </c>
      <c r="AA3141">
        <v>8</v>
      </c>
      <c r="AB3141">
        <v>3</v>
      </c>
      <c r="AC3141">
        <v>0</v>
      </c>
      <c r="AD3141">
        <v>9</v>
      </c>
      <c r="AE3141">
        <v>0</v>
      </c>
      <c r="AF3141">
        <v>3</v>
      </c>
      <c r="AG3141">
        <v>1</v>
      </c>
      <c r="AH3141">
        <v>0</v>
      </c>
      <c r="AI3141" t="s">
        <v>1537</v>
      </c>
      <c r="AJ3141">
        <v>32.967052000000002</v>
      </c>
      <c r="AK3141" t="s">
        <v>1538</v>
      </c>
      <c r="AL3141">
        <v>-97.665131000000002</v>
      </c>
      <c r="AM3141">
        <v>25</v>
      </c>
      <c r="AN3141">
        <v>1000</v>
      </c>
      <c r="AO3141" t="s">
        <v>118</v>
      </c>
      <c r="AP3141">
        <v>20</v>
      </c>
      <c r="AQ3141">
        <v>-65</v>
      </c>
      <c r="AR3141">
        <v>-320</v>
      </c>
      <c r="AZ3141">
        <v>7700</v>
      </c>
      <c r="BA3141">
        <v>1</v>
      </c>
      <c r="BB3141" t="str">
        <f t="shared" si="925"/>
        <v xml:space="preserve">N733KP  </v>
      </c>
      <c r="BC3141">
        <v>1</v>
      </c>
      <c r="BE3141">
        <v>0</v>
      </c>
      <c r="BF3141">
        <v>0</v>
      </c>
      <c r="BG3141">
        <v>1</v>
      </c>
      <c r="BH3141">
        <v>950</v>
      </c>
      <c r="BI3141">
        <v>1</v>
      </c>
      <c r="BJ3141">
        <v>1</v>
      </c>
      <c r="BK3141">
        <v>0</v>
      </c>
      <c r="BL3141">
        <v>0</v>
      </c>
      <c r="BO3141">
        <v>0</v>
      </c>
      <c r="BP3141">
        <v>0</v>
      </c>
      <c r="BW3141" t="str">
        <f>"22:23:21.901"</f>
        <v>22:23:21.901</v>
      </c>
      <c r="CJ3141">
        <v>0</v>
      </c>
      <c r="CK3141">
        <v>2</v>
      </c>
      <c r="CL3141">
        <v>0</v>
      </c>
      <c r="CM3141">
        <v>2</v>
      </c>
      <c r="CN3141">
        <v>0</v>
      </c>
      <c r="CO3141">
        <v>5</v>
      </c>
      <c r="CP3141" t="s">
        <v>119</v>
      </c>
      <c r="CQ3141">
        <v>364</v>
      </c>
      <c r="CR3141">
        <v>0</v>
      </c>
      <c r="CW3141">
        <v>1487774</v>
      </c>
      <c r="CY3141">
        <v>1</v>
      </c>
      <c r="CZ3141">
        <v>0</v>
      </c>
      <c r="DA3141">
        <v>1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3">
      <c r="A3142" t="str">
        <f>"03/24/2022 22:23:22.164"</f>
        <v>03/24/2022 22:23:22.164</v>
      </c>
      <c r="C3142" t="str">
        <f t="shared" si="924"/>
        <v>FFDFD3C0</v>
      </c>
      <c r="D3142" t="s">
        <v>113</v>
      </c>
      <c r="E3142">
        <v>24</v>
      </c>
      <c r="F3142">
        <v>2024</v>
      </c>
      <c r="G3142" t="s">
        <v>114</v>
      </c>
      <c r="J3142" t="s">
        <v>115</v>
      </c>
      <c r="K3142">
        <v>0</v>
      </c>
      <c r="L3142">
        <v>3</v>
      </c>
      <c r="M3142">
        <v>0</v>
      </c>
      <c r="N3142">
        <v>2</v>
      </c>
      <c r="O3142">
        <v>0</v>
      </c>
      <c r="P3142">
        <v>1</v>
      </c>
      <c r="Q3142">
        <v>0</v>
      </c>
      <c r="S3142" t="str">
        <f t="shared" si="938"/>
        <v>22:23:21.000</v>
      </c>
      <c r="T3142" t="str">
        <f t="shared" si="938"/>
        <v>22:23:21.000</v>
      </c>
      <c r="U3142" t="str">
        <f t="shared" si="937"/>
        <v>A9D71F</v>
      </c>
      <c r="V3142">
        <v>0</v>
      </c>
      <c r="W3142">
        <v>0</v>
      </c>
      <c r="X3142">
        <v>2</v>
      </c>
      <c r="Z3142">
        <v>1</v>
      </c>
      <c r="AA3142">
        <v>8</v>
      </c>
      <c r="AB3142">
        <v>3</v>
      </c>
      <c r="AC3142">
        <v>0</v>
      </c>
      <c r="AD3142">
        <v>9</v>
      </c>
      <c r="AE3142">
        <v>0</v>
      </c>
      <c r="AF3142">
        <v>3</v>
      </c>
      <c r="AG3142">
        <v>1</v>
      </c>
      <c r="AH3142">
        <v>0</v>
      </c>
      <c r="AI3142" t="s">
        <v>1537</v>
      </c>
      <c r="AJ3142">
        <v>32.967052000000002</v>
      </c>
      <c r="AK3142" t="s">
        <v>1538</v>
      </c>
      <c r="AL3142">
        <v>-97.665131000000002</v>
      </c>
      <c r="AM3142">
        <v>25</v>
      </c>
      <c r="AN3142">
        <v>1000</v>
      </c>
      <c r="AO3142" t="s">
        <v>118</v>
      </c>
      <c r="AP3142">
        <v>20</v>
      </c>
      <c r="AQ3142">
        <v>-65</v>
      </c>
      <c r="AR3142">
        <v>-320</v>
      </c>
      <c r="AZ3142">
        <v>7700</v>
      </c>
      <c r="BA3142">
        <v>1</v>
      </c>
      <c r="BB3142" t="str">
        <f t="shared" si="925"/>
        <v xml:space="preserve">N733KP  </v>
      </c>
      <c r="BC3142">
        <v>1</v>
      </c>
      <c r="BE3142">
        <v>0</v>
      </c>
      <c r="BF3142">
        <v>0</v>
      </c>
      <c r="BG3142">
        <v>1</v>
      </c>
      <c r="BH3142">
        <v>950</v>
      </c>
      <c r="BI3142">
        <v>1</v>
      </c>
      <c r="BJ3142">
        <v>1</v>
      </c>
      <c r="BK3142">
        <v>0</v>
      </c>
      <c r="BL3142">
        <v>0</v>
      </c>
      <c r="BO3142">
        <v>0</v>
      </c>
      <c r="BP3142">
        <v>0</v>
      </c>
      <c r="BW3142" t="str">
        <f>"22:23:21.901"</f>
        <v>22:23:21.901</v>
      </c>
      <c r="CJ3142">
        <v>0</v>
      </c>
      <c r="CK3142">
        <v>2</v>
      </c>
      <c r="CL3142">
        <v>0</v>
      </c>
      <c r="CM3142">
        <v>2</v>
      </c>
      <c r="CN3142">
        <v>0</v>
      </c>
      <c r="CO3142">
        <v>5</v>
      </c>
      <c r="CP3142" t="s">
        <v>119</v>
      </c>
      <c r="CQ3142">
        <v>364</v>
      </c>
      <c r="CR3142">
        <v>0</v>
      </c>
      <c r="CW3142">
        <v>1487774</v>
      </c>
      <c r="CY3142">
        <v>1</v>
      </c>
      <c r="CZ3142">
        <v>0</v>
      </c>
      <c r="DA3142">
        <v>1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3">
      <c r="A3143" t="str">
        <f>"03/24/2022 22:23:22.886"</f>
        <v>03/24/2022 22:23:22.886</v>
      </c>
      <c r="C3143" t="str">
        <f t="shared" si="924"/>
        <v>FFDFD3C0</v>
      </c>
      <c r="D3143" t="s">
        <v>126</v>
      </c>
      <c r="E3143">
        <v>3</v>
      </c>
      <c r="H3143">
        <v>160</v>
      </c>
      <c r="I3143" t="s">
        <v>121</v>
      </c>
      <c r="J3143" t="s">
        <v>127</v>
      </c>
      <c r="K3143">
        <v>0</v>
      </c>
      <c r="L3143">
        <v>3</v>
      </c>
      <c r="M3143">
        <v>0</v>
      </c>
      <c r="N3143">
        <v>2</v>
      </c>
      <c r="O3143">
        <v>0</v>
      </c>
      <c r="P3143">
        <v>1</v>
      </c>
      <c r="Q3143">
        <v>0</v>
      </c>
      <c r="S3143" t="str">
        <f t="shared" ref="S3143:T3146" si="939">"22:23:22.000"</f>
        <v>22:23:22.000</v>
      </c>
      <c r="T3143" t="str">
        <f t="shared" si="939"/>
        <v>22:23:22.000</v>
      </c>
      <c r="U3143" t="str">
        <f t="shared" si="937"/>
        <v>A9D71F</v>
      </c>
      <c r="V3143">
        <v>0</v>
      </c>
      <c r="W3143">
        <v>0</v>
      </c>
      <c r="X3143">
        <v>2</v>
      </c>
      <c r="Z3143">
        <v>1</v>
      </c>
      <c r="AA3143">
        <v>8</v>
      </c>
      <c r="AB3143">
        <v>3</v>
      </c>
      <c r="AC3143">
        <v>0</v>
      </c>
      <c r="AD3143">
        <v>9</v>
      </c>
      <c r="AE3143">
        <v>0</v>
      </c>
      <c r="AF3143">
        <v>3</v>
      </c>
      <c r="AG3143">
        <v>1</v>
      </c>
      <c r="AH3143">
        <v>0</v>
      </c>
      <c r="AI3143" t="s">
        <v>1539</v>
      </c>
      <c r="AJ3143">
        <v>32.966752</v>
      </c>
      <c r="AK3143" t="s">
        <v>1306</v>
      </c>
      <c r="AL3143">
        <v>-97.665045000000006</v>
      </c>
      <c r="AM3143">
        <v>25</v>
      </c>
      <c r="AN3143">
        <v>1000</v>
      </c>
      <c r="AO3143" t="s">
        <v>118</v>
      </c>
      <c r="AP3143">
        <v>17</v>
      </c>
      <c r="AQ3143">
        <v>-66</v>
      </c>
      <c r="AR3143">
        <v>-384</v>
      </c>
      <c r="AZ3143">
        <v>7700</v>
      </c>
      <c r="BA3143">
        <v>1</v>
      </c>
      <c r="BB3143" t="str">
        <f t="shared" si="925"/>
        <v xml:space="preserve">N733KP  </v>
      </c>
      <c r="BC3143">
        <v>1</v>
      </c>
      <c r="BE3143">
        <v>0</v>
      </c>
      <c r="BF3143">
        <v>0</v>
      </c>
      <c r="BG3143">
        <v>1</v>
      </c>
      <c r="BH3143">
        <v>950</v>
      </c>
      <c r="BI3143">
        <v>1</v>
      </c>
      <c r="BJ3143">
        <v>1</v>
      </c>
      <c r="BK3143">
        <v>0</v>
      </c>
      <c r="BL3143">
        <v>0</v>
      </c>
      <c r="BO3143">
        <v>0</v>
      </c>
      <c r="BP3143">
        <v>0</v>
      </c>
      <c r="BW3143" t="str">
        <f>"22:23:22.591"</f>
        <v>22:23:22.591</v>
      </c>
      <c r="CJ3143">
        <v>0</v>
      </c>
      <c r="CK3143">
        <v>2</v>
      </c>
      <c r="CL3143">
        <v>0</v>
      </c>
      <c r="CM3143">
        <v>2</v>
      </c>
      <c r="CN3143">
        <v>0</v>
      </c>
      <c r="CO3143">
        <v>5</v>
      </c>
      <c r="CP3143" t="s">
        <v>119</v>
      </c>
      <c r="CQ3143">
        <v>364</v>
      </c>
      <c r="CR3143">
        <v>0</v>
      </c>
      <c r="CW3143">
        <v>1487878</v>
      </c>
      <c r="CY3143">
        <v>1</v>
      </c>
      <c r="CZ3143">
        <v>0</v>
      </c>
      <c r="DA3143">
        <v>0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3">
      <c r="A3144" t="str">
        <f>"03/24/2022 22:23:22.886"</f>
        <v>03/24/2022 22:23:22.886</v>
      </c>
      <c r="C3144" t="str">
        <f t="shared" si="924"/>
        <v>FFDFD3C0</v>
      </c>
      <c r="D3144" t="s">
        <v>123</v>
      </c>
      <c r="E3144">
        <v>8</v>
      </c>
      <c r="H3144">
        <v>31</v>
      </c>
      <c r="I3144" t="s">
        <v>124</v>
      </c>
      <c r="J3144" t="s">
        <v>125</v>
      </c>
      <c r="K3144">
        <v>0</v>
      </c>
      <c r="L3144">
        <v>3</v>
      </c>
      <c r="M3144">
        <v>0</v>
      </c>
      <c r="N3144">
        <v>2</v>
      </c>
      <c r="O3144">
        <v>0</v>
      </c>
      <c r="P3144">
        <v>1</v>
      </c>
      <c r="Q3144">
        <v>0</v>
      </c>
      <c r="S3144" t="str">
        <f t="shared" si="939"/>
        <v>22:23:22.000</v>
      </c>
      <c r="T3144" t="str">
        <f t="shared" si="939"/>
        <v>22:23:22.000</v>
      </c>
      <c r="U3144" t="str">
        <f t="shared" si="937"/>
        <v>A9D71F</v>
      </c>
      <c r="V3144">
        <v>0</v>
      </c>
      <c r="W3144">
        <v>0</v>
      </c>
      <c r="X3144">
        <v>2</v>
      </c>
      <c r="Z3144">
        <v>1</v>
      </c>
      <c r="AA3144">
        <v>8</v>
      </c>
      <c r="AB3144">
        <v>3</v>
      </c>
      <c r="AC3144">
        <v>0</v>
      </c>
      <c r="AD3144">
        <v>9</v>
      </c>
      <c r="AE3144">
        <v>0</v>
      </c>
      <c r="AF3144">
        <v>3</v>
      </c>
      <c r="AG3144">
        <v>1</v>
      </c>
      <c r="AH3144">
        <v>0</v>
      </c>
      <c r="AI3144" t="s">
        <v>1539</v>
      </c>
      <c r="AJ3144">
        <v>32.966752</v>
      </c>
      <c r="AK3144" t="s">
        <v>1306</v>
      </c>
      <c r="AL3144">
        <v>-97.665045000000006</v>
      </c>
      <c r="AM3144">
        <v>25</v>
      </c>
      <c r="AN3144">
        <v>1000</v>
      </c>
      <c r="AO3144" t="s">
        <v>118</v>
      </c>
      <c r="AP3144">
        <v>17</v>
      </c>
      <c r="AQ3144">
        <v>-66</v>
      </c>
      <c r="AR3144">
        <v>-384</v>
      </c>
      <c r="AZ3144">
        <v>7700</v>
      </c>
      <c r="BA3144">
        <v>1</v>
      </c>
      <c r="BB3144" t="str">
        <f t="shared" si="925"/>
        <v xml:space="preserve">N733KP  </v>
      </c>
      <c r="BC3144">
        <v>1</v>
      </c>
      <c r="BE3144">
        <v>0</v>
      </c>
      <c r="BF3144">
        <v>0</v>
      </c>
      <c r="BG3144">
        <v>1</v>
      </c>
      <c r="BH3144">
        <v>950</v>
      </c>
      <c r="BI3144">
        <v>1</v>
      </c>
      <c r="BJ3144">
        <v>1</v>
      </c>
      <c r="BK3144">
        <v>0</v>
      </c>
      <c r="BL3144">
        <v>0</v>
      </c>
      <c r="BO3144">
        <v>0</v>
      </c>
      <c r="BP3144">
        <v>0</v>
      </c>
      <c r="BW3144" t="str">
        <f>"22:23:22.591"</f>
        <v>22:23:22.591</v>
      </c>
      <c r="CJ3144">
        <v>0</v>
      </c>
      <c r="CK3144">
        <v>2</v>
      </c>
      <c r="CL3144">
        <v>0</v>
      </c>
      <c r="CM3144">
        <v>2</v>
      </c>
      <c r="CN3144">
        <v>0</v>
      </c>
      <c r="CO3144">
        <v>5</v>
      </c>
      <c r="CP3144" t="s">
        <v>119</v>
      </c>
      <c r="CQ3144">
        <v>364</v>
      </c>
      <c r="CR3144">
        <v>0</v>
      </c>
      <c r="CW3144">
        <v>1487878</v>
      </c>
      <c r="CY3144">
        <v>1</v>
      </c>
      <c r="CZ3144">
        <v>0</v>
      </c>
      <c r="DA3144">
        <v>1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3">
      <c r="A3145" t="str">
        <f>"03/24/2022 22:23:22.886"</f>
        <v>03/24/2022 22:23:22.886</v>
      </c>
      <c r="C3145" t="str">
        <f t="shared" si="924"/>
        <v>FFDFD3C0</v>
      </c>
      <c r="D3145" t="s">
        <v>120</v>
      </c>
      <c r="E3145">
        <v>14</v>
      </c>
      <c r="F3145">
        <v>1014</v>
      </c>
      <c r="G3145" t="s">
        <v>121</v>
      </c>
      <c r="J3145" t="s">
        <v>122</v>
      </c>
      <c r="K3145">
        <v>0</v>
      </c>
      <c r="L3145">
        <v>3</v>
      </c>
      <c r="M3145">
        <v>0</v>
      </c>
      <c r="N3145">
        <v>2</v>
      </c>
      <c r="O3145">
        <v>0</v>
      </c>
      <c r="P3145">
        <v>1</v>
      </c>
      <c r="Q3145">
        <v>0</v>
      </c>
      <c r="S3145" t="str">
        <f t="shared" si="939"/>
        <v>22:23:22.000</v>
      </c>
      <c r="T3145" t="str">
        <f t="shared" si="939"/>
        <v>22:23:22.000</v>
      </c>
      <c r="U3145" t="str">
        <f t="shared" si="937"/>
        <v>A9D71F</v>
      </c>
      <c r="V3145">
        <v>0</v>
      </c>
      <c r="W3145">
        <v>0</v>
      </c>
      <c r="X3145">
        <v>2</v>
      </c>
      <c r="Z3145">
        <v>1</v>
      </c>
      <c r="AA3145">
        <v>8</v>
      </c>
      <c r="AB3145">
        <v>3</v>
      </c>
      <c r="AC3145">
        <v>0</v>
      </c>
      <c r="AD3145">
        <v>9</v>
      </c>
      <c r="AE3145">
        <v>0</v>
      </c>
      <c r="AF3145">
        <v>3</v>
      </c>
      <c r="AG3145">
        <v>1</v>
      </c>
      <c r="AH3145">
        <v>0</v>
      </c>
      <c r="AI3145" t="s">
        <v>1539</v>
      </c>
      <c r="AJ3145">
        <v>32.966752</v>
      </c>
      <c r="AK3145" t="s">
        <v>1306</v>
      </c>
      <c r="AL3145">
        <v>-97.665045000000006</v>
      </c>
      <c r="AM3145">
        <v>25</v>
      </c>
      <c r="AN3145">
        <v>1000</v>
      </c>
      <c r="AO3145" t="s">
        <v>118</v>
      </c>
      <c r="AP3145">
        <v>17</v>
      </c>
      <c r="AQ3145">
        <v>-66</v>
      </c>
      <c r="AR3145">
        <v>-384</v>
      </c>
      <c r="AZ3145">
        <v>7700</v>
      </c>
      <c r="BA3145">
        <v>1</v>
      </c>
      <c r="BB3145" t="str">
        <f t="shared" si="925"/>
        <v xml:space="preserve">N733KP  </v>
      </c>
      <c r="BC3145">
        <v>1</v>
      </c>
      <c r="BE3145">
        <v>0</v>
      </c>
      <c r="BF3145">
        <v>0</v>
      </c>
      <c r="BG3145">
        <v>1</v>
      </c>
      <c r="BH3145">
        <v>950</v>
      </c>
      <c r="BI3145">
        <v>1</v>
      </c>
      <c r="BJ3145">
        <v>1</v>
      </c>
      <c r="BK3145">
        <v>0</v>
      </c>
      <c r="BL3145">
        <v>0</v>
      </c>
      <c r="BO3145">
        <v>0</v>
      </c>
      <c r="BP3145">
        <v>0</v>
      </c>
      <c r="BW3145" t="str">
        <f>"22:23:22.591"</f>
        <v>22:23:22.591</v>
      </c>
      <c r="CJ3145">
        <v>0</v>
      </c>
      <c r="CK3145">
        <v>2</v>
      </c>
      <c r="CL3145">
        <v>0</v>
      </c>
      <c r="CM3145">
        <v>2</v>
      </c>
      <c r="CN3145">
        <v>0</v>
      </c>
      <c r="CO3145">
        <v>5</v>
      </c>
      <c r="CP3145" t="s">
        <v>119</v>
      </c>
      <c r="CQ3145">
        <v>364</v>
      </c>
      <c r="CR3145">
        <v>0</v>
      </c>
      <c r="CW3145">
        <v>1487878</v>
      </c>
      <c r="CY3145">
        <v>1</v>
      </c>
      <c r="CZ3145">
        <v>0</v>
      </c>
      <c r="DA3145">
        <v>1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3">
      <c r="A3146" t="str">
        <f>"03/24/2022 22:23:22.886"</f>
        <v>03/24/2022 22:23:22.886</v>
      </c>
      <c r="C3146" t="str">
        <f t="shared" si="924"/>
        <v>FFDFD3C0</v>
      </c>
      <c r="D3146" t="s">
        <v>113</v>
      </c>
      <c r="E3146">
        <v>24</v>
      </c>
      <c r="F3146">
        <v>2024</v>
      </c>
      <c r="G3146" t="s">
        <v>114</v>
      </c>
      <c r="J3146" t="s">
        <v>115</v>
      </c>
      <c r="K3146">
        <v>0</v>
      </c>
      <c r="L3146">
        <v>3</v>
      </c>
      <c r="M3146">
        <v>0</v>
      </c>
      <c r="N3146">
        <v>2</v>
      </c>
      <c r="O3146">
        <v>0</v>
      </c>
      <c r="P3146">
        <v>1</v>
      </c>
      <c r="Q3146">
        <v>0</v>
      </c>
      <c r="S3146" t="str">
        <f t="shared" si="939"/>
        <v>22:23:22.000</v>
      </c>
      <c r="T3146" t="str">
        <f t="shared" si="939"/>
        <v>22:23:22.000</v>
      </c>
      <c r="U3146" t="str">
        <f t="shared" si="937"/>
        <v>A9D71F</v>
      </c>
      <c r="V3146">
        <v>0</v>
      </c>
      <c r="W3146">
        <v>0</v>
      </c>
      <c r="X3146">
        <v>2</v>
      </c>
      <c r="Z3146">
        <v>1</v>
      </c>
      <c r="AA3146">
        <v>8</v>
      </c>
      <c r="AB3146">
        <v>3</v>
      </c>
      <c r="AC3146">
        <v>0</v>
      </c>
      <c r="AD3146">
        <v>9</v>
      </c>
      <c r="AE3146">
        <v>0</v>
      </c>
      <c r="AF3146">
        <v>3</v>
      </c>
      <c r="AG3146">
        <v>1</v>
      </c>
      <c r="AH3146">
        <v>0</v>
      </c>
      <c r="AI3146" t="s">
        <v>1539</v>
      </c>
      <c r="AJ3146">
        <v>32.966752</v>
      </c>
      <c r="AK3146" t="s">
        <v>1306</v>
      </c>
      <c r="AL3146">
        <v>-97.665045000000006</v>
      </c>
      <c r="AM3146">
        <v>25</v>
      </c>
      <c r="AN3146">
        <v>1000</v>
      </c>
      <c r="AO3146" t="s">
        <v>118</v>
      </c>
      <c r="AP3146">
        <v>17</v>
      </c>
      <c r="AQ3146">
        <v>-66</v>
      </c>
      <c r="AR3146">
        <v>-384</v>
      </c>
      <c r="AZ3146">
        <v>7700</v>
      </c>
      <c r="BA3146">
        <v>1</v>
      </c>
      <c r="BB3146" t="str">
        <f t="shared" si="925"/>
        <v xml:space="preserve">N733KP  </v>
      </c>
      <c r="BC3146">
        <v>1</v>
      </c>
      <c r="BE3146">
        <v>0</v>
      </c>
      <c r="BF3146">
        <v>0</v>
      </c>
      <c r="BG3146">
        <v>1</v>
      </c>
      <c r="BH3146">
        <v>950</v>
      </c>
      <c r="BI3146">
        <v>1</v>
      </c>
      <c r="BJ3146">
        <v>1</v>
      </c>
      <c r="BK3146">
        <v>0</v>
      </c>
      <c r="BL3146">
        <v>0</v>
      </c>
      <c r="BO3146">
        <v>0</v>
      </c>
      <c r="BP3146">
        <v>0</v>
      </c>
      <c r="BW3146" t="str">
        <f>"22:23:22.591"</f>
        <v>22:23:22.591</v>
      </c>
      <c r="CJ3146">
        <v>0</v>
      </c>
      <c r="CK3146">
        <v>2</v>
      </c>
      <c r="CL3146">
        <v>0</v>
      </c>
      <c r="CM3146">
        <v>2</v>
      </c>
      <c r="CN3146">
        <v>0</v>
      </c>
      <c r="CO3146">
        <v>5</v>
      </c>
      <c r="CP3146" t="s">
        <v>119</v>
      </c>
      <c r="CQ3146">
        <v>364</v>
      </c>
      <c r="CR3146">
        <v>0</v>
      </c>
      <c r="CW3146">
        <v>1487878</v>
      </c>
      <c r="CY3146">
        <v>1</v>
      </c>
      <c r="CZ3146">
        <v>0</v>
      </c>
      <c r="DA3146">
        <v>1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3">
      <c r="A3147" t="str">
        <f>"03/24/2022 22:23:23.810"</f>
        <v>03/24/2022 22:23:23.810</v>
      </c>
      <c r="C3147" t="str">
        <f t="shared" si="924"/>
        <v>FFDFD3C0</v>
      </c>
      <c r="D3147" t="s">
        <v>120</v>
      </c>
      <c r="E3147">
        <v>14</v>
      </c>
      <c r="F3147">
        <v>1014</v>
      </c>
      <c r="G3147" t="s">
        <v>121</v>
      </c>
      <c r="J3147" t="s">
        <v>122</v>
      </c>
      <c r="K3147">
        <v>0</v>
      </c>
      <c r="L3147">
        <v>3</v>
      </c>
      <c r="M3147">
        <v>0</v>
      </c>
      <c r="N3147">
        <v>2</v>
      </c>
      <c r="O3147">
        <v>0</v>
      </c>
      <c r="P3147">
        <v>1</v>
      </c>
      <c r="Q3147">
        <v>0</v>
      </c>
      <c r="S3147" t="str">
        <f t="shared" ref="S3147:T3150" si="940">"22:23:23.000"</f>
        <v>22:23:23.000</v>
      </c>
      <c r="T3147" t="str">
        <f t="shared" si="940"/>
        <v>22:23:23.000</v>
      </c>
      <c r="U3147" t="str">
        <f t="shared" si="937"/>
        <v>A9D71F</v>
      </c>
      <c r="V3147">
        <v>0</v>
      </c>
      <c r="W3147">
        <v>0</v>
      </c>
      <c r="X3147">
        <v>2</v>
      </c>
      <c r="Z3147">
        <v>1</v>
      </c>
      <c r="AA3147">
        <v>8</v>
      </c>
      <c r="AB3147">
        <v>3</v>
      </c>
      <c r="AC3147">
        <v>0</v>
      </c>
      <c r="AD3147">
        <v>9</v>
      </c>
      <c r="AE3147">
        <v>0</v>
      </c>
      <c r="AF3147">
        <v>3</v>
      </c>
      <c r="AG3147">
        <v>1</v>
      </c>
      <c r="AH3147">
        <v>0</v>
      </c>
      <c r="AI3147" t="s">
        <v>1540</v>
      </c>
      <c r="AJ3147">
        <v>32.966495000000002</v>
      </c>
      <c r="AK3147" t="s">
        <v>1541</v>
      </c>
      <c r="AL3147">
        <v>-97.664980999999997</v>
      </c>
      <c r="AM3147">
        <v>25</v>
      </c>
      <c r="AN3147">
        <v>1000</v>
      </c>
      <c r="AO3147" t="s">
        <v>118</v>
      </c>
      <c r="AP3147">
        <v>14</v>
      </c>
      <c r="AQ3147">
        <v>-64</v>
      </c>
      <c r="AR3147">
        <v>-448</v>
      </c>
      <c r="AZ3147">
        <v>7700</v>
      </c>
      <c r="BA3147">
        <v>1</v>
      </c>
      <c r="BB3147" t="str">
        <f t="shared" si="925"/>
        <v xml:space="preserve">N733KP  </v>
      </c>
      <c r="BC3147">
        <v>1</v>
      </c>
      <c r="BE3147">
        <v>0</v>
      </c>
      <c r="BF3147">
        <v>0</v>
      </c>
      <c r="BG3147">
        <v>1</v>
      </c>
      <c r="BH3147">
        <v>950</v>
      </c>
      <c r="BI3147">
        <v>1</v>
      </c>
      <c r="BJ3147">
        <v>1</v>
      </c>
      <c r="BK3147">
        <v>0</v>
      </c>
      <c r="BL3147">
        <v>0</v>
      </c>
      <c r="BO3147">
        <v>0</v>
      </c>
      <c r="BP3147">
        <v>0</v>
      </c>
      <c r="BW3147" t="str">
        <f>"22:23:23.600"</f>
        <v>22:23:23.600</v>
      </c>
      <c r="CJ3147">
        <v>0</v>
      </c>
      <c r="CK3147">
        <v>2</v>
      </c>
      <c r="CL3147">
        <v>0</v>
      </c>
      <c r="CM3147">
        <v>2</v>
      </c>
      <c r="CN3147">
        <v>0</v>
      </c>
      <c r="CO3147">
        <v>5</v>
      </c>
      <c r="CP3147" t="s">
        <v>119</v>
      </c>
      <c r="CQ3147">
        <v>364</v>
      </c>
      <c r="CR3147">
        <v>0</v>
      </c>
      <c r="CW3147">
        <v>1488016</v>
      </c>
      <c r="CY3147">
        <v>1</v>
      </c>
      <c r="CZ3147">
        <v>0</v>
      </c>
      <c r="DA3147">
        <v>0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3">
      <c r="A3148" t="str">
        <f>"03/24/2022 22:23:23.841"</f>
        <v>03/24/2022 22:23:23.841</v>
      </c>
      <c r="C3148" t="str">
        <f t="shared" si="924"/>
        <v>FFDFD3C0</v>
      </c>
      <c r="D3148" t="s">
        <v>113</v>
      </c>
      <c r="E3148">
        <v>24</v>
      </c>
      <c r="F3148">
        <v>2024</v>
      </c>
      <c r="G3148" t="s">
        <v>114</v>
      </c>
      <c r="J3148" t="s">
        <v>115</v>
      </c>
      <c r="K3148">
        <v>0</v>
      </c>
      <c r="L3148">
        <v>3</v>
      </c>
      <c r="M3148">
        <v>0</v>
      </c>
      <c r="N3148">
        <v>2</v>
      </c>
      <c r="O3148">
        <v>0</v>
      </c>
      <c r="P3148">
        <v>1</v>
      </c>
      <c r="Q3148">
        <v>0</v>
      </c>
      <c r="S3148" t="str">
        <f t="shared" si="940"/>
        <v>22:23:23.000</v>
      </c>
      <c r="T3148" t="str">
        <f t="shared" si="940"/>
        <v>22:23:23.000</v>
      </c>
      <c r="U3148" t="str">
        <f t="shared" si="937"/>
        <v>A9D71F</v>
      </c>
      <c r="V3148">
        <v>0</v>
      </c>
      <c r="W3148">
        <v>0</v>
      </c>
      <c r="X3148">
        <v>2</v>
      </c>
      <c r="Z3148">
        <v>1</v>
      </c>
      <c r="AA3148">
        <v>8</v>
      </c>
      <c r="AB3148">
        <v>3</v>
      </c>
      <c r="AC3148">
        <v>0</v>
      </c>
      <c r="AD3148">
        <v>9</v>
      </c>
      <c r="AE3148">
        <v>0</v>
      </c>
      <c r="AF3148">
        <v>3</v>
      </c>
      <c r="AG3148">
        <v>1</v>
      </c>
      <c r="AH3148">
        <v>0</v>
      </c>
      <c r="AI3148" t="s">
        <v>1540</v>
      </c>
      <c r="AJ3148">
        <v>32.966495000000002</v>
      </c>
      <c r="AK3148" t="s">
        <v>1541</v>
      </c>
      <c r="AL3148">
        <v>-97.664980999999997</v>
      </c>
      <c r="AM3148">
        <v>25</v>
      </c>
      <c r="AN3148">
        <v>1000</v>
      </c>
      <c r="AO3148" t="s">
        <v>118</v>
      </c>
      <c r="AP3148">
        <v>14</v>
      </c>
      <c r="AQ3148">
        <v>-64</v>
      </c>
      <c r="AR3148">
        <v>-448</v>
      </c>
      <c r="AZ3148">
        <v>7700</v>
      </c>
      <c r="BA3148">
        <v>1</v>
      </c>
      <c r="BB3148" t="str">
        <f t="shared" si="925"/>
        <v xml:space="preserve">N733KP  </v>
      </c>
      <c r="BC3148">
        <v>1</v>
      </c>
      <c r="BE3148">
        <v>0</v>
      </c>
      <c r="BF3148">
        <v>0</v>
      </c>
      <c r="BG3148">
        <v>1</v>
      </c>
      <c r="BH3148">
        <v>950</v>
      </c>
      <c r="BI3148">
        <v>1</v>
      </c>
      <c r="BJ3148">
        <v>1</v>
      </c>
      <c r="BK3148">
        <v>0</v>
      </c>
      <c r="BL3148">
        <v>0</v>
      </c>
      <c r="BO3148">
        <v>0</v>
      </c>
      <c r="BP3148">
        <v>0</v>
      </c>
      <c r="BW3148" t="str">
        <f>"22:23:23.600"</f>
        <v>22:23:23.600</v>
      </c>
      <c r="CJ3148">
        <v>0</v>
      </c>
      <c r="CK3148">
        <v>2</v>
      </c>
      <c r="CL3148">
        <v>0</v>
      </c>
      <c r="CM3148">
        <v>2</v>
      </c>
      <c r="CN3148">
        <v>0</v>
      </c>
      <c r="CO3148">
        <v>5</v>
      </c>
      <c r="CP3148" t="s">
        <v>119</v>
      </c>
      <c r="CQ3148">
        <v>364</v>
      </c>
      <c r="CR3148">
        <v>0</v>
      </c>
      <c r="CW3148">
        <v>1488016</v>
      </c>
      <c r="CY3148">
        <v>1</v>
      </c>
      <c r="CZ3148">
        <v>0</v>
      </c>
      <c r="DA3148">
        <v>1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3">
      <c r="A3149" t="str">
        <f>"03/24/2022 22:23:23.841"</f>
        <v>03/24/2022 22:23:23.841</v>
      </c>
      <c r="C3149" t="str">
        <f t="shared" si="924"/>
        <v>FFDFD3C0</v>
      </c>
      <c r="D3149" t="s">
        <v>126</v>
      </c>
      <c r="E3149">
        <v>3</v>
      </c>
      <c r="H3149">
        <v>160</v>
      </c>
      <c r="I3149" t="s">
        <v>121</v>
      </c>
      <c r="J3149" t="s">
        <v>127</v>
      </c>
      <c r="K3149">
        <v>0</v>
      </c>
      <c r="L3149">
        <v>3</v>
      </c>
      <c r="M3149">
        <v>0</v>
      </c>
      <c r="N3149">
        <v>2</v>
      </c>
      <c r="O3149">
        <v>0</v>
      </c>
      <c r="P3149">
        <v>1</v>
      </c>
      <c r="Q3149">
        <v>0</v>
      </c>
      <c r="S3149" t="str">
        <f t="shared" si="940"/>
        <v>22:23:23.000</v>
      </c>
      <c r="T3149" t="str">
        <f t="shared" si="940"/>
        <v>22:23:23.000</v>
      </c>
      <c r="U3149" t="str">
        <f t="shared" si="937"/>
        <v>A9D71F</v>
      </c>
      <c r="V3149">
        <v>0</v>
      </c>
      <c r="W3149">
        <v>0</v>
      </c>
      <c r="X3149">
        <v>2</v>
      </c>
      <c r="Z3149">
        <v>1</v>
      </c>
      <c r="AA3149">
        <v>8</v>
      </c>
      <c r="AB3149">
        <v>3</v>
      </c>
      <c r="AC3149">
        <v>0</v>
      </c>
      <c r="AD3149">
        <v>9</v>
      </c>
      <c r="AE3149">
        <v>0</v>
      </c>
      <c r="AF3149">
        <v>3</v>
      </c>
      <c r="AG3149">
        <v>1</v>
      </c>
      <c r="AH3149">
        <v>0</v>
      </c>
      <c r="AI3149" t="s">
        <v>1540</v>
      </c>
      <c r="AJ3149">
        <v>32.966495000000002</v>
      </c>
      <c r="AK3149" t="s">
        <v>1541</v>
      </c>
      <c r="AL3149">
        <v>-97.664980999999997</v>
      </c>
      <c r="AM3149">
        <v>25</v>
      </c>
      <c r="AN3149">
        <v>1000</v>
      </c>
      <c r="AO3149" t="s">
        <v>118</v>
      </c>
      <c r="AP3149">
        <v>14</v>
      </c>
      <c r="AQ3149">
        <v>-64</v>
      </c>
      <c r="AR3149">
        <v>-448</v>
      </c>
      <c r="AZ3149">
        <v>7700</v>
      </c>
      <c r="BA3149">
        <v>1</v>
      </c>
      <c r="BB3149" t="str">
        <f t="shared" si="925"/>
        <v xml:space="preserve">N733KP  </v>
      </c>
      <c r="BC3149">
        <v>1</v>
      </c>
      <c r="BE3149">
        <v>0</v>
      </c>
      <c r="BF3149">
        <v>0</v>
      </c>
      <c r="BG3149">
        <v>1</v>
      </c>
      <c r="BH3149">
        <v>950</v>
      </c>
      <c r="BI3149">
        <v>1</v>
      </c>
      <c r="BJ3149">
        <v>1</v>
      </c>
      <c r="BK3149">
        <v>0</v>
      </c>
      <c r="BL3149">
        <v>0</v>
      </c>
      <c r="BO3149">
        <v>0</v>
      </c>
      <c r="BP3149">
        <v>0</v>
      </c>
      <c r="BW3149" t="str">
        <f>"22:23:23.600"</f>
        <v>22:23:23.600</v>
      </c>
      <c r="CJ3149">
        <v>0</v>
      </c>
      <c r="CK3149">
        <v>2</v>
      </c>
      <c r="CL3149">
        <v>0</v>
      </c>
      <c r="CM3149">
        <v>2</v>
      </c>
      <c r="CN3149">
        <v>0</v>
      </c>
      <c r="CO3149">
        <v>5</v>
      </c>
      <c r="CP3149" t="s">
        <v>119</v>
      </c>
      <c r="CQ3149">
        <v>364</v>
      </c>
      <c r="CR3149">
        <v>0</v>
      </c>
      <c r="CW3149">
        <v>1488016</v>
      </c>
      <c r="CY3149">
        <v>1</v>
      </c>
      <c r="CZ3149">
        <v>0</v>
      </c>
      <c r="DA3149">
        <v>1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3">
      <c r="A3150" t="str">
        <f>"03/24/2022 22:23:23.841"</f>
        <v>03/24/2022 22:23:23.841</v>
      </c>
      <c r="C3150" t="str">
        <f t="shared" si="924"/>
        <v>FFDFD3C0</v>
      </c>
      <c r="D3150" t="s">
        <v>123</v>
      </c>
      <c r="E3150">
        <v>8</v>
      </c>
      <c r="H3150">
        <v>31</v>
      </c>
      <c r="I3150" t="s">
        <v>124</v>
      </c>
      <c r="J3150" t="s">
        <v>125</v>
      </c>
      <c r="K3150">
        <v>0</v>
      </c>
      <c r="L3150">
        <v>3</v>
      </c>
      <c r="M3150">
        <v>0</v>
      </c>
      <c r="N3150">
        <v>2</v>
      </c>
      <c r="O3150">
        <v>0</v>
      </c>
      <c r="P3150">
        <v>1</v>
      </c>
      <c r="Q3150">
        <v>0</v>
      </c>
      <c r="S3150" t="str">
        <f t="shared" si="940"/>
        <v>22:23:23.000</v>
      </c>
      <c r="T3150" t="str">
        <f t="shared" si="940"/>
        <v>22:23:23.000</v>
      </c>
      <c r="U3150" t="str">
        <f t="shared" si="937"/>
        <v>A9D71F</v>
      </c>
      <c r="V3150">
        <v>0</v>
      </c>
      <c r="W3150">
        <v>0</v>
      </c>
      <c r="X3150">
        <v>2</v>
      </c>
      <c r="Z3150">
        <v>1</v>
      </c>
      <c r="AA3150">
        <v>8</v>
      </c>
      <c r="AB3150">
        <v>3</v>
      </c>
      <c r="AC3150">
        <v>0</v>
      </c>
      <c r="AD3150">
        <v>9</v>
      </c>
      <c r="AE3150">
        <v>0</v>
      </c>
      <c r="AF3150">
        <v>3</v>
      </c>
      <c r="AG3150">
        <v>1</v>
      </c>
      <c r="AH3150">
        <v>0</v>
      </c>
      <c r="AI3150" t="s">
        <v>1540</v>
      </c>
      <c r="AJ3150">
        <v>32.966495000000002</v>
      </c>
      <c r="AK3150" t="s">
        <v>1541</v>
      </c>
      <c r="AL3150">
        <v>-97.664980999999997</v>
      </c>
      <c r="AM3150">
        <v>25</v>
      </c>
      <c r="AN3150">
        <v>1000</v>
      </c>
      <c r="AO3150" t="s">
        <v>118</v>
      </c>
      <c r="AP3150">
        <v>14</v>
      </c>
      <c r="AQ3150">
        <v>-64</v>
      </c>
      <c r="AR3150">
        <v>-448</v>
      </c>
      <c r="AZ3150">
        <v>7700</v>
      </c>
      <c r="BA3150">
        <v>1</v>
      </c>
      <c r="BB3150" t="str">
        <f t="shared" si="925"/>
        <v xml:space="preserve">N733KP  </v>
      </c>
      <c r="BC3150">
        <v>1</v>
      </c>
      <c r="BE3150">
        <v>0</v>
      </c>
      <c r="BF3150">
        <v>0</v>
      </c>
      <c r="BG3150">
        <v>1</v>
      </c>
      <c r="BH3150">
        <v>950</v>
      </c>
      <c r="BI3150">
        <v>1</v>
      </c>
      <c r="BJ3150">
        <v>1</v>
      </c>
      <c r="BK3150">
        <v>0</v>
      </c>
      <c r="BL3150">
        <v>0</v>
      </c>
      <c r="BO3150">
        <v>0</v>
      </c>
      <c r="BP3150">
        <v>0</v>
      </c>
      <c r="BW3150" t="str">
        <f>"22:23:23.600"</f>
        <v>22:23:23.600</v>
      </c>
      <c r="CJ3150">
        <v>0</v>
      </c>
      <c r="CK3150">
        <v>2</v>
      </c>
      <c r="CL3150">
        <v>0</v>
      </c>
      <c r="CM3150">
        <v>2</v>
      </c>
      <c r="CN3150">
        <v>0</v>
      </c>
      <c r="CO3150">
        <v>5</v>
      </c>
      <c r="CP3150" t="s">
        <v>119</v>
      </c>
      <c r="CQ3150">
        <v>364</v>
      </c>
      <c r="CR3150">
        <v>0</v>
      </c>
      <c r="CW3150">
        <v>1488016</v>
      </c>
      <c r="CY3150">
        <v>1</v>
      </c>
      <c r="CZ3150">
        <v>0</v>
      </c>
      <c r="DA3150">
        <v>1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3">
      <c r="A3151" t="str">
        <f>"03/24/2022 22:23:24.466"</f>
        <v>03/24/2022 22:23:24.466</v>
      </c>
      <c r="C3151" t="str">
        <f t="shared" si="924"/>
        <v>FFDFD3C0</v>
      </c>
      <c r="D3151" t="s">
        <v>123</v>
      </c>
      <c r="E3151">
        <v>8</v>
      </c>
      <c r="H3151">
        <v>31</v>
      </c>
      <c r="I3151" t="s">
        <v>124</v>
      </c>
      <c r="J3151" t="s">
        <v>125</v>
      </c>
      <c r="K3151">
        <v>0</v>
      </c>
      <c r="L3151">
        <v>3</v>
      </c>
      <c r="M3151">
        <v>0</v>
      </c>
      <c r="N3151">
        <v>2</v>
      </c>
      <c r="O3151">
        <v>0</v>
      </c>
      <c r="P3151">
        <v>1</v>
      </c>
      <c r="Q3151">
        <v>0</v>
      </c>
      <c r="S3151" t="str">
        <f t="shared" ref="S3151:T3154" si="941">"22:23:24.000"</f>
        <v>22:23:24.000</v>
      </c>
      <c r="T3151" t="str">
        <f t="shared" si="941"/>
        <v>22:23:24.000</v>
      </c>
      <c r="U3151" t="str">
        <f t="shared" si="937"/>
        <v>A9D71F</v>
      </c>
      <c r="V3151">
        <v>0</v>
      </c>
      <c r="W3151">
        <v>0</v>
      </c>
      <c r="X3151">
        <v>2</v>
      </c>
      <c r="Z3151">
        <v>1</v>
      </c>
      <c r="AA3151">
        <v>8</v>
      </c>
      <c r="AB3151">
        <v>3</v>
      </c>
      <c r="AC3151">
        <v>0</v>
      </c>
      <c r="AD3151">
        <v>9</v>
      </c>
      <c r="AE3151">
        <v>0</v>
      </c>
      <c r="AF3151">
        <v>3</v>
      </c>
      <c r="AG3151">
        <v>1</v>
      </c>
      <c r="AH3151">
        <v>0</v>
      </c>
      <c r="AI3151" t="s">
        <v>1542</v>
      </c>
      <c r="AJ3151">
        <v>32.966172999999998</v>
      </c>
      <c r="AK3151" t="s">
        <v>1543</v>
      </c>
      <c r="AL3151">
        <v>-97.664895000000001</v>
      </c>
      <c r="AM3151">
        <v>25</v>
      </c>
      <c r="AN3151">
        <v>1000</v>
      </c>
      <c r="AO3151" t="s">
        <v>118</v>
      </c>
      <c r="AP3151">
        <v>15</v>
      </c>
      <c r="AQ3151">
        <v>-69</v>
      </c>
      <c r="AR3151">
        <v>-640</v>
      </c>
      <c r="AZ3151">
        <v>7700</v>
      </c>
      <c r="BA3151">
        <v>1</v>
      </c>
      <c r="BB3151" t="str">
        <f t="shared" si="925"/>
        <v xml:space="preserve">N733KP  </v>
      </c>
      <c r="BC3151">
        <v>1</v>
      </c>
      <c r="BE3151">
        <v>0</v>
      </c>
      <c r="BF3151">
        <v>0</v>
      </c>
      <c r="BG3151">
        <v>1</v>
      </c>
      <c r="BH3151">
        <v>950</v>
      </c>
      <c r="BI3151">
        <v>1</v>
      </c>
      <c r="BJ3151">
        <v>1</v>
      </c>
      <c r="BK3151">
        <v>0</v>
      </c>
      <c r="BL3151">
        <v>0</v>
      </c>
      <c r="BO3151">
        <v>0</v>
      </c>
      <c r="BP3151">
        <v>0</v>
      </c>
      <c r="BW3151" t="str">
        <f>"22:23:24.283"</f>
        <v>22:23:24.283</v>
      </c>
      <c r="CJ3151">
        <v>0</v>
      </c>
      <c r="CK3151">
        <v>2</v>
      </c>
      <c r="CL3151">
        <v>0</v>
      </c>
      <c r="CM3151">
        <v>2</v>
      </c>
      <c r="CN3151">
        <v>0</v>
      </c>
      <c r="CO3151">
        <v>5</v>
      </c>
      <c r="CP3151" t="s">
        <v>119</v>
      </c>
      <c r="CQ3151">
        <v>364</v>
      </c>
      <c r="CR3151">
        <v>0</v>
      </c>
      <c r="CW3151">
        <v>1488110</v>
      </c>
      <c r="CY3151">
        <v>1</v>
      </c>
      <c r="CZ3151">
        <v>0</v>
      </c>
      <c r="DA3151">
        <v>0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3">
      <c r="A3152" t="str">
        <f>"03/24/2022 22:23:24.466"</f>
        <v>03/24/2022 22:23:24.466</v>
      </c>
      <c r="C3152" t="str">
        <f t="shared" si="924"/>
        <v>FFDFD3C0</v>
      </c>
      <c r="D3152" t="s">
        <v>120</v>
      </c>
      <c r="E3152">
        <v>14</v>
      </c>
      <c r="F3152">
        <v>1014</v>
      </c>
      <c r="G3152" t="s">
        <v>121</v>
      </c>
      <c r="J3152" t="s">
        <v>122</v>
      </c>
      <c r="K3152">
        <v>0</v>
      </c>
      <c r="L3152">
        <v>3</v>
      </c>
      <c r="M3152">
        <v>0</v>
      </c>
      <c r="N3152">
        <v>2</v>
      </c>
      <c r="O3152">
        <v>0</v>
      </c>
      <c r="P3152">
        <v>1</v>
      </c>
      <c r="Q3152">
        <v>0</v>
      </c>
      <c r="S3152" t="str">
        <f t="shared" si="941"/>
        <v>22:23:24.000</v>
      </c>
      <c r="T3152" t="str">
        <f t="shared" si="941"/>
        <v>22:23:24.000</v>
      </c>
      <c r="U3152" t="str">
        <f t="shared" si="937"/>
        <v>A9D71F</v>
      </c>
      <c r="V3152">
        <v>0</v>
      </c>
      <c r="W3152">
        <v>0</v>
      </c>
      <c r="X3152">
        <v>2</v>
      </c>
      <c r="Z3152">
        <v>1</v>
      </c>
      <c r="AA3152">
        <v>8</v>
      </c>
      <c r="AB3152">
        <v>3</v>
      </c>
      <c r="AC3152">
        <v>0</v>
      </c>
      <c r="AD3152">
        <v>9</v>
      </c>
      <c r="AE3152">
        <v>0</v>
      </c>
      <c r="AF3152">
        <v>3</v>
      </c>
      <c r="AG3152">
        <v>1</v>
      </c>
      <c r="AH3152">
        <v>0</v>
      </c>
      <c r="AI3152" t="s">
        <v>1542</v>
      </c>
      <c r="AJ3152">
        <v>32.966172999999998</v>
      </c>
      <c r="AK3152" t="s">
        <v>1543</v>
      </c>
      <c r="AL3152">
        <v>-97.664895000000001</v>
      </c>
      <c r="AM3152">
        <v>25</v>
      </c>
      <c r="AN3152">
        <v>1000</v>
      </c>
      <c r="AO3152" t="s">
        <v>118</v>
      </c>
      <c r="AP3152">
        <v>15</v>
      </c>
      <c r="AQ3152">
        <v>-69</v>
      </c>
      <c r="AR3152">
        <v>-640</v>
      </c>
      <c r="AZ3152">
        <v>7700</v>
      </c>
      <c r="BA3152">
        <v>1</v>
      </c>
      <c r="BB3152" t="str">
        <f t="shared" si="925"/>
        <v xml:space="preserve">N733KP  </v>
      </c>
      <c r="BC3152">
        <v>1</v>
      </c>
      <c r="BE3152">
        <v>0</v>
      </c>
      <c r="BF3152">
        <v>0</v>
      </c>
      <c r="BG3152">
        <v>1</v>
      </c>
      <c r="BH3152">
        <v>950</v>
      </c>
      <c r="BI3152">
        <v>1</v>
      </c>
      <c r="BJ3152">
        <v>1</v>
      </c>
      <c r="BK3152">
        <v>0</v>
      </c>
      <c r="BL3152">
        <v>0</v>
      </c>
      <c r="BO3152">
        <v>0</v>
      </c>
      <c r="BP3152">
        <v>0</v>
      </c>
      <c r="BW3152" t="str">
        <f>"22:23:24.283"</f>
        <v>22:23:24.283</v>
      </c>
      <c r="CJ3152">
        <v>0</v>
      </c>
      <c r="CK3152">
        <v>2</v>
      </c>
      <c r="CL3152">
        <v>0</v>
      </c>
      <c r="CM3152">
        <v>2</v>
      </c>
      <c r="CN3152">
        <v>0</v>
      </c>
      <c r="CO3152">
        <v>5</v>
      </c>
      <c r="CP3152" t="s">
        <v>119</v>
      </c>
      <c r="CQ3152">
        <v>364</v>
      </c>
      <c r="CR3152">
        <v>0</v>
      </c>
      <c r="CW3152">
        <v>1488110</v>
      </c>
      <c r="CY3152">
        <v>1</v>
      </c>
      <c r="CZ3152">
        <v>0</v>
      </c>
      <c r="DA3152">
        <v>1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0</v>
      </c>
    </row>
    <row r="3153" spans="1:113" x14ac:dyDescent="0.3">
      <c r="A3153" t="str">
        <f>"03/24/2022 22:23:24.466"</f>
        <v>03/24/2022 22:23:24.466</v>
      </c>
      <c r="C3153" t="str">
        <f t="shared" si="924"/>
        <v>FFDFD3C0</v>
      </c>
      <c r="D3153" t="s">
        <v>113</v>
      </c>
      <c r="E3153">
        <v>24</v>
      </c>
      <c r="F3153">
        <v>2024</v>
      </c>
      <c r="G3153" t="s">
        <v>114</v>
      </c>
      <c r="J3153" t="s">
        <v>115</v>
      </c>
      <c r="K3153">
        <v>0</v>
      </c>
      <c r="L3153">
        <v>3</v>
      </c>
      <c r="M3153">
        <v>0</v>
      </c>
      <c r="N3153">
        <v>2</v>
      </c>
      <c r="O3153">
        <v>0</v>
      </c>
      <c r="P3153">
        <v>1</v>
      </c>
      <c r="Q3153">
        <v>0</v>
      </c>
      <c r="S3153" t="str">
        <f t="shared" si="941"/>
        <v>22:23:24.000</v>
      </c>
      <c r="T3153" t="str">
        <f t="shared" si="941"/>
        <v>22:23:24.000</v>
      </c>
      <c r="U3153" t="str">
        <f t="shared" si="937"/>
        <v>A9D71F</v>
      </c>
      <c r="V3153">
        <v>0</v>
      </c>
      <c r="W3153">
        <v>0</v>
      </c>
      <c r="X3153">
        <v>2</v>
      </c>
      <c r="Z3153">
        <v>1</v>
      </c>
      <c r="AA3153">
        <v>8</v>
      </c>
      <c r="AB3153">
        <v>3</v>
      </c>
      <c r="AC3153">
        <v>0</v>
      </c>
      <c r="AD3153">
        <v>9</v>
      </c>
      <c r="AE3153">
        <v>0</v>
      </c>
      <c r="AF3153">
        <v>3</v>
      </c>
      <c r="AG3153">
        <v>1</v>
      </c>
      <c r="AH3153">
        <v>0</v>
      </c>
      <c r="AI3153" t="s">
        <v>1542</v>
      </c>
      <c r="AJ3153">
        <v>32.966172999999998</v>
      </c>
      <c r="AK3153" t="s">
        <v>1543</v>
      </c>
      <c r="AL3153">
        <v>-97.664895000000001</v>
      </c>
      <c r="AM3153">
        <v>25</v>
      </c>
      <c r="AN3153">
        <v>1000</v>
      </c>
      <c r="AO3153" t="s">
        <v>118</v>
      </c>
      <c r="AP3153">
        <v>15</v>
      </c>
      <c r="AQ3153">
        <v>-69</v>
      </c>
      <c r="AR3153">
        <v>-640</v>
      </c>
      <c r="AZ3153">
        <v>7700</v>
      </c>
      <c r="BA3153">
        <v>1</v>
      </c>
      <c r="BB3153" t="str">
        <f t="shared" si="925"/>
        <v xml:space="preserve">N733KP  </v>
      </c>
      <c r="BC3153">
        <v>1</v>
      </c>
      <c r="BE3153">
        <v>0</v>
      </c>
      <c r="BF3153">
        <v>0</v>
      </c>
      <c r="BG3153">
        <v>1</v>
      </c>
      <c r="BH3153">
        <v>950</v>
      </c>
      <c r="BI3153">
        <v>1</v>
      </c>
      <c r="BJ3153">
        <v>1</v>
      </c>
      <c r="BK3153">
        <v>0</v>
      </c>
      <c r="BL3153">
        <v>0</v>
      </c>
      <c r="BO3153">
        <v>0</v>
      </c>
      <c r="BP3153">
        <v>0</v>
      </c>
      <c r="BW3153" t="str">
        <f>"22:23:24.283"</f>
        <v>22:23:24.283</v>
      </c>
      <c r="CJ3153">
        <v>0</v>
      </c>
      <c r="CK3153">
        <v>2</v>
      </c>
      <c r="CL3153">
        <v>0</v>
      </c>
      <c r="CM3153">
        <v>2</v>
      </c>
      <c r="CN3153">
        <v>0</v>
      </c>
      <c r="CO3153">
        <v>5</v>
      </c>
      <c r="CP3153" t="s">
        <v>119</v>
      </c>
      <c r="CQ3153">
        <v>364</v>
      </c>
      <c r="CR3153">
        <v>0</v>
      </c>
      <c r="CW3153">
        <v>1488110</v>
      </c>
      <c r="CY3153">
        <v>1</v>
      </c>
      <c r="CZ3153">
        <v>0</v>
      </c>
      <c r="DA3153">
        <v>1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0</v>
      </c>
      <c r="DI3153">
        <v>0</v>
      </c>
    </row>
    <row r="3154" spans="1:113" x14ac:dyDescent="0.3">
      <c r="A3154" t="str">
        <f>"03/24/2022 22:23:24.497"</f>
        <v>03/24/2022 22:23:24.497</v>
      </c>
      <c r="C3154" t="str">
        <f t="shared" si="924"/>
        <v>FFDFD3C0</v>
      </c>
      <c r="D3154" t="s">
        <v>126</v>
      </c>
      <c r="E3154">
        <v>3</v>
      </c>
      <c r="H3154">
        <v>160</v>
      </c>
      <c r="I3154" t="s">
        <v>121</v>
      </c>
      <c r="J3154" t="s">
        <v>127</v>
      </c>
      <c r="K3154">
        <v>0</v>
      </c>
      <c r="L3154">
        <v>3</v>
      </c>
      <c r="M3154">
        <v>0</v>
      </c>
      <c r="N3154">
        <v>2</v>
      </c>
      <c r="O3154">
        <v>0</v>
      </c>
      <c r="P3154">
        <v>1</v>
      </c>
      <c r="Q3154">
        <v>0</v>
      </c>
      <c r="S3154" t="str">
        <f t="shared" si="941"/>
        <v>22:23:24.000</v>
      </c>
      <c r="T3154" t="str">
        <f t="shared" si="941"/>
        <v>22:23:24.000</v>
      </c>
      <c r="U3154" t="str">
        <f t="shared" si="937"/>
        <v>A9D71F</v>
      </c>
      <c r="V3154">
        <v>0</v>
      </c>
      <c r="W3154">
        <v>0</v>
      </c>
      <c r="X3154">
        <v>2</v>
      </c>
      <c r="Z3154">
        <v>1</v>
      </c>
      <c r="AA3154">
        <v>8</v>
      </c>
      <c r="AB3154">
        <v>3</v>
      </c>
      <c r="AC3154">
        <v>0</v>
      </c>
      <c r="AD3154">
        <v>9</v>
      </c>
      <c r="AE3154">
        <v>0</v>
      </c>
      <c r="AF3154">
        <v>3</v>
      </c>
      <c r="AG3154">
        <v>1</v>
      </c>
      <c r="AH3154">
        <v>0</v>
      </c>
      <c r="AI3154" t="s">
        <v>1542</v>
      </c>
      <c r="AJ3154">
        <v>32.966172999999998</v>
      </c>
      <c r="AK3154" t="s">
        <v>1543</v>
      </c>
      <c r="AL3154">
        <v>-97.664895000000001</v>
      </c>
      <c r="AM3154">
        <v>25</v>
      </c>
      <c r="AN3154">
        <v>1000</v>
      </c>
      <c r="AO3154" t="s">
        <v>118</v>
      </c>
      <c r="AP3154">
        <v>15</v>
      </c>
      <c r="AQ3154">
        <v>-69</v>
      </c>
      <c r="AR3154">
        <v>-640</v>
      </c>
      <c r="AZ3154">
        <v>7700</v>
      </c>
      <c r="BA3154">
        <v>1</v>
      </c>
      <c r="BB3154" t="str">
        <f t="shared" si="925"/>
        <v xml:space="preserve">N733KP  </v>
      </c>
      <c r="BC3154">
        <v>1</v>
      </c>
      <c r="BE3154">
        <v>0</v>
      </c>
      <c r="BF3154">
        <v>0</v>
      </c>
      <c r="BG3154">
        <v>1</v>
      </c>
      <c r="BH3154">
        <v>950</v>
      </c>
      <c r="BI3154">
        <v>1</v>
      </c>
      <c r="BJ3154">
        <v>1</v>
      </c>
      <c r="BK3154">
        <v>0</v>
      </c>
      <c r="BL3154">
        <v>0</v>
      </c>
      <c r="BO3154">
        <v>0</v>
      </c>
      <c r="BP3154">
        <v>0</v>
      </c>
      <c r="BW3154" t="str">
        <f>"22:23:24.283"</f>
        <v>22:23:24.283</v>
      </c>
      <c r="CJ3154">
        <v>0</v>
      </c>
      <c r="CK3154">
        <v>2</v>
      </c>
      <c r="CL3154">
        <v>0</v>
      </c>
      <c r="CM3154">
        <v>2</v>
      </c>
      <c r="CN3154">
        <v>0</v>
      </c>
      <c r="CO3154">
        <v>5</v>
      </c>
      <c r="CP3154" t="s">
        <v>119</v>
      </c>
      <c r="CQ3154">
        <v>364</v>
      </c>
      <c r="CR3154">
        <v>0</v>
      </c>
      <c r="CW3154">
        <v>1488110</v>
      </c>
      <c r="CY3154">
        <v>1</v>
      </c>
      <c r="CZ3154">
        <v>0</v>
      </c>
      <c r="DA3154">
        <v>1</v>
      </c>
      <c r="DB3154">
        <v>0</v>
      </c>
      <c r="DC3154">
        <v>0</v>
      </c>
      <c r="DD3154">
        <v>0</v>
      </c>
      <c r="DE3154">
        <v>0</v>
      </c>
      <c r="DF3154">
        <v>0</v>
      </c>
      <c r="DG3154">
        <v>0</v>
      </c>
      <c r="DH3154">
        <v>0</v>
      </c>
      <c r="DI3154">
        <v>0</v>
      </c>
    </row>
    <row r="3155" spans="1:113" x14ac:dyDescent="0.3">
      <c r="A3155" t="str">
        <f>"03/24/2022 22:23:25.466"</f>
        <v>03/24/2022 22:23:25.466</v>
      </c>
      <c r="C3155" t="str">
        <f t="shared" si="924"/>
        <v>FFDFD3C0</v>
      </c>
      <c r="D3155" t="s">
        <v>126</v>
      </c>
      <c r="E3155">
        <v>3</v>
      </c>
      <c r="H3155">
        <v>160</v>
      </c>
      <c r="I3155" t="s">
        <v>121</v>
      </c>
      <c r="J3155" t="s">
        <v>127</v>
      </c>
      <c r="K3155">
        <v>0</v>
      </c>
      <c r="L3155">
        <v>3</v>
      </c>
      <c r="M3155">
        <v>0</v>
      </c>
      <c r="N3155">
        <v>2</v>
      </c>
      <c r="O3155">
        <v>0</v>
      </c>
      <c r="P3155">
        <v>1</v>
      </c>
      <c r="Q3155">
        <v>0</v>
      </c>
      <c r="S3155" t="str">
        <f t="shared" ref="S3155:T3158" si="942">"22:23:25.000"</f>
        <v>22:23:25.000</v>
      </c>
      <c r="T3155" t="str">
        <f t="shared" si="942"/>
        <v>22:23:25.000</v>
      </c>
      <c r="U3155" t="str">
        <f t="shared" si="937"/>
        <v>A9D71F</v>
      </c>
      <c r="V3155">
        <v>0</v>
      </c>
      <c r="W3155">
        <v>0</v>
      </c>
      <c r="X3155">
        <v>2</v>
      </c>
      <c r="Z3155">
        <v>1</v>
      </c>
      <c r="AA3155">
        <v>8</v>
      </c>
      <c r="AB3155">
        <v>3</v>
      </c>
      <c r="AC3155">
        <v>0</v>
      </c>
      <c r="AD3155">
        <v>9</v>
      </c>
      <c r="AE3155">
        <v>0</v>
      </c>
      <c r="AF3155">
        <v>3</v>
      </c>
      <c r="AG3155">
        <v>1</v>
      </c>
      <c r="AH3155">
        <v>0</v>
      </c>
      <c r="AI3155" t="s">
        <v>1544</v>
      </c>
      <c r="AJ3155">
        <v>32.965828999999999</v>
      </c>
      <c r="AK3155" t="s">
        <v>971</v>
      </c>
      <c r="AL3155">
        <v>-97.664809000000005</v>
      </c>
      <c r="AM3155">
        <v>25</v>
      </c>
      <c r="AN3155">
        <v>1000</v>
      </c>
      <c r="AO3155" t="s">
        <v>118</v>
      </c>
      <c r="AP3155">
        <v>12</v>
      </c>
      <c r="AQ3155">
        <v>-66</v>
      </c>
      <c r="AR3155">
        <v>-896</v>
      </c>
      <c r="AZ3155">
        <v>7700</v>
      </c>
      <c r="BA3155">
        <v>1</v>
      </c>
      <c r="BB3155" t="str">
        <f t="shared" si="925"/>
        <v xml:space="preserve">N733KP  </v>
      </c>
      <c r="BC3155">
        <v>1</v>
      </c>
      <c r="BE3155">
        <v>0</v>
      </c>
      <c r="BF3155">
        <v>0</v>
      </c>
      <c r="BG3155">
        <v>1</v>
      </c>
      <c r="BH3155">
        <v>950</v>
      </c>
      <c r="BI3155">
        <v>1</v>
      </c>
      <c r="BJ3155">
        <v>1</v>
      </c>
      <c r="BK3155">
        <v>0</v>
      </c>
      <c r="BL3155">
        <v>0</v>
      </c>
      <c r="BO3155">
        <v>0</v>
      </c>
      <c r="BP3155">
        <v>0</v>
      </c>
      <c r="BW3155" t="str">
        <f>"22:23:25.294"</f>
        <v>22:23:25.294</v>
      </c>
      <c r="CJ3155">
        <v>0</v>
      </c>
      <c r="CK3155">
        <v>2</v>
      </c>
      <c r="CL3155">
        <v>0</v>
      </c>
      <c r="CM3155">
        <v>2</v>
      </c>
      <c r="CN3155">
        <v>0</v>
      </c>
      <c r="CO3155">
        <v>5</v>
      </c>
      <c r="CP3155" t="s">
        <v>119</v>
      </c>
      <c r="CQ3155">
        <v>364</v>
      </c>
      <c r="CR3155">
        <v>0</v>
      </c>
      <c r="CW3155">
        <v>1488242</v>
      </c>
      <c r="CY3155">
        <v>1</v>
      </c>
      <c r="CZ3155">
        <v>0</v>
      </c>
      <c r="DA3155">
        <v>0</v>
      </c>
      <c r="DB3155">
        <v>0</v>
      </c>
      <c r="DC3155">
        <v>0</v>
      </c>
      <c r="DD3155">
        <v>0</v>
      </c>
      <c r="DE3155">
        <v>0</v>
      </c>
      <c r="DF3155">
        <v>0</v>
      </c>
      <c r="DG3155">
        <v>0</v>
      </c>
      <c r="DH3155">
        <v>0</v>
      </c>
      <c r="DI3155">
        <v>0</v>
      </c>
    </row>
    <row r="3156" spans="1:113" x14ac:dyDescent="0.3">
      <c r="A3156" t="str">
        <f>"03/24/2022 22:23:25.466"</f>
        <v>03/24/2022 22:23:25.466</v>
      </c>
      <c r="C3156" t="str">
        <f t="shared" si="924"/>
        <v>FFDFD3C0</v>
      </c>
      <c r="D3156" t="s">
        <v>123</v>
      </c>
      <c r="E3156">
        <v>8</v>
      </c>
      <c r="H3156">
        <v>31</v>
      </c>
      <c r="I3156" t="s">
        <v>124</v>
      </c>
      <c r="J3156" t="s">
        <v>125</v>
      </c>
      <c r="K3156">
        <v>0</v>
      </c>
      <c r="L3156">
        <v>3</v>
      </c>
      <c r="M3156">
        <v>0</v>
      </c>
      <c r="N3156">
        <v>2</v>
      </c>
      <c r="O3156">
        <v>0</v>
      </c>
      <c r="P3156">
        <v>1</v>
      </c>
      <c r="Q3156">
        <v>0</v>
      </c>
      <c r="S3156" t="str">
        <f t="shared" si="942"/>
        <v>22:23:25.000</v>
      </c>
      <c r="T3156" t="str">
        <f t="shared" si="942"/>
        <v>22:23:25.000</v>
      </c>
      <c r="U3156" t="str">
        <f t="shared" si="937"/>
        <v>A9D71F</v>
      </c>
      <c r="V3156">
        <v>0</v>
      </c>
      <c r="W3156">
        <v>0</v>
      </c>
      <c r="X3156">
        <v>2</v>
      </c>
      <c r="Z3156">
        <v>1</v>
      </c>
      <c r="AA3156">
        <v>8</v>
      </c>
      <c r="AB3156">
        <v>3</v>
      </c>
      <c r="AC3156">
        <v>0</v>
      </c>
      <c r="AD3156">
        <v>9</v>
      </c>
      <c r="AE3156">
        <v>0</v>
      </c>
      <c r="AF3156">
        <v>3</v>
      </c>
      <c r="AG3156">
        <v>1</v>
      </c>
      <c r="AH3156">
        <v>0</v>
      </c>
      <c r="AI3156" t="s">
        <v>1544</v>
      </c>
      <c r="AJ3156">
        <v>32.965828999999999</v>
      </c>
      <c r="AK3156" t="s">
        <v>971</v>
      </c>
      <c r="AL3156">
        <v>-97.664809000000005</v>
      </c>
      <c r="AM3156">
        <v>25</v>
      </c>
      <c r="AN3156">
        <v>1000</v>
      </c>
      <c r="AO3156" t="s">
        <v>118</v>
      </c>
      <c r="AP3156">
        <v>12</v>
      </c>
      <c r="AQ3156">
        <v>-66</v>
      </c>
      <c r="AR3156">
        <v>-896</v>
      </c>
      <c r="AZ3156">
        <v>7700</v>
      </c>
      <c r="BA3156">
        <v>1</v>
      </c>
      <c r="BB3156" t="str">
        <f t="shared" si="925"/>
        <v xml:space="preserve">N733KP  </v>
      </c>
      <c r="BC3156">
        <v>1</v>
      </c>
      <c r="BE3156">
        <v>0</v>
      </c>
      <c r="BF3156">
        <v>0</v>
      </c>
      <c r="BG3156">
        <v>1</v>
      </c>
      <c r="BH3156">
        <v>950</v>
      </c>
      <c r="BI3156">
        <v>1</v>
      </c>
      <c r="BJ3156">
        <v>1</v>
      </c>
      <c r="BK3156">
        <v>0</v>
      </c>
      <c r="BL3156">
        <v>0</v>
      </c>
      <c r="BO3156">
        <v>0</v>
      </c>
      <c r="BP3156">
        <v>0</v>
      </c>
      <c r="BW3156" t="str">
        <f>"22:23:25.294"</f>
        <v>22:23:25.294</v>
      </c>
      <c r="CJ3156">
        <v>0</v>
      </c>
      <c r="CK3156">
        <v>2</v>
      </c>
      <c r="CL3156">
        <v>0</v>
      </c>
      <c r="CM3156">
        <v>2</v>
      </c>
      <c r="CN3156">
        <v>0</v>
      </c>
      <c r="CO3156">
        <v>5</v>
      </c>
      <c r="CP3156" t="s">
        <v>119</v>
      </c>
      <c r="CQ3156">
        <v>364</v>
      </c>
      <c r="CR3156">
        <v>0</v>
      </c>
      <c r="CW3156">
        <v>1488242</v>
      </c>
      <c r="CY3156">
        <v>1</v>
      </c>
      <c r="CZ3156">
        <v>0</v>
      </c>
      <c r="DA3156">
        <v>1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3">
      <c r="A3157" t="str">
        <f>"03/24/2022 22:23:25.529"</f>
        <v>03/24/2022 22:23:25.529</v>
      </c>
      <c r="C3157" t="str">
        <f t="shared" si="924"/>
        <v>FFDFD3C0</v>
      </c>
      <c r="D3157" t="s">
        <v>120</v>
      </c>
      <c r="E3157">
        <v>14</v>
      </c>
      <c r="F3157">
        <v>1014</v>
      </c>
      <c r="G3157" t="s">
        <v>121</v>
      </c>
      <c r="J3157" t="s">
        <v>122</v>
      </c>
      <c r="K3157">
        <v>0</v>
      </c>
      <c r="L3157">
        <v>3</v>
      </c>
      <c r="M3157">
        <v>0</v>
      </c>
      <c r="N3157">
        <v>2</v>
      </c>
      <c r="O3157">
        <v>0</v>
      </c>
      <c r="P3157">
        <v>1</v>
      </c>
      <c r="Q3157">
        <v>0</v>
      </c>
      <c r="S3157" t="str">
        <f t="shared" si="942"/>
        <v>22:23:25.000</v>
      </c>
      <c r="T3157" t="str">
        <f t="shared" si="942"/>
        <v>22:23:25.000</v>
      </c>
      <c r="U3157" t="str">
        <f t="shared" si="937"/>
        <v>A9D71F</v>
      </c>
      <c r="V3157">
        <v>0</v>
      </c>
      <c r="W3157">
        <v>0</v>
      </c>
      <c r="X3157">
        <v>2</v>
      </c>
      <c r="Z3157">
        <v>1</v>
      </c>
      <c r="AA3157">
        <v>8</v>
      </c>
      <c r="AB3157">
        <v>3</v>
      </c>
      <c r="AC3157">
        <v>0</v>
      </c>
      <c r="AD3157">
        <v>9</v>
      </c>
      <c r="AE3157">
        <v>0</v>
      </c>
      <c r="AF3157">
        <v>3</v>
      </c>
      <c r="AG3157">
        <v>1</v>
      </c>
      <c r="AH3157">
        <v>0</v>
      </c>
      <c r="AI3157" t="s">
        <v>1544</v>
      </c>
      <c r="AJ3157">
        <v>32.965828999999999</v>
      </c>
      <c r="AK3157" t="s">
        <v>971</v>
      </c>
      <c r="AL3157">
        <v>-97.664809000000005</v>
      </c>
      <c r="AM3157">
        <v>25</v>
      </c>
      <c r="AN3157">
        <v>1000</v>
      </c>
      <c r="AO3157" t="s">
        <v>118</v>
      </c>
      <c r="AP3157">
        <v>12</v>
      </c>
      <c r="AQ3157">
        <v>-66</v>
      </c>
      <c r="AR3157">
        <v>-896</v>
      </c>
      <c r="AZ3157">
        <v>7700</v>
      </c>
      <c r="BA3157">
        <v>1</v>
      </c>
      <c r="BB3157" t="str">
        <f t="shared" si="925"/>
        <v xml:space="preserve">N733KP  </v>
      </c>
      <c r="BC3157">
        <v>1</v>
      </c>
      <c r="BE3157">
        <v>0</v>
      </c>
      <c r="BF3157">
        <v>0</v>
      </c>
      <c r="BG3157">
        <v>1</v>
      </c>
      <c r="BH3157">
        <v>950</v>
      </c>
      <c r="BI3157">
        <v>1</v>
      </c>
      <c r="BJ3157">
        <v>1</v>
      </c>
      <c r="BK3157">
        <v>0</v>
      </c>
      <c r="BL3157">
        <v>0</v>
      </c>
      <c r="BO3157">
        <v>0</v>
      </c>
      <c r="BP3157">
        <v>0</v>
      </c>
      <c r="BW3157" t="str">
        <f>"22:23:25.294"</f>
        <v>22:23:25.294</v>
      </c>
      <c r="CJ3157">
        <v>0</v>
      </c>
      <c r="CK3157">
        <v>2</v>
      </c>
      <c r="CL3157">
        <v>0</v>
      </c>
      <c r="CM3157">
        <v>2</v>
      </c>
      <c r="CN3157">
        <v>0</v>
      </c>
      <c r="CO3157">
        <v>5</v>
      </c>
      <c r="CP3157" t="s">
        <v>119</v>
      </c>
      <c r="CQ3157">
        <v>364</v>
      </c>
      <c r="CR3157">
        <v>0</v>
      </c>
      <c r="CW3157">
        <v>1488242</v>
      </c>
      <c r="CY3157">
        <v>1</v>
      </c>
      <c r="CZ3157">
        <v>0</v>
      </c>
      <c r="DA3157">
        <v>1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3">
      <c r="A3158" t="str">
        <f>"03/24/2022 22:23:25.529"</f>
        <v>03/24/2022 22:23:25.529</v>
      </c>
      <c r="C3158" t="str">
        <f t="shared" ref="C3158:C3214" si="943">"FFDFD3C0"</f>
        <v>FFDFD3C0</v>
      </c>
      <c r="D3158" t="s">
        <v>113</v>
      </c>
      <c r="E3158">
        <v>24</v>
      </c>
      <c r="F3158">
        <v>2024</v>
      </c>
      <c r="G3158" t="s">
        <v>114</v>
      </c>
      <c r="J3158" t="s">
        <v>115</v>
      </c>
      <c r="K3158">
        <v>0</v>
      </c>
      <c r="L3158">
        <v>3</v>
      </c>
      <c r="M3158">
        <v>0</v>
      </c>
      <c r="N3158">
        <v>2</v>
      </c>
      <c r="O3158">
        <v>0</v>
      </c>
      <c r="P3158">
        <v>1</v>
      </c>
      <c r="Q3158">
        <v>0</v>
      </c>
      <c r="S3158" t="str">
        <f t="shared" si="942"/>
        <v>22:23:25.000</v>
      </c>
      <c r="T3158" t="str">
        <f t="shared" si="942"/>
        <v>22:23:25.000</v>
      </c>
      <c r="U3158" t="str">
        <f t="shared" si="937"/>
        <v>A9D71F</v>
      </c>
      <c r="V3158">
        <v>0</v>
      </c>
      <c r="W3158">
        <v>0</v>
      </c>
      <c r="X3158">
        <v>2</v>
      </c>
      <c r="Z3158">
        <v>1</v>
      </c>
      <c r="AA3158">
        <v>8</v>
      </c>
      <c r="AB3158">
        <v>3</v>
      </c>
      <c r="AC3158">
        <v>0</v>
      </c>
      <c r="AD3158">
        <v>9</v>
      </c>
      <c r="AE3158">
        <v>0</v>
      </c>
      <c r="AF3158">
        <v>3</v>
      </c>
      <c r="AG3158">
        <v>1</v>
      </c>
      <c r="AH3158">
        <v>0</v>
      </c>
      <c r="AI3158" t="s">
        <v>1544</v>
      </c>
      <c r="AJ3158">
        <v>32.965828999999999</v>
      </c>
      <c r="AK3158" t="s">
        <v>971</v>
      </c>
      <c r="AL3158">
        <v>-97.664809000000005</v>
      </c>
      <c r="AM3158">
        <v>25</v>
      </c>
      <c r="AN3158">
        <v>1000</v>
      </c>
      <c r="AO3158" t="s">
        <v>118</v>
      </c>
      <c r="AP3158">
        <v>12</v>
      </c>
      <c r="AQ3158">
        <v>-66</v>
      </c>
      <c r="AR3158">
        <v>-896</v>
      </c>
      <c r="AZ3158">
        <v>7700</v>
      </c>
      <c r="BA3158">
        <v>1</v>
      </c>
      <c r="BB3158" t="str">
        <f t="shared" ref="BB3158:BB3214" si="944">"N733KP  "</f>
        <v xml:space="preserve">N733KP  </v>
      </c>
      <c r="BC3158">
        <v>1</v>
      </c>
      <c r="BE3158">
        <v>0</v>
      </c>
      <c r="BF3158">
        <v>0</v>
      </c>
      <c r="BG3158">
        <v>1</v>
      </c>
      <c r="BH3158">
        <v>950</v>
      </c>
      <c r="BI3158">
        <v>1</v>
      </c>
      <c r="BJ3158">
        <v>1</v>
      </c>
      <c r="BK3158">
        <v>0</v>
      </c>
      <c r="BL3158">
        <v>0</v>
      </c>
      <c r="BO3158">
        <v>0</v>
      </c>
      <c r="BP3158">
        <v>0</v>
      </c>
      <c r="BW3158" t="str">
        <f>"22:23:25.294"</f>
        <v>22:23:25.294</v>
      </c>
      <c r="CJ3158">
        <v>0</v>
      </c>
      <c r="CK3158">
        <v>2</v>
      </c>
      <c r="CL3158">
        <v>0</v>
      </c>
      <c r="CM3158">
        <v>2</v>
      </c>
      <c r="CN3158">
        <v>0</v>
      </c>
      <c r="CO3158">
        <v>5</v>
      </c>
      <c r="CP3158" t="s">
        <v>119</v>
      </c>
      <c r="CQ3158">
        <v>364</v>
      </c>
      <c r="CR3158">
        <v>0</v>
      </c>
      <c r="CW3158">
        <v>1488242</v>
      </c>
      <c r="CY3158">
        <v>1</v>
      </c>
      <c r="CZ3158">
        <v>0</v>
      </c>
      <c r="DA3158">
        <v>1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3">
      <c r="A3159" t="str">
        <f>"03/24/2022 22:23:27.639"</f>
        <v>03/24/2022 22:23:27.639</v>
      </c>
      <c r="C3159" t="str">
        <f t="shared" si="943"/>
        <v>FFDFD3C0</v>
      </c>
      <c r="D3159" t="s">
        <v>126</v>
      </c>
      <c r="E3159">
        <v>3</v>
      </c>
      <c r="H3159">
        <v>160</v>
      </c>
      <c r="I3159" t="s">
        <v>121</v>
      </c>
      <c r="J3159" t="s">
        <v>127</v>
      </c>
      <c r="K3159">
        <v>0</v>
      </c>
      <c r="L3159">
        <v>3</v>
      </c>
      <c r="M3159">
        <v>0</v>
      </c>
      <c r="N3159">
        <v>2</v>
      </c>
      <c r="O3159">
        <v>0</v>
      </c>
      <c r="P3159">
        <v>1</v>
      </c>
      <c r="Q3159">
        <v>0</v>
      </c>
      <c r="S3159" t="str">
        <f t="shared" ref="S3159:T3162" si="945">"22:23:27.000"</f>
        <v>22:23:27.000</v>
      </c>
      <c r="T3159" t="str">
        <f t="shared" si="945"/>
        <v>22:23:27.000</v>
      </c>
      <c r="U3159" t="str">
        <f t="shared" si="937"/>
        <v>A9D71F</v>
      </c>
      <c r="V3159">
        <v>0</v>
      </c>
      <c r="W3159">
        <v>0</v>
      </c>
      <c r="X3159">
        <v>2</v>
      </c>
      <c r="Z3159">
        <v>1</v>
      </c>
      <c r="AA3159">
        <v>8</v>
      </c>
      <c r="AB3159">
        <v>3</v>
      </c>
      <c r="AC3159">
        <v>0</v>
      </c>
      <c r="AD3159">
        <v>9</v>
      </c>
      <c r="AE3159">
        <v>0</v>
      </c>
      <c r="AF3159">
        <v>3</v>
      </c>
      <c r="AG3159">
        <v>1</v>
      </c>
      <c r="AH3159">
        <v>0</v>
      </c>
      <c r="AI3159" t="s">
        <v>1545</v>
      </c>
      <c r="AJ3159">
        <v>32.965206999999999</v>
      </c>
      <c r="AK3159" t="s">
        <v>973</v>
      </c>
      <c r="AL3159">
        <v>-97.664659</v>
      </c>
      <c r="AM3159">
        <v>25</v>
      </c>
      <c r="AN3159">
        <v>1000</v>
      </c>
      <c r="AO3159" t="s">
        <v>118</v>
      </c>
      <c r="AP3159">
        <v>10</v>
      </c>
      <c r="AQ3159">
        <v>-63</v>
      </c>
      <c r="AR3159">
        <v>-768</v>
      </c>
      <c r="AZ3159">
        <v>7700</v>
      </c>
      <c r="BA3159">
        <v>1</v>
      </c>
      <c r="BB3159" t="str">
        <f t="shared" si="944"/>
        <v xml:space="preserve">N733KP  </v>
      </c>
      <c r="BC3159">
        <v>1</v>
      </c>
      <c r="BE3159">
        <v>0</v>
      </c>
      <c r="BF3159">
        <v>0</v>
      </c>
      <c r="BG3159">
        <v>1</v>
      </c>
      <c r="BH3159">
        <v>925</v>
      </c>
      <c r="BI3159">
        <v>1</v>
      </c>
      <c r="BJ3159">
        <v>1</v>
      </c>
      <c r="BK3159">
        <v>0</v>
      </c>
      <c r="BL3159">
        <v>0</v>
      </c>
      <c r="BO3159">
        <v>0</v>
      </c>
      <c r="BP3159">
        <v>0</v>
      </c>
      <c r="BW3159" t="str">
        <f>"22:23:27.382"</f>
        <v>22:23:27.382</v>
      </c>
      <c r="CJ3159">
        <v>0</v>
      </c>
      <c r="CK3159">
        <v>2</v>
      </c>
      <c r="CL3159">
        <v>0</v>
      </c>
      <c r="CM3159">
        <v>2</v>
      </c>
      <c r="CN3159">
        <v>0</v>
      </c>
      <c r="CO3159">
        <v>5</v>
      </c>
      <c r="CP3159" t="s">
        <v>119</v>
      </c>
      <c r="CQ3159">
        <v>364</v>
      </c>
      <c r="CR3159">
        <v>0</v>
      </c>
      <c r="CW3159">
        <v>1488515</v>
      </c>
      <c r="CY3159">
        <v>1</v>
      </c>
      <c r="CZ3159">
        <v>0</v>
      </c>
      <c r="DA3159">
        <v>0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3">
      <c r="A3160" t="str">
        <f>"03/24/2022 22:23:27.639"</f>
        <v>03/24/2022 22:23:27.639</v>
      </c>
      <c r="C3160" t="str">
        <f t="shared" si="943"/>
        <v>FFDFD3C0</v>
      </c>
      <c r="D3160" t="s">
        <v>123</v>
      </c>
      <c r="E3160">
        <v>8</v>
      </c>
      <c r="H3160">
        <v>31</v>
      </c>
      <c r="I3160" t="s">
        <v>124</v>
      </c>
      <c r="J3160" t="s">
        <v>125</v>
      </c>
      <c r="K3160">
        <v>0</v>
      </c>
      <c r="L3160">
        <v>3</v>
      </c>
      <c r="M3160">
        <v>0</v>
      </c>
      <c r="N3160">
        <v>2</v>
      </c>
      <c r="O3160">
        <v>0</v>
      </c>
      <c r="P3160">
        <v>1</v>
      </c>
      <c r="Q3160">
        <v>0</v>
      </c>
      <c r="S3160" t="str">
        <f t="shared" si="945"/>
        <v>22:23:27.000</v>
      </c>
      <c r="T3160" t="str">
        <f t="shared" si="945"/>
        <v>22:23:27.000</v>
      </c>
      <c r="U3160" t="str">
        <f t="shared" si="937"/>
        <v>A9D71F</v>
      </c>
      <c r="V3160">
        <v>0</v>
      </c>
      <c r="W3160">
        <v>0</v>
      </c>
      <c r="X3160">
        <v>2</v>
      </c>
      <c r="Z3160">
        <v>1</v>
      </c>
      <c r="AA3160">
        <v>8</v>
      </c>
      <c r="AB3160">
        <v>3</v>
      </c>
      <c r="AC3160">
        <v>0</v>
      </c>
      <c r="AD3160">
        <v>9</v>
      </c>
      <c r="AE3160">
        <v>0</v>
      </c>
      <c r="AF3160">
        <v>3</v>
      </c>
      <c r="AG3160">
        <v>1</v>
      </c>
      <c r="AH3160">
        <v>0</v>
      </c>
      <c r="AI3160" t="s">
        <v>1545</v>
      </c>
      <c r="AJ3160">
        <v>32.965206999999999</v>
      </c>
      <c r="AK3160" t="s">
        <v>973</v>
      </c>
      <c r="AL3160">
        <v>-97.664659</v>
      </c>
      <c r="AM3160">
        <v>25</v>
      </c>
      <c r="AN3160">
        <v>1000</v>
      </c>
      <c r="AO3160" t="s">
        <v>118</v>
      </c>
      <c r="AP3160">
        <v>10</v>
      </c>
      <c r="AQ3160">
        <v>-63</v>
      </c>
      <c r="AR3160">
        <v>-768</v>
      </c>
      <c r="AZ3160">
        <v>7700</v>
      </c>
      <c r="BA3160">
        <v>1</v>
      </c>
      <c r="BB3160" t="str">
        <f t="shared" si="944"/>
        <v xml:space="preserve">N733KP  </v>
      </c>
      <c r="BC3160">
        <v>1</v>
      </c>
      <c r="BE3160">
        <v>0</v>
      </c>
      <c r="BF3160">
        <v>0</v>
      </c>
      <c r="BG3160">
        <v>1</v>
      </c>
      <c r="BH3160">
        <v>925</v>
      </c>
      <c r="BI3160">
        <v>1</v>
      </c>
      <c r="BJ3160">
        <v>1</v>
      </c>
      <c r="BK3160">
        <v>0</v>
      </c>
      <c r="BL3160">
        <v>0</v>
      </c>
      <c r="BO3160">
        <v>0</v>
      </c>
      <c r="BP3160">
        <v>0</v>
      </c>
      <c r="BW3160" t="str">
        <f>"22:23:27.382"</f>
        <v>22:23:27.382</v>
      </c>
      <c r="CJ3160">
        <v>0</v>
      </c>
      <c r="CK3160">
        <v>2</v>
      </c>
      <c r="CL3160">
        <v>0</v>
      </c>
      <c r="CM3160">
        <v>2</v>
      </c>
      <c r="CN3160">
        <v>0</v>
      </c>
      <c r="CO3160">
        <v>5</v>
      </c>
      <c r="CP3160" t="s">
        <v>119</v>
      </c>
      <c r="CQ3160">
        <v>364</v>
      </c>
      <c r="CR3160">
        <v>0</v>
      </c>
      <c r="CW3160">
        <v>1488515</v>
      </c>
      <c r="CY3160">
        <v>1</v>
      </c>
      <c r="CZ3160">
        <v>0</v>
      </c>
      <c r="DA3160">
        <v>1</v>
      </c>
      <c r="DB3160">
        <v>0</v>
      </c>
      <c r="DC3160">
        <v>0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3">
      <c r="A3161" t="str">
        <f>"03/24/2022 22:23:27.655"</f>
        <v>03/24/2022 22:23:27.655</v>
      </c>
      <c r="C3161" t="str">
        <f t="shared" si="943"/>
        <v>FFDFD3C0</v>
      </c>
      <c r="D3161" t="s">
        <v>120</v>
      </c>
      <c r="E3161">
        <v>14</v>
      </c>
      <c r="F3161">
        <v>1014</v>
      </c>
      <c r="G3161" t="s">
        <v>121</v>
      </c>
      <c r="J3161" t="s">
        <v>122</v>
      </c>
      <c r="K3161">
        <v>0</v>
      </c>
      <c r="L3161">
        <v>3</v>
      </c>
      <c r="M3161">
        <v>0</v>
      </c>
      <c r="N3161">
        <v>2</v>
      </c>
      <c r="O3161">
        <v>0</v>
      </c>
      <c r="P3161">
        <v>1</v>
      </c>
      <c r="Q3161">
        <v>0</v>
      </c>
      <c r="S3161" t="str">
        <f t="shared" si="945"/>
        <v>22:23:27.000</v>
      </c>
      <c r="T3161" t="str">
        <f t="shared" si="945"/>
        <v>22:23:27.000</v>
      </c>
      <c r="U3161" t="str">
        <f t="shared" si="937"/>
        <v>A9D71F</v>
      </c>
      <c r="V3161">
        <v>0</v>
      </c>
      <c r="W3161">
        <v>0</v>
      </c>
      <c r="X3161">
        <v>2</v>
      </c>
      <c r="Z3161">
        <v>1</v>
      </c>
      <c r="AA3161">
        <v>8</v>
      </c>
      <c r="AB3161">
        <v>3</v>
      </c>
      <c r="AC3161">
        <v>0</v>
      </c>
      <c r="AD3161">
        <v>9</v>
      </c>
      <c r="AE3161">
        <v>0</v>
      </c>
      <c r="AF3161">
        <v>3</v>
      </c>
      <c r="AG3161">
        <v>1</v>
      </c>
      <c r="AH3161">
        <v>0</v>
      </c>
      <c r="AI3161" t="s">
        <v>1545</v>
      </c>
      <c r="AJ3161">
        <v>32.965206999999999</v>
      </c>
      <c r="AK3161" t="s">
        <v>973</v>
      </c>
      <c r="AL3161">
        <v>-97.664659</v>
      </c>
      <c r="AM3161">
        <v>25</v>
      </c>
      <c r="AN3161">
        <v>1000</v>
      </c>
      <c r="AO3161" t="s">
        <v>118</v>
      </c>
      <c r="AP3161">
        <v>10</v>
      </c>
      <c r="AQ3161">
        <v>-63</v>
      </c>
      <c r="AR3161">
        <v>-768</v>
      </c>
      <c r="AZ3161">
        <v>7700</v>
      </c>
      <c r="BA3161">
        <v>1</v>
      </c>
      <c r="BB3161" t="str">
        <f t="shared" si="944"/>
        <v xml:space="preserve">N733KP  </v>
      </c>
      <c r="BC3161">
        <v>1</v>
      </c>
      <c r="BE3161">
        <v>0</v>
      </c>
      <c r="BF3161">
        <v>0</v>
      </c>
      <c r="BG3161">
        <v>1</v>
      </c>
      <c r="BH3161">
        <v>925</v>
      </c>
      <c r="BI3161">
        <v>1</v>
      </c>
      <c r="BJ3161">
        <v>1</v>
      </c>
      <c r="BK3161">
        <v>0</v>
      </c>
      <c r="BL3161">
        <v>0</v>
      </c>
      <c r="BO3161">
        <v>0</v>
      </c>
      <c r="BP3161">
        <v>0</v>
      </c>
      <c r="BW3161" t="str">
        <f>"22:23:27.382"</f>
        <v>22:23:27.382</v>
      </c>
      <c r="CJ3161">
        <v>0</v>
      </c>
      <c r="CK3161">
        <v>2</v>
      </c>
      <c r="CL3161">
        <v>0</v>
      </c>
      <c r="CM3161">
        <v>2</v>
      </c>
      <c r="CN3161">
        <v>0</v>
      </c>
      <c r="CO3161">
        <v>5</v>
      </c>
      <c r="CP3161" t="s">
        <v>119</v>
      </c>
      <c r="CQ3161">
        <v>364</v>
      </c>
      <c r="CR3161">
        <v>0</v>
      </c>
      <c r="CW3161">
        <v>1488515</v>
      </c>
      <c r="CY3161">
        <v>1</v>
      </c>
      <c r="CZ3161">
        <v>0</v>
      </c>
      <c r="DA3161">
        <v>1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3">
      <c r="A3162" t="str">
        <f>"03/24/2022 22:23:27.655"</f>
        <v>03/24/2022 22:23:27.655</v>
      </c>
      <c r="C3162" t="str">
        <f t="shared" si="943"/>
        <v>FFDFD3C0</v>
      </c>
      <c r="D3162" t="s">
        <v>113</v>
      </c>
      <c r="E3162">
        <v>24</v>
      </c>
      <c r="F3162">
        <v>2024</v>
      </c>
      <c r="G3162" t="s">
        <v>114</v>
      </c>
      <c r="J3162" t="s">
        <v>115</v>
      </c>
      <c r="K3162">
        <v>0</v>
      </c>
      <c r="L3162">
        <v>3</v>
      </c>
      <c r="M3162">
        <v>0</v>
      </c>
      <c r="N3162">
        <v>2</v>
      </c>
      <c r="O3162">
        <v>0</v>
      </c>
      <c r="P3162">
        <v>1</v>
      </c>
      <c r="Q3162">
        <v>0</v>
      </c>
      <c r="S3162" t="str">
        <f t="shared" si="945"/>
        <v>22:23:27.000</v>
      </c>
      <c r="T3162" t="str">
        <f t="shared" si="945"/>
        <v>22:23:27.000</v>
      </c>
      <c r="U3162" t="str">
        <f t="shared" si="937"/>
        <v>A9D71F</v>
      </c>
      <c r="V3162">
        <v>0</v>
      </c>
      <c r="W3162">
        <v>0</v>
      </c>
      <c r="X3162">
        <v>2</v>
      </c>
      <c r="Z3162">
        <v>1</v>
      </c>
      <c r="AA3162">
        <v>8</v>
      </c>
      <c r="AB3162">
        <v>3</v>
      </c>
      <c r="AC3162">
        <v>0</v>
      </c>
      <c r="AD3162">
        <v>9</v>
      </c>
      <c r="AE3162">
        <v>0</v>
      </c>
      <c r="AF3162">
        <v>3</v>
      </c>
      <c r="AG3162">
        <v>1</v>
      </c>
      <c r="AH3162">
        <v>0</v>
      </c>
      <c r="AI3162" t="s">
        <v>1545</v>
      </c>
      <c r="AJ3162">
        <v>32.965206999999999</v>
      </c>
      <c r="AK3162" t="s">
        <v>973</v>
      </c>
      <c r="AL3162">
        <v>-97.664659</v>
      </c>
      <c r="AM3162">
        <v>25</v>
      </c>
      <c r="AN3162">
        <v>1000</v>
      </c>
      <c r="AO3162" t="s">
        <v>118</v>
      </c>
      <c r="AP3162">
        <v>10</v>
      </c>
      <c r="AQ3162">
        <v>-63</v>
      </c>
      <c r="AR3162">
        <v>-768</v>
      </c>
      <c r="AZ3162">
        <v>7700</v>
      </c>
      <c r="BA3162">
        <v>1</v>
      </c>
      <c r="BB3162" t="str">
        <f t="shared" si="944"/>
        <v xml:space="preserve">N733KP  </v>
      </c>
      <c r="BC3162">
        <v>1</v>
      </c>
      <c r="BE3162">
        <v>0</v>
      </c>
      <c r="BF3162">
        <v>0</v>
      </c>
      <c r="BG3162">
        <v>1</v>
      </c>
      <c r="BH3162">
        <v>925</v>
      </c>
      <c r="BI3162">
        <v>1</v>
      </c>
      <c r="BJ3162">
        <v>1</v>
      </c>
      <c r="BK3162">
        <v>0</v>
      </c>
      <c r="BL3162">
        <v>0</v>
      </c>
      <c r="BO3162">
        <v>0</v>
      </c>
      <c r="BP3162">
        <v>0</v>
      </c>
      <c r="BW3162" t="str">
        <f>"22:23:27.382"</f>
        <v>22:23:27.382</v>
      </c>
      <c r="CJ3162">
        <v>0</v>
      </c>
      <c r="CK3162">
        <v>2</v>
      </c>
      <c r="CL3162">
        <v>0</v>
      </c>
      <c r="CM3162">
        <v>2</v>
      </c>
      <c r="CN3162">
        <v>0</v>
      </c>
      <c r="CO3162">
        <v>5</v>
      </c>
      <c r="CP3162" t="s">
        <v>119</v>
      </c>
      <c r="CQ3162">
        <v>364</v>
      </c>
      <c r="CR3162">
        <v>0</v>
      </c>
      <c r="CW3162">
        <v>1488515</v>
      </c>
      <c r="CY3162">
        <v>1</v>
      </c>
      <c r="CZ3162">
        <v>0</v>
      </c>
      <c r="DA3162">
        <v>1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3">
      <c r="A3163" t="str">
        <f>"03/24/2022 22:23:28.437"</f>
        <v>03/24/2022 22:23:28.437</v>
      </c>
      <c r="C3163" t="str">
        <f t="shared" si="943"/>
        <v>FFDFD3C0</v>
      </c>
      <c r="D3163" t="s">
        <v>126</v>
      </c>
      <c r="E3163">
        <v>3</v>
      </c>
      <c r="H3163">
        <v>160</v>
      </c>
      <c r="I3163" t="s">
        <v>121</v>
      </c>
      <c r="J3163" t="s">
        <v>127</v>
      </c>
      <c r="K3163">
        <v>0</v>
      </c>
      <c r="L3163">
        <v>3</v>
      </c>
      <c r="M3163">
        <v>0</v>
      </c>
      <c r="N3163">
        <v>2</v>
      </c>
      <c r="O3163">
        <v>0</v>
      </c>
      <c r="P3163">
        <v>1</v>
      </c>
      <c r="Q3163">
        <v>0</v>
      </c>
      <c r="S3163" t="str">
        <f t="shared" ref="S3163:T3166" si="946">"22:23:28.000"</f>
        <v>22:23:28.000</v>
      </c>
      <c r="T3163" t="str">
        <f t="shared" si="946"/>
        <v>22:23:28.000</v>
      </c>
      <c r="U3163" t="str">
        <f t="shared" si="937"/>
        <v>A9D71F</v>
      </c>
      <c r="V3163">
        <v>0</v>
      </c>
      <c r="W3163">
        <v>0</v>
      </c>
      <c r="X3163">
        <v>2</v>
      </c>
      <c r="Z3163">
        <v>1</v>
      </c>
      <c r="AA3163">
        <v>8</v>
      </c>
      <c r="AB3163">
        <v>3</v>
      </c>
      <c r="AC3163">
        <v>0</v>
      </c>
      <c r="AD3163">
        <v>9</v>
      </c>
      <c r="AE3163">
        <v>0</v>
      </c>
      <c r="AF3163">
        <v>3</v>
      </c>
      <c r="AG3163">
        <v>1</v>
      </c>
      <c r="AH3163">
        <v>0</v>
      </c>
      <c r="AI3163" t="s">
        <v>1546</v>
      </c>
      <c r="AJ3163">
        <v>32.964928</v>
      </c>
      <c r="AK3163" t="s">
        <v>1547</v>
      </c>
      <c r="AL3163">
        <v>-97.664595000000006</v>
      </c>
      <c r="AM3163">
        <v>25</v>
      </c>
      <c r="AN3163">
        <v>900</v>
      </c>
      <c r="AO3163" t="s">
        <v>118</v>
      </c>
      <c r="AP3163">
        <v>8</v>
      </c>
      <c r="AQ3163">
        <v>-67</v>
      </c>
      <c r="AR3163">
        <v>-704</v>
      </c>
      <c r="AZ3163">
        <v>7700</v>
      </c>
      <c r="BA3163">
        <v>1</v>
      </c>
      <c r="BB3163" t="str">
        <f t="shared" si="944"/>
        <v xml:space="preserve">N733KP  </v>
      </c>
      <c r="BC3163">
        <v>1</v>
      </c>
      <c r="BE3163">
        <v>0</v>
      </c>
      <c r="BF3163">
        <v>0</v>
      </c>
      <c r="BG3163">
        <v>1</v>
      </c>
      <c r="BH3163">
        <v>900</v>
      </c>
      <c r="BI3163">
        <v>1</v>
      </c>
      <c r="BJ3163">
        <v>1</v>
      </c>
      <c r="BK3163">
        <v>0</v>
      </c>
      <c r="BL3163">
        <v>0</v>
      </c>
      <c r="BO3163">
        <v>0</v>
      </c>
      <c r="BP3163">
        <v>0</v>
      </c>
      <c r="BW3163" t="str">
        <f>"22:23:28.251"</f>
        <v>22:23:28.251</v>
      </c>
      <c r="CJ3163">
        <v>0</v>
      </c>
      <c r="CK3163">
        <v>2</v>
      </c>
      <c r="CL3163">
        <v>0</v>
      </c>
      <c r="CM3163">
        <v>2</v>
      </c>
      <c r="CN3163">
        <v>0</v>
      </c>
      <c r="CO3163">
        <v>5</v>
      </c>
      <c r="CP3163" t="s">
        <v>119</v>
      </c>
      <c r="CQ3163">
        <v>364</v>
      </c>
      <c r="CR3163">
        <v>0</v>
      </c>
      <c r="CW3163">
        <v>1488616</v>
      </c>
      <c r="CY3163">
        <v>1</v>
      </c>
      <c r="CZ3163">
        <v>0</v>
      </c>
      <c r="DA3163">
        <v>0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3">
      <c r="A3164" t="str">
        <f>"03/24/2022 22:23:28.469"</f>
        <v>03/24/2022 22:23:28.469</v>
      </c>
      <c r="C3164" t="str">
        <f t="shared" si="943"/>
        <v>FFDFD3C0</v>
      </c>
      <c r="D3164" t="s">
        <v>123</v>
      </c>
      <c r="E3164">
        <v>8</v>
      </c>
      <c r="H3164">
        <v>31</v>
      </c>
      <c r="I3164" t="s">
        <v>124</v>
      </c>
      <c r="J3164" t="s">
        <v>125</v>
      </c>
      <c r="K3164">
        <v>0</v>
      </c>
      <c r="L3164">
        <v>3</v>
      </c>
      <c r="M3164">
        <v>0</v>
      </c>
      <c r="N3164">
        <v>2</v>
      </c>
      <c r="O3164">
        <v>0</v>
      </c>
      <c r="P3164">
        <v>1</v>
      </c>
      <c r="Q3164">
        <v>0</v>
      </c>
      <c r="S3164" t="str">
        <f t="shared" si="946"/>
        <v>22:23:28.000</v>
      </c>
      <c r="T3164" t="str">
        <f t="shared" si="946"/>
        <v>22:23:28.000</v>
      </c>
      <c r="U3164" t="str">
        <f t="shared" si="937"/>
        <v>A9D71F</v>
      </c>
      <c r="V3164">
        <v>0</v>
      </c>
      <c r="W3164">
        <v>0</v>
      </c>
      <c r="X3164">
        <v>2</v>
      </c>
      <c r="Z3164">
        <v>1</v>
      </c>
      <c r="AA3164">
        <v>8</v>
      </c>
      <c r="AB3164">
        <v>3</v>
      </c>
      <c r="AC3164">
        <v>0</v>
      </c>
      <c r="AD3164">
        <v>9</v>
      </c>
      <c r="AE3164">
        <v>0</v>
      </c>
      <c r="AF3164">
        <v>3</v>
      </c>
      <c r="AG3164">
        <v>1</v>
      </c>
      <c r="AH3164">
        <v>0</v>
      </c>
      <c r="AI3164" t="s">
        <v>1546</v>
      </c>
      <c r="AJ3164">
        <v>32.964928</v>
      </c>
      <c r="AK3164" t="s">
        <v>1547</v>
      </c>
      <c r="AL3164">
        <v>-97.664595000000006</v>
      </c>
      <c r="AM3164">
        <v>25</v>
      </c>
      <c r="AN3164">
        <v>900</v>
      </c>
      <c r="AO3164" t="s">
        <v>118</v>
      </c>
      <c r="AP3164">
        <v>8</v>
      </c>
      <c r="AQ3164">
        <v>-67</v>
      </c>
      <c r="AR3164">
        <v>-704</v>
      </c>
      <c r="AZ3164">
        <v>7700</v>
      </c>
      <c r="BA3164">
        <v>1</v>
      </c>
      <c r="BB3164" t="str">
        <f t="shared" si="944"/>
        <v xml:space="preserve">N733KP  </v>
      </c>
      <c r="BC3164">
        <v>1</v>
      </c>
      <c r="BE3164">
        <v>0</v>
      </c>
      <c r="BF3164">
        <v>0</v>
      </c>
      <c r="BG3164">
        <v>1</v>
      </c>
      <c r="BH3164">
        <v>900</v>
      </c>
      <c r="BI3164">
        <v>1</v>
      </c>
      <c r="BJ3164">
        <v>1</v>
      </c>
      <c r="BK3164">
        <v>0</v>
      </c>
      <c r="BL3164">
        <v>0</v>
      </c>
      <c r="BO3164">
        <v>0</v>
      </c>
      <c r="BP3164">
        <v>0</v>
      </c>
      <c r="BW3164" t="str">
        <f>"22:23:28.251"</f>
        <v>22:23:28.251</v>
      </c>
      <c r="CJ3164">
        <v>0</v>
      </c>
      <c r="CK3164">
        <v>2</v>
      </c>
      <c r="CL3164">
        <v>0</v>
      </c>
      <c r="CM3164">
        <v>2</v>
      </c>
      <c r="CN3164">
        <v>0</v>
      </c>
      <c r="CO3164">
        <v>5</v>
      </c>
      <c r="CP3164" t="s">
        <v>119</v>
      </c>
      <c r="CQ3164">
        <v>364</v>
      </c>
      <c r="CR3164">
        <v>0</v>
      </c>
      <c r="CW3164">
        <v>1488616</v>
      </c>
      <c r="CY3164">
        <v>1</v>
      </c>
      <c r="CZ3164">
        <v>0</v>
      </c>
      <c r="DA3164">
        <v>1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3">
      <c r="A3165" t="str">
        <f>"03/24/2022 22:23:28.469"</f>
        <v>03/24/2022 22:23:28.469</v>
      </c>
      <c r="C3165" t="str">
        <f t="shared" si="943"/>
        <v>FFDFD3C0</v>
      </c>
      <c r="D3165" t="s">
        <v>120</v>
      </c>
      <c r="E3165">
        <v>14</v>
      </c>
      <c r="F3165">
        <v>1014</v>
      </c>
      <c r="G3165" t="s">
        <v>121</v>
      </c>
      <c r="J3165" t="s">
        <v>122</v>
      </c>
      <c r="K3165">
        <v>0</v>
      </c>
      <c r="L3165">
        <v>3</v>
      </c>
      <c r="M3165">
        <v>0</v>
      </c>
      <c r="N3165">
        <v>2</v>
      </c>
      <c r="O3165">
        <v>0</v>
      </c>
      <c r="P3165">
        <v>1</v>
      </c>
      <c r="Q3165">
        <v>0</v>
      </c>
      <c r="S3165" t="str">
        <f t="shared" si="946"/>
        <v>22:23:28.000</v>
      </c>
      <c r="T3165" t="str">
        <f t="shared" si="946"/>
        <v>22:23:28.000</v>
      </c>
      <c r="U3165" t="str">
        <f t="shared" si="937"/>
        <v>A9D71F</v>
      </c>
      <c r="V3165">
        <v>0</v>
      </c>
      <c r="W3165">
        <v>0</v>
      </c>
      <c r="X3165">
        <v>2</v>
      </c>
      <c r="Z3165">
        <v>1</v>
      </c>
      <c r="AA3165">
        <v>8</v>
      </c>
      <c r="AB3165">
        <v>3</v>
      </c>
      <c r="AC3165">
        <v>0</v>
      </c>
      <c r="AD3165">
        <v>9</v>
      </c>
      <c r="AE3165">
        <v>0</v>
      </c>
      <c r="AF3165">
        <v>3</v>
      </c>
      <c r="AG3165">
        <v>1</v>
      </c>
      <c r="AH3165">
        <v>0</v>
      </c>
      <c r="AI3165" t="s">
        <v>1546</v>
      </c>
      <c r="AJ3165">
        <v>32.964928</v>
      </c>
      <c r="AK3165" t="s">
        <v>1547</v>
      </c>
      <c r="AL3165">
        <v>-97.664595000000006</v>
      </c>
      <c r="AM3165">
        <v>25</v>
      </c>
      <c r="AN3165">
        <v>900</v>
      </c>
      <c r="AO3165" t="s">
        <v>118</v>
      </c>
      <c r="AP3165">
        <v>8</v>
      </c>
      <c r="AQ3165">
        <v>-67</v>
      </c>
      <c r="AR3165">
        <v>-704</v>
      </c>
      <c r="AZ3165">
        <v>7700</v>
      </c>
      <c r="BA3165">
        <v>1</v>
      </c>
      <c r="BB3165" t="str">
        <f t="shared" si="944"/>
        <v xml:space="preserve">N733KP  </v>
      </c>
      <c r="BC3165">
        <v>1</v>
      </c>
      <c r="BE3165">
        <v>0</v>
      </c>
      <c r="BF3165">
        <v>0</v>
      </c>
      <c r="BG3165">
        <v>1</v>
      </c>
      <c r="BH3165">
        <v>900</v>
      </c>
      <c r="BI3165">
        <v>1</v>
      </c>
      <c r="BJ3165">
        <v>1</v>
      </c>
      <c r="BK3165">
        <v>0</v>
      </c>
      <c r="BL3165">
        <v>0</v>
      </c>
      <c r="BO3165">
        <v>0</v>
      </c>
      <c r="BP3165">
        <v>0</v>
      </c>
      <c r="BW3165" t="str">
        <f>"22:23:28.251"</f>
        <v>22:23:28.251</v>
      </c>
      <c r="CJ3165">
        <v>0</v>
      </c>
      <c r="CK3165">
        <v>2</v>
      </c>
      <c r="CL3165">
        <v>0</v>
      </c>
      <c r="CM3165">
        <v>2</v>
      </c>
      <c r="CN3165">
        <v>0</v>
      </c>
      <c r="CO3165">
        <v>5</v>
      </c>
      <c r="CP3165" t="s">
        <v>119</v>
      </c>
      <c r="CQ3165">
        <v>364</v>
      </c>
      <c r="CR3165">
        <v>0</v>
      </c>
      <c r="CW3165">
        <v>1488616</v>
      </c>
      <c r="CY3165">
        <v>1</v>
      </c>
      <c r="CZ3165">
        <v>0</v>
      </c>
      <c r="DA3165">
        <v>1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3">
      <c r="A3166" t="str">
        <f>"03/24/2022 22:23:28.485"</f>
        <v>03/24/2022 22:23:28.485</v>
      </c>
      <c r="C3166" t="str">
        <f t="shared" si="943"/>
        <v>FFDFD3C0</v>
      </c>
      <c r="D3166" t="s">
        <v>113</v>
      </c>
      <c r="E3166">
        <v>24</v>
      </c>
      <c r="F3166">
        <v>2024</v>
      </c>
      <c r="G3166" t="s">
        <v>114</v>
      </c>
      <c r="J3166" t="s">
        <v>115</v>
      </c>
      <c r="K3166">
        <v>0</v>
      </c>
      <c r="L3166">
        <v>3</v>
      </c>
      <c r="M3166">
        <v>0</v>
      </c>
      <c r="N3166">
        <v>2</v>
      </c>
      <c r="O3166">
        <v>0</v>
      </c>
      <c r="P3166">
        <v>1</v>
      </c>
      <c r="Q3166">
        <v>0</v>
      </c>
      <c r="S3166" t="str">
        <f t="shared" si="946"/>
        <v>22:23:28.000</v>
      </c>
      <c r="T3166" t="str">
        <f t="shared" si="946"/>
        <v>22:23:28.000</v>
      </c>
      <c r="U3166" t="str">
        <f t="shared" si="937"/>
        <v>A9D71F</v>
      </c>
      <c r="V3166">
        <v>0</v>
      </c>
      <c r="W3166">
        <v>0</v>
      </c>
      <c r="X3166">
        <v>2</v>
      </c>
      <c r="Z3166">
        <v>1</v>
      </c>
      <c r="AA3166">
        <v>8</v>
      </c>
      <c r="AB3166">
        <v>3</v>
      </c>
      <c r="AC3166">
        <v>0</v>
      </c>
      <c r="AD3166">
        <v>9</v>
      </c>
      <c r="AE3166">
        <v>0</v>
      </c>
      <c r="AF3166">
        <v>3</v>
      </c>
      <c r="AG3166">
        <v>1</v>
      </c>
      <c r="AH3166">
        <v>0</v>
      </c>
      <c r="AI3166" t="s">
        <v>1546</v>
      </c>
      <c r="AJ3166">
        <v>32.964928</v>
      </c>
      <c r="AK3166" t="s">
        <v>1547</v>
      </c>
      <c r="AL3166">
        <v>-97.664595000000006</v>
      </c>
      <c r="AM3166">
        <v>25</v>
      </c>
      <c r="AN3166">
        <v>900</v>
      </c>
      <c r="AO3166" t="s">
        <v>118</v>
      </c>
      <c r="AP3166">
        <v>8</v>
      </c>
      <c r="AQ3166">
        <v>-67</v>
      </c>
      <c r="AR3166">
        <v>-704</v>
      </c>
      <c r="AZ3166">
        <v>7700</v>
      </c>
      <c r="BA3166">
        <v>1</v>
      </c>
      <c r="BB3166" t="str">
        <f t="shared" si="944"/>
        <v xml:space="preserve">N733KP  </v>
      </c>
      <c r="BC3166">
        <v>1</v>
      </c>
      <c r="BE3166">
        <v>0</v>
      </c>
      <c r="BF3166">
        <v>0</v>
      </c>
      <c r="BG3166">
        <v>1</v>
      </c>
      <c r="BH3166">
        <v>900</v>
      </c>
      <c r="BI3166">
        <v>1</v>
      </c>
      <c r="BJ3166">
        <v>1</v>
      </c>
      <c r="BK3166">
        <v>0</v>
      </c>
      <c r="BL3166">
        <v>0</v>
      </c>
      <c r="BO3166">
        <v>0</v>
      </c>
      <c r="BP3166">
        <v>0</v>
      </c>
      <c r="BW3166" t="str">
        <f>"22:23:28.251"</f>
        <v>22:23:28.251</v>
      </c>
      <c r="CJ3166">
        <v>0</v>
      </c>
      <c r="CK3166">
        <v>2</v>
      </c>
      <c r="CL3166">
        <v>0</v>
      </c>
      <c r="CM3166">
        <v>2</v>
      </c>
      <c r="CN3166">
        <v>0</v>
      </c>
      <c r="CO3166">
        <v>5</v>
      </c>
      <c r="CP3166" t="s">
        <v>119</v>
      </c>
      <c r="CQ3166">
        <v>364</v>
      </c>
      <c r="CR3166">
        <v>0</v>
      </c>
      <c r="CW3166">
        <v>1488616</v>
      </c>
      <c r="CY3166">
        <v>1</v>
      </c>
      <c r="CZ3166">
        <v>0</v>
      </c>
      <c r="DA3166">
        <v>1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3">
      <c r="A3167" t="str">
        <f>"03/24/2022 22:23:29.438"</f>
        <v>03/24/2022 22:23:29.438</v>
      </c>
      <c r="C3167" t="str">
        <f t="shared" si="943"/>
        <v>FFDFD3C0</v>
      </c>
      <c r="D3167" t="s">
        <v>113</v>
      </c>
      <c r="E3167">
        <v>24</v>
      </c>
      <c r="F3167">
        <v>2024</v>
      </c>
      <c r="G3167" t="s">
        <v>114</v>
      </c>
      <c r="J3167" t="s">
        <v>115</v>
      </c>
      <c r="K3167">
        <v>0</v>
      </c>
      <c r="L3167">
        <v>3</v>
      </c>
      <c r="M3167">
        <v>0</v>
      </c>
      <c r="N3167">
        <v>2</v>
      </c>
      <c r="O3167">
        <v>0</v>
      </c>
      <c r="P3167">
        <v>1</v>
      </c>
      <c r="Q3167">
        <v>0</v>
      </c>
      <c r="S3167" t="str">
        <f t="shared" ref="S3167:T3170" si="947">"22:23:29.000"</f>
        <v>22:23:29.000</v>
      </c>
      <c r="T3167" t="str">
        <f t="shared" si="947"/>
        <v>22:23:29.000</v>
      </c>
      <c r="U3167" t="str">
        <f t="shared" si="937"/>
        <v>A9D71F</v>
      </c>
      <c r="V3167">
        <v>0</v>
      </c>
      <c r="W3167">
        <v>0</v>
      </c>
      <c r="X3167">
        <v>2</v>
      </c>
      <c r="Z3167">
        <v>1</v>
      </c>
      <c r="AA3167">
        <v>8</v>
      </c>
      <c r="AB3167">
        <v>3</v>
      </c>
      <c r="AC3167">
        <v>0</v>
      </c>
      <c r="AD3167">
        <v>9</v>
      </c>
      <c r="AE3167">
        <v>0</v>
      </c>
      <c r="AF3167">
        <v>3</v>
      </c>
      <c r="AG3167">
        <v>1</v>
      </c>
      <c r="AH3167">
        <v>0</v>
      </c>
      <c r="AI3167" t="s">
        <v>1548</v>
      </c>
      <c r="AJ3167">
        <v>32.964627999999998</v>
      </c>
      <c r="AK3167" t="s">
        <v>1549</v>
      </c>
      <c r="AL3167">
        <v>-97.664552</v>
      </c>
      <c r="AM3167">
        <v>25</v>
      </c>
      <c r="AN3167">
        <v>900</v>
      </c>
      <c r="AO3167" t="s">
        <v>118</v>
      </c>
      <c r="AP3167">
        <v>8</v>
      </c>
      <c r="AQ3167">
        <v>-67</v>
      </c>
      <c r="AR3167">
        <v>-448</v>
      </c>
      <c r="AZ3167">
        <v>7700</v>
      </c>
      <c r="BA3167">
        <v>1</v>
      </c>
      <c r="BB3167" t="str">
        <f t="shared" si="944"/>
        <v xml:space="preserve">N733KP  </v>
      </c>
      <c r="BC3167">
        <v>1</v>
      </c>
      <c r="BE3167">
        <v>0</v>
      </c>
      <c r="BF3167">
        <v>0</v>
      </c>
      <c r="BG3167">
        <v>1</v>
      </c>
      <c r="BH3167">
        <v>900</v>
      </c>
      <c r="BI3167">
        <v>1</v>
      </c>
      <c r="BJ3167">
        <v>1</v>
      </c>
      <c r="BK3167">
        <v>0</v>
      </c>
      <c r="BL3167">
        <v>0</v>
      </c>
      <c r="BO3167">
        <v>0</v>
      </c>
      <c r="BP3167">
        <v>0</v>
      </c>
      <c r="BW3167" t="str">
        <f>"22:23:29.265"</f>
        <v>22:23:29.265</v>
      </c>
      <c r="CJ3167">
        <v>0</v>
      </c>
      <c r="CK3167">
        <v>2</v>
      </c>
      <c r="CL3167">
        <v>0</v>
      </c>
      <c r="CM3167">
        <v>2</v>
      </c>
      <c r="CN3167">
        <v>0</v>
      </c>
      <c r="CO3167">
        <v>5</v>
      </c>
      <c r="CP3167" t="s">
        <v>119</v>
      </c>
      <c r="CQ3167">
        <v>364</v>
      </c>
      <c r="CR3167">
        <v>0</v>
      </c>
      <c r="CW3167">
        <v>1488745</v>
      </c>
      <c r="CY3167">
        <v>1</v>
      </c>
      <c r="CZ3167">
        <v>0</v>
      </c>
      <c r="DA3167">
        <v>0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3">
      <c r="A3168" t="str">
        <f>"03/24/2022 22:23:29.438"</f>
        <v>03/24/2022 22:23:29.438</v>
      </c>
      <c r="C3168" t="str">
        <f t="shared" si="943"/>
        <v>FFDFD3C0</v>
      </c>
      <c r="D3168" t="s">
        <v>120</v>
      </c>
      <c r="E3168">
        <v>14</v>
      </c>
      <c r="F3168">
        <v>1014</v>
      </c>
      <c r="G3168" t="s">
        <v>121</v>
      </c>
      <c r="J3168" t="s">
        <v>122</v>
      </c>
      <c r="K3168">
        <v>0</v>
      </c>
      <c r="L3168">
        <v>3</v>
      </c>
      <c r="M3168">
        <v>0</v>
      </c>
      <c r="N3168">
        <v>2</v>
      </c>
      <c r="O3168">
        <v>0</v>
      </c>
      <c r="P3168">
        <v>1</v>
      </c>
      <c r="Q3168">
        <v>0</v>
      </c>
      <c r="S3168" t="str">
        <f t="shared" si="947"/>
        <v>22:23:29.000</v>
      </c>
      <c r="T3168" t="str">
        <f t="shared" si="947"/>
        <v>22:23:29.000</v>
      </c>
      <c r="U3168" t="str">
        <f t="shared" si="937"/>
        <v>A9D71F</v>
      </c>
      <c r="V3168">
        <v>0</v>
      </c>
      <c r="W3168">
        <v>0</v>
      </c>
      <c r="X3168">
        <v>2</v>
      </c>
      <c r="Z3168">
        <v>1</v>
      </c>
      <c r="AA3168">
        <v>8</v>
      </c>
      <c r="AB3168">
        <v>3</v>
      </c>
      <c r="AC3168">
        <v>0</v>
      </c>
      <c r="AD3168">
        <v>9</v>
      </c>
      <c r="AE3168">
        <v>0</v>
      </c>
      <c r="AF3168">
        <v>3</v>
      </c>
      <c r="AG3168">
        <v>1</v>
      </c>
      <c r="AH3168">
        <v>0</v>
      </c>
      <c r="AI3168" t="s">
        <v>1548</v>
      </c>
      <c r="AJ3168">
        <v>32.964627999999998</v>
      </c>
      <c r="AK3168" t="s">
        <v>1549</v>
      </c>
      <c r="AL3168">
        <v>-97.664552</v>
      </c>
      <c r="AM3168">
        <v>25</v>
      </c>
      <c r="AN3168">
        <v>900</v>
      </c>
      <c r="AO3168" t="s">
        <v>118</v>
      </c>
      <c r="AP3168">
        <v>8</v>
      </c>
      <c r="AQ3168">
        <v>-67</v>
      </c>
      <c r="AR3168">
        <v>-448</v>
      </c>
      <c r="AZ3168">
        <v>7700</v>
      </c>
      <c r="BA3168">
        <v>1</v>
      </c>
      <c r="BB3168" t="str">
        <f t="shared" si="944"/>
        <v xml:space="preserve">N733KP  </v>
      </c>
      <c r="BC3168">
        <v>1</v>
      </c>
      <c r="BE3168">
        <v>0</v>
      </c>
      <c r="BF3168">
        <v>0</v>
      </c>
      <c r="BG3168">
        <v>1</v>
      </c>
      <c r="BH3168">
        <v>900</v>
      </c>
      <c r="BI3168">
        <v>1</v>
      </c>
      <c r="BJ3168">
        <v>1</v>
      </c>
      <c r="BK3168">
        <v>0</v>
      </c>
      <c r="BL3168">
        <v>0</v>
      </c>
      <c r="BO3168">
        <v>0</v>
      </c>
      <c r="BP3168">
        <v>0</v>
      </c>
      <c r="BW3168" t="str">
        <f>"22:23:29.265"</f>
        <v>22:23:29.265</v>
      </c>
      <c r="CJ3168">
        <v>0</v>
      </c>
      <c r="CK3168">
        <v>2</v>
      </c>
      <c r="CL3168">
        <v>0</v>
      </c>
      <c r="CM3168">
        <v>2</v>
      </c>
      <c r="CN3168">
        <v>0</v>
      </c>
      <c r="CO3168">
        <v>5</v>
      </c>
      <c r="CP3168" t="s">
        <v>119</v>
      </c>
      <c r="CQ3168">
        <v>364</v>
      </c>
      <c r="CR3168">
        <v>0</v>
      </c>
      <c r="CW3168">
        <v>1488745</v>
      </c>
      <c r="CY3168">
        <v>1</v>
      </c>
      <c r="CZ3168">
        <v>0</v>
      </c>
      <c r="DA3168">
        <v>1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3">
      <c r="A3169" t="str">
        <f>"03/24/2022 22:23:29.454"</f>
        <v>03/24/2022 22:23:29.454</v>
      </c>
      <c r="C3169" t="str">
        <f t="shared" si="943"/>
        <v>FFDFD3C0</v>
      </c>
      <c r="D3169" t="s">
        <v>126</v>
      </c>
      <c r="E3169">
        <v>3</v>
      </c>
      <c r="H3169">
        <v>160</v>
      </c>
      <c r="I3169" t="s">
        <v>121</v>
      </c>
      <c r="J3169" t="s">
        <v>127</v>
      </c>
      <c r="K3169">
        <v>0</v>
      </c>
      <c r="L3169">
        <v>3</v>
      </c>
      <c r="M3169">
        <v>0</v>
      </c>
      <c r="N3169">
        <v>2</v>
      </c>
      <c r="O3169">
        <v>0</v>
      </c>
      <c r="P3169">
        <v>1</v>
      </c>
      <c r="Q3169">
        <v>0</v>
      </c>
      <c r="S3169" t="str">
        <f t="shared" si="947"/>
        <v>22:23:29.000</v>
      </c>
      <c r="T3169" t="str">
        <f t="shared" si="947"/>
        <v>22:23:29.000</v>
      </c>
      <c r="U3169" t="str">
        <f t="shared" si="937"/>
        <v>A9D71F</v>
      </c>
      <c r="V3169">
        <v>0</v>
      </c>
      <c r="W3169">
        <v>0</v>
      </c>
      <c r="X3169">
        <v>2</v>
      </c>
      <c r="Z3169">
        <v>1</v>
      </c>
      <c r="AA3169">
        <v>8</v>
      </c>
      <c r="AB3169">
        <v>3</v>
      </c>
      <c r="AC3169">
        <v>0</v>
      </c>
      <c r="AD3169">
        <v>9</v>
      </c>
      <c r="AE3169">
        <v>0</v>
      </c>
      <c r="AF3169">
        <v>3</v>
      </c>
      <c r="AG3169">
        <v>1</v>
      </c>
      <c r="AH3169">
        <v>0</v>
      </c>
      <c r="AI3169" t="s">
        <v>1548</v>
      </c>
      <c r="AJ3169">
        <v>32.964627999999998</v>
      </c>
      <c r="AK3169" t="s">
        <v>1549</v>
      </c>
      <c r="AL3169">
        <v>-97.664552</v>
      </c>
      <c r="AM3169">
        <v>25</v>
      </c>
      <c r="AN3169">
        <v>900</v>
      </c>
      <c r="AO3169" t="s">
        <v>118</v>
      </c>
      <c r="AP3169">
        <v>8</v>
      </c>
      <c r="AQ3169">
        <v>-67</v>
      </c>
      <c r="AR3169">
        <v>-448</v>
      </c>
      <c r="AZ3169">
        <v>7700</v>
      </c>
      <c r="BA3169">
        <v>1</v>
      </c>
      <c r="BB3169" t="str">
        <f t="shared" si="944"/>
        <v xml:space="preserve">N733KP  </v>
      </c>
      <c r="BC3169">
        <v>1</v>
      </c>
      <c r="BE3169">
        <v>0</v>
      </c>
      <c r="BF3169">
        <v>0</v>
      </c>
      <c r="BG3169">
        <v>1</v>
      </c>
      <c r="BH3169">
        <v>900</v>
      </c>
      <c r="BI3169">
        <v>1</v>
      </c>
      <c r="BJ3169">
        <v>1</v>
      </c>
      <c r="BK3169">
        <v>0</v>
      </c>
      <c r="BL3169">
        <v>0</v>
      </c>
      <c r="BO3169">
        <v>0</v>
      </c>
      <c r="BP3169">
        <v>0</v>
      </c>
      <c r="BW3169" t="str">
        <f>"22:23:29.265"</f>
        <v>22:23:29.265</v>
      </c>
      <c r="CJ3169">
        <v>0</v>
      </c>
      <c r="CK3169">
        <v>2</v>
      </c>
      <c r="CL3169">
        <v>0</v>
      </c>
      <c r="CM3169">
        <v>2</v>
      </c>
      <c r="CN3169">
        <v>0</v>
      </c>
      <c r="CO3169">
        <v>5</v>
      </c>
      <c r="CP3169" t="s">
        <v>119</v>
      </c>
      <c r="CQ3169">
        <v>364</v>
      </c>
      <c r="CR3169">
        <v>0</v>
      </c>
      <c r="CW3169">
        <v>1488745</v>
      </c>
      <c r="CY3169">
        <v>1</v>
      </c>
      <c r="CZ3169">
        <v>0</v>
      </c>
      <c r="DA3169">
        <v>1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3">
      <c r="A3170" t="str">
        <f>"03/24/2022 22:23:29.454"</f>
        <v>03/24/2022 22:23:29.454</v>
      </c>
      <c r="C3170" t="str">
        <f t="shared" si="943"/>
        <v>FFDFD3C0</v>
      </c>
      <c r="D3170" t="s">
        <v>123</v>
      </c>
      <c r="E3170">
        <v>8</v>
      </c>
      <c r="H3170">
        <v>31</v>
      </c>
      <c r="I3170" t="s">
        <v>124</v>
      </c>
      <c r="J3170" t="s">
        <v>125</v>
      </c>
      <c r="K3170">
        <v>0</v>
      </c>
      <c r="L3170">
        <v>3</v>
      </c>
      <c r="M3170">
        <v>0</v>
      </c>
      <c r="N3170">
        <v>2</v>
      </c>
      <c r="O3170">
        <v>0</v>
      </c>
      <c r="P3170">
        <v>1</v>
      </c>
      <c r="Q3170">
        <v>0</v>
      </c>
      <c r="S3170" t="str">
        <f t="shared" si="947"/>
        <v>22:23:29.000</v>
      </c>
      <c r="T3170" t="str">
        <f t="shared" si="947"/>
        <v>22:23:29.000</v>
      </c>
      <c r="U3170" t="str">
        <f t="shared" si="937"/>
        <v>A9D71F</v>
      </c>
      <c r="V3170">
        <v>0</v>
      </c>
      <c r="W3170">
        <v>0</v>
      </c>
      <c r="X3170">
        <v>2</v>
      </c>
      <c r="Z3170">
        <v>1</v>
      </c>
      <c r="AA3170">
        <v>8</v>
      </c>
      <c r="AB3170">
        <v>3</v>
      </c>
      <c r="AC3170">
        <v>0</v>
      </c>
      <c r="AD3170">
        <v>9</v>
      </c>
      <c r="AE3170">
        <v>0</v>
      </c>
      <c r="AF3170">
        <v>3</v>
      </c>
      <c r="AG3170">
        <v>1</v>
      </c>
      <c r="AH3170">
        <v>0</v>
      </c>
      <c r="AI3170" t="s">
        <v>1548</v>
      </c>
      <c r="AJ3170">
        <v>32.964627999999998</v>
      </c>
      <c r="AK3170" t="s">
        <v>1549</v>
      </c>
      <c r="AL3170">
        <v>-97.664552</v>
      </c>
      <c r="AM3170">
        <v>25</v>
      </c>
      <c r="AN3170">
        <v>900</v>
      </c>
      <c r="AO3170" t="s">
        <v>118</v>
      </c>
      <c r="AP3170">
        <v>8</v>
      </c>
      <c r="AQ3170">
        <v>-67</v>
      </c>
      <c r="AR3170">
        <v>-448</v>
      </c>
      <c r="AZ3170">
        <v>7700</v>
      </c>
      <c r="BA3170">
        <v>1</v>
      </c>
      <c r="BB3170" t="str">
        <f t="shared" si="944"/>
        <v xml:space="preserve">N733KP  </v>
      </c>
      <c r="BC3170">
        <v>1</v>
      </c>
      <c r="BE3170">
        <v>0</v>
      </c>
      <c r="BF3170">
        <v>0</v>
      </c>
      <c r="BG3170">
        <v>1</v>
      </c>
      <c r="BH3170">
        <v>900</v>
      </c>
      <c r="BI3170">
        <v>1</v>
      </c>
      <c r="BJ3170">
        <v>1</v>
      </c>
      <c r="BK3170">
        <v>0</v>
      </c>
      <c r="BL3170">
        <v>0</v>
      </c>
      <c r="BO3170">
        <v>0</v>
      </c>
      <c r="BP3170">
        <v>0</v>
      </c>
      <c r="BW3170" t="str">
        <f>"22:23:29.265"</f>
        <v>22:23:29.265</v>
      </c>
      <c r="CJ3170">
        <v>0</v>
      </c>
      <c r="CK3170">
        <v>2</v>
      </c>
      <c r="CL3170">
        <v>0</v>
      </c>
      <c r="CM3170">
        <v>2</v>
      </c>
      <c r="CN3170">
        <v>0</v>
      </c>
      <c r="CO3170">
        <v>5</v>
      </c>
      <c r="CP3170" t="s">
        <v>119</v>
      </c>
      <c r="CQ3170">
        <v>364</v>
      </c>
      <c r="CR3170">
        <v>0</v>
      </c>
      <c r="CW3170">
        <v>1488745</v>
      </c>
      <c r="CY3170">
        <v>1</v>
      </c>
      <c r="CZ3170">
        <v>0</v>
      </c>
      <c r="DA3170">
        <v>1</v>
      </c>
      <c r="DB3170">
        <v>0</v>
      </c>
      <c r="DC3170">
        <v>0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3">
      <c r="A3171" t="str">
        <f>"03/24/2022 22:23:31.939"</f>
        <v>03/24/2022 22:23:31.939</v>
      </c>
      <c r="C3171" t="str">
        <f t="shared" si="943"/>
        <v>FFDFD3C0</v>
      </c>
      <c r="D3171" t="s">
        <v>113</v>
      </c>
      <c r="E3171">
        <v>24</v>
      </c>
      <c r="F3171">
        <v>2024</v>
      </c>
      <c r="G3171" t="s">
        <v>114</v>
      </c>
      <c r="J3171" t="s">
        <v>115</v>
      </c>
      <c r="K3171">
        <v>0</v>
      </c>
      <c r="L3171">
        <v>3</v>
      </c>
      <c r="M3171">
        <v>0</v>
      </c>
      <c r="N3171">
        <v>2</v>
      </c>
      <c r="O3171">
        <v>0</v>
      </c>
      <c r="P3171">
        <v>1</v>
      </c>
      <c r="Q3171">
        <v>0</v>
      </c>
      <c r="S3171" t="str">
        <f t="shared" ref="S3171:T3174" si="948">"22:23:31.000"</f>
        <v>22:23:31.000</v>
      </c>
      <c r="T3171" t="str">
        <f t="shared" si="948"/>
        <v>22:23:31.000</v>
      </c>
      <c r="U3171" t="str">
        <f t="shared" si="937"/>
        <v>A9D71F</v>
      </c>
      <c r="V3171">
        <v>0</v>
      </c>
      <c r="W3171">
        <v>0</v>
      </c>
      <c r="X3171">
        <v>2</v>
      </c>
      <c r="Z3171">
        <v>1</v>
      </c>
      <c r="AA3171">
        <v>8</v>
      </c>
      <c r="AB3171">
        <v>3</v>
      </c>
      <c r="AC3171">
        <v>0</v>
      </c>
      <c r="AD3171">
        <v>9</v>
      </c>
      <c r="AE3171">
        <v>0</v>
      </c>
      <c r="AF3171">
        <v>3</v>
      </c>
      <c r="AG3171">
        <v>1</v>
      </c>
      <c r="AH3171">
        <v>0</v>
      </c>
      <c r="AI3171" t="s">
        <v>1550</v>
      </c>
      <c r="AJ3171">
        <v>32.963963</v>
      </c>
      <c r="AK3171" t="s">
        <v>1551</v>
      </c>
      <c r="AL3171">
        <v>-97.664422999999999</v>
      </c>
      <c r="AM3171">
        <v>25</v>
      </c>
      <c r="AN3171">
        <v>900</v>
      </c>
      <c r="AO3171" t="s">
        <v>118</v>
      </c>
      <c r="AP3171">
        <v>8</v>
      </c>
      <c r="AQ3171">
        <v>-64</v>
      </c>
      <c r="AR3171">
        <v>0</v>
      </c>
      <c r="AZ3171">
        <v>7700</v>
      </c>
      <c r="BA3171">
        <v>1</v>
      </c>
      <c r="BB3171" t="str">
        <f t="shared" si="944"/>
        <v xml:space="preserve">N733KP  </v>
      </c>
      <c r="BC3171">
        <v>1</v>
      </c>
      <c r="BE3171">
        <v>0</v>
      </c>
      <c r="BF3171">
        <v>0</v>
      </c>
      <c r="BG3171">
        <v>1</v>
      </c>
      <c r="BH3171">
        <v>900</v>
      </c>
      <c r="BI3171">
        <v>1</v>
      </c>
      <c r="BJ3171">
        <v>1</v>
      </c>
      <c r="BK3171">
        <v>0</v>
      </c>
      <c r="BL3171">
        <v>0</v>
      </c>
      <c r="BO3171">
        <v>0</v>
      </c>
      <c r="BP3171">
        <v>0</v>
      </c>
      <c r="BW3171" t="str">
        <f>"22:23:31.741"</f>
        <v>22:23:31.741</v>
      </c>
      <c r="CJ3171">
        <v>0</v>
      </c>
      <c r="CK3171">
        <v>2</v>
      </c>
      <c r="CL3171">
        <v>0</v>
      </c>
      <c r="CM3171">
        <v>2</v>
      </c>
      <c r="CN3171">
        <v>0</v>
      </c>
      <c r="CO3171">
        <v>5</v>
      </c>
      <c r="CP3171" t="s">
        <v>119</v>
      </c>
      <c r="CQ3171">
        <v>364</v>
      </c>
      <c r="CR3171">
        <v>0</v>
      </c>
      <c r="CW3171">
        <v>1489086</v>
      </c>
      <c r="CY3171">
        <v>1</v>
      </c>
      <c r="CZ3171">
        <v>0</v>
      </c>
      <c r="DA3171">
        <v>0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3">
      <c r="A3172" t="str">
        <f>"03/24/2022 22:23:31.939"</f>
        <v>03/24/2022 22:23:31.939</v>
      </c>
      <c r="C3172" t="str">
        <f t="shared" si="943"/>
        <v>FFDFD3C0</v>
      </c>
      <c r="D3172" t="s">
        <v>120</v>
      </c>
      <c r="E3172">
        <v>14</v>
      </c>
      <c r="F3172">
        <v>1014</v>
      </c>
      <c r="G3172" t="s">
        <v>121</v>
      </c>
      <c r="J3172" t="s">
        <v>122</v>
      </c>
      <c r="K3172">
        <v>0</v>
      </c>
      <c r="L3172">
        <v>3</v>
      </c>
      <c r="M3172">
        <v>0</v>
      </c>
      <c r="N3172">
        <v>2</v>
      </c>
      <c r="O3172">
        <v>0</v>
      </c>
      <c r="P3172">
        <v>1</v>
      </c>
      <c r="Q3172">
        <v>0</v>
      </c>
      <c r="S3172" t="str">
        <f t="shared" si="948"/>
        <v>22:23:31.000</v>
      </c>
      <c r="T3172" t="str">
        <f t="shared" si="948"/>
        <v>22:23:31.000</v>
      </c>
      <c r="U3172" t="str">
        <f t="shared" si="937"/>
        <v>A9D71F</v>
      </c>
      <c r="V3172">
        <v>0</v>
      </c>
      <c r="W3172">
        <v>0</v>
      </c>
      <c r="X3172">
        <v>2</v>
      </c>
      <c r="Z3172">
        <v>1</v>
      </c>
      <c r="AA3172">
        <v>8</v>
      </c>
      <c r="AB3172">
        <v>3</v>
      </c>
      <c r="AC3172">
        <v>0</v>
      </c>
      <c r="AD3172">
        <v>9</v>
      </c>
      <c r="AE3172">
        <v>0</v>
      </c>
      <c r="AF3172">
        <v>3</v>
      </c>
      <c r="AG3172">
        <v>1</v>
      </c>
      <c r="AH3172">
        <v>0</v>
      </c>
      <c r="AI3172" t="s">
        <v>1550</v>
      </c>
      <c r="AJ3172">
        <v>32.963963</v>
      </c>
      <c r="AK3172" t="s">
        <v>1551</v>
      </c>
      <c r="AL3172">
        <v>-97.664422999999999</v>
      </c>
      <c r="AM3172">
        <v>25</v>
      </c>
      <c r="AN3172">
        <v>900</v>
      </c>
      <c r="AO3172" t="s">
        <v>118</v>
      </c>
      <c r="AP3172">
        <v>8</v>
      </c>
      <c r="AQ3172">
        <v>-64</v>
      </c>
      <c r="AR3172">
        <v>0</v>
      </c>
      <c r="AZ3172">
        <v>7700</v>
      </c>
      <c r="BA3172">
        <v>1</v>
      </c>
      <c r="BB3172" t="str">
        <f t="shared" si="944"/>
        <v xml:space="preserve">N733KP  </v>
      </c>
      <c r="BC3172">
        <v>1</v>
      </c>
      <c r="BE3172">
        <v>0</v>
      </c>
      <c r="BF3172">
        <v>0</v>
      </c>
      <c r="BG3172">
        <v>1</v>
      </c>
      <c r="BH3172">
        <v>900</v>
      </c>
      <c r="BI3172">
        <v>1</v>
      </c>
      <c r="BJ3172">
        <v>1</v>
      </c>
      <c r="BK3172">
        <v>0</v>
      </c>
      <c r="BL3172">
        <v>0</v>
      </c>
      <c r="BO3172">
        <v>0</v>
      </c>
      <c r="BP3172">
        <v>0</v>
      </c>
      <c r="BW3172" t="str">
        <f>"22:23:31.741"</f>
        <v>22:23:31.741</v>
      </c>
      <c r="CJ3172">
        <v>0</v>
      </c>
      <c r="CK3172">
        <v>2</v>
      </c>
      <c r="CL3172">
        <v>0</v>
      </c>
      <c r="CM3172">
        <v>2</v>
      </c>
      <c r="CN3172">
        <v>0</v>
      </c>
      <c r="CO3172">
        <v>5</v>
      </c>
      <c r="CP3172" t="s">
        <v>119</v>
      </c>
      <c r="CQ3172">
        <v>364</v>
      </c>
      <c r="CR3172">
        <v>0</v>
      </c>
      <c r="CW3172">
        <v>1489086</v>
      </c>
      <c r="CY3172">
        <v>1</v>
      </c>
      <c r="CZ3172">
        <v>0</v>
      </c>
      <c r="DA3172">
        <v>1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3">
      <c r="A3173" t="str">
        <f>"03/24/2022 22:23:31.939"</f>
        <v>03/24/2022 22:23:31.939</v>
      </c>
      <c r="C3173" t="str">
        <f t="shared" si="943"/>
        <v>FFDFD3C0</v>
      </c>
      <c r="D3173" t="s">
        <v>126</v>
      </c>
      <c r="E3173">
        <v>3</v>
      </c>
      <c r="H3173">
        <v>160</v>
      </c>
      <c r="I3173" t="s">
        <v>121</v>
      </c>
      <c r="J3173" t="s">
        <v>127</v>
      </c>
      <c r="K3173">
        <v>0</v>
      </c>
      <c r="L3173">
        <v>3</v>
      </c>
      <c r="M3173">
        <v>0</v>
      </c>
      <c r="N3173">
        <v>2</v>
      </c>
      <c r="O3173">
        <v>0</v>
      </c>
      <c r="P3173">
        <v>1</v>
      </c>
      <c r="Q3173">
        <v>0</v>
      </c>
      <c r="S3173" t="str">
        <f t="shared" si="948"/>
        <v>22:23:31.000</v>
      </c>
      <c r="T3173" t="str">
        <f t="shared" si="948"/>
        <v>22:23:31.000</v>
      </c>
      <c r="U3173" t="str">
        <f t="shared" si="937"/>
        <v>A9D71F</v>
      </c>
      <c r="V3173">
        <v>0</v>
      </c>
      <c r="W3173">
        <v>0</v>
      </c>
      <c r="X3173">
        <v>2</v>
      </c>
      <c r="Z3173">
        <v>1</v>
      </c>
      <c r="AA3173">
        <v>8</v>
      </c>
      <c r="AB3173">
        <v>3</v>
      </c>
      <c r="AC3173">
        <v>0</v>
      </c>
      <c r="AD3173">
        <v>9</v>
      </c>
      <c r="AE3173">
        <v>0</v>
      </c>
      <c r="AF3173">
        <v>3</v>
      </c>
      <c r="AG3173">
        <v>1</v>
      </c>
      <c r="AH3173">
        <v>0</v>
      </c>
      <c r="AI3173" t="s">
        <v>1550</v>
      </c>
      <c r="AJ3173">
        <v>32.963963</v>
      </c>
      <c r="AK3173" t="s">
        <v>1551</v>
      </c>
      <c r="AL3173">
        <v>-97.664422999999999</v>
      </c>
      <c r="AM3173">
        <v>25</v>
      </c>
      <c r="AN3173">
        <v>900</v>
      </c>
      <c r="AO3173" t="s">
        <v>118</v>
      </c>
      <c r="AP3173">
        <v>8</v>
      </c>
      <c r="AQ3173">
        <v>-64</v>
      </c>
      <c r="AR3173">
        <v>0</v>
      </c>
      <c r="AZ3173">
        <v>7700</v>
      </c>
      <c r="BA3173">
        <v>1</v>
      </c>
      <c r="BB3173" t="str">
        <f t="shared" si="944"/>
        <v xml:space="preserve">N733KP  </v>
      </c>
      <c r="BC3173">
        <v>1</v>
      </c>
      <c r="BE3173">
        <v>0</v>
      </c>
      <c r="BF3173">
        <v>0</v>
      </c>
      <c r="BG3173">
        <v>1</v>
      </c>
      <c r="BH3173">
        <v>900</v>
      </c>
      <c r="BI3173">
        <v>1</v>
      </c>
      <c r="BJ3173">
        <v>1</v>
      </c>
      <c r="BK3173">
        <v>0</v>
      </c>
      <c r="BL3173">
        <v>0</v>
      </c>
      <c r="BO3173">
        <v>0</v>
      </c>
      <c r="BP3173">
        <v>0</v>
      </c>
      <c r="BW3173" t="str">
        <f>"22:23:31.741"</f>
        <v>22:23:31.741</v>
      </c>
      <c r="CJ3173">
        <v>0</v>
      </c>
      <c r="CK3173">
        <v>2</v>
      </c>
      <c r="CL3173">
        <v>0</v>
      </c>
      <c r="CM3173">
        <v>2</v>
      </c>
      <c r="CN3173">
        <v>0</v>
      </c>
      <c r="CO3173">
        <v>5</v>
      </c>
      <c r="CP3173" t="s">
        <v>119</v>
      </c>
      <c r="CQ3173">
        <v>364</v>
      </c>
      <c r="CR3173">
        <v>0</v>
      </c>
      <c r="CW3173">
        <v>1489086</v>
      </c>
      <c r="CY3173">
        <v>1</v>
      </c>
      <c r="CZ3173">
        <v>0</v>
      </c>
      <c r="DA3173">
        <v>1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3">
      <c r="A3174" t="str">
        <f>"03/24/2022 22:23:31.939"</f>
        <v>03/24/2022 22:23:31.939</v>
      </c>
      <c r="C3174" t="str">
        <f t="shared" si="943"/>
        <v>FFDFD3C0</v>
      </c>
      <c r="D3174" t="s">
        <v>123</v>
      </c>
      <c r="E3174">
        <v>8</v>
      </c>
      <c r="H3174">
        <v>31</v>
      </c>
      <c r="I3174" t="s">
        <v>124</v>
      </c>
      <c r="J3174" t="s">
        <v>125</v>
      </c>
      <c r="K3174">
        <v>0</v>
      </c>
      <c r="L3174">
        <v>3</v>
      </c>
      <c r="M3174">
        <v>0</v>
      </c>
      <c r="N3174">
        <v>2</v>
      </c>
      <c r="O3174">
        <v>0</v>
      </c>
      <c r="P3174">
        <v>1</v>
      </c>
      <c r="Q3174">
        <v>0</v>
      </c>
      <c r="S3174" t="str">
        <f t="shared" si="948"/>
        <v>22:23:31.000</v>
      </c>
      <c r="T3174" t="str">
        <f t="shared" si="948"/>
        <v>22:23:31.000</v>
      </c>
      <c r="U3174" t="str">
        <f t="shared" si="937"/>
        <v>A9D71F</v>
      </c>
      <c r="V3174">
        <v>0</v>
      </c>
      <c r="W3174">
        <v>0</v>
      </c>
      <c r="X3174">
        <v>2</v>
      </c>
      <c r="Z3174">
        <v>1</v>
      </c>
      <c r="AA3174">
        <v>8</v>
      </c>
      <c r="AB3174">
        <v>3</v>
      </c>
      <c r="AC3174">
        <v>0</v>
      </c>
      <c r="AD3174">
        <v>9</v>
      </c>
      <c r="AE3174">
        <v>0</v>
      </c>
      <c r="AF3174">
        <v>3</v>
      </c>
      <c r="AG3174">
        <v>1</v>
      </c>
      <c r="AH3174">
        <v>0</v>
      </c>
      <c r="AI3174" t="s">
        <v>1550</v>
      </c>
      <c r="AJ3174">
        <v>32.963963</v>
      </c>
      <c r="AK3174" t="s">
        <v>1551</v>
      </c>
      <c r="AL3174">
        <v>-97.664422999999999</v>
      </c>
      <c r="AM3174">
        <v>25</v>
      </c>
      <c r="AN3174">
        <v>900</v>
      </c>
      <c r="AO3174" t="s">
        <v>118</v>
      </c>
      <c r="AP3174">
        <v>8</v>
      </c>
      <c r="AQ3174">
        <v>-64</v>
      </c>
      <c r="AR3174">
        <v>0</v>
      </c>
      <c r="AZ3174">
        <v>7700</v>
      </c>
      <c r="BA3174">
        <v>1</v>
      </c>
      <c r="BB3174" t="str">
        <f t="shared" si="944"/>
        <v xml:space="preserve">N733KP  </v>
      </c>
      <c r="BC3174">
        <v>1</v>
      </c>
      <c r="BE3174">
        <v>0</v>
      </c>
      <c r="BF3174">
        <v>0</v>
      </c>
      <c r="BG3174">
        <v>1</v>
      </c>
      <c r="BH3174">
        <v>900</v>
      </c>
      <c r="BI3174">
        <v>1</v>
      </c>
      <c r="BJ3174">
        <v>1</v>
      </c>
      <c r="BK3174">
        <v>0</v>
      </c>
      <c r="BL3174">
        <v>0</v>
      </c>
      <c r="BO3174">
        <v>0</v>
      </c>
      <c r="BP3174">
        <v>0</v>
      </c>
      <c r="BW3174" t="str">
        <f>"22:23:31.741"</f>
        <v>22:23:31.741</v>
      </c>
      <c r="CJ3174">
        <v>0</v>
      </c>
      <c r="CK3174">
        <v>2</v>
      </c>
      <c r="CL3174">
        <v>0</v>
      </c>
      <c r="CM3174">
        <v>2</v>
      </c>
      <c r="CN3174">
        <v>0</v>
      </c>
      <c r="CO3174">
        <v>5</v>
      </c>
      <c r="CP3174" t="s">
        <v>119</v>
      </c>
      <c r="CQ3174">
        <v>364</v>
      </c>
      <c r="CR3174">
        <v>0</v>
      </c>
      <c r="CW3174">
        <v>1489086</v>
      </c>
      <c r="CY3174">
        <v>1</v>
      </c>
      <c r="CZ3174">
        <v>0</v>
      </c>
      <c r="DA3174">
        <v>1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3">
      <c r="A3175" t="str">
        <f>"03/24/2022 22:23:33.002"</f>
        <v>03/24/2022 22:23:33.002</v>
      </c>
      <c r="C3175" t="str">
        <f t="shared" si="943"/>
        <v>FFDFD3C0</v>
      </c>
      <c r="D3175" t="s">
        <v>126</v>
      </c>
      <c r="E3175">
        <v>3</v>
      </c>
      <c r="H3175">
        <v>160</v>
      </c>
      <c r="I3175" t="s">
        <v>121</v>
      </c>
      <c r="J3175" t="s">
        <v>127</v>
      </c>
      <c r="K3175">
        <v>0</v>
      </c>
      <c r="L3175">
        <v>3</v>
      </c>
      <c r="M3175">
        <v>0</v>
      </c>
      <c r="N3175">
        <v>2</v>
      </c>
      <c r="O3175">
        <v>0</v>
      </c>
      <c r="P3175">
        <v>1</v>
      </c>
      <c r="Q3175">
        <v>0</v>
      </c>
      <c r="S3175" t="str">
        <f t="shared" ref="S3175:T3178" si="949">"22:23:32.000"</f>
        <v>22:23:32.000</v>
      </c>
      <c r="T3175" t="str">
        <f t="shared" si="949"/>
        <v>22:23:32.000</v>
      </c>
      <c r="U3175" t="str">
        <f t="shared" si="937"/>
        <v>A9D71F</v>
      </c>
      <c r="V3175">
        <v>0</v>
      </c>
      <c r="W3175">
        <v>0</v>
      </c>
      <c r="X3175">
        <v>2</v>
      </c>
      <c r="Z3175">
        <v>1</v>
      </c>
      <c r="AA3175">
        <v>8</v>
      </c>
      <c r="AB3175">
        <v>3</v>
      </c>
      <c r="AC3175">
        <v>0</v>
      </c>
      <c r="AD3175">
        <v>9</v>
      </c>
      <c r="AE3175">
        <v>0</v>
      </c>
      <c r="AF3175">
        <v>3</v>
      </c>
      <c r="AG3175">
        <v>1</v>
      </c>
      <c r="AH3175">
        <v>0</v>
      </c>
      <c r="AI3175" t="s">
        <v>1552</v>
      </c>
      <c r="AJ3175">
        <v>32.963661999999999</v>
      </c>
      <c r="AK3175" t="s">
        <v>1398</v>
      </c>
      <c r="AL3175">
        <v>-97.664337000000003</v>
      </c>
      <c r="AM3175">
        <v>25</v>
      </c>
      <c r="AN3175">
        <v>900</v>
      </c>
      <c r="AO3175" t="s">
        <v>118</v>
      </c>
      <c r="AP3175">
        <v>4</v>
      </c>
      <c r="AQ3175">
        <v>-62</v>
      </c>
      <c r="AR3175">
        <v>0</v>
      </c>
      <c r="AZ3175">
        <v>7700</v>
      </c>
      <c r="BA3175">
        <v>1</v>
      </c>
      <c r="BB3175" t="str">
        <f t="shared" si="944"/>
        <v xml:space="preserve">N733KP  </v>
      </c>
      <c r="BC3175">
        <v>1</v>
      </c>
      <c r="BE3175">
        <v>0</v>
      </c>
      <c r="BF3175">
        <v>0</v>
      </c>
      <c r="BG3175">
        <v>1</v>
      </c>
      <c r="BH3175">
        <v>900</v>
      </c>
      <c r="BI3175">
        <v>1</v>
      </c>
      <c r="BJ3175">
        <v>1</v>
      </c>
      <c r="BK3175">
        <v>0</v>
      </c>
      <c r="BL3175">
        <v>0</v>
      </c>
      <c r="BO3175">
        <v>0</v>
      </c>
      <c r="BP3175">
        <v>0</v>
      </c>
      <c r="BW3175" t="str">
        <f>"22:23:32.796"</f>
        <v>22:23:32.796</v>
      </c>
      <c r="CJ3175">
        <v>0</v>
      </c>
      <c r="CK3175">
        <v>2</v>
      </c>
      <c r="CL3175">
        <v>0</v>
      </c>
      <c r="CM3175">
        <v>2</v>
      </c>
      <c r="CN3175">
        <v>0</v>
      </c>
      <c r="CO3175">
        <v>4</v>
      </c>
      <c r="CP3175" t="s">
        <v>119</v>
      </c>
      <c r="CQ3175">
        <v>364</v>
      </c>
      <c r="CR3175">
        <v>0</v>
      </c>
      <c r="CW3175">
        <v>1489227</v>
      </c>
      <c r="CY3175">
        <v>1</v>
      </c>
      <c r="CZ3175">
        <v>0</v>
      </c>
      <c r="DA3175">
        <v>0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3">
      <c r="A3176" t="str">
        <f>"03/24/2022 22:23:33.002"</f>
        <v>03/24/2022 22:23:33.002</v>
      </c>
      <c r="C3176" t="str">
        <f t="shared" si="943"/>
        <v>FFDFD3C0</v>
      </c>
      <c r="D3176" t="s">
        <v>123</v>
      </c>
      <c r="E3176">
        <v>8</v>
      </c>
      <c r="H3176">
        <v>31</v>
      </c>
      <c r="I3176" t="s">
        <v>124</v>
      </c>
      <c r="J3176" t="s">
        <v>125</v>
      </c>
      <c r="K3176">
        <v>0</v>
      </c>
      <c r="L3176">
        <v>3</v>
      </c>
      <c r="M3176">
        <v>0</v>
      </c>
      <c r="N3176">
        <v>2</v>
      </c>
      <c r="O3176">
        <v>0</v>
      </c>
      <c r="P3176">
        <v>1</v>
      </c>
      <c r="Q3176">
        <v>0</v>
      </c>
      <c r="S3176" t="str">
        <f t="shared" si="949"/>
        <v>22:23:32.000</v>
      </c>
      <c r="T3176" t="str">
        <f t="shared" si="949"/>
        <v>22:23:32.000</v>
      </c>
      <c r="U3176" t="str">
        <f t="shared" si="937"/>
        <v>A9D71F</v>
      </c>
      <c r="V3176">
        <v>0</v>
      </c>
      <c r="W3176">
        <v>0</v>
      </c>
      <c r="X3176">
        <v>2</v>
      </c>
      <c r="Z3176">
        <v>1</v>
      </c>
      <c r="AA3176">
        <v>8</v>
      </c>
      <c r="AB3176">
        <v>3</v>
      </c>
      <c r="AC3176">
        <v>0</v>
      </c>
      <c r="AD3176">
        <v>9</v>
      </c>
      <c r="AE3176">
        <v>0</v>
      </c>
      <c r="AF3176">
        <v>3</v>
      </c>
      <c r="AG3176">
        <v>1</v>
      </c>
      <c r="AH3176">
        <v>0</v>
      </c>
      <c r="AI3176" t="s">
        <v>1552</v>
      </c>
      <c r="AJ3176">
        <v>32.963661999999999</v>
      </c>
      <c r="AK3176" t="s">
        <v>1398</v>
      </c>
      <c r="AL3176">
        <v>-97.664337000000003</v>
      </c>
      <c r="AM3176">
        <v>25</v>
      </c>
      <c r="AN3176">
        <v>900</v>
      </c>
      <c r="AO3176" t="s">
        <v>118</v>
      </c>
      <c r="AP3176">
        <v>4</v>
      </c>
      <c r="AQ3176">
        <v>-62</v>
      </c>
      <c r="AR3176">
        <v>0</v>
      </c>
      <c r="AZ3176">
        <v>7700</v>
      </c>
      <c r="BA3176">
        <v>1</v>
      </c>
      <c r="BB3176" t="str">
        <f t="shared" si="944"/>
        <v xml:space="preserve">N733KP  </v>
      </c>
      <c r="BC3176">
        <v>1</v>
      </c>
      <c r="BE3176">
        <v>0</v>
      </c>
      <c r="BF3176">
        <v>0</v>
      </c>
      <c r="BG3176">
        <v>1</v>
      </c>
      <c r="BH3176">
        <v>900</v>
      </c>
      <c r="BI3176">
        <v>1</v>
      </c>
      <c r="BJ3176">
        <v>1</v>
      </c>
      <c r="BK3176">
        <v>0</v>
      </c>
      <c r="BL3176">
        <v>0</v>
      </c>
      <c r="BO3176">
        <v>0</v>
      </c>
      <c r="BP3176">
        <v>0</v>
      </c>
      <c r="BW3176" t="str">
        <f>"22:23:32.796"</f>
        <v>22:23:32.796</v>
      </c>
      <c r="CJ3176">
        <v>0</v>
      </c>
      <c r="CK3176">
        <v>2</v>
      </c>
      <c r="CL3176">
        <v>0</v>
      </c>
      <c r="CM3176">
        <v>2</v>
      </c>
      <c r="CN3176">
        <v>0</v>
      </c>
      <c r="CO3176">
        <v>4</v>
      </c>
      <c r="CP3176" t="s">
        <v>119</v>
      </c>
      <c r="CQ3176">
        <v>364</v>
      </c>
      <c r="CR3176">
        <v>0</v>
      </c>
      <c r="CW3176">
        <v>1489227</v>
      </c>
      <c r="CY3176">
        <v>1</v>
      </c>
      <c r="CZ3176">
        <v>0</v>
      </c>
      <c r="DA3176">
        <v>1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3">
      <c r="A3177" t="str">
        <f>"03/24/2022 22:23:33.049"</f>
        <v>03/24/2022 22:23:33.049</v>
      </c>
      <c r="C3177" t="str">
        <f t="shared" si="943"/>
        <v>FFDFD3C0</v>
      </c>
      <c r="D3177" t="s">
        <v>113</v>
      </c>
      <c r="E3177">
        <v>24</v>
      </c>
      <c r="F3177">
        <v>2024</v>
      </c>
      <c r="G3177" t="s">
        <v>114</v>
      </c>
      <c r="J3177" t="s">
        <v>115</v>
      </c>
      <c r="K3177">
        <v>0</v>
      </c>
      <c r="L3177">
        <v>3</v>
      </c>
      <c r="M3177">
        <v>0</v>
      </c>
      <c r="N3177">
        <v>2</v>
      </c>
      <c r="O3177">
        <v>0</v>
      </c>
      <c r="P3177">
        <v>1</v>
      </c>
      <c r="Q3177">
        <v>0</v>
      </c>
      <c r="S3177" t="str">
        <f t="shared" si="949"/>
        <v>22:23:32.000</v>
      </c>
      <c r="T3177" t="str">
        <f t="shared" si="949"/>
        <v>22:23:32.000</v>
      </c>
      <c r="U3177" t="str">
        <f t="shared" si="937"/>
        <v>A9D71F</v>
      </c>
      <c r="V3177">
        <v>0</v>
      </c>
      <c r="W3177">
        <v>0</v>
      </c>
      <c r="X3177">
        <v>2</v>
      </c>
      <c r="Z3177">
        <v>1</v>
      </c>
      <c r="AA3177">
        <v>8</v>
      </c>
      <c r="AB3177">
        <v>3</v>
      </c>
      <c r="AC3177">
        <v>0</v>
      </c>
      <c r="AD3177">
        <v>9</v>
      </c>
      <c r="AE3177">
        <v>0</v>
      </c>
      <c r="AF3177">
        <v>3</v>
      </c>
      <c r="AG3177">
        <v>1</v>
      </c>
      <c r="AH3177">
        <v>0</v>
      </c>
      <c r="AI3177" t="s">
        <v>1552</v>
      </c>
      <c r="AJ3177">
        <v>32.963661999999999</v>
      </c>
      <c r="AK3177" t="s">
        <v>1398</v>
      </c>
      <c r="AL3177">
        <v>-97.664337000000003</v>
      </c>
      <c r="AM3177">
        <v>25</v>
      </c>
      <c r="AN3177">
        <v>900</v>
      </c>
      <c r="AO3177" t="s">
        <v>118</v>
      </c>
      <c r="AP3177">
        <v>4</v>
      </c>
      <c r="AQ3177">
        <v>-62</v>
      </c>
      <c r="AR3177">
        <v>0</v>
      </c>
      <c r="AZ3177">
        <v>7700</v>
      </c>
      <c r="BA3177">
        <v>1</v>
      </c>
      <c r="BB3177" t="str">
        <f t="shared" si="944"/>
        <v xml:space="preserve">N733KP  </v>
      </c>
      <c r="BC3177">
        <v>1</v>
      </c>
      <c r="BE3177">
        <v>0</v>
      </c>
      <c r="BF3177">
        <v>0</v>
      </c>
      <c r="BG3177">
        <v>1</v>
      </c>
      <c r="BH3177">
        <v>900</v>
      </c>
      <c r="BI3177">
        <v>1</v>
      </c>
      <c r="BJ3177">
        <v>1</v>
      </c>
      <c r="BK3177">
        <v>0</v>
      </c>
      <c r="BL3177">
        <v>0</v>
      </c>
      <c r="BO3177">
        <v>0</v>
      </c>
      <c r="BP3177">
        <v>0</v>
      </c>
      <c r="BW3177" t="str">
        <f>"22:23:32.796"</f>
        <v>22:23:32.796</v>
      </c>
      <c r="CJ3177">
        <v>0</v>
      </c>
      <c r="CK3177">
        <v>2</v>
      </c>
      <c r="CL3177">
        <v>0</v>
      </c>
      <c r="CM3177">
        <v>2</v>
      </c>
      <c r="CN3177">
        <v>0</v>
      </c>
      <c r="CO3177">
        <v>4</v>
      </c>
      <c r="CP3177" t="s">
        <v>119</v>
      </c>
      <c r="CQ3177">
        <v>364</v>
      </c>
      <c r="CR3177">
        <v>0</v>
      </c>
      <c r="CW3177">
        <v>1489227</v>
      </c>
      <c r="CY3177">
        <v>1</v>
      </c>
      <c r="CZ3177">
        <v>0</v>
      </c>
      <c r="DA3177">
        <v>1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3">
      <c r="A3178" t="str">
        <f>"03/24/2022 22:23:33.049"</f>
        <v>03/24/2022 22:23:33.049</v>
      </c>
      <c r="C3178" t="str">
        <f t="shared" si="943"/>
        <v>FFDFD3C0</v>
      </c>
      <c r="D3178" t="s">
        <v>120</v>
      </c>
      <c r="E3178">
        <v>14</v>
      </c>
      <c r="F3178">
        <v>1014</v>
      </c>
      <c r="G3178" t="s">
        <v>121</v>
      </c>
      <c r="J3178" t="s">
        <v>122</v>
      </c>
      <c r="K3178">
        <v>0</v>
      </c>
      <c r="L3178">
        <v>3</v>
      </c>
      <c r="M3178">
        <v>0</v>
      </c>
      <c r="N3178">
        <v>2</v>
      </c>
      <c r="O3178">
        <v>0</v>
      </c>
      <c r="P3178">
        <v>1</v>
      </c>
      <c r="Q3178">
        <v>0</v>
      </c>
      <c r="S3178" t="str">
        <f t="shared" si="949"/>
        <v>22:23:32.000</v>
      </c>
      <c r="T3178" t="str">
        <f t="shared" si="949"/>
        <v>22:23:32.000</v>
      </c>
      <c r="U3178" t="str">
        <f t="shared" si="937"/>
        <v>A9D71F</v>
      </c>
      <c r="V3178">
        <v>0</v>
      </c>
      <c r="W3178">
        <v>0</v>
      </c>
      <c r="X3178">
        <v>2</v>
      </c>
      <c r="Z3178">
        <v>1</v>
      </c>
      <c r="AA3178">
        <v>8</v>
      </c>
      <c r="AB3178">
        <v>3</v>
      </c>
      <c r="AC3178">
        <v>0</v>
      </c>
      <c r="AD3178">
        <v>9</v>
      </c>
      <c r="AE3178">
        <v>0</v>
      </c>
      <c r="AF3178">
        <v>3</v>
      </c>
      <c r="AG3178">
        <v>1</v>
      </c>
      <c r="AH3178">
        <v>0</v>
      </c>
      <c r="AI3178" t="s">
        <v>1552</v>
      </c>
      <c r="AJ3178">
        <v>32.963661999999999</v>
      </c>
      <c r="AK3178" t="s">
        <v>1398</v>
      </c>
      <c r="AL3178">
        <v>-97.664337000000003</v>
      </c>
      <c r="AM3178">
        <v>25</v>
      </c>
      <c r="AN3178">
        <v>900</v>
      </c>
      <c r="AO3178" t="s">
        <v>118</v>
      </c>
      <c r="AP3178">
        <v>4</v>
      </c>
      <c r="AQ3178">
        <v>-62</v>
      </c>
      <c r="AR3178">
        <v>0</v>
      </c>
      <c r="AZ3178">
        <v>7700</v>
      </c>
      <c r="BA3178">
        <v>1</v>
      </c>
      <c r="BB3178" t="str">
        <f t="shared" si="944"/>
        <v xml:space="preserve">N733KP  </v>
      </c>
      <c r="BC3178">
        <v>1</v>
      </c>
      <c r="BE3178">
        <v>0</v>
      </c>
      <c r="BF3178">
        <v>0</v>
      </c>
      <c r="BG3178">
        <v>1</v>
      </c>
      <c r="BH3178">
        <v>900</v>
      </c>
      <c r="BI3178">
        <v>1</v>
      </c>
      <c r="BJ3178">
        <v>1</v>
      </c>
      <c r="BK3178">
        <v>0</v>
      </c>
      <c r="BL3178">
        <v>0</v>
      </c>
      <c r="BO3178">
        <v>0</v>
      </c>
      <c r="BP3178">
        <v>0</v>
      </c>
      <c r="BW3178" t="str">
        <f>"22:23:32.796"</f>
        <v>22:23:32.796</v>
      </c>
      <c r="CJ3178">
        <v>0</v>
      </c>
      <c r="CK3178">
        <v>2</v>
      </c>
      <c r="CL3178">
        <v>0</v>
      </c>
      <c r="CM3178">
        <v>2</v>
      </c>
      <c r="CN3178">
        <v>0</v>
      </c>
      <c r="CO3178">
        <v>4</v>
      </c>
      <c r="CP3178" t="s">
        <v>119</v>
      </c>
      <c r="CQ3178">
        <v>364</v>
      </c>
      <c r="CR3178">
        <v>0</v>
      </c>
      <c r="CW3178">
        <v>1489227</v>
      </c>
      <c r="CY3178">
        <v>1</v>
      </c>
      <c r="CZ3178">
        <v>0</v>
      </c>
      <c r="DA3178">
        <v>1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3">
      <c r="A3179" t="str">
        <f>"03/24/2022 22:23:33.613"</f>
        <v>03/24/2022 22:23:33.613</v>
      </c>
      <c r="C3179" t="str">
        <f t="shared" si="943"/>
        <v>FFDFD3C0</v>
      </c>
      <c r="D3179" t="s">
        <v>113</v>
      </c>
      <c r="E3179">
        <v>24</v>
      </c>
      <c r="F3179">
        <v>2024</v>
      </c>
      <c r="G3179" t="s">
        <v>114</v>
      </c>
      <c r="J3179" t="s">
        <v>115</v>
      </c>
      <c r="K3179">
        <v>0</v>
      </c>
      <c r="L3179">
        <v>3</v>
      </c>
      <c r="M3179">
        <v>0</v>
      </c>
      <c r="N3179">
        <v>2</v>
      </c>
      <c r="O3179">
        <v>0</v>
      </c>
      <c r="P3179">
        <v>1</v>
      </c>
      <c r="Q3179">
        <v>0</v>
      </c>
      <c r="S3179" t="str">
        <f t="shared" ref="S3179:T3182" si="950">"22:23:33.000"</f>
        <v>22:23:33.000</v>
      </c>
      <c r="T3179" t="str">
        <f t="shared" si="950"/>
        <v>22:23:33.000</v>
      </c>
      <c r="U3179" t="str">
        <f t="shared" si="937"/>
        <v>A9D71F</v>
      </c>
      <c r="V3179">
        <v>0</v>
      </c>
      <c r="W3179">
        <v>0</v>
      </c>
      <c r="X3179">
        <v>2</v>
      </c>
      <c r="Z3179">
        <v>1</v>
      </c>
      <c r="AA3179">
        <v>8</v>
      </c>
      <c r="AB3179">
        <v>3</v>
      </c>
      <c r="AC3179">
        <v>0</v>
      </c>
      <c r="AD3179">
        <v>9</v>
      </c>
      <c r="AE3179">
        <v>0</v>
      </c>
      <c r="AF3179">
        <v>3</v>
      </c>
      <c r="AG3179">
        <v>1</v>
      </c>
      <c r="AH3179">
        <v>0</v>
      </c>
      <c r="AI3179" t="s">
        <v>1553</v>
      </c>
      <c r="AJ3179">
        <v>32.963405000000002</v>
      </c>
      <c r="AK3179" t="s">
        <v>1554</v>
      </c>
      <c r="AL3179">
        <v>-97.664293999999998</v>
      </c>
      <c r="AM3179">
        <v>25</v>
      </c>
      <c r="AN3179">
        <v>900</v>
      </c>
      <c r="AO3179" t="s">
        <v>118</v>
      </c>
      <c r="AP3179">
        <v>1</v>
      </c>
      <c r="AQ3179">
        <v>-63</v>
      </c>
      <c r="AR3179">
        <v>-64</v>
      </c>
      <c r="AZ3179">
        <v>7700</v>
      </c>
      <c r="BA3179">
        <v>1</v>
      </c>
      <c r="BB3179" t="str">
        <f t="shared" si="944"/>
        <v xml:space="preserve">N733KP  </v>
      </c>
      <c r="BC3179">
        <v>1</v>
      </c>
      <c r="BE3179">
        <v>0</v>
      </c>
      <c r="BF3179">
        <v>0</v>
      </c>
      <c r="BG3179">
        <v>1</v>
      </c>
      <c r="BH3179">
        <v>875</v>
      </c>
      <c r="BI3179">
        <v>1</v>
      </c>
      <c r="BJ3179">
        <v>1</v>
      </c>
      <c r="BK3179">
        <v>0</v>
      </c>
      <c r="BL3179">
        <v>0</v>
      </c>
      <c r="BO3179">
        <v>0</v>
      </c>
      <c r="BP3179">
        <v>0</v>
      </c>
      <c r="BW3179" t="str">
        <f>"22:23:33.412"</f>
        <v>22:23:33.412</v>
      </c>
      <c r="CJ3179">
        <v>0</v>
      </c>
      <c r="CK3179">
        <v>2</v>
      </c>
      <c r="CL3179">
        <v>0</v>
      </c>
      <c r="CM3179">
        <v>2</v>
      </c>
      <c r="CN3179">
        <v>0</v>
      </c>
      <c r="CO3179">
        <v>5</v>
      </c>
      <c r="CP3179" t="s">
        <v>119</v>
      </c>
      <c r="CQ3179">
        <v>364</v>
      </c>
      <c r="CR3179">
        <v>0</v>
      </c>
      <c r="CW3179">
        <v>1489296</v>
      </c>
      <c r="CY3179">
        <v>1</v>
      </c>
      <c r="CZ3179">
        <v>0</v>
      </c>
      <c r="DA3179">
        <v>0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3">
      <c r="A3180" t="str">
        <f>"03/24/2022 22:23:33.613"</f>
        <v>03/24/2022 22:23:33.613</v>
      </c>
      <c r="C3180" t="str">
        <f t="shared" si="943"/>
        <v>FFDFD3C0</v>
      </c>
      <c r="D3180" t="s">
        <v>120</v>
      </c>
      <c r="E3180">
        <v>14</v>
      </c>
      <c r="F3180">
        <v>1014</v>
      </c>
      <c r="G3180" t="s">
        <v>121</v>
      </c>
      <c r="J3180" t="s">
        <v>122</v>
      </c>
      <c r="K3180">
        <v>0</v>
      </c>
      <c r="L3180">
        <v>3</v>
      </c>
      <c r="M3180">
        <v>0</v>
      </c>
      <c r="N3180">
        <v>2</v>
      </c>
      <c r="O3180">
        <v>0</v>
      </c>
      <c r="P3180">
        <v>1</v>
      </c>
      <c r="Q3180">
        <v>0</v>
      </c>
      <c r="S3180" t="str">
        <f t="shared" si="950"/>
        <v>22:23:33.000</v>
      </c>
      <c r="T3180" t="str">
        <f t="shared" si="950"/>
        <v>22:23:33.000</v>
      </c>
      <c r="U3180" t="str">
        <f t="shared" si="937"/>
        <v>A9D71F</v>
      </c>
      <c r="V3180">
        <v>0</v>
      </c>
      <c r="W3180">
        <v>0</v>
      </c>
      <c r="X3180">
        <v>2</v>
      </c>
      <c r="Z3180">
        <v>1</v>
      </c>
      <c r="AA3180">
        <v>8</v>
      </c>
      <c r="AB3180">
        <v>3</v>
      </c>
      <c r="AC3180">
        <v>0</v>
      </c>
      <c r="AD3180">
        <v>9</v>
      </c>
      <c r="AE3180">
        <v>0</v>
      </c>
      <c r="AF3180">
        <v>3</v>
      </c>
      <c r="AG3180">
        <v>1</v>
      </c>
      <c r="AH3180">
        <v>0</v>
      </c>
      <c r="AI3180" t="s">
        <v>1553</v>
      </c>
      <c r="AJ3180">
        <v>32.963405000000002</v>
      </c>
      <c r="AK3180" t="s">
        <v>1554</v>
      </c>
      <c r="AL3180">
        <v>-97.664293999999998</v>
      </c>
      <c r="AM3180">
        <v>25</v>
      </c>
      <c r="AN3180">
        <v>900</v>
      </c>
      <c r="AO3180" t="s">
        <v>118</v>
      </c>
      <c r="AP3180">
        <v>1</v>
      </c>
      <c r="AQ3180">
        <v>-63</v>
      </c>
      <c r="AR3180">
        <v>-64</v>
      </c>
      <c r="AZ3180">
        <v>7700</v>
      </c>
      <c r="BA3180">
        <v>1</v>
      </c>
      <c r="BB3180" t="str">
        <f t="shared" si="944"/>
        <v xml:space="preserve">N733KP  </v>
      </c>
      <c r="BC3180">
        <v>1</v>
      </c>
      <c r="BE3180">
        <v>0</v>
      </c>
      <c r="BF3180">
        <v>0</v>
      </c>
      <c r="BG3180">
        <v>1</v>
      </c>
      <c r="BH3180">
        <v>875</v>
      </c>
      <c r="BI3180">
        <v>1</v>
      </c>
      <c r="BJ3180">
        <v>1</v>
      </c>
      <c r="BK3180">
        <v>0</v>
      </c>
      <c r="BL3180">
        <v>0</v>
      </c>
      <c r="BO3180">
        <v>0</v>
      </c>
      <c r="BP3180">
        <v>0</v>
      </c>
      <c r="BW3180" t="str">
        <f>"22:23:33.412"</f>
        <v>22:23:33.412</v>
      </c>
      <c r="CJ3180">
        <v>0</v>
      </c>
      <c r="CK3180">
        <v>2</v>
      </c>
      <c r="CL3180">
        <v>0</v>
      </c>
      <c r="CM3180">
        <v>2</v>
      </c>
      <c r="CN3180">
        <v>0</v>
      </c>
      <c r="CO3180">
        <v>5</v>
      </c>
      <c r="CP3180" t="s">
        <v>119</v>
      </c>
      <c r="CQ3180">
        <v>364</v>
      </c>
      <c r="CR3180">
        <v>0</v>
      </c>
      <c r="CW3180">
        <v>1489296</v>
      </c>
      <c r="CY3180">
        <v>1</v>
      </c>
      <c r="CZ3180">
        <v>0</v>
      </c>
      <c r="DA3180">
        <v>1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3">
      <c r="A3181" t="str">
        <f>"03/24/2022 22:23:33.613"</f>
        <v>03/24/2022 22:23:33.613</v>
      </c>
      <c r="C3181" t="str">
        <f t="shared" si="943"/>
        <v>FFDFD3C0</v>
      </c>
      <c r="D3181" t="s">
        <v>126</v>
      </c>
      <c r="E3181">
        <v>3</v>
      </c>
      <c r="H3181">
        <v>160</v>
      </c>
      <c r="I3181" t="s">
        <v>121</v>
      </c>
      <c r="J3181" t="s">
        <v>127</v>
      </c>
      <c r="K3181">
        <v>0</v>
      </c>
      <c r="L3181">
        <v>3</v>
      </c>
      <c r="M3181">
        <v>0</v>
      </c>
      <c r="N3181">
        <v>2</v>
      </c>
      <c r="O3181">
        <v>0</v>
      </c>
      <c r="P3181">
        <v>1</v>
      </c>
      <c r="Q3181">
        <v>0</v>
      </c>
      <c r="S3181" t="str">
        <f t="shared" si="950"/>
        <v>22:23:33.000</v>
      </c>
      <c r="T3181" t="str">
        <f t="shared" si="950"/>
        <v>22:23:33.000</v>
      </c>
      <c r="U3181" t="str">
        <f t="shared" si="937"/>
        <v>A9D71F</v>
      </c>
      <c r="V3181">
        <v>0</v>
      </c>
      <c r="W3181">
        <v>0</v>
      </c>
      <c r="X3181">
        <v>2</v>
      </c>
      <c r="Z3181">
        <v>1</v>
      </c>
      <c r="AA3181">
        <v>8</v>
      </c>
      <c r="AB3181">
        <v>3</v>
      </c>
      <c r="AC3181">
        <v>0</v>
      </c>
      <c r="AD3181">
        <v>9</v>
      </c>
      <c r="AE3181">
        <v>0</v>
      </c>
      <c r="AF3181">
        <v>3</v>
      </c>
      <c r="AG3181">
        <v>1</v>
      </c>
      <c r="AH3181">
        <v>0</v>
      </c>
      <c r="AI3181" t="s">
        <v>1553</v>
      </c>
      <c r="AJ3181">
        <v>32.963405000000002</v>
      </c>
      <c r="AK3181" t="s">
        <v>1554</v>
      </c>
      <c r="AL3181">
        <v>-97.664293999999998</v>
      </c>
      <c r="AM3181">
        <v>25</v>
      </c>
      <c r="AN3181">
        <v>900</v>
      </c>
      <c r="AO3181" t="s">
        <v>118</v>
      </c>
      <c r="AP3181">
        <v>1</v>
      </c>
      <c r="AQ3181">
        <v>-63</v>
      </c>
      <c r="AR3181">
        <v>-64</v>
      </c>
      <c r="AZ3181">
        <v>7700</v>
      </c>
      <c r="BA3181">
        <v>1</v>
      </c>
      <c r="BB3181" t="str">
        <f t="shared" si="944"/>
        <v xml:space="preserve">N733KP  </v>
      </c>
      <c r="BC3181">
        <v>1</v>
      </c>
      <c r="BE3181">
        <v>0</v>
      </c>
      <c r="BF3181">
        <v>0</v>
      </c>
      <c r="BG3181">
        <v>1</v>
      </c>
      <c r="BH3181">
        <v>875</v>
      </c>
      <c r="BI3181">
        <v>1</v>
      </c>
      <c r="BJ3181">
        <v>1</v>
      </c>
      <c r="BK3181">
        <v>0</v>
      </c>
      <c r="BL3181">
        <v>0</v>
      </c>
      <c r="BO3181">
        <v>0</v>
      </c>
      <c r="BP3181">
        <v>0</v>
      </c>
      <c r="BW3181" t="str">
        <f>"22:23:33.412"</f>
        <v>22:23:33.412</v>
      </c>
      <c r="CJ3181">
        <v>0</v>
      </c>
      <c r="CK3181">
        <v>2</v>
      </c>
      <c r="CL3181">
        <v>0</v>
      </c>
      <c r="CM3181">
        <v>2</v>
      </c>
      <c r="CN3181">
        <v>0</v>
      </c>
      <c r="CO3181">
        <v>5</v>
      </c>
      <c r="CP3181" t="s">
        <v>119</v>
      </c>
      <c r="CQ3181">
        <v>364</v>
      </c>
      <c r="CR3181">
        <v>0</v>
      </c>
      <c r="CW3181">
        <v>1489296</v>
      </c>
      <c r="CY3181">
        <v>1</v>
      </c>
      <c r="CZ3181">
        <v>0</v>
      </c>
      <c r="DA3181">
        <v>1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3">
      <c r="A3182" t="str">
        <f>"03/24/2022 22:23:33.613"</f>
        <v>03/24/2022 22:23:33.613</v>
      </c>
      <c r="C3182" t="str">
        <f t="shared" si="943"/>
        <v>FFDFD3C0</v>
      </c>
      <c r="D3182" t="s">
        <v>123</v>
      </c>
      <c r="E3182">
        <v>8</v>
      </c>
      <c r="H3182">
        <v>31</v>
      </c>
      <c r="I3182" t="s">
        <v>124</v>
      </c>
      <c r="J3182" t="s">
        <v>125</v>
      </c>
      <c r="K3182">
        <v>0</v>
      </c>
      <c r="L3182">
        <v>3</v>
      </c>
      <c r="M3182">
        <v>0</v>
      </c>
      <c r="N3182">
        <v>2</v>
      </c>
      <c r="O3182">
        <v>0</v>
      </c>
      <c r="P3182">
        <v>1</v>
      </c>
      <c r="Q3182">
        <v>0</v>
      </c>
      <c r="S3182" t="str">
        <f t="shared" si="950"/>
        <v>22:23:33.000</v>
      </c>
      <c r="T3182" t="str">
        <f t="shared" si="950"/>
        <v>22:23:33.000</v>
      </c>
      <c r="U3182" t="str">
        <f t="shared" si="937"/>
        <v>A9D71F</v>
      </c>
      <c r="V3182">
        <v>0</v>
      </c>
      <c r="W3182">
        <v>0</v>
      </c>
      <c r="X3182">
        <v>2</v>
      </c>
      <c r="Z3182">
        <v>1</v>
      </c>
      <c r="AA3182">
        <v>8</v>
      </c>
      <c r="AB3182">
        <v>3</v>
      </c>
      <c r="AC3182">
        <v>0</v>
      </c>
      <c r="AD3182">
        <v>9</v>
      </c>
      <c r="AE3182">
        <v>0</v>
      </c>
      <c r="AF3182">
        <v>3</v>
      </c>
      <c r="AG3182">
        <v>1</v>
      </c>
      <c r="AH3182">
        <v>0</v>
      </c>
      <c r="AI3182" t="s">
        <v>1553</v>
      </c>
      <c r="AJ3182">
        <v>32.963405000000002</v>
      </c>
      <c r="AK3182" t="s">
        <v>1554</v>
      </c>
      <c r="AL3182">
        <v>-97.664293999999998</v>
      </c>
      <c r="AM3182">
        <v>25</v>
      </c>
      <c r="AN3182">
        <v>900</v>
      </c>
      <c r="AO3182" t="s">
        <v>118</v>
      </c>
      <c r="AP3182">
        <v>1</v>
      </c>
      <c r="AQ3182">
        <v>-63</v>
      </c>
      <c r="AR3182">
        <v>-64</v>
      </c>
      <c r="AZ3182">
        <v>7700</v>
      </c>
      <c r="BA3182">
        <v>1</v>
      </c>
      <c r="BB3182" t="str">
        <f t="shared" si="944"/>
        <v xml:space="preserve">N733KP  </v>
      </c>
      <c r="BC3182">
        <v>1</v>
      </c>
      <c r="BE3182">
        <v>0</v>
      </c>
      <c r="BF3182">
        <v>0</v>
      </c>
      <c r="BG3182">
        <v>1</v>
      </c>
      <c r="BH3182">
        <v>875</v>
      </c>
      <c r="BI3182">
        <v>1</v>
      </c>
      <c r="BJ3182">
        <v>1</v>
      </c>
      <c r="BK3182">
        <v>0</v>
      </c>
      <c r="BL3182">
        <v>0</v>
      </c>
      <c r="BO3182">
        <v>0</v>
      </c>
      <c r="BP3182">
        <v>0</v>
      </c>
      <c r="BW3182" t="str">
        <f>"22:23:33.412"</f>
        <v>22:23:33.412</v>
      </c>
      <c r="CJ3182">
        <v>0</v>
      </c>
      <c r="CK3182">
        <v>2</v>
      </c>
      <c r="CL3182">
        <v>0</v>
      </c>
      <c r="CM3182">
        <v>2</v>
      </c>
      <c r="CN3182">
        <v>0</v>
      </c>
      <c r="CO3182">
        <v>5</v>
      </c>
      <c r="CP3182" t="s">
        <v>119</v>
      </c>
      <c r="CQ3182">
        <v>364</v>
      </c>
      <c r="CR3182">
        <v>0</v>
      </c>
      <c r="CW3182">
        <v>1489296</v>
      </c>
      <c r="CY3182">
        <v>1</v>
      </c>
      <c r="CZ3182">
        <v>0</v>
      </c>
      <c r="DA3182">
        <v>1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3">
      <c r="A3183" t="str">
        <f>"03/24/2022 22:23:34.769"</f>
        <v>03/24/2022 22:23:34.769</v>
      </c>
      <c r="C3183" t="str">
        <f t="shared" si="943"/>
        <v>FFDFD3C0</v>
      </c>
      <c r="D3183" t="s">
        <v>113</v>
      </c>
      <c r="E3183">
        <v>24</v>
      </c>
      <c r="F3183">
        <v>2024</v>
      </c>
      <c r="G3183" t="s">
        <v>114</v>
      </c>
      <c r="J3183" t="s">
        <v>115</v>
      </c>
      <c r="K3183">
        <v>0</v>
      </c>
      <c r="L3183">
        <v>3</v>
      </c>
      <c r="M3183">
        <v>0</v>
      </c>
      <c r="N3183">
        <v>2</v>
      </c>
      <c r="O3183">
        <v>0</v>
      </c>
      <c r="P3183">
        <v>1</v>
      </c>
      <c r="Q3183">
        <v>0</v>
      </c>
      <c r="S3183" t="str">
        <f t="shared" ref="S3183:T3186" si="951">"22:23:34.000"</f>
        <v>22:23:34.000</v>
      </c>
      <c r="T3183" t="str">
        <f t="shared" si="951"/>
        <v>22:23:34.000</v>
      </c>
      <c r="U3183" t="str">
        <f t="shared" si="937"/>
        <v>A9D71F</v>
      </c>
      <c r="V3183">
        <v>0</v>
      </c>
      <c r="W3183">
        <v>0</v>
      </c>
      <c r="X3183">
        <v>2</v>
      </c>
      <c r="Z3183">
        <v>1</v>
      </c>
      <c r="AA3183">
        <v>8</v>
      </c>
      <c r="AB3183">
        <v>3</v>
      </c>
      <c r="AC3183">
        <v>0</v>
      </c>
      <c r="AD3183">
        <v>9</v>
      </c>
      <c r="AE3183">
        <v>0</v>
      </c>
      <c r="AF3183">
        <v>3</v>
      </c>
      <c r="AG3183">
        <v>1</v>
      </c>
      <c r="AH3183">
        <v>0</v>
      </c>
      <c r="AI3183" t="s">
        <v>1555</v>
      </c>
      <c r="AJ3183">
        <v>32.963146999999999</v>
      </c>
      <c r="AK3183" t="s">
        <v>1554</v>
      </c>
      <c r="AL3183">
        <v>-97.664293999999998</v>
      </c>
      <c r="AM3183">
        <v>25</v>
      </c>
      <c r="AN3183">
        <v>900</v>
      </c>
      <c r="AO3183" t="s">
        <v>118</v>
      </c>
      <c r="AP3183">
        <v>-2</v>
      </c>
      <c r="AQ3183">
        <v>-62</v>
      </c>
      <c r="AR3183">
        <v>-256</v>
      </c>
      <c r="AZ3183">
        <v>7700</v>
      </c>
      <c r="BA3183">
        <v>1</v>
      </c>
      <c r="BB3183" t="str">
        <f t="shared" si="944"/>
        <v xml:space="preserve">N733KP  </v>
      </c>
      <c r="BC3183">
        <v>1</v>
      </c>
      <c r="BE3183">
        <v>0</v>
      </c>
      <c r="BF3183">
        <v>0</v>
      </c>
      <c r="BG3183">
        <v>1</v>
      </c>
      <c r="BH3183">
        <v>875</v>
      </c>
      <c r="BI3183">
        <v>1</v>
      </c>
      <c r="BJ3183">
        <v>1</v>
      </c>
      <c r="BK3183">
        <v>0</v>
      </c>
      <c r="BL3183">
        <v>0</v>
      </c>
      <c r="BO3183">
        <v>0</v>
      </c>
      <c r="BP3183">
        <v>0</v>
      </c>
      <c r="BW3183" t="str">
        <f>"22:23:34.461"</f>
        <v>22:23:34.461</v>
      </c>
      <c r="CJ3183">
        <v>0</v>
      </c>
      <c r="CK3183">
        <v>2</v>
      </c>
      <c r="CL3183">
        <v>0</v>
      </c>
      <c r="CM3183">
        <v>2</v>
      </c>
      <c r="CN3183">
        <v>0</v>
      </c>
      <c r="CO3183">
        <v>5</v>
      </c>
      <c r="CP3183" t="s">
        <v>119</v>
      </c>
      <c r="CQ3183">
        <v>364</v>
      </c>
      <c r="CR3183">
        <v>0</v>
      </c>
      <c r="CW3183">
        <v>1489443</v>
      </c>
      <c r="CY3183">
        <v>1</v>
      </c>
      <c r="CZ3183">
        <v>0</v>
      </c>
      <c r="DA3183">
        <v>0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3">
      <c r="A3184" t="str">
        <f>"03/24/2022 22:23:34.769"</f>
        <v>03/24/2022 22:23:34.769</v>
      </c>
      <c r="C3184" t="str">
        <f t="shared" si="943"/>
        <v>FFDFD3C0</v>
      </c>
      <c r="D3184" t="s">
        <v>120</v>
      </c>
      <c r="E3184">
        <v>14</v>
      </c>
      <c r="F3184">
        <v>1014</v>
      </c>
      <c r="G3184" t="s">
        <v>121</v>
      </c>
      <c r="J3184" t="s">
        <v>122</v>
      </c>
      <c r="K3184">
        <v>0</v>
      </c>
      <c r="L3184">
        <v>3</v>
      </c>
      <c r="M3184">
        <v>0</v>
      </c>
      <c r="N3184">
        <v>2</v>
      </c>
      <c r="O3184">
        <v>0</v>
      </c>
      <c r="P3184">
        <v>1</v>
      </c>
      <c r="Q3184">
        <v>0</v>
      </c>
      <c r="S3184" t="str">
        <f t="shared" si="951"/>
        <v>22:23:34.000</v>
      </c>
      <c r="T3184" t="str">
        <f t="shared" si="951"/>
        <v>22:23:34.000</v>
      </c>
      <c r="U3184" t="str">
        <f t="shared" si="937"/>
        <v>A9D71F</v>
      </c>
      <c r="V3184">
        <v>0</v>
      </c>
      <c r="W3184">
        <v>0</v>
      </c>
      <c r="X3184">
        <v>2</v>
      </c>
      <c r="Z3184">
        <v>1</v>
      </c>
      <c r="AA3184">
        <v>8</v>
      </c>
      <c r="AB3184">
        <v>3</v>
      </c>
      <c r="AC3184">
        <v>0</v>
      </c>
      <c r="AD3184">
        <v>9</v>
      </c>
      <c r="AE3184">
        <v>0</v>
      </c>
      <c r="AF3184">
        <v>3</v>
      </c>
      <c r="AG3184">
        <v>1</v>
      </c>
      <c r="AH3184">
        <v>0</v>
      </c>
      <c r="AI3184" t="s">
        <v>1555</v>
      </c>
      <c r="AJ3184">
        <v>32.963146999999999</v>
      </c>
      <c r="AK3184" t="s">
        <v>1554</v>
      </c>
      <c r="AL3184">
        <v>-97.664293999999998</v>
      </c>
      <c r="AM3184">
        <v>25</v>
      </c>
      <c r="AN3184">
        <v>900</v>
      </c>
      <c r="AO3184" t="s">
        <v>118</v>
      </c>
      <c r="AP3184">
        <v>-2</v>
      </c>
      <c r="AQ3184">
        <v>-62</v>
      </c>
      <c r="AR3184">
        <v>-256</v>
      </c>
      <c r="AZ3184">
        <v>7700</v>
      </c>
      <c r="BA3184">
        <v>1</v>
      </c>
      <c r="BB3184" t="str">
        <f t="shared" si="944"/>
        <v xml:space="preserve">N733KP  </v>
      </c>
      <c r="BC3184">
        <v>1</v>
      </c>
      <c r="BE3184">
        <v>0</v>
      </c>
      <c r="BF3184">
        <v>0</v>
      </c>
      <c r="BG3184">
        <v>1</v>
      </c>
      <c r="BH3184">
        <v>875</v>
      </c>
      <c r="BI3184">
        <v>1</v>
      </c>
      <c r="BJ3184">
        <v>1</v>
      </c>
      <c r="BK3184">
        <v>0</v>
      </c>
      <c r="BL3184">
        <v>0</v>
      </c>
      <c r="BO3184">
        <v>0</v>
      </c>
      <c r="BP3184">
        <v>0</v>
      </c>
      <c r="BW3184" t="str">
        <f>"22:23:34.461"</f>
        <v>22:23:34.461</v>
      </c>
      <c r="CJ3184">
        <v>0</v>
      </c>
      <c r="CK3184">
        <v>2</v>
      </c>
      <c r="CL3184">
        <v>0</v>
      </c>
      <c r="CM3184">
        <v>2</v>
      </c>
      <c r="CN3184">
        <v>0</v>
      </c>
      <c r="CO3184">
        <v>5</v>
      </c>
      <c r="CP3184" t="s">
        <v>119</v>
      </c>
      <c r="CQ3184">
        <v>364</v>
      </c>
      <c r="CR3184">
        <v>0</v>
      </c>
      <c r="CW3184">
        <v>1489443</v>
      </c>
      <c r="CY3184">
        <v>1</v>
      </c>
      <c r="CZ3184">
        <v>0</v>
      </c>
      <c r="DA3184">
        <v>1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3">
      <c r="A3185" t="str">
        <f>"03/24/2022 22:23:34.769"</f>
        <v>03/24/2022 22:23:34.769</v>
      </c>
      <c r="C3185" t="str">
        <f t="shared" si="943"/>
        <v>FFDFD3C0</v>
      </c>
      <c r="D3185" t="s">
        <v>123</v>
      </c>
      <c r="E3185">
        <v>8</v>
      </c>
      <c r="H3185">
        <v>31</v>
      </c>
      <c r="I3185" t="s">
        <v>124</v>
      </c>
      <c r="J3185" t="s">
        <v>125</v>
      </c>
      <c r="K3185">
        <v>0</v>
      </c>
      <c r="L3185">
        <v>3</v>
      </c>
      <c r="M3185">
        <v>0</v>
      </c>
      <c r="N3185">
        <v>2</v>
      </c>
      <c r="O3185">
        <v>0</v>
      </c>
      <c r="P3185">
        <v>1</v>
      </c>
      <c r="Q3185">
        <v>0</v>
      </c>
      <c r="S3185" t="str">
        <f t="shared" si="951"/>
        <v>22:23:34.000</v>
      </c>
      <c r="T3185" t="str">
        <f t="shared" si="951"/>
        <v>22:23:34.000</v>
      </c>
      <c r="U3185" t="str">
        <f t="shared" si="937"/>
        <v>A9D71F</v>
      </c>
      <c r="V3185">
        <v>0</v>
      </c>
      <c r="W3185">
        <v>0</v>
      </c>
      <c r="X3185">
        <v>2</v>
      </c>
      <c r="Z3185">
        <v>1</v>
      </c>
      <c r="AA3185">
        <v>8</v>
      </c>
      <c r="AB3185">
        <v>3</v>
      </c>
      <c r="AC3185">
        <v>0</v>
      </c>
      <c r="AD3185">
        <v>9</v>
      </c>
      <c r="AE3185">
        <v>0</v>
      </c>
      <c r="AF3185">
        <v>3</v>
      </c>
      <c r="AG3185">
        <v>1</v>
      </c>
      <c r="AH3185">
        <v>0</v>
      </c>
      <c r="AI3185" t="s">
        <v>1555</v>
      </c>
      <c r="AJ3185">
        <v>32.963146999999999</v>
      </c>
      <c r="AK3185" t="s">
        <v>1554</v>
      </c>
      <c r="AL3185">
        <v>-97.664293999999998</v>
      </c>
      <c r="AM3185">
        <v>25</v>
      </c>
      <c r="AN3185">
        <v>900</v>
      </c>
      <c r="AO3185" t="s">
        <v>118</v>
      </c>
      <c r="AP3185">
        <v>-2</v>
      </c>
      <c r="AQ3185">
        <v>-62</v>
      </c>
      <c r="AR3185">
        <v>-256</v>
      </c>
      <c r="AZ3185">
        <v>7700</v>
      </c>
      <c r="BA3185">
        <v>1</v>
      </c>
      <c r="BB3185" t="str">
        <f t="shared" si="944"/>
        <v xml:space="preserve">N733KP  </v>
      </c>
      <c r="BC3185">
        <v>1</v>
      </c>
      <c r="BE3185">
        <v>0</v>
      </c>
      <c r="BF3185">
        <v>0</v>
      </c>
      <c r="BG3185">
        <v>1</v>
      </c>
      <c r="BH3185">
        <v>875</v>
      </c>
      <c r="BI3185">
        <v>1</v>
      </c>
      <c r="BJ3185">
        <v>1</v>
      </c>
      <c r="BK3185">
        <v>0</v>
      </c>
      <c r="BL3185">
        <v>0</v>
      </c>
      <c r="BO3185">
        <v>0</v>
      </c>
      <c r="BP3185">
        <v>0</v>
      </c>
      <c r="BW3185" t="str">
        <f>"22:23:34.461"</f>
        <v>22:23:34.461</v>
      </c>
      <c r="CJ3185">
        <v>0</v>
      </c>
      <c r="CK3185">
        <v>2</v>
      </c>
      <c r="CL3185">
        <v>0</v>
      </c>
      <c r="CM3185">
        <v>2</v>
      </c>
      <c r="CN3185">
        <v>0</v>
      </c>
      <c r="CO3185">
        <v>5</v>
      </c>
      <c r="CP3185" t="s">
        <v>119</v>
      </c>
      <c r="CQ3185">
        <v>364</v>
      </c>
      <c r="CR3185">
        <v>0</v>
      </c>
      <c r="CW3185">
        <v>1489443</v>
      </c>
      <c r="CY3185">
        <v>1</v>
      </c>
      <c r="CZ3185">
        <v>0</v>
      </c>
      <c r="DA3185">
        <v>1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3">
      <c r="A3186" t="str">
        <f>"03/24/2022 22:23:34.769"</f>
        <v>03/24/2022 22:23:34.769</v>
      </c>
      <c r="C3186" t="str">
        <f t="shared" si="943"/>
        <v>FFDFD3C0</v>
      </c>
      <c r="D3186" t="s">
        <v>126</v>
      </c>
      <c r="E3186">
        <v>3</v>
      </c>
      <c r="H3186">
        <v>160</v>
      </c>
      <c r="I3186" t="s">
        <v>121</v>
      </c>
      <c r="J3186" t="s">
        <v>127</v>
      </c>
      <c r="K3186">
        <v>0</v>
      </c>
      <c r="L3186">
        <v>3</v>
      </c>
      <c r="M3186">
        <v>0</v>
      </c>
      <c r="N3186">
        <v>2</v>
      </c>
      <c r="O3186">
        <v>0</v>
      </c>
      <c r="P3186">
        <v>1</v>
      </c>
      <c r="Q3186">
        <v>0</v>
      </c>
      <c r="S3186" t="str">
        <f t="shared" si="951"/>
        <v>22:23:34.000</v>
      </c>
      <c r="T3186" t="str">
        <f t="shared" si="951"/>
        <v>22:23:34.000</v>
      </c>
      <c r="U3186" t="str">
        <f t="shared" si="937"/>
        <v>A9D71F</v>
      </c>
      <c r="V3186">
        <v>0</v>
      </c>
      <c r="W3186">
        <v>0</v>
      </c>
      <c r="X3186">
        <v>2</v>
      </c>
      <c r="Z3186">
        <v>1</v>
      </c>
      <c r="AA3186">
        <v>8</v>
      </c>
      <c r="AB3186">
        <v>3</v>
      </c>
      <c r="AC3186">
        <v>0</v>
      </c>
      <c r="AD3186">
        <v>9</v>
      </c>
      <c r="AE3186">
        <v>0</v>
      </c>
      <c r="AF3186">
        <v>3</v>
      </c>
      <c r="AG3186">
        <v>1</v>
      </c>
      <c r="AH3186">
        <v>0</v>
      </c>
      <c r="AI3186" t="s">
        <v>1555</v>
      </c>
      <c r="AJ3186">
        <v>32.963146999999999</v>
      </c>
      <c r="AK3186" t="s">
        <v>1554</v>
      </c>
      <c r="AL3186">
        <v>-97.664293999999998</v>
      </c>
      <c r="AM3186">
        <v>25</v>
      </c>
      <c r="AN3186">
        <v>900</v>
      </c>
      <c r="AO3186" t="s">
        <v>118</v>
      </c>
      <c r="AP3186">
        <v>-2</v>
      </c>
      <c r="AQ3186">
        <v>-62</v>
      </c>
      <c r="AR3186">
        <v>-256</v>
      </c>
      <c r="AZ3186">
        <v>7700</v>
      </c>
      <c r="BA3186">
        <v>1</v>
      </c>
      <c r="BB3186" t="str">
        <f t="shared" si="944"/>
        <v xml:space="preserve">N733KP  </v>
      </c>
      <c r="BC3186">
        <v>1</v>
      </c>
      <c r="BE3186">
        <v>0</v>
      </c>
      <c r="BF3186">
        <v>0</v>
      </c>
      <c r="BG3186">
        <v>1</v>
      </c>
      <c r="BH3186">
        <v>875</v>
      </c>
      <c r="BI3186">
        <v>1</v>
      </c>
      <c r="BJ3186">
        <v>1</v>
      </c>
      <c r="BK3186">
        <v>0</v>
      </c>
      <c r="BL3186">
        <v>0</v>
      </c>
      <c r="BO3186">
        <v>0</v>
      </c>
      <c r="BP3186">
        <v>0</v>
      </c>
      <c r="BW3186" t="str">
        <f>"22:23:34.461"</f>
        <v>22:23:34.461</v>
      </c>
      <c r="CJ3186">
        <v>0</v>
      </c>
      <c r="CK3186">
        <v>2</v>
      </c>
      <c r="CL3186">
        <v>0</v>
      </c>
      <c r="CM3186">
        <v>2</v>
      </c>
      <c r="CN3186">
        <v>0</v>
      </c>
      <c r="CO3186">
        <v>5</v>
      </c>
      <c r="CP3186" t="s">
        <v>119</v>
      </c>
      <c r="CQ3186">
        <v>364</v>
      </c>
      <c r="CR3186">
        <v>0</v>
      </c>
      <c r="CW3186">
        <v>1489443</v>
      </c>
      <c r="CY3186">
        <v>1</v>
      </c>
      <c r="CZ3186">
        <v>0</v>
      </c>
      <c r="DA3186">
        <v>1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3">
      <c r="A3187" t="str">
        <f>"03/24/2022 22:23:36.098"</f>
        <v>03/24/2022 22:23:36.098</v>
      </c>
      <c r="C3187" t="str">
        <f t="shared" si="943"/>
        <v>FFDFD3C0</v>
      </c>
      <c r="D3187" t="s">
        <v>113</v>
      </c>
      <c r="E3187">
        <v>24</v>
      </c>
      <c r="F3187">
        <v>2024</v>
      </c>
      <c r="G3187" t="s">
        <v>114</v>
      </c>
      <c r="J3187" t="s">
        <v>115</v>
      </c>
      <c r="K3187">
        <v>0</v>
      </c>
      <c r="L3187">
        <v>3</v>
      </c>
      <c r="M3187">
        <v>0</v>
      </c>
      <c r="N3187">
        <v>2</v>
      </c>
      <c r="O3187">
        <v>0</v>
      </c>
      <c r="P3187">
        <v>1</v>
      </c>
      <c r="Q3187">
        <v>0</v>
      </c>
      <c r="S3187" t="str">
        <f t="shared" ref="S3187:T3190" si="952">"22:23:35.000"</f>
        <v>22:23:35.000</v>
      </c>
      <c r="T3187" t="str">
        <f t="shared" si="952"/>
        <v>22:23:35.000</v>
      </c>
      <c r="U3187" t="str">
        <f t="shared" si="937"/>
        <v>A9D71F</v>
      </c>
      <c r="V3187">
        <v>0</v>
      </c>
      <c r="W3187">
        <v>0</v>
      </c>
      <c r="X3187">
        <v>2</v>
      </c>
      <c r="Z3187">
        <v>1</v>
      </c>
      <c r="AA3187">
        <v>8</v>
      </c>
      <c r="AB3187">
        <v>3</v>
      </c>
      <c r="AC3187">
        <v>0</v>
      </c>
      <c r="AD3187">
        <v>9</v>
      </c>
      <c r="AE3187">
        <v>0</v>
      </c>
      <c r="AF3187">
        <v>3</v>
      </c>
      <c r="AG3187">
        <v>1</v>
      </c>
      <c r="AH3187">
        <v>0</v>
      </c>
      <c r="AI3187" t="s">
        <v>1556</v>
      </c>
      <c r="AJ3187">
        <v>32.962868</v>
      </c>
      <c r="AK3187" t="s">
        <v>1557</v>
      </c>
      <c r="AL3187">
        <v>-97.664315999999999</v>
      </c>
      <c r="AM3187">
        <v>25</v>
      </c>
      <c r="AN3187">
        <v>900</v>
      </c>
      <c r="AO3187" t="s">
        <v>118</v>
      </c>
      <c r="AP3187">
        <v>-4</v>
      </c>
      <c r="AQ3187">
        <v>-60</v>
      </c>
      <c r="AR3187">
        <v>-256</v>
      </c>
      <c r="AZ3187">
        <v>7700</v>
      </c>
      <c r="BA3187">
        <v>1</v>
      </c>
      <c r="BB3187" t="str">
        <f t="shared" si="944"/>
        <v xml:space="preserve">N733KP  </v>
      </c>
      <c r="BC3187">
        <v>1</v>
      </c>
      <c r="BE3187">
        <v>0</v>
      </c>
      <c r="BF3187">
        <v>0</v>
      </c>
      <c r="BG3187">
        <v>1</v>
      </c>
      <c r="BH3187">
        <v>875</v>
      </c>
      <c r="BI3187">
        <v>1</v>
      </c>
      <c r="BJ3187">
        <v>1</v>
      </c>
      <c r="BK3187">
        <v>0</v>
      </c>
      <c r="BL3187">
        <v>0</v>
      </c>
      <c r="BO3187">
        <v>0</v>
      </c>
      <c r="BP3187">
        <v>0</v>
      </c>
      <c r="BW3187" t="str">
        <f>"22:23:35.877"</f>
        <v>22:23:35.877</v>
      </c>
      <c r="CJ3187">
        <v>0</v>
      </c>
      <c r="CK3187">
        <v>2</v>
      </c>
      <c r="CL3187">
        <v>0</v>
      </c>
      <c r="CM3187">
        <v>2</v>
      </c>
      <c r="CN3187">
        <v>0</v>
      </c>
      <c r="CO3187">
        <v>4</v>
      </c>
      <c r="CP3187" t="s">
        <v>119</v>
      </c>
      <c r="CQ3187">
        <v>364</v>
      </c>
      <c r="CR3187">
        <v>0</v>
      </c>
      <c r="CW3187">
        <v>1489629</v>
      </c>
      <c r="CY3187">
        <v>1</v>
      </c>
      <c r="CZ3187">
        <v>0</v>
      </c>
      <c r="DA3187">
        <v>0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3">
      <c r="A3188" t="str">
        <f>"03/24/2022 22:23:36.098"</f>
        <v>03/24/2022 22:23:36.098</v>
      </c>
      <c r="C3188" t="str">
        <f t="shared" si="943"/>
        <v>FFDFD3C0</v>
      </c>
      <c r="D3188" t="s">
        <v>120</v>
      </c>
      <c r="E3188">
        <v>14</v>
      </c>
      <c r="F3188">
        <v>1014</v>
      </c>
      <c r="G3188" t="s">
        <v>121</v>
      </c>
      <c r="J3188" t="s">
        <v>122</v>
      </c>
      <c r="K3188">
        <v>0</v>
      </c>
      <c r="L3188">
        <v>3</v>
      </c>
      <c r="M3188">
        <v>0</v>
      </c>
      <c r="N3188">
        <v>2</v>
      </c>
      <c r="O3188">
        <v>0</v>
      </c>
      <c r="P3188">
        <v>1</v>
      </c>
      <c r="Q3188">
        <v>0</v>
      </c>
      <c r="S3188" t="str">
        <f t="shared" si="952"/>
        <v>22:23:35.000</v>
      </c>
      <c r="T3188" t="str">
        <f t="shared" si="952"/>
        <v>22:23:35.000</v>
      </c>
      <c r="U3188" t="str">
        <f t="shared" si="937"/>
        <v>A9D71F</v>
      </c>
      <c r="V3188">
        <v>0</v>
      </c>
      <c r="W3188">
        <v>0</v>
      </c>
      <c r="X3188">
        <v>2</v>
      </c>
      <c r="Z3188">
        <v>1</v>
      </c>
      <c r="AA3188">
        <v>8</v>
      </c>
      <c r="AB3188">
        <v>3</v>
      </c>
      <c r="AC3188">
        <v>0</v>
      </c>
      <c r="AD3188">
        <v>9</v>
      </c>
      <c r="AE3188">
        <v>0</v>
      </c>
      <c r="AF3188">
        <v>3</v>
      </c>
      <c r="AG3188">
        <v>1</v>
      </c>
      <c r="AH3188">
        <v>0</v>
      </c>
      <c r="AI3188" t="s">
        <v>1556</v>
      </c>
      <c r="AJ3188">
        <v>32.962868</v>
      </c>
      <c r="AK3188" t="s">
        <v>1557</v>
      </c>
      <c r="AL3188">
        <v>-97.664315999999999</v>
      </c>
      <c r="AM3188">
        <v>25</v>
      </c>
      <c r="AN3188">
        <v>900</v>
      </c>
      <c r="AO3188" t="s">
        <v>118</v>
      </c>
      <c r="AP3188">
        <v>-4</v>
      </c>
      <c r="AQ3188">
        <v>-60</v>
      </c>
      <c r="AR3188">
        <v>-256</v>
      </c>
      <c r="AZ3188">
        <v>7700</v>
      </c>
      <c r="BA3188">
        <v>1</v>
      </c>
      <c r="BB3188" t="str">
        <f t="shared" si="944"/>
        <v xml:space="preserve">N733KP  </v>
      </c>
      <c r="BC3188">
        <v>1</v>
      </c>
      <c r="BE3188">
        <v>0</v>
      </c>
      <c r="BF3188">
        <v>0</v>
      </c>
      <c r="BG3188">
        <v>1</v>
      </c>
      <c r="BH3188">
        <v>875</v>
      </c>
      <c r="BI3188">
        <v>1</v>
      </c>
      <c r="BJ3188">
        <v>1</v>
      </c>
      <c r="BK3188">
        <v>0</v>
      </c>
      <c r="BL3188">
        <v>0</v>
      </c>
      <c r="BO3188">
        <v>0</v>
      </c>
      <c r="BP3188">
        <v>0</v>
      </c>
      <c r="BW3188" t="str">
        <f>"22:23:35.877"</f>
        <v>22:23:35.877</v>
      </c>
      <c r="CJ3188">
        <v>0</v>
      </c>
      <c r="CK3188">
        <v>2</v>
      </c>
      <c r="CL3188">
        <v>0</v>
      </c>
      <c r="CM3188">
        <v>2</v>
      </c>
      <c r="CN3188">
        <v>0</v>
      </c>
      <c r="CO3188">
        <v>4</v>
      </c>
      <c r="CP3188" t="s">
        <v>119</v>
      </c>
      <c r="CQ3188">
        <v>364</v>
      </c>
      <c r="CR3188">
        <v>0</v>
      </c>
      <c r="CW3188">
        <v>1489629</v>
      </c>
      <c r="CY3188">
        <v>1</v>
      </c>
      <c r="CZ3188">
        <v>0</v>
      </c>
      <c r="DA3188">
        <v>1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3">
      <c r="A3189" t="str">
        <f>"03/24/2022 22:23:36.098"</f>
        <v>03/24/2022 22:23:36.098</v>
      </c>
      <c r="C3189" t="str">
        <f t="shared" si="943"/>
        <v>FFDFD3C0</v>
      </c>
      <c r="D3189" t="s">
        <v>126</v>
      </c>
      <c r="E3189">
        <v>3</v>
      </c>
      <c r="H3189">
        <v>160</v>
      </c>
      <c r="I3189" t="s">
        <v>121</v>
      </c>
      <c r="J3189" t="s">
        <v>127</v>
      </c>
      <c r="K3189">
        <v>0</v>
      </c>
      <c r="L3189">
        <v>3</v>
      </c>
      <c r="M3189">
        <v>0</v>
      </c>
      <c r="N3189">
        <v>2</v>
      </c>
      <c r="O3189">
        <v>0</v>
      </c>
      <c r="P3189">
        <v>1</v>
      </c>
      <c r="Q3189">
        <v>0</v>
      </c>
      <c r="S3189" t="str">
        <f t="shared" si="952"/>
        <v>22:23:35.000</v>
      </c>
      <c r="T3189" t="str">
        <f t="shared" si="952"/>
        <v>22:23:35.000</v>
      </c>
      <c r="U3189" t="str">
        <f t="shared" si="937"/>
        <v>A9D71F</v>
      </c>
      <c r="V3189">
        <v>0</v>
      </c>
      <c r="W3189">
        <v>0</v>
      </c>
      <c r="X3189">
        <v>2</v>
      </c>
      <c r="Z3189">
        <v>1</v>
      </c>
      <c r="AA3189">
        <v>8</v>
      </c>
      <c r="AB3189">
        <v>3</v>
      </c>
      <c r="AC3189">
        <v>0</v>
      </c>
      <c r="AD3189">
        <v>9</v>
      </c>
      <c r="AE3189">
        <v>0</v>
      </c>
      <c r="AF3189">
        <v>3</v>
      </c>
      <c r="AG3189">
        <v>1</v>
      </c>
      <c r="AH3189">
        <v>0</v>
      </c>
      <c r="AI3189" t="s">
        <v>1556</v>
      </c>
      <c r="AJ3189">
        <v>32.962868</v>
      </c>
      <c r="AK3189" t="s">
        <v>1557</v>
      </c>
      <c r="AL3189">
        <v>-97.664315999999999</v>
      </c>
      <c r="AM3189">
        <v>25</v>
      </c>
      <c r="AN3189">
        <v>900</v>
      </c>
      <c r="AO3189" t="s">
        <v>118</v>
      </c>
      <c r="AP3189">
        <v>-4</v>
      </c>
      <c r="AQ3189">
        <v>-60</v>
      </c>
      <c r="AR3189">
        <v>-256</v>
      </c>
      <c r="AZ3189">
        <v>7700</v>
      </c>
      <c r="BA3189">
        <v>1</v>
      </c>
      <c r="BB3189" t="str">
        <f t="shared" si="944"/>
        <v xml:space="preserve">N733KP  </v>
      </c>
      <c r="BC3189">
        <v>1</v>
      </c>
      <c r="BE3189">
        <v>0</v>
      </c>
      <c r="BF3189">
        <v>0</v>
      </c>
      <c r="BG3189">
        <v>1</v>
      </c>
      <c r="BH3189">
        <v>875</v>
      </c>
      <c r="BI3189">
        <v>1</v>
      </c>
      <c r="BJ3189">
        <v>1</v>
      </c>
      <c r="BK3189">
        <v>0</v>
      </c>
      <c r="BL3189">
        <v>0</v>
      </c>
      <c r="BO3189">
        <v>0</v>
      </c>
      <c r="BP3189">
        <v>0</v>
      </c>
      <c r="BW3189" t="str">
        <f>"22:23:35.877"</f>
        <v>22:23:35.877</v>
      </c>
      <c r="CJ3189">
        <v>0</v>
      </c>
      <c r="CK3189">
        <v>2</v>
      </c>
      <c r="CL3189">
        <v>0</v>
      </c>
      <c r="CM3189">
        <v>2</v>
      </c>
      <c r="CN3189">
        <v>0</v>
      </c>
      <c r="CO3189">
        <v>4</v>
      </c>
      <c r="CP3189" t="s">
        <v>119</v>
      </c>
      <c r="CQ3189">
        <v>364</v>
      </c>
      <c r="CR3189">
        <v>0</v>
      </c>
      <c r="CW3189">
        <v>1489629</v>
      </c>
      <c r="CY3189">
        <v>1</v>
      </c>
      <c r="CZ3189">
        <v>0</v>
      </c>
      <c r="DA3189">
        <v>1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3">
      <c r="A3190" t="str">
        <f>"03/24/2022 22:23:36.098"</f>
        <v>03/24/2022 22:23:36.098</v>
      </c>
      <c r="C3190" t="str">
        <f t="shared" si="943"/>
        <v>FFDFD3C0</v>
      </c>
      <c r="D3190" t="s">
        <v>123</v>
      </c>
      <c r="E3190">
        <v>8</v>
      </c>
      <c r="H3190">
        <v>31</v>
      </c>
      <c r="I3190" t="s">
        <v>124</v>
      </c>
      <c r="J3190" t="s">
        <v>125</v>
      </c>
      <c r="K3190">
        <v>0</v>
      </c>
      <c r="L3190">
        <v>3</v>
      </c>
      <c r="M3190">
        <v>0</v>
      </c>
      <c r="N3190">
        <v>2</v>
      </c>
      <c r="O3190">
        <v>0</v>
      </c>
      <c r="P3190">
        <v>1</v>
      </c>
      <c r="Q3190">
        <v>0</v>
      </c>
      <c r="S3190" t="str">
        <f t="shared" si="952"/>
        <v>22:23:35.000</v>
      </c>
      <c r="T3190" t="str">
        <f t="shared" si="952"/>
        <v>22:23:35.000</v>
      </c>
      <c r="U3190" t="str">
        <f t="shared" si="937"/>
        <v>A9D71F</v>
      </c>
      <c r="V3190">
        <v>0</v>
      </c>
      <c r="W3190">
        <v>0</v>
      </c>
      <c r="X3190">
        <v>2</v>
      </c>
      <c r="Z3190">
        <v>1</v>
      </c>
      <c r="AA3190">
        <v>8</v>
      </c>
      <c r="AB3190">
        <v>3</v>
      </c>
      <c r="AC3190">
        <v>0</v>
      </c>
      <c r="AD3190">
        <v>9</v>
      </c>
      <c r="AE3190">
        <v>0</v>
      </c>
      <c r="AF3190">
        <v>3</v>
      </c>
      <c r="AG3190">
        <v>1</v>
      </c>
      <c r="AH3190">
        <v>0</v>
      </c>
      <c r="AI3190" t="s">
        <v>1556</v>
      </c>
      <c r="AJ3190">
        <v>32.962868</v>
      </c>
      <c r="AK3190" t="s">
        <v>1557</v>
      </c>
      <c r="AL3190">
        <v>-97.664315999999999</v>
      </c>
      <c r="AM3190">
        <v>25</v>
      </c>
      <c r="AN3190">
        <v>900</v>
      </c>
      <c r="AO3190" t="s">
        <v>118</v>
      </c>
      <c r="AP3190">
        <v>-4</v>
      </c>
      <c r="AQ3190">
        <v>-60</v>
      </c>
      <c r="AR3190">
        <v>-256</v>
      </c>
      <c r="AZ3190">
        <v>7700</v>
      </c>
      <c r="BA3190">
        <v>1</v>
      </c>
      <c r="BB3190" t="str">
        <f t="shared" si="944"/>
        <v xml:space="preserve">N733KP  </v>
      </c>
      <c r="BC3190">
        <v>1</v>
      </c>
      <c r="BE3190">
        <v>0</v>
      </c>
      <c r="BF3190">
        <v>0</v>
      </c>
      <c r="BG3190">
        <v>1</v>
      </c>
      <c r="BH3190">
        <v>875</v>
      </c>
      <c r="BI3190">
        <v>1</v>
      </c>
      <c r="BJ3190">
        <v>1</v>
      </c>
      <c r="BK3190">
        <v>0</v>
      </c>
      <c r="BL3190">
        <v>0</v>
      </c>
      <c r="BO3190">
        <v>0</v>
      </c>
      <c r="BP3190">
        <v>0</v>
      </c>
      <c r="BW3190" t="str">
        <f>"22:23:35.877"</f>
        <v>22:23:35.877</v>
      </c>
      <c r="CJ3190">
        <v>0</v>
      </c>
      <c r="CK3190">
        <v>2</v>
      </c>
      <c r="CL3190">
        <v>0</v>
      </c>
      <c r="CM3190">
        <v>2</v>
      </c>
      <c r="CN3190">
        <v>0</v>
      </c>
      <c r="CO3190">
        <v>4</v>
      </c>
      <c r="CP3190" t="s">
        <v>119</v>
      </c>
      <c r="CQ3190">
        <v>364</v>
      </c>
      <c r="CR3190">
        <v>0</v>
      </c>
      <c r="CW3190">
        <v>1489629</v>
      </c>
      <c r="CY3190">
        <v>1</v>
      </c>
      <c r="CZ3190">
        <v>0</v>
      </c>
      <c r="DA3190">
        <v>1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3">
      <c r="A3191" t="str">
        <f>"03/24/2022 22:23:36.957"</f>
        <v>03/24/2022 22:23:36.957</v>
      </c>
      <c r="C3191" t="str">
        <f t="shared" si="943"/>
        <v>FFDFD3C0</v>
      </c>
      <c r="D3191" t="s">
        <v>113</v>
      </c>
      <c r="E3191">
        <v>24</v>
      </c>
      <c r="F3191">
        <v>2024</v>
      </c>
      <c r="G3191" t="s">
        <v>114</v>
      </c>
      <c r="J3191" t="s">
        <v>115</v>
      </c>
      <c r="K3191">
        <v>0</v>
      </c>
      <c r="L3191">
        <v>3</v>
      </c>
      <c r="M3191">
        <v>0</v>
      </c>
      <c r="N3191">
        <v>2</v>
      </c>
      <c r="O3191">
        <v>0</v>
      </c>
      <c r="P3191">
        <v>1</v>
      </c>
      <c r="Q3191">
        <v>0</v>
      </c>
      <c r="S3191" t="str">
        <f t="shared" ref="S3191:T3194" si="953">"22:23:36.000"</f>
        <v>22:23:36.000</v>
      </c>
      <c r="T3191" t="str">
        <f t="shared" si="953"/>
        <v>22:23:36.000</v>
      </c>
      <c r="U3191" t="str">
        <f t="shared" si="937"/>
        <v>A9D71F</v>
      </c>
      <c r="V3191">
        <v>0</v>
      </c>
      <c r="W3191">
        <v>0</v>
      </c>
      <c r="X3191">
        <v>2</v>
      </c>
      <c r="Z3191">
        <v>1</v>
      </c>
      <c r="AA3191">
        <v>8</v>
      </c>
      <c r="AB3191">
        <v>3</v>
      </c>
      <c r="AC3191">
        <v>0</v>
      </c>
      <c r="AD3191">
        <v>9</v>
      </c>
      <c r="AE3191">
        <v>0</v>
      </c>
      <c r="AF3191">
        <v>3</v>
      </c>
      <c r="AG3191">
        <v>1</v>
      </c>
      <c r="AH3191">
        <v>0</v>
      </c>
      <c r="AI3191" t="s">
        <v>1558</v>
      </c>
      <c r="AJ3191">
        <v>32.962567999999997</v>
      </c>
      <c r="AK3191" t="s">
        <v>1398</v>
      </c>
      <c r="AL3191">
        <v>-97.664337000000003</v>
      </c>
      <c r="AM3191">
        <v>25</v>
      </c>
      <c r="AN3191">
        <v>900</v>
      </c>
      <c r="AO3191" t="s">
        <v>118</v>
      </c>
      <c r="AP3191">
        <v>-4</v>
      </c>
      <c r="AQ3191">
        <v>-65</v>
      </c>
      <c r="AR3191">
        <v>-384</v>
      </c>
      <c r="AZ3191">
        <v>7700</v>
      </c>
      <c r="BA3191">
        <v>1</v>
      </c>
      <c r="BB3191" t="str">
        <f t="shared" si="944"/>
        <v xml:space="preserve">N733KP  </v>
      </c>
      <c r="BC3191">
        <v>1</v>
      </c>
      <c r="BE3191">
        <v>0</v>
      </c>
      <c r="BF3191">
        <v>0</v>
      </c>
      <c r="BG3191">
        <v>1</v>
      </c>
      <c r="BH3191">
        <v>875</v>
      </c>
      <c r="BI3191">
        <v>1</v>
      </c>
      <c r="BJ3191">
        <v>1</v>
      </c>
      <c r="BK3191">
        <v>0</v>
      </c>
      <c r="BL3191">
        <v>0</v>
      </c>
      <c r="BO3191">
        <v>0</v>
      </c>
      <c r="BP3191">
        <v>0</v>
      </c>
      <c r="BW3191" t="str">
        <f>"22:23:36.719"</f>
        <v>22:23:36.719</v>
      </c>
      <c r="CJ3191">
        <v>0</v>
      </c>
      <c r="CK3191">
        <v>2</v>
      </c>
      <c r="CL3191">
        <v>0</v>
      </c>
      <c r="CM3191">
        <v>2</v>
      </c>
      <c r="CN3191">
        <v>0</v>
      </c>
      <c r="CO3191">
        <v>5</v>
      </c>
      <c r="CP3191" t="s">
        <v>119</v>
      </c>
      <c r="CQ3191">
        <v>364</v>
      </c>
      <c r="CR3191">
        <v>0</v>
      </c>
      <c r="CW3191">
        <v>1489752</v>
      </c>
      <c r="CY3191">
        <v>1</v>
      </c>
      <c r="CZ3191">
        <v>0</v>
      </c>
      <c r="DA3191">
        <v>0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3">
      <c r="A3192" t="str">
        <f>"03/24/2022 22:23:36.957"</f>
        <v>03/24/2022 22:23:36.957</v>
      </c>
      <c r="C3192" t="str">
        <f t="shared" si="943"/>
        <v>FFDFD3C0</v>
      </c>
      <c r="D3192" t="s">
        <v>123</v>
      </c>
      <c r="E3192">
        <v>8</v>
      </c>
      <c r="H3192">
        <v>31</v>
      </c>
      <c r="I3192" t="s">
        <v>124</v>
      </c>
      <c r="J3192" t="s">
        <v>125</v>
      </c>
      <c r="K3192">
        <v>0</v>
      </c>
      <c r="L3192">
        <v>3</v>
      </c>
      <c r="M3192">
        <v>0</v>
      </c>
      <c r="N3192">
        <v>2</v>
      </c>
      <c r="O3192">
        <v>0</v>
      </c>
      <c r="P3192">
        <v>1</v>
      </c>
      <c r="Q3192">
        <v>0</v>
      </c>
      <c r="S3192" t="str">
        <f t="shared" si="953"/>
        <v>22:23:36.000</v>
      </c>
      <c r="T3192" t="str">
        <f t="shared" si="953"/>
        <v>22:23:36.000</v>
      </c>
      <c r="U3192" t="str">
        <f t="shared" si="937"/>
        <v>A9D71F</v>
      </c>
      <c r="V3192">
        <v>0</v>
      </c>
      <c r="W3192">
        <v>0</v>
      </c>
      <c r="X3192">
        <v>2</v>
      </c>
      <c r="Z3192">
        <v>1</v>
      </c>
      <c r="AA3192">
        <v>8</v>
      </c>
      <c r="AB3192">
        <v>3</v>
      </c>
      <c r="AC3192">
        <v>0</v>
      </c>
      <c r="AD3192">
        <v>9</v>
      </c>
      <c r="AE3192">
        <v>0</v>
      </c>
      <c r="AF3192">
        <v>3</v>
      </c>
      <c r="AG3192">
        <v>1</v>
      </c>
      <c r="AH3192">
        <v>0</v>
      </c>
      <c r="AI3192" t="s">
        <v>1558</v>
      </c>
      <c r="AJ3192">
        <v>32.962567999999997</v>
      </c>
      <c r="AK3192" t="s">
        <v>1398</v>
      </c>
      <c r="AL3192">
        <v>-97.664337000000003</v>
      </c>
      <c r="AM3192">
        <v>25</v>
      </c>
      <c r="AN3192">
        <v>900</v>
      </c>
      <c r="AO3192" t="s">
        <v>118</v>
      </c>
      <c r="AP3192">
        <v>-4</v>
      </c>
      <c r="AQ3192">
        <v>-65</v>
      </c>
      <c r="AR3192">
        <v>-384</v>
      </c>
      <c r="AZ3192">
        <v>7700</v>
      </c>
      <c r="BA3192">
        <v>1</v>
      </c>
      <c r="BB3192" t="str">
        <f t="shared" si="944"/>
        <v xml:space="preserve">N733KP  </v>
      </c>
      <c r="BC3192">
        <v>1</v>
      </c>
      <c r="BE3192">
        <v>0</v>
      </c>
      <c r="BF3192">
        <v>0</v>
      </c>
      <c r="BG3192">
        <v>1</v>
      </c>
      <c r="BH3192">
        <v>875</v>
      </c>
      <c r="BI3192">
        <v>1</v>
      </c>
      <c r="BJ3192">
        <v>1</v>
      </c>
      <c r="BK3192">
        <v>0</v>
      </c>
      <c r="BL3192">
        <v>0</v>
      </c>
      <c r="BO3192">
        <v>0</v>
      </c>
      <c r="BP3192">
        <v>0</v>
      </c>
      <c r="BW3192" t="str">
        <f>"22:23:36.719"</f>
        <v>22:23:36.719</v>
      </c>
      <c r="CJ3192">
        <v>0</v>
      </c>
      <c r="CK3192">
        <v>2</v>
      </c>
      <c r="CL3192">
        <v>0</v>
      </c>
      <c r="CM3192">
        <v>2</v>
      </c>
      <c r="CN3192">
        <v>0</v>
      </c>
      <c r="CO3192">
        <v>5</v>
      </c>
      <c r="CP3192" t="s">
        <v>119</v>
      </c>
      <c r="CQ3192">
        <v>364</v>
      </c>
      <c r="CR3192">
        <v>0</v>
      </c>
      <c r="CW3192">
        <v>1489752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3">
      <c r="A3193" t="str">
        <f>"03/24/2022 22:23:36.957"</f>
        <v>03/24/2022 22:23:36.957</v>
      </c>
      <c r="C3193" t="str">
        <f t="shared" si="943"/>
        <v>FFDFD3C0</v>
      </c>
      <c r="D3193" t="s">
        <v>126</v>
      </c>
      <c r="E3193">
        <v>3</v>
      </c>
      <c r="H3193">
        <v>160</v>
      </c>
      <c r="I3193" t="s">
        <v>121</v>
      </c>
      <c r="J3193" t="s">
        <v>127</v>
      </c>
      <c r="K3193">
        <v>0</v>
      </c>
      <c r="L3193">
        <v>3</v>
      </c>
      <c r="M3193">
        <v>0</v>
      </c>
      <c r="N3193">
        <v>2</v>
      </c>
      <c r="O3193">
        <v>0</v>
      </c>
      <c r="P3193">
        <v>1</v>
      </c>
      <c r="Q3193">
        <v>0</v>
      </c>
      <c r="S3193" t="str">
        <f t="shared" si="953"/>
        <v>22:23:36.000</v>
      </c>
      <c r="T3193" t="str">
        <f t="shared" si="953"/>
        <v>22:23:36.000</v>
      </c>
      <c r="U3193" t="str">
        <f t="shared" si="937"/>
        <v>A9D71F</v>
      </c>
      <c r="V3193">
        <v>0</v>
      </c>
      <c r="W3193">
        <v>0</v>
      </c>
      <c r="X3193">
        <v>2</v>
      </c>
      <c r="Z3193">
        <v>1</v>
      </c>
      <c r="AA3193">
        <v>8</v>
      </c>
      <c r="AB3193">
        <v>3</v>
      </c>
      <c r="AC3193">
        <v>0</v>
      </c>
      <c r="AD3193">
        <v>9</v>
      </c>
      <c r="AE3193">
        <v>0</v>
      </c>
      <c r="AF3193">
        <v>3</v>
      </c>
      <c r="AG3193">
        <v>1</v>
      </c>
      <c r="AH3193">
        <v>0</v>
      </c>
      <c r="AI3193" t="s">
        <v>1558</v>
      </c>
      <c r="AJ3193">
        <v>32.962567999999997</v>
      </c>
      <c r="AK3193" t="s">
        <v>1398</v>
      </c>
      <c r="AL3193">
        <v>-97.664337000000003</v>
      </c>
      <c r="AM3193">
        <v>25</v>
      </c>
      <c r="AN3193">
        <v>900</v>
      </c>
      <c r="AO3193" t="s">
        <v>118</v>
      </c>
      <c r="AP3193">
        <v>-4</v>
      </c>
      <c r="AQ3193">
        <v>-65</v>
      </c>
      <c r="AR3193">
        <v>-384</v>
      </c>
      <c r="AZ3193">
        <v>7700</v>
      </c>
      <c r="BA3193">
        <v>1</v>
      </c>
      <c r="BB3193" t="str">
        <f t="shared" si="944"/>
        <v xml:space="preserve">N733KP  </v>
      </c>
      <c r="BC3193">
        <v>1</v>
      </c>
      <c r="BE3193">
        <v>0</v>
      </c>
      <c r="BF3193">
        <v>0</v>
      </c>
      <c r="BG3193">
        <v>1</v>
      </c>
      <c r="BH3193">
        <v>875</v>
      </c>
      <c r="BI3193">
        <v>1</v>
      </c>
      <c r="BJ3193">
        <v>1</v>
      </c>
      <c r="BK3193">
        <v>0</v>
      </c>
      <c r="BL3193">
        <v>0</v>
      </c>
      <c r="BO3193">
        <v>0</v>
      </c>
      <c r="BP3193">
        <v>0</v>
      </c>
      <c r="BW3193" t="str">
        <f>"22:23:36.719"</f>
        <v>22:23:36.719</v>
      </c>
      <c r="CJ3193">
        <v>0</v>
      </c>
      <c r="CK3193">
        <v>2</v>
      </c>
      <c r="CL3193">
        <v>0</v>
      </c>
      <c r="CM3193">
        <v>2</v>
      </c>
      <c r="CN3193">
        <v>0</v>
      </c>
      <c r="CO3193">
        <v>5</v>
      </c>
      <c r="CP3193" t="s">
        <v>119</v>
      </c>
      <c r="CQ3193">
        <v>364</v>
      </c>
      <c r="CR3193">
        <v>0</v>
      </c>
      <c r="CW3193">
        <v>1489752</v>
      </c>
      <c r="CY3193">
        <v>1</v>
      </c>
      <c r="CZ3193">
        <v>0</v>
      </c>
      <c r="DA3193">
        <v>1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3">
      <c r="A3194" t="str">
        <f>"03/24/2022 22:23:36.957"</f>
        <v>03/24/2022 22:23:36.957</v>
      </c>
      <c r="C3194" t="str">
        <f t="shared" si="943"/>
        <v>FFDFD3C0</v>
      </c>
      <c r="D3194" t="s">
        <v>120</v>
      </c>
      <c r="E3194">
        <v>14</v>
      </c>
      <c r="F3194">
        <v>1014</v>
      </c>
      <c r="G3194" t="s">
        <v>121</v>
      </c>
      <c r="J3194" t="s">
        <v>122</v>
      </c>
      <c r="K3194">
        <v>0</v>
      </c>
      <c r="L3194">
        <v>3</v>
      </c>
      <c r="M3194">
        <v>0</v>
      </c>
      <c r="N3194">
        <v>2</v>
      </c>
      <c r="O3194">
        <v>0</v>
      </c>
      <c r="P3194">
        <v>1</v>
      </c>
      <c r="Q3194">
        <v>0</v>
      </c>
      <c r="S3194" t="str">
        <f t="shared" si="953"/>
        <v>22:23:36.000</v>
      </c>
      <c r="T3194" t="str">
        <f t="shared" si="953"/>
        <v>22:23:36.000</v>
      </c>
      <c r="U3194" t="str">
        <f t="shared" si="937"/>
        <v>A9D71F</v>
      </c>
      <c r="V3194">
        <v>0</v>
      </c>
      <c r="W3194">
        <v>0</v>
      </c>
      <c r="X3194">
        <v>2</v>
      </c>
      <c r="Z3194">
        <v>1</v>
      </c>
      <c r="AA3194">
        <v>8</v>
      </c>
      <c r="AB3194">
        <v>3</v>
      </c>
      <c r="AC3194">
        <v>0</v>
      </c>
      <c r="AD3194">
        <v>9</v>
      </c>
      <c r="AE3194">
        <v>0</v>
      </c>
      <c r="AF3194">
        <v>3</v>
      </c>
      <c r="AG3194">
        <v>1</v>
      </c>
      <c r="AH3194">
        <v>0</v>
      </c>
      <c r="AI3194" t="s">
        <v>1558</v>
      </c>
      <c r="AJ3194">
        <v>32.962567999999997</v>
      </c>
      <c r="AK3194" t="s">
        <v>1398</v>
      </c>
      <c r="AL3194">
        <v>-97.664337000000003</v>
      </c>
      <c r="AM3194">
        <v>25</v>
      </c>
      <c r="AN3194">
        <v>900</v>
      </c>
      <c r="AO3194" t="s">
        <v>118</v>
      </c>
      <c r="AP3194">
        <v>-4</v>
      </c>
      <c r="AQ3194">
        <v>-65</v>
      </c>
      <c r="AR3194">
        <v>-384</v>
      </c>
      <c r="AZ3194">
        <v>7700</v>
      </c>
      <c r="BA3194">
        <v>1</v>
      </c>
      <c r="BB3194" t="str">
        <f t="shared" si="944"/>
        <v xml:space="preserve">N733KP  </v>
      </c>
      <c r="BC3194">
        <v>1</v>
      </c>
      <c r="BE3194">
        <v>0</v>
      </c>
      <c r="BF3194">
        <v>0</v>
      </c>
      <c r="BG3194">
        <v>1</v>
      </c>
      <c r="BH3194">
        <v>875</v>
      </c>
      <c r="BI3194">
        <v>1</v>
      </c>
      <c r="BJ3194">
        <v>1</v>
      </c>
      <c r="BK3194">
        <v>0</v>
      </c>
      <c r="BL3194">
        <v>0</v>
      </c>
      <c r="BO3194">
        <v>0</v>
      </c>
      <c r="BP3194">
        <v>0</v>
      </c>
      <c r="BW3194" t="str">
        <f>"22:23:36.719"</f>
        <v>22:23:36.719</v>
      </c>
      <c r="CJ3194">
        <v>0</v>
      </c>
      <c r="CK3194">
        <v>2</v>
      </c>
      <c r="CL3194">
        <v>0</v>
      </c>
      <c r="CM3194">
        <v>2</v>
      </c>
      <c r="CN3194">
        <v>0</v>
      </c>
      <c r="CO3194">
        <v>5</v>
      </c>
      <c r="CP3194" t="s">
        <v>119</v>
      </c>
      <c r="CQ3194">
        <v>364</v>
      </c>
      <c r="CR3194">
        <v>0</v>
      </c>
      <c r="CW3194">
        <v>1489752</v>
      </c>
      <c r="CY3194">
        <v>1</v>
      </c>
      <c r="CZ3194">
        <v>0</v>
      </c>
      <c r="DA3194">
        <v>1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3">
      <c r="A3195" t="str">
        <f>"03/24/2022 22:23:37.505"</f>
        <v>03/24/2022 22:23:37.505</v>
      </c>
      <c r="C3195" t="str">
        <f t="shared" si="943"/>
        <v>FFDFD3C0</v>
      </c>
      <c r="D3195" t="s">
        <v>113</v>
      </c>
      <c r="E3195">
        <v>24</v>
      </c>
      <c r="F3195">
        <v>2024</v>
      </c>
      <c r="G3195" t="s">
        <v>114</v>
      </c>
      <c r="J3195" t="s">
        <v>115</v>
      </c>
      <c r="K3195">
        <v>0</v>
      </c>
      <c r="L3195">
        <v>3</v>
      </c>
      <c r="M3195">
        <v>0</v>
      </c>
      <c r="N3195">
        <v>2</v>
      </c>
      <c r="O3195">
        <v>0</v>
      </c>
      <c r="P3195">
        <v>1</v>
      </c>
      <c r="Q3195">
        <v>0</v>
      </c>
      <c r="S3195" t="str">
        <f t="shared" ref="S3195:T3198" si="954">"22:23:37.000"</f>
        <v>22:23:37.000</v>
      </c>
      <c r="T3195" t="str">
        <f t="shared" si="954"/>
        <v>22:23:37.000</v>
      </c>
      <c r="U3195" t="str">
        <f t="shared" si="937"/>
        <v>A9D71F</v>
      </c>
      <c r="V3195">
        <v>0</v>
      </c>
      <c r="W3195">
        <v>0</v>
      </c>
      <c r="X3195">
        <v>2</v>
      </c>
      <c r="Z3195">
        <v>1</v>
      </c>
      <c r="AA3195">
        <v>8</v>
      </c>
      <c r="AB3195">
        <v>3</v>
      </c>
      <c r="AC3195">
        <v>0</v>
      </c>
      <c r="AD3195">
        <v>9</v>
      </c>
      <c r="AE3195">
        <v>0</v>
      </c>
      <c r="AF3195">
        <v>3</v>
      </c>
      <c r="AG3195">
        <v>1</v>
      </c>
      <c r="AH3195">
        <v>0</v>
      </c>
      <c r="AI3195" t="s">
        <v>1559</v>
      </c>
      <c r="AJ3195">
        <v>32.962460999999998</v>
      </c>
      <c r="AK3195" t="s">
        <v>1551</v>
      </c>
      <c r="AL3195">
        <v>-97.664422999999999</v>
      </c>
      <c r="AM3195">
        <v>25</v>
      </c>
      <c r="AN3195">
        <v>900</v>
      </c>
      <c r="AO3195" t="s">
        <v>118</v>
      </c>
      <c r="AP3195">
        <v>-4</v>
      </c>
      <c r="AQ3195">
        <v>-59</v>
      </c>
      <c r="AR3195">
        <v>-448</v>
      </c>
      <c r="AZ3195">
        <v>7700</v>
      </c>
      <c r="BA3195">
        <v>1</v>
      </c>
      <c r="BB3195" t="str">
        <f t="shared" si="944"/>
        <v xml:space="preserve">N733KP  </v>
      </c>
      <c r="BC3195">
        <v>1</v>
      </c>
      <c r="BE3195">
        <v>0</v>
      </c>
      <c r="BF3195">
        <v>0</v>
      </c>
      <c r="BG3195">
        <v>1</v>
      </c>
      <c r="BH3195">
        <v>875</v>
      </c>
      <c r="BI3195">
        <v>1</v>
      </c>
      <c r="BJ3195">
        <v>1</v>
      </c>
      <c r="BK3195">
        <v>0</v>
      </c>
      <c r="BL3195">
        <v>0</v>
      </c>
      <c r="BO3195">
        <v>0</v>
      </c>
      <c r="BP3195">
        <v>0</v>
      </c>
      <c r="BW3195" t="str">
        <f>"22:23:37.334"</f>
        <v>22:23:37.334</v>
      </c>
      <c r="CJ3195">
        <v>0</v>
      </c>
      <c r="CK3195">
        <v>2</v>
      </c>
      <c r="CL3195">
        <v>0</v>
      </c>
      <c r="CM3195">
        <v>2</v>
      </c>
      <c r="CN3195">
        <v>0</v>
      </c>
      <c r="CO3195">
        <v>4</v>
      </c>
      <c r="CP3195" t="s">
        <v>119</v>
      </c>
      <c r="CQ3195">
        <v>364</v>
      </c>
      <c r="CR3195">
        <v>0</v>
      </c>
      <c r="CW3195">
        <v>1489825</v>
      </c>
      <c r="CY3195">
        <v>1</v>
      </c>
      <c r="CZ3195">
        <v>0</v>
      </c>
      <c r="DA3195">
        <v>0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3">
      <c r="A3196" t="str">
        <f>"03/24/2022 22:23:37.505"</f>
        <v>03/24/2022 22:23:37.505</v>
      </c>
      <c r="C3196" t="str">
        <f t="shared" si="943"/>
        <v>FFDFD3C0</v>
      </c>
      <c r="D3196" t="s">
        <v>123</v>
      </c>
      <c r="E3196">
        <v>8</v>
      </c>
      <c r="H3196">
        <v>31</v>
      </c>
      <c r="I3196" t="s">
        <v>124</v>
      </c>
      <c r="J3196" t="s">
        <v>125</v>
      </c>
      <c r="K3196">
        <v>0</v>
      </c>
      <c r="L3196">
        <v>3</v>
      </c>
      <c r="M3196">
        <v>0</v>
      </c>
      <c r="N3196">
        <v>2</v>
      </c>
      <c r="O3196">
        <v>0</v>
      </c>
      <c r="P3196">
        <v>1</v>
      </c>
      <c r="Q3196">
        <v>0</v>
      </c>
      <c r="S3196" t="str">
        <f t="shared" si="954"/>
        <v>22:23:37.000</v>
      </c>
      <c r="T3196" t="str">
        <f t="shared" si="954"/>
        <v>22:23:37.000</v>
      </c>
      <c r="U3196" t="str">
        <f t="shared" si="937"/>
        <v>A9D71F</v>
      </c>
      <c r="V3196">
        <v>0</v>
      </c>
      <c r="W3196">
        <v>0</v>
      </c>
      <c r="X3196">
        <v>2</v>
      </c>
      <c r="Z3196">
        <v>1</v>
      </c>
      <c r="AA3196">
        <v>8</v>
      </c>
      <c r="AB3196">
        <v>3</v>
      </c>
      <c r="AC3196">
        <v>0</v>
      </c>
      <c r="AD3196">
        <v>9</v>
      </c>
      <c r="AE3196">
        <v>0</v>
      </c>
      <c r="AF3196">
        <v>3</v>
      </c>
      <c r="AG3196">
        <v>1</v>
      </c>
      <c r="AH3196">
        <v>0</v>
      </c>
      <c r="AI3196" t="s">
        <v>1559</v>
      </c>
      <c r="AJ3196">
        <v>32.962460999999998</v>
      </c>
      <c r="AK3196" t="s">
        <v>1551</v>
      </c>
      <c r="AL3196">
        <v>-97.664422999999999</v>
      </c>
      <c r="AM3196">
        <v>25</v>
      </c>
      <c r="AN3196">
        <v>900</v>
      </c>
      <c r="AO3196" t="s">
        <v>118</v>
      </c>
      <c r="AP3196">
        <v>-4</v>
      </c>
      <c r="AQ3196">
        <v>-59</v>
      </c>
      <c r="AR3196">
        <v>-448</v>
      </c>
      <c r="AZ3196">
        <v>7700</v>
      </c>
      <c r="BA3196">
        <v>1</v>
      </c>
      <c r="BB3196" t="str">
        <f t="shared" si="944"/>
        <v xml:space="preserve">N733KP  </v>
      </c>
      <c r="BC3196">
        <v>1</v>
      </c>
      <c r="BE3196">
        <v>0</v>
      </c>
      <c r="BF3196">
        <v>0</v>
      </c>
      <c r="BG3196">
        <v>1</v>
      </c>
      <c r="BH3196">
        <v>875</v>
      </c>
      <c r="BI3196">
        <v>1</v>
      </c>
      <c r="BJ3196">
        <v>1</v>
      </c>
      <c r="BK3196">
        <v>0</v>
      </c>
      <c r="BL3196">
        <v>0</v>
      </c>
      <c r="BO3196">
        <v>0</v>
      </c>
      <c r="BP3196">
        <v>0</v>
      </c>
      <c r="BW3196" t="str">
        <f>"22:23:37.334"</f>
        <v>22:23:37.334</v>
      </c>
      <c r="CJ3196">
        <v>0</v>
      </c>
      <c r="CK3196">
        <v>2</v>
      </c>
      <c r="CL3196">
        <v>0</v>
      </c>
      <c r="CM3196">
        <v>2</v>
      </c>
      <c r="CN3196">
        <v>0</v>
      </c>
      <c r="CO3196">
        <v>4</v>
      </c>
      <c r="CP3196" t="s">
        <v>119</v>
      </c>
      <c r="CQ3196">
        <v>364</v>
      </c>
      <c r="CR3196">
        <v>0</v>
      </c>
      <c r="CW3196">
        <v>1489825</v>
      </c>
      <c r="CY3196">
        <v>1</v>
      </c>
      <c r="CZ3196">
        <v>0</v>
      </c>
      <c r="DA3196">
        <v>1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3">
      <c r="A3197" t="str">
        <f>"03/24/2022 22:23:37.505"</f>
        <v>03/24/2022 22:23:37.505</v>
      </c>
      <c r="C3197" t="str">
        <f t="shared" si="943"/>
        <v>FFDFD3C0</v>
      </c>
      <c r="D3197" t="s">
        <v>126</v>
      </c>
      <c r="E3197">
        <v>3</v>
      </c>
      <c r="H3197">
        <v>160</v>
      </c>
      <c r="I3197" t="s">
        <v>121</v>
      </c>
      <c r="J3197" t="s">
        <v>127</v>
      </c>
      <c r="K3197">
        <v>0</v>
      </c>
      <c r="L3197">
        <v>3</v>
      </c>
      <c r="M3197">
        <v>0</v>
      </c>
      <c r="N3197">
        <v>2</v>
      </c>
      <c r="O3197">
        <v>0</v>
      </c>
      <c r="P3197">
        <v>1</v>
      </c>
      <c r="Q3197">
        <v>0</v>
      </c>
      <c r="S3197" t="str">
        <f t="shared" si="954"/>
        <v>22:23:37.000</v>
      </c>
      <c r="T3197" t="str">
        <f t="shared" si="954"/>
        <v>22:23:37.000</v>
      </c>
      <c r="U3197" t="str">
        <f t="shared" si="937"/>
        <v>A9D71F</v>
      </c>
      <c r="V3197">
        <v>0</v>
      </c>
      <c r="W3197">
        <v>0</v>
      </c>
      <c r="X3197">
        <v>2</v>
      </c>
      <c r="Z3197">
        <v>1</v>
      </c>
      <c r="AA3197">
        <v>8</v>
      </c>
      <c r="AB3197">
        <v>3</v>
      </c>
      <c r="AC3197">
        <v>0</v>
      </c>
      <c r="AD3197">
        <v>9</v>
      </c>
      <c r="AE3197">
        <v>0</v>
      </c>
      <c r="AF3197">
        <v>3</v>
      </c>
      <c r="AG3197">
        <v>1</v>
      </c>
      <c r="AH3197">
        <v>0</v>
      </c>
      <c r="AI3197" t="s">
        <v>1559</v>
      </c>
      <c r="AJ3197">
        <v>32.962460999999998</v>
      </c>
      <c r="AK3197" t="s">
        <v>1551</v>
      </c>
      <c r="AL3197">
        <v>-97.664422999999999</v>
      </c>
      <c r="AM3197">
        <v>25</v>
      </c>
      <c r="AN3197">
        <v>900</v>
      </c>
      <c r="AO3197" t="s">
        <v>118</v>
      </c>
      <c r="AP3197">
        <v>-4</v>
      </c>
      <c r="AQ3197">
        <v>-59</v>
      </c>
      <c r="AR3197">
        <v>-448</v>
      </c>
      <c r="AZ3197">
        <v>7700</v>
      </c>
      <c r="BA3197">
        <v>1</v>
      </c>
      <c r="BB3197" t="str">
        <f t="shared" si="944"/>
        <v xml:space="preserve">N733KP  </v>
      </c>
      <c r="BC3197">
        <v>1</v>
      </c>
      <c r="BE3197">
        <v>0</v>
      </c>
      <c r="BF3197">
        <v>0</v>
      </c>
      <c r="BG3197">
        <v>1</v>
      </c>
      <c r="BH3197">
        <v>875</v>
      </c>
      <c r="BI3197">
        <v>1</v>
      </c>
      <c r="BJ3197">
        <v>1</v>
      </c>
      <c r="BK3197">
        <v>0</v>
      </c>
      <c r="BL3197">
        <v>0</v>
      </c>
      <c r="BO3197">
        <v>0</v>
      </c>
      <c r="BP3197">
        <v>0</v>
      </c>
      <c r="BW3197" t="str">
        <f>"22:23:37.334"</f>
        <v>22:23:37.334</v>
      </c>
      <c r="CJ3197">
        <v>0</v>
      </c>
      <c r="CK3197">
        <v>2</v>
      </c>
      <c r="CL3197">
        <v>0</v>
      </c>
      <c r="CM3197">
        <v>2</v>
      </c>
      <c r="CN3197">
        <v>0</v>
      </c>
      <c r="CO3197">
        <v>4</v>
      </c>
      <c r="CP3197" t="s">
        <v>119</v>
      </c>
      <c r="CQ3197">
        <v>364</v>
      </c>
      <c r="CR3197">
        <v>0</v>
      </c>
      <c r="CW3197">
        <v>1489825</v>
      </c>
      <c r="CY3197">
        <v>1</v>
      </c>
      <c r="CZ3197">
        <v>0</v>
      </c>
      <c r="DA3197">
        <v>1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3">
      <c r="A3198" t="str">
        <f>"03/24/2022 22:23:37.505"</f>
        <v>03/24/2022 22:23:37.505</v>
      </c>
      <c r="C3198" t="str">
        <f t="shared" si="943"/>
        <v>FFDFD3C0</v>
      </c>
      <c r="D3198" t="s">
        <v>120</v>
      </c>
      <c r="E3198">
        <v>14</v>
      </c>
      <c r="F3198">
        <v>1014</v>
      </c>
      <c r="G3198" t="s">
        <v>121</v>
      </c>
      <c r="J3198" t="s">
        <v>122</v>
      </c>
      <c r="K3198">
        <v>0</v>
      </c>
      <c r="L3198">
        <v>3</v>
      </c>
      <c r="M3198">
        <v>0</v>
      </c>
      <c r="N3198">
        <v>2</v>
      </c>
      <c r="O3198">
        <v>0</v>
      </c>
      <c r="P3198">
        <v>1</v>
      </c>
      <c r="Q3198">
        <v>0</v>
      </c>
      <c r="S3198" t="str">
        <f t="shared" si="954"/>
        <v>22:23:37.000</v>
      </c>
      <c r="T3198" t="str">
        <f t="shared" si="954"/>
        <v>22:23:37.000</v>
      </c>
      <c r="U3198" t="str">
        <f t="shared" si="937"/>
        <v>A9D71F</v>
      </c>
      <c r="V3198">
        <v>0</v>
      </c>
      <c r="W3198">
        <v>0</v>
      </c>
      <c r="X3198">
        <v>2</v>
      </c>
      <c r="Z3198">
        <v>1</v>
      </c>
      <c r="AA3198">
        <v>8</v>
      </c>
      <c r="AB3198">
        <v>3</v>
      </c>
      <c r="AC3198">
        <v>0</v>
      </c>
      <c r="AD3198">
        <v>9</v>
      </c>
      <c r="AE3198">
        <v>0</v>
      </c>
      <c r="AF3198">
        <v>3</v>
      </c>
      <c r="AG3198">
        <v>1</v>
      </c>
      <c r="AH3198">
        <v>0</v>
      </c>
      <c r="AI3198" t="s">
        <v>1559</v>
      </c>
      <c r="AJ3198">
        <v>32.962460999999998</v>
      </c>
      <c r="AK3198" t="s">
        <v>1551</v>
      </c>
      <c r="AL3198">
        <v>-97.664422999999999</v>
      </c>
      <c r="AM3198">
        <v>25</v>
      </c>
      <c r="AN3198">
        <v>900</v>
      </c>
      <c r="AO3198" t="s">
        <v>118</v>
      </c>
      <c r="AP3198">
        <v>-4</v>
      </c>
      <c r="AQ3198">
        <v>-59</v>
      </c>
      <c r="AR3198">
        <v>-448</v>
      </c>
      <c r="AZ3198">
        <v>7700</v>
      </c>
      <c r="BA3198">
        <v>1</v>
      </c>
      <c r="BB3198" t="str">
        <f t="shared" si="944"/>
        <v xml:space="preserve">N733KP  </v>
      </c>
      <c r="BC3198">
        <v>1</v>
      </c>
      <c r="BE3198">
        <v>0</v>
      </c>
      <c r="BF3198">
        <v>0</v>
      </c>
      <c r="BG3198">
        <v>1</v>
      </c>
      <c r="BH3198">
        <v>875</v>
      </c>
      <c r="BI3198">
        <v>1</v>
      </c>
      <c r="BJ3198">
        <v>1</v>
      </c>
      <c r="BK3198">
        <v>0</v>
      </c>
      <c r="BL3198">
        <v>0</v>
      </c>
      <c r="BO3198">
        <v>0</v>
      </c>
      <c r="BP3198">
        <v>0</v>
      </c>
      <c r="BW3198" t="str">
        <f>"22:23:37.334"</f>
        <v>22:23:37.334</v>
      </c>
      <c r="CJ3198">
        <v>0</v>
      </c>
      <c r="CK3198">
        <v>2</v>
      </c>
      <c r="CL3198">
        <v>0</v>
      </c>
      <c r="CM3198">
        <v>2</v>
      </c>
      <c r="CN3198">
        <v>0</v>
      </c>
      <c r="CO3198">
        <v>4</v>
      </c>
      <c r="CP3198" t="s">
        <v>119</v>
      </c>
      <c r="CQ3198">
        <v>364</v>
      </c>
      <c r="CR3198">
        <v>0</v>
      </c>
      <c r="CW3198">
        <v>1489825</v>
      </c>
      <c r="CY3198">
        <v>1</v>
      </c>
      <c r="CZ3198">
        <v>0</v>
      </c>
      <c r="DA3198">
        <v>1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3">
      <c r="A3199" t="str">
        <f>"03/24/2022 22:23:38.976"</f>
        <v>03/24/2022 22:23:38.976</v>
      </c>
      <c r="C3199" t="str">
        <f t="shared" si="943"/>
        <v>FFDFD3C0</v>
      </c>
      <c r="D3199" t="s">
        <v>113</v>
      </c>
      <c r="E3199">
        <v>24</v>
      </c>
      <c r="F3199">
        <v>2024</v>
      </c>
      <c r="G3199" t="s">
        <v>114</v>
      </c>
      <c r="J3199" t="s">
        <v>115</v>
      </c>
      <c r="K3199">
        <v>0</v>
      </c>
      <c r="L3199">
        <v>3</v>
      </c>
      <c r="M3199">
        <v>0</v>
      </c>
      <c r="N3199">
        <v>2</v>
      </c>
      <c r="O3199">
        <v>0</v>
      </c>
      <c r="P3199">
        <v>1</v>
      </c>
      <c r="Q3199">
        <v>0</v>
      </c>
      <c r="S3199" t="str">
        <f t="shared" ref="S3199:T3202" si="955">"22:23:38.000"</f>
        <v>22:23:38.000</v>
      </c>
      <c r="T3199" t="str">
        <f t="shared" si="955"/>
        <v>22:23:38.000</v>
      </c>
      <c r="U3199" t="str">
        <f t="shared" si="937"/>
        <v>A9D71F</v>
      </c>
      <c r="V3199">
        <v>0</v>
      </c>
      <c r="W3199">
        <v>0</v>
      </c>
      <c r="X3199">
        <v>2</v>
      </c>
      <c r="Z3199">
        <v>1</v>
      </c>
      <c r="AA3199">
        <v>8</v>
      </c>
      <c r="AB3199">
        <v>3</v>
      </c>
      <c r="AC3199">
        <v>0</v>
      </c>
      <c r="AD3199">
        <v>9</v>
      </c>
      <c r="AE3199">
        <v>0</v>
      </c>
      <c r="AF3199">
        <v>3</v>
      </c>
      <c r="AG3199">
        <v>1</v>
      </c>
      <c r="AH3199">
        <v>0</v>
      </c>
      <c r="AI3199" t="s">
        <v>1560</v>
      </c>
      <c r="AJ3199">
        <v>32.962203000000002</v>
      </c>
      <c r="AK3199" t="s">
        <v>1561</v>
      </c>
      <c r="AL3199">
        <v>-97.664486999999994</v>
      </c>
      <c r="AM3199">
        <v>25</v>
      </c>
      <c r="AN3199">
        <v>900</v>
      </c>
      <c r="AO3199" t="s">
        <v>118</v>
      </c>
      <c r="AP3199">
        <v>-5</v>
      </c>
      <c r="AQ3199">
        <v>-60</v>
      </c>
      <c r="AR3199">
        <v>-832</v>
      </c>
      <c r="AZ3199">
        <v>7700</v>
      </c>
      <c r="BA3199">
        <v>1</v>
      </c>
      <c r="BB3199" t="str">
        <f t="shared" si="944"/>
        <v xml:space="preserve">N733KP  </v>
      </c>
      <c r="BC3199">
        <v>1</v>
      </c>
      <c r="BE3199">
        <v>0</v>
      </c>
      <c r="BF3199">
        <v>0</v>
      </c>
      <c r="BG3199">
        <v>1</v>
      </c>
      <c r="BH3199">
        <v>875</v>
      </c>
      <c r="BI3199">
        <v>1</v>
      </c>
      <c r="BJ3199">
        <v>1</v>
      </c>
      <c r="BK3199">
        <v>0</v>
      </c>
      <c r="BL3199">
        <v>0</v>
      </c>
      <c r="BO3199">
        <v>0</v>
      </c>
      <c r="BP3199">
        <v>0</v>
      </c>
      <c r="BW3199" t="str">
        <f>"22:23:38.771"</f>
        <v>22:23:38.771</v>
      </c>
      <c r="CJ3199">
        <v>0</v>
      </c>
      <c r="CK3199">
        <v>2</v>
      </c>
      <c r="CL3199">
        <v>0</v>
      </c>
      <c r="CM3199">
        <v>2</v>
      </c>
      <c r="CN3199">
        <v>0</v>
      </c>
      <c r="CO3199">
        <v>4</v>
      </c>
      <c r="CP3199" t="s">
        <v>119</v>
      </c>
      <c r="CQ3199">
        <v>364</v>
      </c>
      <c r="CR3199">
        <v>0</v>
      </c>
      <c r="CW3199">
        <v>1490019</v>
      </c>
      <c r="CY3199">
        <v>1</v>
      </c>
      <c r="CZ3199">
        <v>0</v>
      </c>
      <c r="DA3199">
        <v>0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3">
      <c r="A3200" t="str">
        <f>"03/24/2022 22:23:38.976"</f>
        <v>03/24/2022 22:23:38.976</v>
      </c>
      <c r="C3200" t="str">
        <f t="shared" si="943"/>
        <v>FFDFD3C0</v>
      </c>
      <c r="D3200" t="s">
        <v>123</v>
      </c>
      <c r="E3200">
        <v>8</v>
      </c>
      <c r="H3200">
        <v>31</v>
      </c>
      <c r="I3200" t="s">
        <v>124</v>
      </c>
      <c r="J3200" t="s">
        <v>125</v>
      </c>
      <c r="K3200">
        <v>0</v>
      </c>
      <c r="L3200">
        <v>3</v>
      </c>
      <c r="M3200">
        <v>0</v>
      </c>
      <c r="N3200">
        <v>2</v>
      </c>
      <c r="O3200">
        <v>0</v>
      </c>
      <c r="P3200">
        <v>1</v>
      </c>
      <c r="Q3200">
        <v>0</v>
      </c>
      <c r="S3200" t="str">
        <f t="shared" si="955"/>
        <v>22:23:38.000</v>
      </c>
      <c r="T3200" t="str">
        <f t="shared" si="955"/>
        <v>22:23:38.000</v>
      </c>
      <c r="U3200" t="str">
        <f t="shared" si="937"/>
        <v>A9D71F</v>
      </c>
      <c r="V3200">
        <v>0</v>
      </c>
      <c r="W3200">
        <v>0</v>
      </c>
      <c r="X3200">
        <v>2</v>
      </c>
      <c r="Z3200">
        <v>1</v>
      </c>
      <c r="AA3200">
        <v>8</v>
      </c>
      <c r="AB3200">
        <v>3</v>
      </c>
      <c r="AC3200">
        <v>0</v>
      </c>
      <c r="AD3200">
        <v>9</v>
      </c>
      <c r="AE3200">
        <v>0</v>
      </c>
      <c r="AF3200">
        <v>3</v>
      </c>
      <c r="AG3200">
        <v>1</v>
      </c>
      <c r="AH3200">
        <v>0</v>
      </c>
      <c r="AI3200" t="s">
        <v>1560</v>
      </c>
      <c r="AJ3200">
        <v>32.962203000000002</v>
      </c>
      <c r="AK3200" t="s">
        <v>1561</v>
      </c>
      <c r="AL3200">
        <v>-97.664486999999994</v>
      </c>
      <c r="AM3200">
        <v>25</v>
      </c>
      <c r="AN3200">
        <v>900</v>
      </c>
      <c r="AO3200" t="s">
        <v>118</v>
      </c>
      <c r="AP3200">
        <v>-5</v>
      </c>
      <c r="AQ3200">
        <v>-60</v>
      </c>
      <c r="AR3200">
        <v>-832</v>
      </c>
      <c r="AZ3200">
        <v>7700</v>
      </c>
      <c r="BA3200">
        <v>1</v>
      </c>
      <c r="BB3200" t="str">
        <f t="shared" si="944"/>
        <v xml:space="preserve">N733KP  </v>
      </c>
      <c r="BC3200">
        <v>1</v>
      </c>
      <c r="BE3200">
        <v>0</v>
      </c>
      <c r="BF3200">
        <v>0</v>
      </c>
      <c r="BG3200">
        <v>1</v>
      </c>
      <c r="BH3200">
        <v>875</v>
      </c>
      <c r="BI3200">
        <v>1</v>
      </c>
      <c r="BJ3200">
        <v>1</v>
      </c>
      <c r="BK3200">
        <v>0</v>
      </c>
      <c r="BL3200">
        <v>0</v>
      </c>
      <c r="BO3200">
        <v>0</v>
      </c>
      <c r="BP3200">
        <v>0</v>
      </c>
      <c r="BW3200" t="str">
        <f>"22:23:38.771"</f>
        <v>22:23:38.771</v>
      </c>
      <c r="CJ3200">
        <v>0</v>
      </c>
      <c r="CK3200">
        <v>2</v>
      </c>
      <c r="CL3200">
        <v>0</v>
      </c>
      <c r="CM3200">
        <v>2</v>
      </c>
      <c r="CN3200">
        <v>0</v>
      </c>
      <c r="CO3200">
        <v>4</v>
      </c>
      <c r="CP3200" t="s">
        <v>119</v>
      </c>
      <c r="CQ3200">
        <v>364</v>
      </c>
      <c r="CR3200">
        <v>0</v>
      </c>
      <c r="CW3200">
        <v>1490019</v>
      </c>
      <c r="CY3200">
        <v>1</v>
      </c>
      <c r="CZ3200">
        <v>0</v>
      </c>
      <c r="DA3200">
        <v>1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3">
      <c r="A3201" t="str">
        <f>"03/24/2022 22:23:38.976"</f>
        <v>03/24/2022 22:23:38.976</v>
      </c>
      <c r="C3201" t="str">
        <f t="shared" si="943"/>
        <v>FFDFD3C0</v>
      </c>
      <c r="D3201" t="s">
        <v>126</v>
      </c>
      <c r="E3201">
        <v>3</v>
      </c>
      <c r="H3201">
        <v>160</v>
      </c>
      <c r="I3201" t="s">
        <v>121</v>
      </c>
      <c r="J3201" t="s">
        <v>127</v>
      </c>
      <c r="K3201">
        <v>0</v>
      </c>
      <c r="L3201">
        <v>3</v>
      </c>
      <c r="M3201">
        <v>0</v>
      </c>
      <c r="N3201">
        <v>2</v>
      </c>
      <c r="O3201">
        <v>0</v>
      </c>
      <c r="P3201">
        <v>1</v>
      </c>
      <c r="Q3201">
        <v>0</v>
      </c>
      <c r="S3201" t="str">
        <f t="shared" si="955"/>
        <v>22:23:38.000</v>
      </c>
      <c r="T3201" t="str">
        <f t="shared" si="955"/>
        <v>22:23:38.000</v>
      </c>
      <c r="U3201" t="str">
        <f t="shared" si="937"/>
        <v>A9D71F</v>
      </c>
      <c r="V3201">
        <v>0</v>
      </c>
      <c r="W3201">
        <v>0</v>
      </c>
      <c r="X3201">
        <v>2</v>
      </c>
      <c r="Z3201">
        <v>1</v>
      </c>
      <c r="AA3201">
        <v>8</v>
      </c>
      <c r="AB3201">
        <v>3</v>
      </c>
      <c r="AC3201">
        <v>0</v>
      </c>
      <c r="AD3201">
        <v>9</v>
      </c>
      <c r="AE3201">
        <v>0</v>
      </c>
      <c r="AF3201">
        <v>3</v>
      </c>
      <c r="AG3201">
        <v>1</v>
      </c>
      <c r="AH3201">
        <v>0</v>
      </c>
      <c r="AI3201" t="s">
        <v>1560</v>
      </c>
      <c r="AJ3201">
        <v>32.962203000000002</v>
      </c>
      <c r="AK3201" t="s">
        <v>1561</v>
      </c>
      <c r="AL3201">
        <v>-97.664486999999994</v>
      </c>
      <c r="AM3201">
        <v>25</v>
      </c>
      <c r="AN3201">
        <v>900</v>
      </c>
      <c r="AO3201" t="s">
        <v>118</v>
      </c>
      <c r="AP3201">
        <v>-5</v>
      </c>
      <c r="AQ3201">
        <v>-60</v>
      </c>
      <c r="AR3201">
        <v>-832</v>
      </c>
      <c r="AZ3201">
        <v>7700</v>
      </c>
      <c r="BA3201">
        <v>1</v>
      </c>
      <c r="BB3201" t="str">
        <f t="shared" si="944"/>
        <v xml:space="preserve">N733KP  </v>
      </c>
      <c r="BC3201">
        <v>1</v>
      </c>
      <c r="BE3201">
        <v>0</v>
      </c>
      <c r="BF3201">
        <v>0</v>
      </c>
      <c r="BG3201">
        <v>1</v>
      </c>
      <c r="BH3201">
        <v>875</v>
      </c>
      <c r="BI3201">
        <v>1</v>
      </c>
      <c r="BJ3201">
        <v>1</v>
      </c>
      <c r="BK3201">
        <v>0</v>
      </c>
      <c r="BL3201">
        <v>0</v>
      </c>
      <c r="BO3201">
        <v>0</v>
      </c>
      <c r="BP3201">
        <v>0</v>
      </c>
      <c r="BW3201" t="str">
        <f>"22:23:38.771"</f>
        <v>22:23:38.771</v>
      </c>
      <c r="CJ3201">
        <v>0</v>
      </c>
      <c r="CK3201">
        <v>2</v>
      </c>
      <c r="CL3201">
        <v>0</v>
      </c>
      <c r="CM3201">
        <v>2</v>
      </c>
      <c r="CN3201">
        <v>0</v>
      </c>
      <c r="CO3201">
        <v>4</v>
      </c>
      <c r="CP3201" t="s">
        <v>119</v>
      </c>
      <c r="CQ3201">
        <v>364</v>
      </c>
      <c r="CR3201">
        <v>0</v>
      </c>
      <c r="CW3201">
        <v>1490019</v>
      </c>
      <c r="CY3201">
        <v>1</v>
      </c>
      <c r="CZ3201">
        <v>0</v>
      </c>
      <c r="DA3201">
        <v>1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3">
      <c r="A3202" t="str">
        <f>"03/24/2022 22:23:38.976"</f>
        <v>03/24/2022 22:23:38.976</v>
      </c>
      <c r="C3202" t="str">
        <f t="shared" si="943"/>
        <v>FFDFD3C0</v>
      </c>
      <c r="D3202" t="s">
        <v>120</v>
      </c>
      <c r="E3202">
        <v>14</v>
      </c>
      <c r="F3202">
        <v>1014</v>
      </c>
      <c r="G3202" t="s">
        <v>121</v>
      </c>
      <c r="J3202" t="s">
        <v>122</v>
      </c>
      <c r="K3202">
        <v>0</v>
      </c>
      <c r="L3202">
        <v>3</v>
      </c>
      <c r="M3202">
        <v>0</v>
      </c>
      <c r="N3202">
        <v>2</v>
      </c>
      <c r="O3202">
        <v>0</v>
      </c>
      <c r="P3202">
        <v>1</v>
      </c>
      <c r="Q3202">
        <v>0</v>
      </c>
      <c r="S3202" t="str">
        <f t="shared" si="955"/>
        <v>22:23:38.000</v>
      </c>
      <c r="T3202" t="str">
        <f t="shared" si="955"/>
        <v>22:23:38.000</v>
      </c>
      <c r="U3202" t="str">
        <f t="shared" ref="U3202:U3214" si="956">"A9D71F"</f>
        <v>A9D71F</v>
      </c>
      <c r="V3202">
        <v>0</v>
      </c>
      <c r="W3202">
        <v>0</v>
      </c>
      <c r="X3202">
        <v>2</v>
      </c>
      <c r="Z3202">
        <v>1</v>
      </c>
      <c r="AA3202">
        <v>8</v>
      </c>
      <c r="AB3202">
        <v>3</v>
      </c>
      <c r="AC3202">
        <v>0</v>
      </c>
      <c r="AD3202">
        <v>9</v>
      </c>
      <c r="AE3202">
        <v>0</v>
      </c>
      <c r="AF3202">
        <v>3</v>
      </c>
      <c r="AG3202">
        <v>1</v>
      </c>
      <c r="AH3202">
        <v>0</v>
      </c>
      <c r="AI3202" t="s">
        <v>1560</v>
      </c>
      <c r="AJ3202">
        <v>32.962203000000002</v>
      </c>
      <c r="AK3202" t="s">
        <v>1561</v>
      </c>
      <c r="AL3202">
        <v>-97.664486999999994</v>
      </c>
      <c r="AM3202">
        <v>25</v>
      </c>
      <c r="AN3202">
        <v>900</v>
      </c>
      <c r="AO3202" t="s">
        <v>118</v>
      </c>
      <c r="AP3202">
        <v>-5</v>
      </c>
      <c r="AQ3202">
        <v>-60</v>
      </c>
      <c r="AR3202">
        <v>-832</v>
      </c>
      <c r="AZ3202">
        <v>7700</v>
      </c>
      <c r="BA3202">
        <v>1</v>
      </c>
      <c r="BB3202" t="str">
        <f t="shared" si="944"/>
        <v xml:space="preserve">N733KP  </v>
      </c>
      <c r="BC3202">
        <v>1</v>
      </c>
      <c r="BE3202">
        <v>0</v>
      </c>
      <c r="BF3202">
        <v>0</v>
      </c>
      <c r="BG3202">
        <v>1</v>
      </c>
      <c r="BH3202">
        <v>875</v>
      </c>
      <c r="BI3202">
        <v>1</v>
      </c>
      <c r="BJ3202">
        <v>1</v>
      </c>
      <c r="BK3202">
        <v>0</v>
      </c>
      <c r="BL3202">
        <v>0</v>
      </c>
      <c r="BO3202">
        <v>0</v>
      </c>
      <c r="BP3202">
        <v>0</v>
      </c>
      <c r="BW3202" t="str">
        <f>"22:23:38.771"</f>
        <v>22:23:38.771</v>
      </c>
      <c r="CJ3202">
        <v>0</v>
      </c>
      <c r="CK3202">
        <v>2</v>
      </c>
      <c r="CL3202">
        <v>0</v>
      </c>
      <c r="CM3202">
        <v>2</v>
      </c>
      <c r="CN3202">
        <v>0</v>
      </c>
      <c r="CO3202">
        <v>4</v>
      </c>
      <c r="CP3202" t="s">
        <v>119</v>
      </c>
      <c r="CQ3202">
        <v>364</v>
      </c>
      <c r="CR3202">
        <v>0</v>
      </c>
      <c r="CW3202">
        <v>1490019</v>
      </c>
      <c r="CY3202">
        <v>1</v>
      </c>
      <c r="CZ3202">
        <v>0</v>
      </c>
      <c r="DA3202">
        <v>1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3">
      <c r="A3203" t="str">
        <f>"03/24/2022 22:23:39.992"</f>
        <v>03/24/2022 22:23:39.992</v>
      </c>
      <c r="C3203" t="str">
        <f t="shared" si="943"/>
        <v>FFDFD3C0</v>
      </c>
      <c r="D3203" t="s">
        <v>113</v>
      </c>
      <c r="E3203">
        <v>24</v>
      </c>
      <c r="F3203">
        <v>2024</v>
      </c>
      <c r="G3203" t="s">
        <v>114</v>
      </c>
      <c r="J3203" t="s">
        <v>115</v>
      </c>
      <c r="K3203">
        <v>0</v>
      </c>
      <c r="L3203">
        <v>3</v>
      </c>
      <c r="M3203">
        <v>0</v>
      </c>
      <c r="N3203">
        <v>2</v>
      </c>
      <c r="O3203">
        <v>0</v>
      </c>
      <c r="P3203">
        <v>1</v>
      </c>
      <c r="Q3203">
        <v>0</v>
      </c>
      <c r="S3203" t="str">
        <f t="shared" ref="S3203:T3206" si="957">"22:23:39.000"</f>
        <v>22:23:39.000</v>
      </c>
      <c r="T3203" t="str">
        <f t="shared" si="957"/>
        <v>22:23:39.000</v>
      </c>
      <c r="U3203" t="str">
        <f t="shared" si="956"/>
        <v>A9D71F</v>
      </c>
      <c r="V3203">
        <v>0</v>
      </c>
      <c r="W3203">
        <v>0</v>
      </c>
      <c r="X3203">
        <v>2</v>
      </c>
      <c r="Z3203">
        <v>1</v>
      </c>
      <c r="AA3203">
        <v>8</v>
      </c>
      <c r="AB3203">
        <v>3</v>
      </c>
      <c r="AC3203">
        <v>0</v>
      </c>
      <c r="AD3203">
        <v>9</v>
      </c>
      <c r="AE3203">
        <v>0</v>
      </c>
      <c r="AF3203">
        <v>3</v>
      </c>
      <c r="AG3203">
        <v>1</v>
      </c>
      <c r="AH3203">
        <v>0</v>
      </c>
      <c r="AI3203" t="s">
        <v>1562</v>
      </c>
      <c r="AJ3203">
        <v>32.961880999999998</v>
      </c>
      <c r="AK3203" t="s">
        <v>1563</v>
      </c>
      <c r="AL3203">
        <v>-97.664466000000004</v>
      </c>
      <c r="AM3203">
        <v>25</v>
      </c>
      <c r="AN3203">
        <v>900</v>
      </c>
      <c r="AO3203" t="s">
        <v>118</v>
      </c>
      <c r="AP3203">
        <v>-2</v>
      </c>
      <c r="AQ3203">
        <v>-60</v>
      </c>
      <c r="AR3203">
        <v>-704</v>
      </c>
      <c r="AZ3203">
        <v>7700</v>
      </c>
      <c r="BA3203">
        <v>1</v>
      </c>
      <c r="BB3203" t="str">
        <f t="shared" si="944"/>
        <v xml:space="preserve">N733KP  </v>
      </c>
      <c r="BC3203">
        <v>1</v>
      </c>
      <c r="BE3203">
        <v>0</v>
      </c>
      <c r="BF3203">
        <v>0</v>
      </c>
      <c r="BG3203">
        <v>1</v>
      </c>
      <c r="BH3203">
        <v>875</v>
      </c>
      <c r="BI3203">
        <v>1</v>
      </c>
      <c r="BJ3203">
        <v>1</v>
      </c>
      <c r="BK3203">
        <v>0</v>
      </c>
      <c r="BL3203">
        <v>0</v>
      </c>
      <c r="BO3203">
        <v>0</v>
      </c>
      <c r="BP3203">
        <v>0</v>
      </c>
      <c r="BW3203" t="str">
        <f>"22:23:39.785"</f>
        <v>22:23:39.785</v>
      </c>
      <c r="CJ3203">
        <v>0</v>
      </c>
      <c r="CK3203">
        <v>2</v>
      </c>
      <c r="CL3203">
        <v>0</v>
      </c>
      <c r="CM3203">
        <v>2</v>
      </c>
      <c r="CN3203">
        <v>0</v>
      </c>
      <c r="CO3203">
        <v>5</v>
      </c>
      <c r="CP3203" t="s">
        <v>119</v>
      </c>
      <c r="CQ3203">
        <v>364</v>
      </c>
      <c r="CR3203">
        <v>0</v>
      </c>
      <c r="CW3203">
        <v>1490161</v>
      </c>
      <c r="CY3203">
        <v>1</v>
      </c>
      <c r="CZ3203">
        <v>0</v>
      </c>
      <c r="DA3203">
        <v>0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3">
      <c r="A3204" t="str">
        <f>"03/24/2022 22:23:39.992"</f>
        <v>03/24/2022 22:23:39.992</v>
      </c>
      <c r="C3204" t="str">
        <f t="shared" si="943"/>
        <v>FFDFD3C0</v>
      </c>
      <c r="D3204" t="s">
        <v>123</v>
      </c>
      <c r="E3204">
        <v>8</v>
      </c>
      <c r="H3204">
        <v>31</v>
      </c>
      <c r="I3204" t="s">
        <v>124</v>
      </c>
      <c r="J3204" t="s">
        <v>125</v>
      </c>
      <c r="K3204">
        <v>0</v>
      </c>
      <c r="L3204">
        <v>3</v>
      </c>
      <c r="M3204">
        <v>0</v>
      </c>
      <c r="N3204">
        <v>2</v>
      </c>
      <c r="O3204">
        <v>0</v>
      </c>
      <c r="P3204">
        <v>1</v>
      </c>
      <c r="Q3204">
        <v>0</v>
      </c>
      <c r="S3204" t="str">
        <f t="shared" si="957"/>
        <v>22:23:39.000</v>
      </c>
      <c r="T3204" t="str">
        <f t="shared" si="957"/>
        <v>22:23:39.000</v>
      </c>
      <c r="U3204" t="str">
        <f t="shared" si="956"/>
        <v>A9D71F</v>
      </c>
      <c r="V3204">
        <v>0</v>
      </c>
      <c r="W3204">
        <v>0</v>
      </c>
      <c r="X3204">
        <v>2</v>
      </c>
      <c r="Z3204">
        <v>1</v>
      </c>
      <c r="AA3204">
        <v>8</v>
      </c>
      <c r="AB3204">
        <v>3</v>
      </c>
      <c r="AC3204">
        <v>0</v>
      </c>
      <c r="AD3204">
        <v>9</v>
      </c>
      <c r="AE3204">
        <v>0</v>
      </c>
      <c r="AF3204">
        <v>3</v>
      </c>
      <c r="AG3204">
        <v>1</v>
      </c>
      <c r="AH3204">
        <v>0</v>
      </c>
      <c r="AI3204" t="s">
        <v>1562</v>
      </c>
      <c r="AJ3204">
        <v>32.961880999999998</v>
      </c>
      <c r="AK3204" t="s">
        <v>1563</v>
      </c>
      <c r="AL3204">
        <v>-97.664466000000004</v>
      </c>
      <c r="AM3204">
        <v>25</v>
      </c>
      <c r="AN3204">
        <v>900</v>
      </c>
      <c r="AO3204" t="s">
        <v>118</v>
      </c>
      <c r="AP3204">
        <v>-2</v>
      </c>
      <c r="AQ3204">
        <v>-60</v>
      </c>
      <c r="AR3204">
        <v>-704</v>
      </c>
      <c r="AZ3204">
        <v>7700</v>
      </c>
      <c r="BA3204">
        <v>1</v>
      </c>
      <c r="BB3204" t="str">
        <f t="shared" si="944"/>
        <v xml:space="preserve">N733KP  </v>
      </c>
      <c r="BC3204">
        <v>1</v>
      </c>
      <c r="BE3204">
        <v>0</v>
      </c>
      <c r="BF3204">
        <v>0</v>
      </c>
      <c r="BG3204">
        <v>1</v>
      </c>
      <c r="BH3204">
        <v>875</v>
      </c>
      <c r="BI3204">
        <v>1</v>
      </c>
      <c r="BJ3204">
        <v>1</v>
      </c>
      <c r="BK3204">
        <v>0</v>
      </c>
      <c r="BL3204">
        <v>0</v>
      </c>
      <c r="BO3204">
        <v>0</v>
      </c>
      <c r="BP3204">
        <v>0</v>
      </c>
      <c r="BW3204" t="str">
        <f>"22:23:39.785"</f>
        <v>22:23:39.785</v>
      </c>
      <c r="CJ3204">
        <v>0</v>
      </c>
      <c r="CK3204">
        <v>2</v>
      </c>
      <c r="CL3204">
        <v>0</v>
      </c>
      <c r="CM3204">
        <v>2</v>
      </c>
      <c r="CN3204">
        <v>0</v>
      </c>
      <c r="CO3204">
        <v>5</v>
      </c>
      <c r="CP3204" t="s">
        <v>119</v>
      </c>
      <c r="CQ3204">
        <v>364</v>
      </c>
      <c r="CR3204">
        <v>0</v>
      </c>
      <c r="CW3204">
        <v>1490161</v>
      </c>
      <c r="CY3204">
        <v>1</v>
      </c>
      <c r="CZ3204">
        <v>0</v>
      </c>
      <c r="DA3204">
        <v>1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3">
      <c r="A3205" t="str">
        <f>"03/24/2022 22:23:39.992"</f>
        <v>03/24/2022 22:23:39.992</v>
      </c>
      <c r="C3205" t="str">
        <f t="shared" si="943"/>
        <v>FFDFD3C0</v>
      </c>
      <c r="D3205" t="s">
        <v>126</v>
      </c>
      <c r="E3205">
        <v>3</v>
      </c>
      <c r="H3205">
        <v>160</v>
      </c>
      <c r="I3205" t="s">
        <v>121</v>
      </c>
      <c r="J3205" t="s">
        <v>127</v>
      </c>
      <c r="K3205">
        <v>0</v>
      </c>
      <c r="L3205">
        <v>3</v>
      </c>
      <c r="M3205">
        <v>0</v>
      </c>
      <c r="N3205">
        <v>2</v>
      </c>
      <c r="O3205">
        <v>0</v>
      </c>
      <c r="P3205">
        <v>1</v>
      </c>
      <c r="Q3205">
        <v>0</v>
      </c>
      <c r="S3205" t="str">
        <f t="shared" si="957"/>
        <v>22:23:39.000</v>
      </c>
      <c r="T3205" t="str">
        <f t="shared" si="957"/>
        <v>22:23:39.000</v>
      </c>
      <c r="U3205" t="str">
        <f t="shared" si="956"/>
        <v>A9D71F</v>
      </c>
      <c r="V3205">
        <v>0</v>
      </c>
      <c r="W3205">
        <v>0</v>
      </c>
      <c r="X3205">
        <v>2</v>
      </c>
      <c r="Z3205">
        <v>1</v>
      </c>
      <c r="AA3205">
        <v>8</v>
      </c>
      <c r="AB3205">
        <v>3</v>
      </c>
      <c r="AC3205">
        <v>0</v>
      </c>
      <c r="AD3205">
        <v>9</v>
      </c>
      <c r="AE3205">
        <v>0</v>
      </c>
      <c r="AF3205">
        <v>3</v>
      </c>
      <c r="AG3205">
        <v>1</v>
      </c>
      <c r="AH3205">
        <v>0</v>
      </c>
      <c r="AI3205" t="s">
        <v>1562</v>
      </c>
      <c r="AJ3205">
        <v>32.961880999999998</v>
      </c>
      <c r="AK3205" t="s">
        <v>1563</v>
      </c>
      <c r="AL3205">
        <v>-97.664466000000004</v>
      </c>
      <c r="AM3205">
        <v>25</v>
      </c>
      <c r="AN3205">
        <v>900</v>
      </c>
      <c r="AO3205" t="s">
        <v>118</v>
      </c>
      <c r="AP3205">
        <v>-2</v>
      </c>
      <c r="AQ3205">
        <v>-60</v>
      </c>
      <c r="AR3205">
        <v>-704</v>
      </c>
      <c r="AZ3205">
        <v>7700</v>
      </c>
      <c r="BA3205">
        <v>1</v>
      </c>
      <c r="BB3205" t="str">
        <f t="shared" si="944"/>
        <v xml:space="preserve">N733KP  </v>
      </c>
      <c r="BC3205">
        <v>1</v>
      </c>
      <c r="BE3205">
        <v>0</v>
      </c>
      <c r="BF3205">
        <v>0</v>
      </c>
      <c r="BG3205">
        <v>1</v>
      </c>
      <c r="BH3205">
        <v>875</v>
      </c>
      <c r="BI3205">
        <v>1</v>
      </c>
      <c r="BJ3205">
        <v>1</v>
      </c>
      <c r="BK3205">
        <v>0</v>
      </c>
      <c r="BL3205">
        <v>0</v>
      </c>
      <c r="BO3205">
        <v>0</v>
      </c>
      <c r="BP3205">
        <v>0</v>
      </c>
      <c r="BW3205" t="str">
        <f>"22:23:39.785"</f>
        <v>22:23:39.785</v>
      </c>
      <c r="CJ3205">
        <v>0</v>
      </c>
      <c r="CK3205">
        <v>2</v>
      </c>
      <c r="CL3205">
        <v>0</v>
      </c>
      <c r="CM3205">
        <v>2</v>
      </c>
      <c r="CN3205">
        <v>0</v>
      </c>
      <c r="CO3205">
        <v>5</v>
      </c>
      <c r="CP3205" t="s">
        <v>119</v>
      </c>
      <c r="CQ3205">
        <v>364</v>
      </c>
      <c r="CR3205">
        <v>0</v>
      </c>
      <c r="CW3205">
        <v>1490161</v>
      </c>
      <c r="CY3205">
        <v>1</v>
      </c>
      <c r="CZ3205">
        <v>0</v>
      </c>
      <c r="DA3205">
        <v>1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3">
      <c r="A3206" t="str">
        <f>"03/24/2022 22:23:39.992"</f>
        <v>03/24/2022 22:23:39.992</v>
      </c>
      <c r="C3206" t="str">
        <f t="shared" si="943"/>
        <v>FFDFD3C0</v>
      </c>
      <c r="D3206" t="s">
        <v>120</v>
      </c>
      <c r="E3206">
        <v>14</v>
      </c>
      <c r="F3206">
        <v>1014</v>
      </c>
      <c r="G3206" t="s">
        <v>121</v>
      </c>
      <c r="J3206" t="s">
        <v>122</v>
      </c>
      <c r="K3206">
        <v>0</v>
      </c>
      <c r="L3206">
        <v>3</v>
      </c>
      <c r="M3206">
        <v>0</v>
      </c>
      <c r="N3206">
        <v>2</v>
      </c>
      <c r="O3206">
        <v>0</v>
      </c>
      <c r="P3206">
        <v>1</v>
      </c>
      <c r="Q3206">
        <v>0</v>
      </c>
      <c r="S3206" t="str">
        <f t="shared" si="957"/>
        <v>22:23:39.000</v>
      </c>
      <c r="T3206" t="str">
        <f t="shared" si="957"/>
        <v>22:23:39.000</v>
      </c>
      <c r="U3206" t="str">
        <f t="shared" si="956"/>
        <v>A9D71F</v>
      </c>
      <c r="V3206">
        <v>0</v>
      </c>
      <c r="W3206">
        <v>0</v>
      </c>
      <c r="X3206">
        <v>2</v>
      </c>
      <c r="Z3206">
        <v>1</v>
      </c>
      <c r="AA3206">
        <v>8</v>
      </c>
      <c r="AB3206">
        <v>3</v>
      </c>
      <c r="AC3206">
        <v>0</v>
      </c>
      <c r="AD3206">
        <v>9</v>
      </c>
      <c r="AE3206">
        <v>0</v>
      </c>
      <c r="AF3206">
        <v>3</v>
      </c>
      <c r="AG3206">
        <v>1</v>
      </c>
      <c r="AH3206">
        <v>0</v>
      </c>
      <c r="AI3206" t="s">
        <v>1562</v>
      </c>
      <c r="AJ3206">
        <v>32.961880999999998</v>
      </c>
      <c r="AK3206" t="s">
        <v>1563</v>
      </c>
      <c r="AL3206">
        <v>-97.664466000000004</v>
      </c>
      <c r="AM3206">
        <v>25</v>
      </c>
      <c r="AN3206">
        <v>900</v>
      </c>
      <c r="AO3206" t="s">
        <v>118</v>
      </c>
      <c r="AP3206">
        <v>-2</v>
      </c>
      <c r="AQ3206">
        <v>-60</v>
      </c>
      <c r="AR3206">
        <v>-704</v>
      </c>
      <c r="AZ3206">
        <v>7700</v>
      </c>
      <c r="BA3206">
        <v>1</v>
      </c>
      <c r="BB3206" t="str">
        <f t="shared" si="944"/>
        <v xml:space="preserve">N733KP  </v>
      </c>
      <c r="BC3206">
        <v>1</v>
      </c>
      <c r="BE3206">
        <v>0</v>
      </c>
      <c r="BF3206">
        <v>0</v>
      </c>
      <c r="BG3206">
        <v>1</v>
      </c>
      <c r="BH3206">
        <v>875</v>
      </c>
      <c r="BI3206">
        <v>1</v>
      </c>
      <c r="BJ3206">
        <v>1</v>
      </c>
      <c r="BK3206">
        <v>0</v>
      </c>
      <c r="BL3206">
        <v>0</v>
      </c>
      <c r="BO3206">
        <v>0</v>
      </c>
      <c r="BP3206">
        <v>0</v>
      </c>
      <c r="BW3206" t="str">
        <f>"22:23:39.785"</f>
        <v>22:23:39.785</v>
      </c>
      <c r="CJ3206">
        <v>0</v>
      </c>
      <c r="CK3206">
        <v>2</v>
      </c>
      <c r="CL3206">
        <v>0</v>
      </c>
      <c r="CM3206">
        <v>2</v>
      </c>
      <c r="CN3206">
        <v>0</v>
      </c>
      <c r="CO3206">
        <v>5</v>
      </c>
      <c r="CP3206" t="s">
        <v>119</v>
      </c>
      <c r="CQ3206">
        <v>364</v>
      </c>
      <c r="CR3206">
        <v>0</v>
      </c>
      <c r="CW3206">
        <v>1490161</v>
      </c>
      <c r="CY3206">
        <v>1</v>
      </c>
      <c r="CZ3206">
        <v>0</v>
      </c>
      <c r="DA3206">
        <v>1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3">
      <c r="A3207" t="str">
        <f>"03/24/2022 22:23:40.445"</f>
        <v>03/24/2022 22:23:40.445</v>
      </c>
      <c r="C3207" t="str">
        <f t="shared" si="943"/>
        <v>FFDFD3C0</v>
      </c>
      <c r="D3207" t="s">
        <v>123</v>
      </c>
      <c r="E3207">
        <v>8</v>
      </c>
      <c r="H3207">
        <v>31</v>
      </c>
      <c r="I3207" t="s">
        <v>124</v>
      </c>
      <c r="J3207" t="s">
        <v>125</v>
      </c>
      <c r="K3207">
        <v>0</v>
      </c>
      <c r="L3207">
        <v>3</v>
      </c>
      <c r="M3207">
        <v>0</v>
      </c>
      <c r="N3207">
        <v>2</v>
      </c>
      <c r="O3207">
        <v>0</v>
      </c>
      <c r="P3207">
        <v>1</v>
      </c>
      <c r="Q3207">
        <v>0</v>
      </c>
      <c r="S3207" t="str">
        <f t="shared" ref="S3207:T3210" si="958">"22:23:40.000"</f>
        <v>22:23:40.000</v>
      </c>
      <c r="T3207" t="str">
        <f t="shared" si="958"/>
        <v>22:23:40.000</v>
      </c>
      <c r="U3207" t="str">
        <f t="shared" si="956"/>
        <v>A9D71F</v>
      </c>
      <c r="V3207">
        <v>0</v>
      </c>
      <c r="W3207">
        <v>0</v>
      </c>
      <c r="X3207">
        <v>2</v>
      </c>
      <c r="Z3207">
        <v>1</v>
      </c>
      <c r="AA3207">
        <v>8</v>
      </c>
      <c r="AB3207">
        <v>3</v>
      </c>
      <c r="AC3207">
        <v>0</v>
      </c>
      <c r="AD3207">
        <v>9</v>
      </c>
      <c r="AE3207">
        <v>0</v>
      </c>
      <c r="AF3207">
        <v>3</v>
      </c>
      <c r="AG3207">
        <v>1</v>
      </c>
      <c r="AH3207">
        <v>0</v>
      </c>
      <c r="AI3207" t="s">
        <v>1564</v>
      </c>
      <c r="AJ3207">
        <v>32.961601999999999</v>
      </c>
      <c r="AK3207" t="s">
        <v>1565</v>
      </c>
      <c r="AL3207">
        <v>-97.664529999999999</v>
      </c>
      <c r="AM3207">
        <v>25</v>
      </c>
      <c r="AN3207">
        <v>900</v>
      </c>
      <c r="AO3207" t="s">
        <v>118</v>
      </c>
      <c r="AP3207">
        <v>-2</v>
      </c>
      <c r="AQ3207">
        <v>-50</v>
      </c>
      <c r="AR3207">
        <v>-512</v>
      </c>
      <c r="AZ3207">
        <v>7700</v>
      </c>
      <c r="BA3207">
        <v>1</v>
      </c>
      <c r="BB3207" t="str">
        <f t="shared" si="944"/>
        <v xml:space="preserve">N733KP  </v>
      </c>
      <c r="BC3207">
        <v>1</v>
      </c>
      <c r="BE3207">
        <v>0</v>
      </c>
      <c r="BF3207">
        <v>0</v>
      </c>
      <c r="BG3207">
        <v>1</v>
      </c>
      <c r="BH3207">
        <v>875</v>
      </c>
      <c r="BI3207">
        <v>1</v>
      </c>
      <c r="BJ3207">
        <v>1</v>
      </c>
      <c r="BK3207">
        <v>0</v>
      </c>
      <c r="BL3207">
        <v>0</v>
      </c>
      <c r="BO3207">
        <v>0</v>
      </c>
      <c r="BP3207">
        <v>0</v>
      </c>
      <c r="BW3207" t="str">
        <f>"22:23:40.216"</f>
        <v>22:23:40.216</v>
      </c>
      <c r="CJ3207">
        <v>0</v>
      </c>
      <c r="CK3207">
        <v>2</v>
      </c>
      <c r="CL3207">
        <v>0</v>
      </c>
      <c r="CM3207">
        <v>2</v>
      </c>
      <c r="CN3207">
        <v>0</v>
      </c>
      <c r="CO3207">
        <v>4</v>
      </c>
      <c r="CP3207" t="s">
        <v>119</v>
      </c>
      <c r="CQ3207">
        <v>364</v>
      </c>
      <c r="CR3207">
        <v>0</v>
      </c>
      <c r="CW3207">
        <v>1490211</v>
      </c>
      <c r="CY3207">
        <v>1</v>
      </c>
      <c r="CZ3207">
        <v>0</v>
      </c>
      <c r="DA3207">
        <v>0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3">
      <c r="A3208" t="str">
        <f>"03/24/2022 22:23:40.445"</f>
        <v>03/24/2022 22:23:40.445</v>
      </c>
      <c r="C3208" t="str">
        <f t="shared" si="943"/>
        <v>FFDFD3C0</v>
      </c>
      <c r="D3208" t="s">
        <v>113</v>
      </c>
      <c r="E3208">
        <v>24</v>
      </c>
      <c r="F3208">
        <v>2024</v>
      </c>
      <c r="G3208" t="s">
        <v>114</v>
      </c>
      <c r="J3208" t="s">
        <v>115</v>
      </c>
      <c r="K3208">
        <v>0</v>
      </c>
      <c r="L3208">
        <v>3</v>
      </c>
      <c r="M3208">
        <v>0</v>
      </c>
      <c r="N3208">
        <v>2</v>
      </c>
      <c r="O3208">
        <v>0</v>
      </c>
      <c r="P3208">
        <v>1</v>
      </c>
      <c r="Q3208">
        <v>0</v>
      </c>
      <c r="S3208" t="str">
        <f t="shared" si="958"/>
        <v>22:23:40.000</v>
      </c>
      <c r="T3208" t="str">
        <f t="shared" si="958"/>
        <v>22:23:40.000</v>
      </c>
      <c r="U3208" t="str">
        <f t="shared" si="956"/>
        <v>A9D71F</v>
      </c>
      <c r="V3208">
        <v>0</v>
      </c>
      <c r="W3208">
        <v>0</v>
      </c>
      <c r="X3208">
        <v>2</v>
      </c>
      <c r="Z3208">
        <v>1</v>
      </c>
      <c r="AA3208">
        <v>8</v>
      </c>
      <c r="AB3208">
        <v>3</v>
      </c>
      <c r="AC3208">
        <v>0</v>
      </c>
      <c r="AD3208">
        <v>9</v>
      </c>
      <c r="AE3208">
        <v>0</v>
      </c>
      <c r="AF3208">
        <v>3</v>
      </c>
      <c r="AG3208">
        <v>1</v>
      </c>
      <c r="AH3208">
        <v>0</v>
      </c>
      <c r="AI3208" t="s">
        <v>1564</v>
      </c>
      <c r="AJ3208">
        <v>32.961601999999999</v>
      </c>
      <c r="AK3208" t="s">
        <v>1565</v>
      </c>
      <c r="AL3208">
        <v>-97.664529999999999</v>
      </c>
      <c r="AM3208">
        <v>25</v>
      </c>
      <c r="AN3208">
        <v>900</v>
      </c>
      <c r="AO3208" t="s">
        <v>118</v>
      </c>
      <c r="AP3208">
        <v>-2</v>
      </c>
      <c r="AQ3208">
        <v>-50</v>
      </c>
      <c r="AR3208">
        <v>-512</v>
      </c>
      <c r="AZ3208">
        <v>7700</v>
      </c>
      <c r="BA3208">
        <v>1</v>
      </c>
      <c r="BB3208" t="str">
        <f t="shared" si="944"/>
        <v xml:space="preserve">N733KP  </v>
      </c>
      <c r="BC3208">
        <v>1</v>
      </c>
      <c r="BE3208">
        <v>0</v>
      </c>
      <c r="BF3208">
        <v>0</v>
      </c>
      <c r="BG3208">
        <v>1</v>
      </c>
      <c r="BH3208">
        <v>875</v>
      </c>
      <c r="BI3208">
        <v>1</v>
      </c>
      <c r="BJ3208">
        <v>1</v>
      </c>
      <c r="BK3208">
        <v>0</v>
      </c>
      <c r="BL3208">
        <v>0</v>
      </c>
      <c r="BO3208">
        <v>0</v>
      </c>
      <c r="BP3208">
        <v>0</v>
      </c>
      <c r="BW3208" t="str">
        <f>"22:23:40.216"</f>
        <v>22:23:40.216</v>
      </c>
      <c r="CJ3208">
        <v>0</v>
      </c>
      <c r="CK3208">
        <v>2</v>
      </c>
      <c r="CL3208">
        <v>0</v>
      </c>
      <c r="CM3208">
        <v>2</v>
      </c>
      <c r="CN3208">
        <v>0</v>
      </c>
      <c r="CO3208">
        <v>4</v>
      </c>
      <c r="CP3208" t="s">
        <v>119</v>
      </c>
      <c r="CQ3208">
        <v>364</v>
      </c>
      <c r="CR3208">
        <v>0</v>
      </c>
      <c r="CW3208">
        <v>1490211</v>
      </c>
      <c r="CY3208">
        <v>1</v>
      </c>
      <c r="CZ3208">
        <v>0</v>
      </c>
      <c r="DA3208">
        <v>1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3">
      <c r="A3209" t="str">
        <f>"03/24/2022 22:23:40.445"</f>
        <v>03/24/2022 22:23:40.445</v>
      </c>
      <c r="C3209" t="str">
        <f t="shared" si="943"/>
        <v>FFDFD3C0</v>
      </c>
      <c r="D3209" t="s">
        <v>126</v>
      </c>
      <c r="E3209">
        <v>3</v>
      </c>
      <c r="H3209">
        <v>160</v>
      </c>
      <c r="I3209" t="s">
        <v>121</v>
      </c>
      <c r="J3209" t="s">
        <v>127</v>
      </c>
      <c r="K3209">
        <v>0</v>
      </c>
      <c r="L3209">
        <v>3</v>
      </c>
      <c r="M3209">
        <v>0</v>
      </c>
      <c r="N3209">
        <v>2</v>
      </c>
      <c r="O3209">
        <v>0</v>
      </c>
      <c r="P3209">
        <v>1</v>
      </c>
      <c r="Q3209">
        <v>0</v>
      </c>
      <c r="S3209" t="str">
        <f t="shared" si="958"/>
        <v>22:23:40.000</v>
      </c>
      <c r="T3209" t="str">
        <f t="shared" si="958"/>
        <v>22:23:40.000</v>
      </c>
      <c r="U3209" t="str">
        <f t="shared" si="956"/>
        <v>A9D71F</v>
      </c>
      <c r="V3209">
        <v>0</v>
      </c>
      <c r="W3209">
        <v>0</v>
      </c>
      <c r="X3209">
        <v>2</v>
      </c>
      <c r="Z3209">
        <v>1</v>
      </c>
      <c r="AA3209">
        <v>8</v>
      </c>
      <c r="AB3209">
        <v>3</v>
      </c>
      <c r="AC3209">
        <v>0</v>
      </c>
      <c r="AD3209">
        <v>9</v>
      </c>
      <c r="AE3209">
        <v>0</v>
      </c>
      <c r="AF3209">
        <v>3</v>
      </c>
      <c r="AG3209">
        <v>1</v>
      </c>
      <c r="AH3209">
        <v>0</v>
      </c>
      <c r="AI3209" t="s">
        <v>1564</v>
      </c>
      <c r="AJ3209">
        <v>32.961601999999999</v>
      </c>
      <c r="AK3209" t="s">
        <v>1565</v>
      </c>
      <c r="AL3209">
        <v>-97.664529999999999</v>
      </c>
      <c r="AM3209">
        <v>25</v>
      </c>
      <c r="AN3209">
        <v>900</v>
      </c>
      <c r="AO3209" t="s">
        <v>118</v>
      </c>
      <c r="AP3209">
        <v>-2</v>
      </c>
      <c r="AQ3209">
        <v>-50</v>
      </c>
      <c r="AR3209">
        <v>-512</v>
      </c>
      <c r="AZ3209">
        <v>7700</v>
      </c>
      <c r="BA3209">
        <v>1</v>
      </c>
      <c r="BB3209" t="str">
        <f t="shared" si="944"/>
        <v xml:space="preserve">N733KP  </v>
      </c>
      <c r="BC3209">
        <v>1</v>
      </c>
      <c r="BE3209">
        <v>0</v>
      </c>
      <c r="BF3209">
        <v>0</v>
      </c>
      <c r="BG3209">
        <v>1</v>
      </c>
      <c r="BH3209">
        <v>875</v>
      </c>
      <c r="BI3209">
        <v>1</v>
      </c>
      <c r="BJ3209">
        <v>1</v>
      </c>
      <c r="BK3209">
        <v>0</v>
      </c>
      <c r="BL3209">
        <v>0</v>
      </c>
      <c r="BO3209">
        <v>0</v>
      </c>
      <c r="BP3209">
        <v>0</v>
      </c>
      <c r="BW3209" t="str">
        <f>"22:23:40.216"</f>
        <v>22:23:40.216</v>
      </c>
      <c r="CJ3209">
        <v>0</v>
      </c>
      <c r="CK3209">
        <v>2</v>
      </c>
      <c r="CL3209">
        <v>0</v>
      </c>
      <c r="CM3209">
        <v>2</v>
      </c>
      <c r="CN3209">
        <v>0</v>
      </c>
      <c r="CO3209">
        <v>4</v>
      </c>
      <c r="CP3209" t="s">
        <v>119</v>
      </c>
      <c r="CQ3209">
        <v>364</v>
      </c>
      <c r="CR3209">
        <v>0</v>
      </c>
      <c r="CW3209">
        <v>1490211</v>
      </c>
      <c r="CY3209">
        <v>1</v>
      </c>
      <c r="CZ3209">
        <v>0</v>
      </c>
      <c r="DA3209">
        <v>1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3">
      <c r="A3210" t="str">
        <f>"03/24/2022 22:23:40.445"</f>
        <v>03/24/2022 22:23:40.445</v>
      </c>
      <c r="C3210" t="str">
        <f t="shared" si="943"/>
        <v>FFDFD3C0</v>
      </c>
      <c r="D3210" t="s">
        <v>120</v>
      </c>
      <c r="E3210">
        <v>14</v>
      </c>
      <c r="F3210">
        <v>1014</v>
      </c>
      <c r="G3210" t="s">
        <v>121</v>
      </c>
      <c r="J3210" t="s">
        <v>122</v>
      </c>
      <c r="K3210">
        <v>0</v>
      </c>
      <c r="L3210">
        <v>3</v>
      </c>
      <c r="M3210">
        <v>0</v>
      </c>
      <c r="N3210">
        <v>2</v>
      </c>
      <c r="O3210">
        <v>0</v>
      </c>
      <c r="P3210">
        <v>1</v>
      </c>
      <c r="Q3210">
        <v>0</v>
      </c>
      <c r="S3210" t="str">
        <f t="shared" si="958"/>
        <v>22:23:40.000</v>
      </c>
      <c r="T3210" t="str">
        <f t="shared" si="958"/>
        <v>22:23:40.000</v>
      </c>
      <c r="U3210" t="str">
        <f t="shared" si="956"/>
        <v>A9D71F</v>
      </c>
      <c r="V3210">
        <v>0</v>
      </c>
      <c r="W3210">
        <v>0</v>
      </c>
      <c r="X3210">
        <v>2</v>
      </c>
      <c r="Z3210">
        <v>1</v>
      </c>
      <c r="AA3210">
        <v>8</v>
      </c>
      <c r="AB3210">
        <v>3</v>
      </c>
      <c r="AC3210">
        <v>0</v>
      </c>
      <c r="AD3210">
        <v>9</v>
      </c>
      <c r="AE3210">
        <v>0</v>
      </c>
      <c r="AF3210">
        <v>3</v>
      </c>
      <c r="AG3210">
        <v>1</v>
      </c>
      <c r="AH3210">
        <v>0</v>
      </c>
      <c r="AI3210" t="s">
        <v>1564</v>
      </c>
      <c r="AJ3210">
        <v>32.961601999999999</v>
      </c>
      <c r="AK3210" t="s">
        <v>1565</v>
      </c>
      <c r="AL3210">
        <v>-97.664529999999999</v>
      </c>
      <c r="AM3210">
        <v>25</v>
      </c>
      <c r="AN3210">
        <v>900</v>
      </c>
      <c r="AO3210" t="s">
        <v>118</v>
      </c>
      <c r="AP3210">
        <v>-2</v>
      </c>
      <c r="AQ3210">
        <v>-50</v>
      </c>
      <c r="AR3210">
        <v>-512</v>
      </c>
      <c r="AZ3210">
        <v>7700</v>
      </c>
      <c r="BA3210">
        <v>1</v>
      </c>
      <c r="BB3210" t="str">
        <f t="shared" si="944"/>
        <v xml:space="preserve">N733KP  </v>
      </c>
      <c r="BC3210">
        <v>1</v>
      </c>
      <c r="BE3210">
        <v>0</v>
      </c>
      <c r="BF3210">
        <v>0</v>
      </c>
      <c r="BG3210">
        <v>1</v>
      </c>
      <c r="BH3210">
        <v>875</v>
      </c>
      <c r="BI3210">
        <v>1</v>
      </c>
      <c r="BJ3210">
        <v>1</v>
      </c>
      <c r="BK3210">
        <v>0</v>
      </c>
      <c r="BL3210">
        <v>0</v>
      </c>
      <c r="BO3210">
        <v>0</v>
      </c>
      <c r="BP3210">
        <v>0</v>
      </c>
      <c r="BW3210" t="str">
        <f>"22:23:40.216"</f>
        <v>22:23:40.216</v>
      </c>
      <c r="CJ3210">
        <v>0</v>
      </c>
      <c r="CK3210">
        <v>2</v>
      </c>
      <c r="CL3210">
        <v>0</v>
      </c>
      <c r="CM3210">
        <v>2</v>
      </c>
      <c r="CN3210">
        <v>0</v>
      </c>
      <c r="CO3210">
        <v>4</v>
      </c>
      <c r="CP3210" t="s">
        <v>119</v>
      </c>
      <c r="CQ3210">
        <v>364</v>
      </c>
      <c r="CR3210">
        <v>0</v>
      </c>
      <c r="CW3210">
        <v>1490211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3">
      <c r="A3211" t="str">
        <f>"03/24/2022 22:23:41.992"</f>
        <v>03/24/2022 22:23:41.992</v>
      </c>
      <c r="C3211" t="str">
        <f t="shared" si="943"/>
        <v>FFDFD3C0</v>
      </c>
      <c r="D3211" t="s">
        <v>126</v>
      </c>
      <c r="E3211">
        <v>3</v>
      </c>
      <c r="H3211">
        <v>160</v>
      </c>
      <c r="I3211" t="s">
        <v>121</v>
      </c>
      <c r="J3211" t="s">
        <v>127</v>
      </c>
      <c r="K3211">
        <v>0</v>
      </c>
      <c r="L3211">
        <v>3</v>
      </c>
      <c r="M3211">
        <v>0</v>
      </c>
      <c r="N3211">
        <v>2</v>
      </c>
      <c r="O3211">
        <v>0</v>
      </c>
      <c r="P3211">
        <v>1</v>
      </c>
      <c r="Q3211">
        <v>0</v>
      </c>
      <c r="S3211" t="str">
        <f t="shared" ref="S3211:T3214" si="959">"22:23:41.000"</f>
        <v>22:23:41.000</v>
      </c>
      <c r="T3211" t="str">
        <f t="shared" si="959"/>
        <v>22:23:41.000</v>
      </c>
      <c r="U3211" t="str">
        <f t="shared" si="956"/>
        <v>A9D71F</v>
      </c>
      <c r="V3211">
        <v>0</v>
      </c>
      <c r="W3211">
        <v>0</v>
      </c>
      <c r="X3211">
        <v>2</v>
      </c>
      <c r="Z3211">
        <v>1</v>
      </c>
      <c r="AA3211">
        <v>8</v>
      </c>
      <c r="AB3211">
        <v>3</v>
      </c>
      <c r="AC3211">
        <v>0</v>
      </c>
      <c r="AD3211">
        <v>9</v>
      </c>
      <c r="AE3211">
        <v>0</v>
      </c>
      <c r="AF3211">
        <v>3</v>
      </c>
      <c r="AG3211">
        <v>1</v>
      </c>
      <c r="AH3211">
        <v>0</v>
      </c>
      <c r="AI3211" t="s">
        <v>1566</v>
      </c>
      <c r="AJ3211">
        <v>32.961173000000002</v>
      </c>
      <c r="AK3211" t="s">
        <v>1561</v>
      </c>
      <c r="AL3211">
        <v>-97.664486999999994</v>
      </c>
      <c r="AM3211">
        <v>25</v>
      </c>
      <c r="AN3211">
        <v>900</v>
      </c>
      <c r="AO3211" t="s">
        <v>118</v>
      </c>
      <c r="AP3211">
        <v>5</v>
      </c>
      <c r="AQ3211">
        <v>-52</v>
      </c>
      <c r="AR3211">
        <v>-128</v>
      </c>
      <c r="AZ3211">
        <v>7700</v>
      </c>
      <c r="BA3211">
        <v>1</v>
      </c>
      <c r="BB3211" t="str">
        <f t="shared" si="944"/>
        <v xml:space="preserve">N733KP  </v>
      </c>
      <c r="BC3211">
        <v>1</v>
      </c>
      <c r="BE3211">
        <v>0</v>
      </c>
      <c r="BF3211">
        <v>0</v>
      </c>
      <c r="BG3211">
        <v>1</v>
      </c>
      <c r="BH3211">
        <v>825</v>
      </c>
      <c r="BI3211">
        <v>1</v>
      </c>
      <c r="BJ3211">
        <v>1</v>
      </c>
      <c r="BK3211">
        <v>0</v>
      </c>
      <c r="BL3211">
        <v>0</v>
      </c>
      <c r="BO3211">
        <v>0</v>
      </c>
      <c r="BP3211">
        <v>0</v>
      </c>
      <c r="BW3211" t="str">
        <f>"22:23:41.830"</f>
        <v>22:23:41.830</v>
      </c>
      <c r="CJ3211">
        <v>0</v>
      </c>
      <c r="CK3211">
        <v>2</v>
      </c>
      <c r="CL3211">
        <v>0</v>
      </c>
      <c r="CM3211">
        <v>2</v>
      </c>
      <c r="CN3211">
        <v>0</v>
      </c>
      <c r="CO3211">
        <v>5</v>
      </c>
      <c r="CP3211" t="s">
        <v>119</v>
      </c>
      <c r="CQ3211">
        <v>364</v>
      </c>
      <c r="CR3211">
        <v>0</v>
      </c>
      <c r="CW3211">
        <v>1490430</v>
      </c>
      <c r="CY3211">
        <v>1</v>
      </c>
      <c r="CZ3211">
        <v>0</v>
      </c>
      <c r="DA3211">
        <v>0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3">
      <c r="A3212" t="str">
        <f>"03/24/2022 22:23:42.070"</f>
        <v>03/24/2022 22:23:42.070</v>
      </c>
      <c r="C3212" t="str">
        <f t="shared" si="943"/>
        <v>FFDFD3C0</v>
      </c>
      <c r="D3212" t="s">
        <v>120</v>
      </c>
      <c r="E3212">
        <v>14</v>
      </c>
      <c r="F3212">
        <v>1014</v>
      </c>
      <c r="G3212" t="s">
        <v>121</v>
      </c>
      <c r="J3212" t="s">
        <v>122</v>
      </c>
      <c r="K3212">
        <v>0</v>
      </c>
      <c r="L3212">
        <v>3</v>
      </c>
      <c r="M3212">
        <v>0</v>
      </c>
      <c r="N3212">
        <v>2</v>
      </c>
      <c r="O3212">
        <v>0</v>
      </c>
      <c r="P3212">
        <v>1</v>
      </c>
      <c r="Q3212">
        <v>0</v>
      </c>
      <c r="S3212" t="str">
        <f t="shared" si="959"/>
        <v>22:23:41.000</v>
      </c>
      <c r="T3212" t="str">
        <f t="shared" si="959"/>
        <v>22:23:41.000</v>
      </c>
      <c r="U3212" t="str">
        <f t="shared" si="956"/>
        <v>A9D71F</v>
      </c>
      <c r="V3212">
        <v>0</v>
      </c>
      <c r="W3212">
        <v>0</v>
      </c>
      <c r="X3212">
        <v>2</v>
      </c>
      <c r="Z3212">
        <v>1</v>
      </c>
      <c r="AA3212">
        <v>8</v>
      </c>
      <c r="AB3212">
        <v>3</v>
      </c>
      <c r="AC3212">
        <v>0</v>
      </c>
      <c r="AD3212">
        <v>9</v>
      </c>
      <c r="AE3212">
        <v>0</v>
      </c>
      <c r="AF3212">
        <v>3</v>
      </c>
      <c r="AG3212">
        <v>1</v>
      </c>
      <c r="AH3212">
        <v>0</v>
      </c>
      <c r="AI3212" t="s">
        <v>1566</v>
      </c>
      <c r="AJ3212">
        <v>32.961173000000002</v>
      </c>
      <c r="AK3212" t="s">
        <v>1561</v>
      </c>
      <c r="AL3212">
        <v>-97.664486999999994</v>
      </c>
      <c r="AM3212">
        <v>25</v>
      </c>
      <c r="AN3212">
        <v>900</v>
      </c>
      <c r="AO3212" t="s">
        <v>118</v>
      </c>
      <c r="AP3212">
        <v>5</v>
      </c>
      <c r="AQ3212">
        <v>-52</v>
      </c>
      <c r="AR3212">
        <v>-128</v>
      </c>
      <c r="AZ3212">
        <v>7700</v>
      </c>
      <c r="BA3212">
        <v>1</v>
      </c>
      <c r="BB3212" t="str">
        <f t="shared" si="944"/>
        <v xml:space="preserve">N733KP  </v>
      </c>
      <c r="BC3212">
        <v>1</v>
      </c>
      <c r="BE3212">
        <v>0</v>
      </c>
      <c r="BF3212">
        <v>0</v>
      </c>
      <c r="BG3212">
        <v>1</v>
      </c>
      <c r="BH3212">
        <v>825</v>
      </c>
      <c r="BI3212">
        <v>1</v>
      </c>
      <c r="BJ3212">
        <v>1</v>
      </c>
      <c r="BK3212">
        <v>0</v>
      </c>
      <c r="BL3212">
        <v>0</v>
      </c>
      <c r="BO3212">
        <v>0</v>
      </c>
      <c r="BP3212">
        <v>0</v>
      </c>
      <c r="BW3212" t="str">
        <f>"22:23:41.830"</f>
        <v>22:23:41.830</v>
      </c>
      <c r="CJ3212">
        <v>0</v>
      </c>
      <c r="CK3212">
        <v>2</v>
      </c>
      <c r="CL3212">
        <v>0</v>
      </c>
      <c r="CM3212">
        <v>2</v>
      </c>
      <c r="CN3212">
        <v>0</v>
      </c>
      <c r="CO3212">
        <v>5</v>
      </c>
      <c r="CP3212" t="s">
        <v>119</v>
      </c>
      <c r="CQ3212">
        <v>364</v>
      </c>
      <c r="CR3212">
        <v>0</v>
      </c>
      <c r="CW3212">
        <v>1490430</v>
      </c>
      <c r="CY3212">
        <v>1</v>
      </c>
      <c r="CZ3212">
        <v>0</v>
      </c>
      <c r="DA3212">
        <v>1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3">
      <c r="A3213" t="str">
        <f>"03/24/2022 22:23:42.101"</f>
        <v>03/24/2022 22:23:42.101</v>
      </c>
      <c r="C3213" t="str">
        <f t="shared" si="943"/>
        <v>FFDFD3C0</v>
      </c>
      <c r="D3213" t="s">
        <v>123</v>
      </c>
      <c r="E3213">
        <v>8</v>
      </c>
      <c r="H3213">
        <v>31</v>
      </c>
      <c r="I3213" t="s">
        <v>124</v>
      </c>
      <c r="J3213" t="s">
        <v>125</v>
      </c>
      <c r="K3213">
        <v>0</v>
      </c>
      <c r="L3213">
        <v>3</v>
      </c>
      <c r="M3213">
        <v>0</v>
      </c>
      <c r="N3213">
        <v>2</v>
      </c>
      <c r="O3213">
        <v>0</v>
      </c>
      <c r="P3213">
        <v>1</v>
      </c>
      <c r="Q3213">
        <v>0</v>
      </c>
      <c r="S3213" t="str">
        <f t="shared" si="959"/>
        <v>22:23:41.000</v>
      </c>
      <c r="T3213" t="str">
        <f t="shared" si="959"/>
        <v>22:23:41.000</v>
      </c>
      <c r="U3213" t="str">
        <f t="shared" si="956"/>
        <v>A9D71F</v>
      </c>
      <c r="V3213">
        <v>0</v>
      </c>
      <c r="W3213">
        <v>0</v>
      </c>
      <c r="X3213">
        <v>2</v>
      </c>
      <c r="Z3213">
        <v>1</v>
      </c>
      <c r="AA3213">
        <v>8</v>
      </c>
      <c r="AB3213">
        <v>3</v>
      </c>
      <c r="AC3213">
        <v>0</v>
      </c>
      <c r="AD3213">
        <v>9</v>
      </c>
      <c r="AE3213">
        <v>0</v>
      </c>
      <c r="AF3213">
        <v>3</v>
      </c>
      <c r="AG3213">
        <v>1</v>
      </c>
      <c r="AH3213">
        <v>0</v>
      </c>
      <c r="AI3213" t="s">
        <v>1566</v>
      </c>
      <c r="AJ3213">
        <v>32.961173000000002</v>
      </c>
      <c r="AK3213" t="s">
        <v>1561</v>
      </c>
      <c r="AL3213">
        <v>-97.664486999999994</v>
      </c>
      <c r="AM3213">
        <v>25</v>
      </c>
      <c r="AN3213">
        <v>900</v>
      </c>
      <c r="AO3213" t="s">
        <v>118</v>
      </c>
      <c r="AP3213">
        <v>5</v>
      </c>
      <c r="AQ3213">
        <v>-52</v>
      </c>
      <c r="AR3213">
        <v>-128</v>
      </c>
      <c r="AZ3213">
        <v>7700</v>
      </c>
      <c r="BA3213">
        <v>1</v>
      </c>
      <c r="BB3213" t="str">
        <f t="shared" si="944"/>
        <v xml:space="preserve">N733KP  </v>
      </c>
      <c r="BC3213">
        <v>1</v>
      </c>
      <c r="BE3213">
        <v>0</v>
      </c>
      <c r="BF3213">
        <v>0</v>
      </c>
      <c r="BG3213">
        <v>1</v>
      </c>
      <c r="BH3213">
        <v>825</v>
      </c>
      <c r="BI3213">
        <v>1</v>
      </c>
      <c r="BJ3213">
        <v>1</v>
      </c>
      <c r="BK3213">
        <v>0</v>
      </c>
      <c r="BL3213">
        <v>0</v>
      </c>
      <c r="BO3213">
        <v>0</v>
      </c>
      <c r="BP3213">
        <v>0</v>
      </c>
      <c r="BW3213" t="str">
        <f>"22:23:41.830"</f>
        <v>22:23:41.830</v>
      </c>
      <c r="CJ3213">
        <v>0</v>
      </c>
      <c r="CK3213">
        <v>2</v>
      </c>
      <c r="CL3213">
        <v>0</v>
      </c>
      <c r="CM3213">
        <v>2</v>
      </c>
      <c r="CN3213">
        <v>0</v>
      </c>
      <c r="CO3213">
        <v>5</v>
      </c>
      <c r="CP3213" t="s">
        <v>119</v>
      </c>
      <c r="CQ3213">
        <v>364</v>
      </c>
      <c r="CR3213">
        <v>0</v>
      </c>
      <c r="CW3213">
        <v>1490430</v>
      </c>
      <c r="CY3213">
        <v>1</v>
      </c>
      <c r="CZ3213">
        <v>0</v>
      </c>
      <c r="DA3213">
        <v>1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3">
      <c r="A3214" t="str">
        <f>"03/24/2022 22:23:42.101"</f>
        <v>03/24/2022 22:23:42.101</v>
      </c>
      <c r="C3214" t="str">
        <f t="shared" si="943"/>
        <v>FFDFD3C0</v>
      </c>
      <c r="D3214" t="s">
        <v>113</v>
      </c>
      <c r="E3214">
        <v>24</v>
      </c>
      <c r="F3214">
        <v>2024</v>
      </c>
      <c r="G3214" t="s">
        <v>114</v>
      </c>
      <c r="J3214" t="s">
        <v>115</v>
      </c>
      <c r="K3214">
        <v>0</v>
      </c>
      <c r="L3214">
        <v>3</v>
      </c>
      <c r="M3214">
        <v>0</v>
      </c>
      <c r="N3214">
        <v>2</v>
      </c>
      <c r="O3214">
        <v>0</v>
      </c>
      <c r="P3214">
        <v>1</v>
      </c>
      <c r="Q3214">
        <v>0</v>
      </c>
      <c r="S3214" t="str">
        <f t="shared" si="959"/>
        <v>22:23:41.000</v>
      </c>
      <c r="T3214" t="str">
        <f t="shared" si="959"/>
        <v>22:23:41.000</v>
      </c>
      <c r="U3214" t="str">
        <f t="shared" si="956"/>
        <v>A9D71F</v>
      </c>
      <c r="V3214">
        <v>0</v>
      </c>
      <c r="W3214">
        <v>0</v>
      </c>
      <c r="X3214">
        <v>2</v>
      </c>
      <c r="Z3214">
        <v>1</v>
      </c>
      <c r="AA3214">
        <v>8</v>
      </c>
      <c r="AB3214">
        <v>3</v>
      </c>
      <c r="AC3214">
        <v>0</v>
      </c>
      <c r="AD3214">
        <v>9</v>
      </c>
      <c r="AE3214">
        <v>0</v>
      </c>
      <c r="AF3214">
        <v>3</v>
      </c>
      <c r="AG3214">
        <v>1</v>
      </c>
      <c r="AH3214">
        <v>0</v>
      </c>
      <c r="AI3214" t="s">
        <v>1566</v>
      </c>
      <c r="AJ3214">
        <v>32.961173000000002</v>
      </c>
      <c r="AK3214" t="s">
        <v>1561</v>
      </c>
      <c r="AL3214">
        <v>-97.664486999999994</v>
      </c>
      <c r="AM3214">
        <v>25</v>
      </c>
      <c r="AN3214">
        <v>900</v>
      </c>
      <c r="AO3214" t="s">
        <v>118</v>
      </c>
      <c r="AP3214">
        <v>5</v>
      </c>
      <c r="AQ3214">
        <v>-52</v>
      </c>
      <c r="AR3214">
        <v>-128</v>
      </c>
      <c r="AZ3214">
        <v>7700</v>
      </c>
      <c r="BA3214">
        <v>1</v>
      </c>
      <c r="BB3214" t="str">
        <f t="shared" si="944"/>
        <v xml:space="preserve">N733KP  </v>
      </c>
      <c r="BC3214">
        <v>1</v>
      </c>
      <c r="BE3214">
        <v>0</v>
      </c>
      <c r="BF3214">
        <v>0</v>
      </c>
      <c r="BG3214">
        <v>1</v>
      </c>
      <c r="BH3214">
        <v>825</v>
      </c>
      <c r="BI3214">
        <v>1</v>
      </c>
      <c r="BJ3214">
        <v>1</v>
      </c>
      <c r="BK3214">
        <v>0</v>
      </c>
      <c r="BL3214">
        <v>0</v>
      </c>
      <c r="BO3214">
        <v>0</v>
      </c>
      <c r="BP3214">
        <v>0</v>
      </c>
      <c r="BW3214" t="str">
        <f>"22:23:41.830"</f>
        <v>22:23:41.830</v>
      </c>
      <c r="CJ3214">
        <v>0</v>
      </c>
      <c r="CK3214">
        <v>2</v>
      </c>
      <c r="CL3214">
        <v>0</v>
      </c>
      <c r="CM3214">
        <v>2</v>
      </c>
      <c r="CN3214">
        <v>0</v>
      </c>
      <c r="CO3214">
        <v>5</v>
      </c>
      <c r="CP3214" t="s">
        <v>119</v>
      </c>
      <c r="CQ3214">
        <v>364</v>
      </c>
      <c r="CR3214">
        <v>0</v>
      </c>
      <c r="CW3214">
        <v>1490430</v>
      </c>
      <c r="CY3214">
        <v>1</v>
      </c>
      <c r="CZ3214">
        <v>0</v>
      </c>
      <c r="DA3214">
        <v>1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20220324_A9D71F_479454281_ADSB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2022-04-11T13:40:44Z</dcterms:created>
  <dcterms:modified xsi:type="dcterms:W3CDTF">2022-04-11T13:40:45Z</dcterms:modified>
</cp:coreProperties>
</file>